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8_{8BBE642B-A93C-4B2C-95EE-869B5E0DC5A3}" xr6:coauthVersionLast="47" xr6:coauthVersionMax="47" xr10:uidLastSave="{00000000-0000-0000-0000-000000000000}"/>
  <bookViews>
    <workbookView xWindow="1900" yWindow="1900" windowWidth="14400" windowHeight="8250" tabRatio="942"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Correctie schatting ITC" sheetId="91" r:id="rId30"/>
    <sheet name="25. Incidentele correcties" sheetId="89" r:id="rId31"/>
    <sheet name="26. Toegestane inkomsten" sheetId="32" r:id="rId32"/>
    <sheet name="27. RPM" sheetId="34" r:id="rId33"/>
    <sheet name="28. Entry- en exittarieven " sheetId="36" r:id="rId34"/>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Desinvesteringen'!$B$19:$I$804</definedName>
    <definedName name="ExternalData_1" localSheetId="18" hidden="1">'14. Omzet'!$B$19:$J$25</definedName>
    <definedName name="ExternalData_2" localSheetId="16" hidden="1">'12. Investeringen (bijschatten)'!$B$19:$G$142</definedName>
    <definedName name="ExternalData_2" localSheetId="19" hidden="1">'15. Operationele kosten'!$B$19:$H$31</definedName>
    <definedName name="ExternalData_3" localSheetId="15" hidden="1">'11. Investeringen (WUI+ombouw)'!$B$19:$H$58</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02" i="65" l="1"/>
  <c r="P514" i="65"/>
  <c r="N136" i="25"/>
  <c r="O136" i="25"/>
  <c r="P136" i="2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7" i="65"/>
  <c r="F128" i="65"/>
  <c r="F129" i="65"/>
  <c r="F130" i="65"/>
  <c r="F131" i="65"/>
  <c r="F132" i="65"/>
  <c r="F133" i="65"/>
  <c r="F134" i="65"/>
  <c r="F135" i="65"/>
  <c r="F136" i="65"/>
  <c r="F137" i="65"/>
  <c r="F138" i="65"/>
  <c r="F139" i="65"/>
  <c r="F140" i="65"/>
  <c r="F141" i="65"/>
  <c r="F142" i="65"/>
  <c r="F143" i="65"/>
  <c r="F144" i="65"/>
  <c r="F145" i="65"/>
  <c r="F146" i="65"/>
  <c r="F147" i="65"/>
  <c r="F148" i="65"/>
  <c r="F149" i="65"/>
  <c r="F150" i="65"/>
  <c r="F151" i="65"/>
  <c r="F152" i="65"/>
  <c r="F153" i="65"/>
  <c r="F154" i="65"/>
  <c r="F155" i="65"/>
  <c r="F156" i="65"/>
  <c r="F157" i="65"/>
  <c r="F158" i="65"/>
  <c r="F159" i="65"/>
  <c r="F160" i="65"/>
  <c r="F161" i="65"/>
  <c r="F162" i="65"/>
  <c r="F163" i="65"/>
  <c r="F164" i="65"/>
  <c r="F165" i="65"/>
  <c r="F166" i="65"/>
  <c r="F167" i="65"/>
  <c r="F168" i="65"/>
  <c r="F169" i="65"/>
  <c r="F170" i="65"/>
  <c r="F171" i="65"/>
  <c r="F172" i="65"/>
  <c r="F173" i="65"/>
  <c r="F174" i="65"/>
  <c r="F175" i="65"/>
  <c r="F176" i="65"/>
  <c r="F177" i="65"/>
  <c r="F178" i="65"/>
  <c r="F179" i="65"/>
  <c r="F180" i="65"/>
  <c r="F181" i="65"/>
  <c r="F182" i="65"/>
  <c r="F183" i="65"/>
  <c r="F184" i="65"/>
  <c r="F185" i="65"/>
  <c r="F186" i="65"/>
  <c r="F187" i="65"/>
  <c r="F188" i="65"/>
  <c r="F189" i="65"/>
  <c r="F190" i="65"/>
  <c r="F191" i="65"/>
  <c r="F192" i="65"/>
  <c r="F193" i="65"/>
  <c r="F194" i="65"/>
  <c r="F195" i="65"/>
  <c r="F196" i="65"/>
  <c r="F197" i="65"/>
  <c r="F198" i="65"/>
  <c r="F199" i="65"/>
  <c r="F200" i="65"/>
  <c r="F201" i="65"/>
  <c r="F202" i="65"/>
  <c r="F203" i="65"/>
  <c r="F204" i="65"/>
  <c r="F205" i="65"/>
  <c r="F206" i="65"/>
  <c r="F207" i="65"/>
  <c r="F208" i="65"/>
  <c r="F209" i="65"/>
  <c r="F210" i="65"/>
  <c r="F211" i="65"/>
  <c r="F212" i="65"/>
  <c r="F213" i="65"/>
  <c r="F214" i="65"/>
  <c r="F215" i="65"/>
  <c r="F216" i="65"/>
  <c r="F217" i="65"/>
  <c r="F218" i="65"/>
  <c r="F219" i="65"/>
  <c r="F220" i="65"/>
  <c r="F221" i="65"/>
  <c r="F222" i="65"/>
  <c r="F223" i="65"/>
  <c r="F224" i="65"/>
  <c r="F225" i="65"/>
  <c r="F226" i="65"/>
  <c r="F227" i="65"/>
  <c r="F228" i="65"/>
  <c r="F229" i="65"/>
  <c r="F230" i="65"/>
  <c r="F231" i="65"/>
  <c r="F232" i="65"/>
  <c r="F233" i="65"/>
  <c r="F234" i="65"/>
  <c r="F235" i="65"/>
  <c r="F236" i="65"/>
  <c r="F237" i="65"/>
  <c r="F238" i="65"/>
  <c r="F239" i="65"/>
  <c r="F240" i="65"/>
  <c r="F241" i="65"/>
  <c r="F242" i="65"/>
  <c r="F243" i="65"/>
  <c r="F244" i="65"/>
  <c r="F245" i="65"/>
  <c r="F246" i="65"/>
  <c r="F247" i="65"/>
  <c r="F248" i="65"/>
  <c r="F249" i="65"/>
  <c r="F250" i="65"/>
  <c r="F251" i="65"/>
  <c r="F252" i="65"/>
  <c r="F253" i="65"/>
  <c r="F254" i="65"/>
  <c r="F255" i="65"/>
  <c r="F256" i="65"/>
  <c r="F257" i="65"/>
  <c r="F258" i="65"/>
  <c r="F259" i="65"/>
  <c r="F260" i="65"/>
  <c r="F261" i="65"/>
  <c r="F262" i="65"/>
  <c r="F263" i="65"/>
  <c r="F264" i="65"/>
  <c r="F265" i="65"/>
  <c r="F266" i="65"/>
  <c r="F267" i="65"/>
  <c r="F268" i="65"/>
  <c r="F269" i="65"/>
  <c r="F270" i="65"/>
  <c r="F271" i="65"/>
  <c r="F272" i="65"/>
  <c r="F273" i="65"/>
  <c r="F274" i="65"/>
  <c r="F275" i="65"/>
  <c r="F276" i="65"/>
  <c r="F277" i="65"/>
  <c r="F278" i="65"/>
  <c r="F279" i="65"/>
  <c r="F280" i="65"/>
  <c r="F281" i="65"/>
  <c r="F282" i="65"/>
  <c r="F283" i="65"/>
  <c r="F284" i="65"/>
  <c r="F285" i="65"/>
  <c r="F286" i="65"/>
  <c r="F287" i="65"/>
  <c r="F288" i="65"/>
  <c r="F289" i="65"/>
  <c r="F290" i="65"/>
  <c r="F291" i="65"/>
  <c r="F292" i="65"/>
  <c r="F293" i="65"/>
  <c r="F294" i="65"/>
  <c r="F295" i="65"/>
  <c r="F296" i="65"/>
  <c r="F297" i="65"/>
  <c r="F298" i="65"/>
  <c r="F299" i="65"/>
  <c r="F300" i="65"/>
  <c r="F301" i="65"/>
  <c r="F302" i="65"/>
  <c r="F303" i="65"/>
  <c r="F304" i="65"/>
  <c r="F305" i="65"/>
  <c r="F306" i="65"/>
  <c r="F307" i="65"/>
  <c r="F308" i="65"/>
  <c r="F309" i="65"/>
  <c r="F310" i="65"/>
  <c r="F311" i="65"/>
  <c r="F312" i="65"/>
  <c r="F313" i="65"/>
  <c r="F314" i="65"/>
  <c r="F315" i="65"/>
  <c r="F316" i="65"/>
  <c r="F317" i="65"/>
  <c r="F318" i="65"/>
  <c r="F319" i="65"/>
  <c r="F320" i="65"/>
  <c r="F321" i="65"/>
  <c r="F322" i="65"/>
  <c r="F323" i="65"/>
  <c r="F324" i="65"/>
  <c r="F325" i="65"/>
  <c r="F326" i="65"/>
  <c r="F327" i="65"/>
  <c r="F328" i="65"/>
  <c r="F329" i="65"/>
  <c r="F330" i="65"/>
  <c r="F331" i="65"/>
  <c r="F332" i="65"/>
  <c r="F333" i="65"/>
  <c r="F334" i="65"/>
  <c r="F335" i="65"/>
  <c r="F336" i="65"/>
  <c r="F337" i="65"/>
  <c r="F338" i="65"/>
  <c r="F339" i="65"/>
  <c r="F340" i="65"/>
  <c r="F341" i="65"/>
  <c r="F342" i="65"/>
  <c r="F343" i="65"/>
  <c r="F344" i="65"/>
  <c r="F345" i="65"/>
  <c r="F346" i="65"/>
  <c r="F347" i="65"/>
  <c r="F348" i="65"/>
  <c r="F349" i="65"/>
  <c r="F350" i="65"/>
  <c r="F351" i="65"/>
  <c r="F352" i="65"/>
  <c r="F353" i="65"/>
  <c r="F354" i="65"/>
  <c r="F355" i="65"/>
  <c r="F356" i="65"/>
  <c r="F357" i="65"/>
  <c r="F358" i="65"/>
  <c r="F359" i="65"/>
  <c r="F360" i="65"/>
  <c r="F361" i="65"/>
  <c r="F362" i="65"/>
  <c r="F363" i="65"/>
  <c r="F364" i="65"/>
  <c r="F365" i="65"/>
  <c r="F366" i="65"/>
  <c r="F367" i="65"/>
  <c r="F368" i="65"/>
  <c r="F369" i="65"/>
  <c r="F370" i="65"/>
  <c r="F371" i="65"/>
  <c r="F372" i="65"/>
  <c r="F373" i="65"/>
  <c r="F374" i="65"/>
  <c r="F375" i="65"/>
  <c r="F376" i="65"/>
  <c r="F377" i="65"/>
  <c r="F378" i="65"/>
  <c r="F379" i="65"/>
  <c r="F380" i="65"/>
  <c r="F381" i="65"/>
  <c r="F382" i="65"/>
  <c r="F383" i="65"/>
  <c r="F384"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3" i="65"/>
  <c r="F414" i="65"/>
  <c r="F415" i="65"/>
  <c r="F416" i="65"/>
  <c r="F417" i="65"/>
  <c r="F418"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477" i="65"/>
  <c r="F478" i="65"/>
  <c r="F479" i="65"/>
  <c r="F480" i="65"/>
  <c r="F481" i="65"/>
  <c r="F482" i="65"/>
  <c r="F483" i="65"/>
  <c r="F484" i="65"/>
  <c r="F485" i="65"/>
  <c r="F486" i="65"/>
  <c r="F487" i="65"/>
  <c r="F488" i="65"/>
  <c r="F489" i="65"/>
  <c r="F490" i="65"/>
  <c r="F491" i="65"/>
  <c r="F492" i="65"/>
  <c r="F493" i="65"/>
  <c r="F494" i="65"/>
  <c r="F495" i="65"/>
  <c r="F496" i="65"/>
  <c r="F497" i="65"/>
  <c r="F498" i="65"/>
  <c r="F499" i="65"/>
  <c r="F500" i="65"/>
  <c r="F501" i="65"/>
  <c r="F502" i="65"/>
  <c r="F503" i="65"/>
  <c r="F504" i="65"/>
  <c r="F505" i="65"/>
  <c r="F506" i="65"/>
  <c r="F507" i="65"/>
  <c r="F508" i="65"/>
  <c r="F509" i="65"/>
  <c r="F510" i="65"/>
  <c r="F511" i="65"/>
  <c r="F512" i="65"/>
  <c r="F513" i="65"/>
  <c r="F514" i="65"/>
  <c r="F515" i="65"/>
  <c r="F516" i="65"/>
  <c r="F517" i="65"/>
  <c r="F518" i="65"/>
  <c r="F519" i="65"/>
  <c r="F520" i="65"/>
  <c r="F521" i="65"/>
  <c r="N44" i="32" l="1"/>
  <c r="B866" i="37"/>
  <c r="F866" i="37"/>
  <c r="G866" i="37"/>
  <c r="AC866" i="37" s="1"/>
  <c r="H866" i="37"/>
  <c r="N866" i="37" s="1"/>
  <c r="I866" i="37"/>
  <c r="R866" i="37"/>
  <c r="S866" i="37"/>
  <c r="AE866" i="37"/>
  <c r="B867" i="37"/>
  <c r="F867" i="37"/>
  <c r="G867" i="37"/>
  <c r="O867" i="37" s="1"/>
  <c r="H867" i="37"/>
  <c r="I867" i="37"/>
  <c r="M867" i="37"/>
  <c r="N867" i="37"/>
  <c r="S867" i="37"/>
  <c r="T867" i="37"/>
  <c r="AD867" i="37"/>
  <c r="AE867" i="37"/>
  <c r="B868" i="37"/>
  <c r="F868" i="37"/>
  <c r="G868" i="37"/>
  <c r="H868" i="37"/>
  <c r="I868" i="37"/>
  <c r="M868" i="37" s="1"/>
  <c r="L868" i="37"/>
  <c r="R868" i="37"/>
  <c r="AD868" i="37"/>
  <c r="AE868" i="37"/>
  <c r="B869" i="37"/>
  <c r="F869" i="37"/>
  <c r="G869" i="37"/>
  <c r="H869" i="37"/>
  <c r="I869" i="37"/>
  <c r="L869" i="37" s="1"/>
  <c r="K869" i="37"/>
  <c r="S869" i="37"/>
  <c r="AC869" i="37"/>
  <c r="AD869" i="37"/>
  <c r="AE869" i="37"/>
  <c r="B854" i="37"/>
  <c r="F854" i="37"/>
  <c r="G854" i="37"/>
  <c r="AC854" i="37" s="1"/>
  <c r="H854" i="37"/>
  <c r="I854" i="37"/>
  <c r="S854" i="37"/>
  <c r="B855" i="37"/>
  <c r="F855" i="37"/>
  <c r="G855" i="37"/>
  <c r="AE855" i="37" s="1"/>
  <c r="H855" i="37"/>
  <c r="I855" i="37"/>
  <c r="L855" i="37" s="1"/>
  <c r="AD855" i="37"/>
  <c r="B856" i="37"/>
  <c r="F856" i="37"/>
  <c r="G856" i="37"/>
  <c r="S856" i="37" s="1"/>
  <c r="H856" i="37"/>
  <c r="I856" i="37"/>
  <c r="R856" i="37" s="1"/>
  <c r="M856" i="37"/>
  <c r="AE856" i="37"/>
  <c r="B857" i="37"/>
  <c r="F857" i="37"/>
  <c r="G857" i="37"/>
  <c r="AD857" i="37" s="1"/>
  <c r="H857" i="37"/>
  <c r="I857" i="37"/>
  <c r="AE857" i="37"/>
  <c r="B858" i="37"/>
  <c r="F858" i="37"/>
  <c r="G858" i="37"/>
  <c r="AE858" i="37" s="1"/>
  <c r="H858" i="37"/>
  <c r="I858" i="37"/>
  <c r="K858" i="37" s="1"/>
  <c r="AD858" i="37"/>
  <c r="B859" i="37"/>
  <c r="F859" i="37"/>
  <c r="G859" i="37"/>
  <c r="H859" i="37"/>
  <c r="I859" i="37"/>
  <c r="L859" i="37" s="1"/>
  <c r="K859" i="37"/>
  <c r="Q859" i="37"/>
  <c r="R859" i="37"/>
  <c r="AD859" i="37"/>
  <c r="AE859" i="37"/>
  <c r="B860" i="37"/>
  <c r="F860" i="37"/>
  <c r="G860" i="37"/>
  <c r="H860" i="37"/>
  <c r="I860" i="37"/>
  <c r="L860" i="37" s="1"/>
  <c r="K860" i="37"/>
  <c r="AC860" i="37"/>
  <c r="AD860" i="37"/>
  <c r="AE860" i="37"/>
  <c r="B861" i="37"/>
  <c r="F861" i="37"/>
  <c r="G861" i="37"/>
  <c r="N861" i="37" s="1"/>
  <c r="H861" i="37"/>
  <c r="I861" i="37"/>
  <c r="B862" i="37"/>
  <c r="F862" i="37"/>
  <c r="G862" i="37"/>
  <c r="AC862" i="37" s="1"/>
  <c r="H862" i="37"/>
  <c r="I862" i="37"/>
  <c r="L862" i="37" s="1"/>
  <c r="AD862" i="37"/>
  <c r="B863" i="37"/>
  <c r="F863" i="37"/>
  <c r="G863" i="37"/>
  <c r="H863" i="37"/>
  <c r="I863" i="37"/>
  <c r="L863" i="37" s="1"/>
  <c r="K863" i="37"/>
  <c r="AD863" i="37"/>
  <c r="AE863" i="37"/>
  <c r="B864" i="37"/>
  <c r="F864" i="37"/>
  <c r="G864" i="37"/>
  <c r="S864" i="37" s="1"/>
  <c r="H864" i="37"/>
  <c r="N864" i="37" s="1"/>
  <c r="I864" i="37"/>
  <c r="M864" i="37"/>
  <c r="R864" i="37"/>
  <c r="AE864" i="37"/>
  <c r="B865" i="37"/>
  <c r="F865" i="37"/>
  <c r="G865" i="37"/>
  <c r="AD865" i="37" s="1"/>
  <c r="H865" i="37"/>
  <c r="I865" i="37"/>
  <c r="K865" i="37" s="1"/>
  <c r="R93" i="25"/>
  <c r="I1683" i="40"/>
  <c r="I1684" i="40"/>
  <c r="N138" i="25" l="1"/>
  <c r="U867" i="37"/>
  <c r="R861" i="37"/>
  <c r="AD856" i="37"/>
  <c r="K856" i="37"/>
  <c r="Q855" i="37"/>
  <c r="O855" i="37"/>
  <c r="AE854" i="37"/>
  <c r="M854" i="37"/>
  <c r="AD864" i="37"/>
  <c r="K864" i="37"/>
  <c r="Q863" i="37"/>
  <c r="O863" i="37"/>
  <c r="M861" i="37"/>
  <c r="S860" i="37"/>
  <c r="N860" i="37"/>
  <c r="M859" i="37"/>
  <c r="O859" i="37"/>
  <c r="O857" i="37"/>
  <c r="AC856" i="37"/>
  <c r="M855" i="37"/>
  <c r="AD854" i="37"/>
  <c r="K854" i="37"/>
  <c r="O869" i="37"/>
  <c r="Q868" i="37"/>
  <c r="AC867" i="37"/>
  <c r="R867" i="37"/>
  <c r="K867" i="37"/>
  <c r="AD866" i="37"/>
  <c r="M866" i="37"/>
  <c r="AE865" i="37"/>
  <c r="AC864" i="37"/>
  <c r="M863" i="37"/>
  <c r="S862" i="37"/>
  <c r="R860" i="37"/>
  <c r="M858" i="37"/>
  <c r="K857" i="37"/>
  <c r="N856" i="37"/>
  <c r="T856" i="37" s="1"/>
  <c r="K855" i="37"/>
  <c r="N854" i="37"/>
  <c r="N869" i="37"/>
  <c r="N868" i="37"/>
  <c r="T868" i="37" s="1"/>
  <c r="L867" i="37"/>
  <c r="K866" i="37"/>
  <c r="Q866" i="37"/>
  <c r="L866" i="37"/>
  <c r="R869" i="37"/>
  <c r="M869" i="37"/>
  <c r="O868" i="37"/>
  <c r="K868" i="37"/>
  <c r="T866" i="37"/>
  <c r="O866" i="37"/>
  <c r="Q869" i="37"/>
  <c r="AC868" i="37"/>
  <c r="S868" i="37"/>
  <c r="Q867" i="37"/>
  <c r="L861" i="37"/>
  <c r="M865" i="37"/>
  <c r="L864" i="37"/>
  <c r="R863" i="37"/>
  <c r="N863" i="37"/>
  <c r="T863" i="37" s="1"/>
  <c r="U863" i="37" s="1"/>
  <c r="AE862" i="37"/>
  <c r="R862" i="37"/>
  <c r="N862" i="37"/>
  <c r="T862" i="37" s="1"/>
  <c r="U862" i="37" s="1"/>
  <c r="Q861" i="37"/>
  <c r="K861" i="37"/>
  <c r="M860" i="37"/>
  <c r="AC858" i="37"/>
  <c r="M857" i="37"/>
  <c r="L856" i="37"/>
  <c r="R855" i="37"/>
  <c r="N855" i="37"/>
  <c r="T855" i="37" s="1"/>
  <c r="R854" i="37"/>
  <c r="R865" i="37"/>
  <c r="L865" i="37"/>
  <c r="N865" i="37"/>
  <c r="T865" i="37" s="1"/>
  <c r="U865" i="37" s="1"/>
  <c r="M862" i="37"/>
  <c r="AE861" i="37"/>
  <c r="O861" i="37"/>
  <c r="S858" i="37"/>
  <c r="L858" i="37"/>
  <c r="R857" i="37"/>
  <c r="L857" i="37"/>
  <c r="N857" i="37"/>
  <c r="T857" i="37" s="1"/>
  <c r="U857" i="37" s="1"/>
  <c r="O865" i="37"/>
  <c r="Q865" i="37"/>
  <c r="K862" i="37"/>
  <c r="AD861" i="37"/>
  <c r="N859" i="37"/>
  <c r="R858" i="37"/>
  <c r="N858" i="37"/>
  <c r="T858" i="37" s="1"/>
  <c r="Q857" i="37"/>
  <c r="T861" i="37"/>
  <c r="AC865" i="37"/>
  <c r="S865" i="37"/>
  <c r="Q864" i="37"/>
  <c r="AC863" i="37"/>
  <c r="S863" i="37"/>
  <c r="Q862" i="37"/>
  <c r="AC861" i="37"/>
  <c r="S861" i="37"/>
  <c r="Q860" i="37"/>
  <c r="AC859" i="37"/>
  <c r="S859" i="37"/>
  <c r="Q858" i="37"/>
  <c r="AC857" i="37"/>
  <c r="S857" i="37"/>
  <c r="Q856" i="37"/>
  <c r="M138" i="25" s="1"/>
  <c r="AC855" i="37"/>
  <c r="S855" i="37"/>
  <c r="Q854" i="37"/>
  <c r="L854" i="37"/>
  <c r="T864" i="37"/>
  <c r="O864" i="37"/>
  <c r="O862" i="37"/>
  <c r="T860" i="37"/>
  <c r="O860" i="37"/>
  <c r="O858" i="37"/>
  <c r="O856" i="37"/>
  <c r="T854" i="37"/>
  <c r="O854" i="37"/>
  <c r="O138" i="25" l="1"/>
  <c r="U864" i="37"/>
  <c r="T869" i="37"/>
  <c r="U869" i="37" s="1"/>
  <c r="U860" i="37"/>
  <c r="U866" i="37"/>
  <c r="U868" i="37"/>
  <c r="U855" i="37"/>
  <c r="T859" i="37"/>
  <c r="U859" i="37" s="1"/>
  <c r="U854" i="37"/>
  <c r="U861" i="37"/>
  <c r="U856" i="37"/>
  <c r="U858" i="37"/>
  <c r="Q138" i="25" l="1"/>
  <c r="P138" i="25"/>
  <c r="AF505" i="65"/>
  <c r="AE505" i="65"/>
  <c r="AD505" i="65"/>
  <c r="AC505" i="65"/>
  <c r="AB505" i="65"/>
  <c r="AR517" i="65"/>
  <c r="AQ517" i="65"/>
  <c r="AH517" i="65"/>
  <c r="AN517" i="65" s="1"/>
  <c r="AF517" i="65"/>
  <c r="AE517" i="65"/>
  <c r="AD517" i="65"/>
  <c r="AP517" i="65" s="1"/>
  <c r="AC517" i="65"/>
  <c r="AO517" i="65" s="1"/>
  <c r="AB517" i="65"/>
  <c r="Q514" i="65"/>
  <c r="S502" i="65"/>
  <c r="Y514" i="65" l="1"/>
  <c r="T514" i="65"/>
  <c r="W502" i="65"/>
  <c r="R502" i="65"/>
  <c r="X514" i="65"/>
  <c r="S514" i="65"/>
  <c r="Z502" i="65"/>
  <c r="V502" i="65"/>
  <c r="Q502" i="65"/>
  <c r="W514" i="65"/>
  <c r="AC514" i="65" s="1"/>
  <c r="R514" i="65"/>
  <c r="Y502" i="65"/>
  <c r="AE502" i="65" s="1"/>
  <c r="T502" i="65"/>
  <c r="Z514" i="65"/>
  <c r="AF514" i="65" s="1"/>
  <c r="V514" i="65"/>
  <c r="X502" i="65"/>
  <c r="AD502" i="65" s="1"/>
  <c r="AF502" i="65" l="1"/>
  <c r="AB502" i="65"/>
  <c r="AH502" i="65" s="1"/>
  <c r="AE514" i="65"/>
  <c r="AB514" i="65"/>
  <c r="AC502" i="65"/>
  <c r="AD514" i="65"/>
  <c r="AI502" i="65" l="1"/>
  <c r="AJ502" i="65" s="1"/>
  <c r="AK502" i="65" s="1"/>
  <c r="AL502" i="65" s="1"/>
  <c r="AH514" i="65"/>
  <c r="AI514" i="65" s="1"/>
  <c r="AJ514" i="65" l="1"/>
  <c r="AO514" i="65"/>
  <c r="AN514" i="65"/>
  <c r="AK514" i="65" l="1"/>
  <c r="AP514" i="65"/>
  <c r="AL514" i="65" l="1"/>
  <c r="AQ514" i="65"/>
  <c r="AR514" i="65" l="1"/>
  <c r="Q136" i="25"/>
  <c r="L530" i="65"/>
  <c r="N135" i="25"/>
  <c r="O135" i="25"/>
  <c r="P135" i="25"/>
  <c r="Q135" i="25"/>
  <c r="M135" i="25"/>
  <c r="N134" i="25"/>
  <c r="O134" i="25"/>
  <c r="P134" i="25"/>
  <c r="Q134" i="25"/>
  <c r="M134" i="25"/>
  <c r="P60" i="25"/>
  <c r="P59" i="25"/>
  <c r="P58" i="25"/>
  <c r="F1676" i="40"/>
  <c r="B796" i="40"/>
  <c r="D796" i="40"/>
  <c r="F1673" i="40" s="1"/>
  <c r="E796" i="40"/>
  <c r="F796" i="40"/>
  <c r="G796" i="40"/>
  <c r="E1673" i="40" s="1"/>
  <c r="B797" i="40"/>
  <c r="D797" i="40"/>
  <c r="F1674" i="40" s="1"/>
  <c r="E797" i="40"/>
  <c r="F797" i="40"/>
  <c r="G797" i="40"/>
  <c r="E1674" i="40" s="1"/>
  <c r="B798" i="40"/>
  <c r="D798" i="40"/>
  <c r="F1675" i="40" s="1"/>
  <c r="E798" i="40"/>
  <c r="F798" i="40"/>
  <c r="G798" i="40"/>
  <c r="E1675" i="40" s="1"/>
  <c r="B799" i="40"/>
  <c r="D799" i="40"/>
  <c r="E799" i="40"/>
  <c r="F799" i="40"/>
  <c r="G799" i="40"/>
  <c r="E1676" i="40" s="1"/>
  <c r="B800" i="40"/>
  <c r="D800" i="40"/>
  <c r="F1677" i="40" s="1"/>
  <c r="E800" i="40"/>
  <c r="F800" i="40"/>
  <c r="G800" i="40"/>
  <c r="E1677" i="40" s="1"/>
  <c r="B801" i="40"/>
  <c r="D801" i="40"/>
  <c r="F1678" i="40" s="1"/>
  <c r="E801" i="40"/>
  <c r="F801" i="40"/>
  <c r="G801" i="40"/>
  <c r="E1678" i="40" s="1"/>
  <c r="B802" i="40"/>
  <c r="D802" i="40"/>
  <c r="F1679" i="40" s="1"/>
  <c r="E802" i="40"/>
  <c r="F802" i="40"/>
  <c r="G802" i="40"/>
  <c r="E1679" i="40" s="1"/>
  <c r="B665" i="40"/>
  <c r="D665" i="40"/>
  <c r="E665" i="40"/>
  <c r="F665" i="40"/>
  <c r="G665" i="40"/>
  <c r="B666" i="40"/>
  <c r="D666" i="40"/>
  <c r="E666" i="40"/>
  <c r="F666" i="40"/>
  <c r="G666" i="40"/>
  <c r="B667" i="40"/>
  <c r="D667" i="40"/>
  <c r="E667" i="40"/>
  <c r="F667" i="40"/>
  <c r="G667" i="40"/>
  <c r="B668" i="40"/>
  <c r="D668" i="40"/>
  <c r="E668" i="40"/>
  <c r="F668" i="40"/>
  <c r="G668" i="40"/>
  <c r="B669" i="40"/>
  <c r="D669" i="40"/>
  <c r="E669" i="40"/>
  <c r="F669" i="40"/>
  <c r="G669" i="40"/>
  <c r="B670" i="40"/>
  <c r="D670" i="40"/>
  <c r="E670" i="40"/>
  <c r="F670" i="40"/>
  <c r="G670" i="40"/>
  <c r="B671" i="40"/>
  <c r="D671" i="40"/>
  <c r="E671" i="40"/>
  <c r="F671" i="40"/>
  <c r="G671" i="40"/>
  <c r="B672" i="40"/>
  <c r="D672" i="40"/>
  <c r="E672" i="40"/>
  <c r="F672" i="40"/>
  <c r="G672" i="40"/>
  <c r="B673" i="40"/>
  <c r="D673" i="40"/>
  <c r="E673" i="40"/>
  <c r="F673" i="40"/>
  <c r="G673" i="40"/>
  <c r="B674" i="40"/>
  <c r="D674" i="40"/>
  <c r="E674" i="40"/>
  <c r="F674" i="40"/>
  <c r="G674" i="40"/>
  <c r="B675" i="40"/>
  <c r="D675" i="40"/>
  <c r="E675" i="40"/>
  <c r="F675" i="40"/>
  <c r="G675" i="40"/>
  <c r="B676" i="40"/>
  <c r="D676" i="40"/>
  <c r="E676" i="40"/>
  <c r="F676" i="40"/>
  <c r="G676" i="40"/>
  <c r="B677" i="40"/>
  <c r="D677" i="40"/>
  <c r="E677" i="40"/>
  <c r="F677" i="40"/>
  <c r="G677" i="40"/>
  <c r="B678" i="40"/>
  <c r="D678" i="40"/>
  <c r="E678" i="40"/>
  <c r="F678" i="40"/>
  <c r="G678" i="40"/>
  <c r="B679" i="40"/>
  <c r="D679" i="40"/>
  <c r="E679" i="40"/>
  <c r="F679" i="40"/>
  <c r="G679" i="40"/>
  <c r="B680" i="40"/>
  <c r="D680" i="40"/>
  <c r="E680" i="40"/>
  <c r="F680" i="40"/>
  <c r="G680" i="40"/>
  <c r="B681" i="40"/>
  <c r="D681" i="40"/>
  <c r="E681" i="40"/>
  <c r="F681" i="40"/>
  <c r="G681" i="40"/>
  <c r="B682" i="40"/>
  <c r="D682" i="40"/>
  <c r="E682" i="40"/>
  <c r="F682" i="40"/>
  <c r="G682" i="40"/>
  <c r="B683" i="40"/>
  <c r="D683" i="40"/>
  <c r="E683" i="40"/>
  <c r="F683" i="40"/>
  <c r="G683" i="40"/>
  <c r="B684" i="40"/>
  <c r="D684" i="40"/>
  <c r="E684" i="40"/>
  <c r="F684" i="40"/>
  <c r="G684" i="40"/>
  <c r="B685" i="40"/>
  <c r="D685" i="40"/>
  <c r="E685" i="40"/>
  <c r="F685" i="40"/>
  <c r="G685" i="40"/>
  <c r="B686" i="40"/>
  <c r="D686" i="40"/>
  <c r="E686" i="40"/>
  <c r="F686" i="40"/>
  <c r="G686" i="40"/>
  <c r="B687" i="40"/>
  <c r="D687" i="40"/>
  <c r="E687" i="40"/>
  <c r="F687" i="40"/>
  <c r="G687" i="40"/>
  <c r="B688" i="40"/>
  <c r="D688" i="40"/>
  <c r="E688" i="40"/>
  <c r="F688" i="40"/>
  <c r="G688" i="40"/>
  <c r="B689" i="40"/>
  <c r="D689" i="40"/>
  <c r="E689" i="40"/>
  <c r="F689" i="40"/>
  <c r="G689" i="40"/>
  <c r="B690" i="40"/>
  <c r="D690" i="40"/>
  <c r="E690" i="40"/>
  <c r="F690" i="40"/>
  <c r="G690" i="40"/>
  <c r="B691" i="40"/>
  <c r="D691" i="40"/>
  <c r="E691" i="40"/>
  <c r="F691" i="40"/>
  <c r="G691" i="40"/>
  <c r="B692" i="40"/>
  <c r="D692" i="40"/>
  <c r="E692" i="40"/>
  <c r="F692" i="40"/>
  <c r="G692" i="40"/>
  <c r="B693" i="40"/>
  <c r="D693" i="40"/>
  <c r="E693" i="40"/>
  <c r="F693" i="40"/>
  <c r="G693" i="40"/>
  <c r="B694" i="40"/>
  <c r="D694" i="40"/>
  <c r="E694" i="40"/>
  <c r="F694" i="40"/>
  <c r="G694" i="40"/>
  <c r="B695" i="40"/>
  <c r="D695" i="40"/>
  <c r="E695" i="40"/>
  <c r="F695" i="40"/>
  <c r="G695" i="40"/>
  <c r="B696" i="40"/>
  <c r="D696" i="40"/>
  <c r="E696" i="40"/>
  <c r="F696" i="40"/>
  <c r="G696" i="40"/>
  <c r="B697" i="40"/>
  <c r="D697" i="40"/>
  <c r="E697" i="40"/>
  <c r="F697" i="40"/>
  <c r="G697" i="40"/>
  <c r="B698" i="40"/>
  <c r="D698" i="40"/>
  <c r="E698" i="40"/>
  <c r="F698" i="40"/>
  <c r="G698" i="40"/>
  <c r="B699" i="40"/>
  <c r="D699" i="40"/>
  <c r="E699" i="40"/>
  <c r="F699" i="40"/>
  <c r="G699" i="40"/>
  <c r="B700" i="40"/>
  <c r="D700" i="40"/>
  <c r="E700" i="40"/>
  <c r="F700" i="40"/>
  <c r="G700" i="40"/>
  <c r="B701" i="40"/>
  <c r="D701" i="40"/>
  <c r="E701" i="40"/>
  <c r="F701" i="40"/>
  <c r="G701" i="40"/>
  <c r="B702" i="40"/>
  <c r="D702" i="40"/>
  <c r="E702" i="40"/>
  <c r="F702" i="40"/>
  <c r="G702" i="40"/>
  <c r="B703" i="40"/>
  <c r="D703" i="40"/>
  <c r="E703" i="40"/>
  <c r="F703" i="40"/>
  <c r="G703" i="40"/>
  <c r="B704" i="40"/>
  <c r="D704" i="40"/>
  <c r="E704" i="40"/>
  <c r="F704" i="40"/>
  <c r="G704" i="40"/>
  <c r="B705" i="40"/>
  <c r="D705" i="40"/>
  <c r="E705" i="40"/>
  <c r="F705" i="40"/>
  <c r="G705" i="40"/>
  <c r="B706" i="40"/>
  <c r="D706" i="40"/>
  <c r="E706" i="40"/>
  <c r="F706" i="40"/>
  <c r="G706" i="40"/>
  <c r="B707" i="40"/>
  <c r="D707" i="40"/>
  <c r="E707" i="40"/>
  <c r="F707" i="40"/>
  <c r="G707" i="40"/>
  <c r="B708" i="40"/>
  <c r="D708" i="40"/>
  <c r="E708" i="40"/>
  <c r="F708" i="40"/>
  <c r="G708" i="40"/>
  <c r="B709" i="40"/>
  <c r="D709" i="40"/>
  <c r="E709" i="40"/>
  <c r="F709" i="40"/>
  <c r="G709" i="40"/>
  <c r="B710" i="40"/>
  <c r="D710" i="40"/>
  <c r="E710" i="40"/>
  <c r="F710" i="40"/>
  <c r="G710" i="40"/>
  <c r="B711" i="40"/>
  <c r="D711" i="40"/>
  <c r="E711" i="40"/>
  <c r="F711" i="40"/>
  <c r="G711" i="40"/>
  <c r="B712" i="40"/>
  <c r="D712" i="40"/>
  <c r="E712" i="40"/>
  <c r="F712" i="40"/>
  <c r="G712" i="40"/>
  <c r="B713" i="40"/>
  <c r="D713" i="40"/>
  <c r="E713" i="40"/>
  <c r="F713" i="40"/>
  <c r="G713" i="40"/>
  <c r="B714" i="40"/>
  <c r="D714" i="40"/>
  <c r="E714" i="40"/>
  <c r="F714" i="40"/>
  <c r="G714" i="40"/>
  <c r="B715" i="40"/>
  <c r="D715" i="40"/>
  <c r="E715" i="40"/>
  <c r="F715" i="40"/>
  <c r="G715" i="40"/>
  <c r="B716" i="40"/>
  <c r="D716" i="40"/>
  <c r="E716" i="40"/>
  <c r="F716" i="40"/>
  <c r="G716" i="40"/>
  <c r="B717" i="40"/>
  <c r="D717" i="40"/>
  <c r="E717" i="40"/>
  <c r="F717" i="40"/>
  <c r="G717" i="40"/>
  <c r="B718" i="40"/>
  <c r="D718" i="40"/>
  <c r="E718" i="40"/>
  <c r="F718" i="40"/>
  <c r="G718" i="40"/>
  <c r="B719" i="40"/>
  <c r="D719" i="40"/>
  <c r="E719" i="40"/>
  <c r="F719" i="40"/>
  <c r="G719" i="40"/>
  <c r="B720" i="40"/>
  <c r="D720" i="40"/>
  <c r="E720" i="40"/>
  <c r="F720" i="40"/>
  <c r="G720" i="40"/>
  <c r="B721" i="40"/>
  <c r="D721" i="40"/>
  <c r="E721" i="40"/>
  <c r="F721" i="40"/>
  <c r="G721" i="40"/>
  <c r="B722" i="40"/>
  <c r="D722" i="40"/>
  <c r="E722" i="40"/>
  <c r="F722" i="40"/>
  <c r="G722" i="40"/>
  <c r="B723" i="40"/>
  <c r="D723" i="40"/>
  <c r="E723" i="40"/>
  <c r="F723" i="40"/>
  <c r="G723" i="40"/>
  <c r="B724" i="40"/>
  <c r="D724" i="40"/>
  <c r="E724" i="40"/>
  <c r="F724" i="40"/>
  <c r="G724" i="40"/>
  <c r="B725" i="40"/>
  <c r="D725" i="40"/>
  <c r="E725" i="40"/>
  <c r="F725" i="40"/>
  <c r="G725" i="40"/>
  <c r="B726" i="40"/>
  <c r="D726" i="40"/>
  <c r="E726" i="40"/>
  <c r="F726" i="40"/>
  <c r="G726" i="40"/>
  <c r="B727" i="40"/>
  <c r="D727" i="40"/>
  <c r="E727" i="40"/>
  <c r="F727" i="40"/>
  <c r="G727" i="40"/>
  <c r="B728" i="40"/>
  <c r="D728" i="40"/>
  <c r="E728" i="40"/>
  <c r="F728" i="40"/>
  <c r="G728" i="40"/>
  <c r="B729" i="40"/>
  <c r="D729" i="40"/>
  <c r="E729" i="40"/>
  <c r="F729" i="40"/>
  <c r="G729" i="40"/>
  <c r="B730" i="40"/>
  <c r="D730" i="40"/>
  <c r="E730" i="40"/>
  <c r="F730" i="40"/>
  <c r="G730" i="40"/>
  <c r="B731" i="40"/>
  <c r="D731" i="40"/>
  <c r="E731" i="40"/>
  <c r="F731" i="40"/>
  <c r="G731" i="40"/>
  <c r="B732" i="40"/>
  <c r="D732" i="40"/>
  <c r="E732" i="40"/>
  <c r="F732" i="40"/>
  <c r="G732" i="40"/>
  <c r="B733" i="40"/>
  <c r="D733" i="40"/>
  <c r="E733" i="40"/>
  <c r="F733" i="40"/>
  <c r="G733" i="40"/>
  <c r="B734" i="40"/>
  <c r="D734" i="40"/>
  <c r="E734" i="40"/>
  <c r="F734" i="40"/>
  <c r="G734" i="40"/>
  <c r="B735" i="40"/>
  <c r="D735" i="40"/>
  <c r="E735" i="40"/>
  <c r="F735" i="40"/>
  <c r="G735" i="40"/>
  <c r="B736" i="40"/>
  <c r="D736" i="40"/>
  <c r="E736" i="40"/>
  <c r="F736" i="40"/>
  <c r="G736" i="40"/>
  <c r="B737" i="40"/>
  <c r="D737" i="40"/>
  <c r="E737" i="40"/>
  <c r="F737" i="40"/>
  <c r="G737" i="40"/>
  <c r="B738" i="40"/>
  <c r="D738" i="40"/>
  <c r="E738" i="40"/>
  <c r="F738" i="40"/>
  <c r="G738" i="40"/>
  <c r="B739" i="40"/>
  <c r="D739" i="40"/>
  <c r="E739" i="40"/>
  <c r="F739" i="40"/>
  <c r="G739" i="40"/>
  <c r="B740" i="40"/>
  <c r="D740" i="40"/>
  <c r="E740" i="40"/>
  <c r="F740" i="40"/>
  <c r="G740" i="40"/>
  <c r="B741" i="40"/>
  <c r="D741" i="40"/>
  <c r="E741" i="40"/>
  <c r="F741" i="40"/>
  <c r="G741" i="40"/>
  <c r="B742" i="40"/>
  <c r="D742" i="40"/>
  <c r="E742" i="40"/>
  <c r="F742" i="40"/>
  <c r="G742" i="40"/>
  <c r="B743" i="40"/>
  <c r="D743" i="40"/>
  <c r="E743" i="40"/>
  <c r="F743" i="40"/>
  <c r="G743" i="40"/>
  <c r="B744" i="40"/>
  <c r="D744" i="40"/>
  <c r="E744" i="40"/>
  <c r="F744" i="40"/>
  <c r="G744" i="40"/>
  <c r="B745" i="40"/>
  <c r="D745" i="40"/>
  <c r="E745" i="40"/>
  <c r="F745" i="40"/>
  <c r="G745" i="40"/>
  <c r="B746" i="40"/>
  <c r="D746" i="40"/>
  <c r="E746" i="40"/>
  <c r="F746" i="40"/>
  <c r="G746" i="40"/>
  <c r="B747" i="40"/>
  <c r="D747" i="40"/>
  <c r="E747" i="40"/>
  <c r="F747" i="40"/>
  <c r="G747" i="40"/>
  <c r="B748" i="40"/>
  <c r="D748" i="40"/>
  <c r="E748" i="40"/>
  <c r="F748" i="40"/>
  <c r="G748" i="40"/>
  <c r="B749" i="40"/>
  <c r="D749" i="40"/>
  <c r="E749" i="40"/>
  <c r="F749" i="40"/>
  <c r="G749" i="40"/>
  <c r="B750" i="40"/>
  <c r="D750" i="40"/>
  <c r="E750" i="40"/>
  <c r="F750" i="40"/>
  <c r="G750" i="40"/>
  <c r="B751" i="40"/>
  <c r="D751" i="40"/>
  <c r="E751" i="40"/>
  <c r="F751" i="40"/>
  <c r="G751" i="40"/>
  <c r="B752" i="40"/>
  <c r="D752" i="40"/>
  <c r="E752" i="40"/>
  <c r="F752" i="40"/>
  <c r="G752" i="40"/>
  <c r="B753" i="40"/>
  <c r="D753" i="40"/>
  <c r="E753" i="40"/>
  <c r="F753" i="40"/>
  <c r="G753" i="40"/>
  <c r="B754" i="40"/>
  <c r="D754" i="40"/>
  <c r="E754" i="40"/>
  <c r="F754" i="40"/>
  <c r="G754" i="40"/>
  <c r="B755" i="40"/>
  <c r="D755" i="40"/>
  <c r="E755" i="40"/>
  <c r="F755" i="40"/>
  <c r="G755" i="40"/>
  <c r="B756" i="40"/>
  <c r="D756" i="40"/>
  <c r="E756" i="40"/>
  <c r="F756" i="40"/>
  <c r="G756" i="40"/>
  <c r="B757" i="40"/>
  <c r="D757" i="40"/>
  <c r="E757" i="40"/>
  <c r="F757" i="40"/>
  <c r="G757" i="40"/>
  <c r="B758" i="40"/>
  <c r="D758" i="40"/>
  <c r="E758" i="40"/>
  <c r="F758" i="40"/>
  <c r="G758" i="40"/>
  <c r="B759" i="40"/>
  <c r="D759" i="40"/>
  <c r="E759" i="40"/>
  <c r="F759" i="40"/>
  <c r="G759" i="40"/>
  <c r="B760" i="40"/>
  <c r="D760" i="40"/>
  <c r="E760" i="40"/>
  <c r="F760" i="40"/>
  <c r="G760" i="40"/>
  <c r="B761" i="40"/>
  <c r="D761" i="40"/>
  <c r="E761" i="40"/>
  <c r="F761" i="40"/>
  <c r="G761" i="40"/>
  <c r="B762" i="40"/>
  <c r="D762" i="40"/>
  <c r="E762" i="40"/>
  <c r="F762" i="40"/>
  <c r="G762" i="40"/>
  <c r="B763" i="40"/>
  <c r="D763" i="40"/>
  <c r="E763" i="40"/>
  <c r="F763" i="40"/>
  <c r="G763" i="40"/>
  <c r="B764" i="40"/>
  <c r="D764" i="40"/>
  <c r="E764" i="40"/>
  <c r="F764" i="40"/>
  <c r="G764" i="40"/>
  <c r="B765" i="40"/>
  <c r="D765" i="40"/>
  <c r="E765" i="40"/>
  <c r="F765" i="40"/>
  <c r="G765" i="40"/>
  <c r="B766" i="40"/>
  <c r="D766" i="40"/>
  <c r="E766" i="40"/>
  <c r="F766" i="40"/>
  <c r="G766" i="40"/>
  <c r="B767" i="40"/>
  <c r="D767" i="40"/>
  <c r="E767" i="40"/>
  <c r="F767" i="40"/>
  <c r="G767" i="40"/>
  <c r="B768" i="40"/>
  <c r="D768" i="40"/>
  <c r="E768" i="40"/>
  <c r="F768" i="40"/>
  <c r="G768" i="40"/>
  <c r="B769" i="40"/>
  <c r="D769" i="40"/>
  <c r="E769" i="40"/>
  <c r="F769" i="40"/>
  <c r="G769" i="40"/>
  <c r="B770" i="40"/>
  <c r="D770" i="40"/>
  <c r="E770" i="40"/>
  <c r="F770" i="40"/>
  <c r="G770" i="40"/>
  <c r="B771" i="40"/>
  <c r="D771" i="40"/>
  <c r="E771" i="40"/>
  <c r="F771" i="40"/>
  <c r="G771" i="40"/>
  <c r="B772" i="40"/>
  <c r="D772" i="40"/>
  <c r="E772" i="40"/>
  <c r="F772" i="40"/>
  <c r="G772" i="40"/>
  <c r="B773" i="40"/>
  <c r="D773" i="40"/>
  <c r="E773" i="40"/>
  <c r="F773" i="40"/>
  <c r="G773" i="40"/>
  <c r="B774" i="40"/>
  <c r="D774" i="40"/>
  <c r="E774" i="40"/>
  <c r="F774" i="40"/>
  <c r="G774" i="40"/>
  <c r="B775" i="40"/>
  <c r="D775" i="40"/>
  <c r="E775" i="40"/>
  <c r="F775" i="40"/>
  <c r="G775" i="40"/>
  <c r="B776" i="40"/>
  <c r="D776" i="40"/>
  <c r="E776" i="40"/>
  <c r="F776" i="40"/>
  <c r="G776" i="40"/>
  <c r="B777" i="40"/>
  <c r="D777" i="40"/>
  <c r="E777" i="40"/>
  <c r="F777" i="40"/>
  <c r="G777" i="40"/>
  <c r="B778" i="40"/>
  <c r="D778" i="40"/>
  <c r="E778" i="40"/>
  <c r="F778" i="40"/>
  <c r="G778" i="40"/>
  <c r="B779" i="40"/>
  <c r="D779" i="40"/>
  <c r="E779" i="40"/>
  <c r="F779" i="40"/>
  <c r="G779" i="40"/>
  <c r="B780" i="40"/>
  <c r="D780" i="40"/>
  <c r="E780" i="40"/>
  <c r="F780" i="40"/>
  <c r="G780" i="40"/>
  <c r="B781" i="40"/>
  <c r="D781" i="40"/>
  <c r="E781" i="40"/>
  <c r="F781" i="40"/>
  <c r="G781" i="40"/>
  <c r="B782" i="40"/>
  <c r="D782" i="40"/>
  <c r="E782" i="40"/>
  <c r="F782" i="40"/>
  <c r="G782" i="40"/>
  <c r="B783" i="40"/>
  <c r="D783" i="40"/>
  <c r="E783" i="40"/>
  <c r="F783" i="40"/>
  <c r="G783" i="40"/>
  <c r="B784" i="40"/>
  <c r="D784" i="40"/>
  <c r="E784" i="40"/>
  <c r="F784" i="40"/>
  <c r="G784" i="40"/>
  <c r="B785" i="40"/>
  <c r="D785" i="40"/>
  <c r="E785" i="40"/>
  <c r="F785" i="40"/>
  <c r="G785" i="40"/>
  <c r="B786" i="40"/>
  <c r="D786" i="40"/>
  <c r="E786" i="40"/>
  <c r="F786" i="40"/>
  <c r="G786" i="40"/>
  <c r="B787" i="40"/>
  <c r="D787" i="40"/>
  <c r="E787" i="40"/>
  <c r="F787" i="40"/>
  <c r="G787" i="40"/>
  <c r="B788" i="40"/>
  <c r="D788" i="40"/>
  <c r="E788" i="40"/>
  <c r="F788" i="40"/>
  <c r="G788" i="40"/>
  <c r="B789" i="40"/>
  <c r="D789" i="40"/>
  <c r="E789" i="40"/>
  <c r="F789" i="40"/>
  <c r="G789" i="40"/>
  <c r="B790" i="40"/>
  <c r="D790" i="40"/>
  <c r="E790" i="40"/>
  <c r="F790" i="40"/>
  <c r="G790" i="40"/>
  <c r="B791" i="40"/>
  <c r="D791" i="40"/>
  <c r="E791" i="40"/>
  <c r="F791" i="40"/>
  <c r="G791" i="40"/>
  <c r="B792" i="40"/>
  <c r="D792" i="40"/>
  <c r="E792" i="40"/>
  <c r="F792" i="40"/>
  <c r="G792" i="40"/>
  <c r="B793" i="40"/>
  <c r="D793" i="40"/>
  <c r="E793" i="40"/>
  <c r="F793" i="40"/>
  <c r="G793" i="40"/>
  <c r="B794" i="40"/>
  <c r="D794" i="40"/>
  <c r="E794" i="40"/>
  <c r="F794" i="40"/>
  <c r="G794" i="40"/>
  <c r="B795" i="40"/>
  <c r="D795" i="40"/>
  <c r="E795" i="40"/>
  <c r="F795" i="40"/>
  <c r="G795" i="40"/>
  <c r="B506" i="65"/>
  <c r="G506" i="65"/>
  <c r="H506" i="65"/>
  <c r="I506" i="65"/>
  <c r="K506" i="65" s="1"/>
  <c r="J506" i="65"/>
  <c r="B507" i="65"/>
  <c r="G507" i="65"/>
  <c r="H507" i="65"/>
  <c r="I507" i="65"/>
  <c r="K507" i="65" s="1"/>
  <c r="J507" i="65"/>
  <c r="M507" i="65"/>
  <c r="N507" i="65" s="1"/>
  <c r="B508" i="65"/>
  <c r="G508" i="65"/>
  <c r="H508" i="65"/>
  <c r="I508" i="65"/>
  <c r="K508" i="65" s="1"/>
  <c r="J508" i="65"/>
  <c r="M508" i="65"/>
  <c r="N508" i="65" s="1"/>
  <c r="B509" i="65"/>
  <c r="G509" i="65"/>
  <c r="H509" i="65"/>
  <c r="I509" i="65"/>
  <c r="K509" i="65" s="1"/>
  <c r="J509" i="65"/>
  <c r="B510" i="65"/>
  <c r="G510" i="65"/>
  <c r="H510" i="65"/>
  <c r="I510" i="65"/>
  <c r="K510" i="65" s="1"/>
  <c r="J510" i="65"/>
  <c r="B511" i="65"/>
  <c r="G511" i="65"/>
  <c r="H511" i="65"/>
  <c r="I511" i="65"/>
  <c r="K511" i="65" s="1"/>
  <c r="J511" i="65"/>
  <c r="B512" i="65"/>
  <c r="G512" i="65"/>
  <c r="H512" i="65"/>
  <c r="I512" i="65"/>
  <c r="K512" i="65" s="1"/>
  <c r="J512" i="65"/>
  <c r="B513" i="65"/>
  <c r="G513" i="65"/>
  <c r="H513" i="65"/>
  <c r="I513" i="65"/>
  <c r="M513" i="65" s="1"/>
  <c r="J513" i="65"/>
  <c r="K513" i="65"/>
  <c r="B514" i="65"/>
  <c r="G514" i="65"/>
  <c r="H514" i="65"/>
  <c r="I514" i="65"/>
  <c r="J514" i="65"/>
  <c r="B515" i="65"/>
  <c r="G515" i="65"/>
  <c r="H515" i="65"/>
  <c r="I515" i="65"/>
  <c r="K515" i="65" s="1"/>
  <c r="J515" i="65"/>
  <c r="M515" i="65"/>
  <c r="B516" i="65"/>
  <c r="G516" i="65"/>
  <c r="H516" i="65"/>
  <c r="I516" i="65"/>
  <c r="K516" i="65" s="1"/>
  <c r="J516" i="65"/>
  <c r="B517" i="65"/>
  <c r="G517" i="65"/>
  <c r="H517" i="65"/>
  <c r="I517" i="65"/>
  <c r="K517" i="65" s="1"/>
  <c r="J517" i="65"/>
  <c r="B518" i="65"/>
  <c r="G518" i="65"/>
  <c r="H518" i="65"/>
  <c r="I518" i="65"/>
  <c r="K518" i="65" s="1"/>
  <c r="J518" i="65"/>
  <c r="M518" i="65"/>
  <c r="B519" i="65"/>
  <c r="G519" i="65"/>
  <c r="H519" i="65"/>
  <c r="I519" i="65"/>
  <c r="K519" i="65" s="1"/>
  <c r="J519" i="65"/>
  <c r="B520" i="65"/>
  <c r="G520" i="65"/>
  <c r="H520" i="65"/>
  <c r="I520" i="65"/>
  <c r="K520" i="65" s="1"/>
  <c r="J520" i="65"/>
  <c r="M520" i="65"/>
  <c r="B521" i="65"/>
  <c r="G521" i="65"/>
  <c r="H521" i="65"/>
  <c r="I521" i="65"/>
  <c r="K521" i="65" s="1"/>
  <c r="J521" i="65"/>
  <c r="B491" i="65"/>
  <c r="G491" i="65"/>
  <c r="H491" i="65"/>
  <c r="I491" i="65"/>
  <c r="K491" i="65" s="1"/>
  <c r="J491" i="65"/>
  <c r="B492" i="65"/>
  <c r="G492" i="65"/>
  <c r="H492" i="65"/>
  <c r="I492" i="65"/>
  <c r="K492" i="65" s="1"/>
  <c r="J492" i="65"/>
  <c r="B493" i="65"/>
  <c r="G493" i="65"/>
  <c r="H493" i="65"/>
  <c r="I493" i="65"/>
  <c r="J493" i="65"/>
  <c r="B494" i="65"/>
  <c r="G494" i="65"/>
  <c r="H494" i="65"/>
  <c r="I494" i="65"/>
  <c r="M494" i="65" s="1"/>
  <c r="J494" i="65"/>
  <c r="K494" i="65"/>
  <c r="B495" i="65"/>
  <c r="G495" i="65"/>
  <c r="H495" i="65"/>
  <c r="I495" i="65"/>
  <c r="J495" i="65"/>
  <c r="B496" i="65"/>
  <c r="G496" i="65"/>
  <c r="H496" i="65"/>
  <c r="I496" i="65"/>
  <c r="J496" i="65"/>
  <c r="B497" i="65"/>
  <c r="G497" i="65"/>
  <c r="H497" i="65"/>
  <c r="I497" i="65"/>
  <c r="K497" i="65" s="1"/>
  <c r="J497" i="65"/>
  <c r="B498" i="65"/>
  <c r="G498" i="65"/>
  <c r="H498" i="65"/>
  <c r="I498" i="65"/>
  <c r="M498" i="65" s="1"/>
  <c r="J498" i="65"/>
  <c r="B499" i="65"/>
  <c r="G499" i="65"/>
  <c r="H499" i="65"/>
  <c r="I499" i="65"/>
  <c r="K499" i="65" s="1"/>
  <c r="J499" i="65"/>
  <c r="B500" i="65"/>
  <c r="G500" i="65"/>
  <c r="H500" i="65"/>
  <c r="I500" i="65"/>
  <c r="J500" i="65"/>
  <c r="B501" i="65"/>
  <c r="G501" i="65"/>
  <c r="H501" i="65"/>
  <c r="I501" i="65"/>
  <c r="K501" i="65" s="1"/>
  <c r="J501" i="65"/>
  <c r="B502" i="65"/>
  <c r="G502" i="65"/>
  <c r="H502" i="65"/>
  <c r="I502" i="65"/>
  <c r="J502" i="65"/>
  <c r="B503" i="65"/>
  <c r="G503" i="65"/>
  <c r="H503" i="65"/>
  <c r="I503" i="65"/>
  <c r="K503" i="65" s="1"/>
  <c r="J503" i="65"/>
  <c r="B504" i="65"/>
  <c r="G504" i="65"/>
  <c r="H504" i="65"/>
  <c r="I504" i="65"/>
  <c r="K504" i="65" s="1"/>
  <c r="J504" i="65"/>
  <c r="B505" i="65"/>
  <c r="G505" i="65"/>
  <c r="H505" i="65"/>
  <c r="I505" i="65"/>
  <c r="M505" i="65" s="1"/>
  <c r="J505" i="65"/>
  <c r="B384" i="65"/>
  <c r="G384" i="65"/>
  <c r="H384" i="65"/>
  <c r="I384" i="65"/>
  <c r="K384" i="65" s="1"/>
  <c r="J384" i="65"/>
  <c r="B385" i="65"/>
  <c r="G385" i="65"/>
  <c r="H385" i="65"/>
  <c r="I385" i="65"/>
  <c r="M385" i="65" s="1"/>
  <c r="J385" i="65"/>
  <c r="K385" i="65"/>
  <c r="B386" i="65"/>
  <c r="G386" i="65"/>
  <c r="H386" i="65"/>
  <c r="I386" i="65"/>
  <c r="J386" i="65"/>
  <c r="B387" i="65"/>
  <c r="G387" i="65"/>
  <c r="H387" i="65"/>
  <c r="I387" i="65"/>
  <c r="K387" i="65" s="1"/>
  <c r="J387" i="65"/>
  <c r="M387" i="65"/>
  <c r="B388" i="65"/>
  <c r="G388" i="65"/>
  <c r="H388" i="65"/>
  <c r="I388" i="65"/>
  <c r="K388" i="65" s="1"/>
  <c r="J388" i="65"/>
  <c r="B389" i="65"/>
  <c r="G389" i="65"/>
  <c r="H389" i="65"/>
  <c r="I389" i="65"/>
  <c r="J389" i="65"/>
  <c r="B390" i="65"/>
  <c r="G390" i="65"/>
  <c r="H390" i="65"/>
  <c r="I390" i="65"/>
  <c r="K390" i="65" s="1"/>
  <c r="J390" i="65"/>
  <c r="B391" i="65"/>
  <c r="G391" i="65"/>
  <c r="H391" i="65"/>
  <c r="I391" i="65"/>
  <c r="M391" i="65" s="1"/>
  <c r="J391" i="65"/>
  <c r="B392" i="65"/>
  <c r="G392" i="65"/>
  <c r="H392" i="65"/>
  <c r="I392" i="65"/>
  <c r="K392" i="65" s="1"/>
  <c r="J392" i="65"/>
  <c r="B393" i="65"/>
  <c r="G393" i="65"/>
  <c r="H393" i="65"/>
  <c r="I393" i="65"/>
  <c r="J393" i="65"/>
  <c r="B394" i="65"/>
  <c r="G394" i="65"/>
  <c r="H394" i="65"/>
  <c r="I394" i="65"/>
  <c r="K394" i="65" s="1"/>
  <c r="J394" i="65"/>
  <c r="B395" i="65"/>
  <c r="G395" i="65"/>
  <c r="H395" i="65"/>
  <c r="I395" i="65"/>
  <c r="J395" i="65"/>
  <c r="B396" i="65"/>
  <c r="G396" i="65"/>
  <c r="H396" i="65"/>
  <c r="I396" i="65"/>
  <c r="K396" i="65" s="1"/>
  <c r="J396" i="65"/>
  <c r="M396" i="65"/>
  <c r="AL396" i="65" s="1"/>
  <c r="B397" i="65"/>
  <c r="G397" i="65"/>
  <c r="H397" i="65"/>
  <c r="I397" i="65"/>
  <c r="M397" i="65" s="1"/>
  <c r="J397" i="65"/>
  <c r="B398" i="65"/>
  <c r="G398" i="65"/>
  <c r="H398" i="65"/>
  <c r="I398" i="65"/>
  <c r="J398" i="65"/>
  <c r="B399" i="65"/>
  <c r="G399" i="65"/>
  <c r="H399" i="65"/>
  <c r="I399" i="65"/>
  <c r="J399" i="65"/>
  <c r="B400" i="65"/>
  <c r="G400" i="65"/>
  <c r="H400" i="65"/>
  <c r="I400" i="65"/>
  <c r="J400" i="65"/>
  <c r="B401" i="65"/>
  <c r="G401" i="65"/>
  <c r="H401" i="65"/>
  <c r="I401" i="65"/>
  <c r="J401" i="65"/>
  <c r="B402" i="65"/>
  <c r="G402" i="65"/>
  <c r="H402" i="65"/>
  <c r="I402" i="65"/>
  <c r="J402" i="65"/>
  <c r="B403" i="65"/>
  <c r="G403" i="65"/>
  <c r="H403" i="65"/>
  <c r="I403" i="65"/>
  <c r="M403" i="65" s="1"/>
  <c r="J403" i="65"/>
  <c r="B404" i="65"/>
  <c r="G404" i="65"/>
  <c r="H404" i="65"/>
  <c r="I404" i="65"/>
  <c r="J404" i="65"/>
  <c r="B405" i="65"/>
  <c r="G405" i="65"/>
  <c r="H405" i="65"/>
  <c r="I405" i="65"/>
  <c r="K405" i="65" s="1"/>
  <c r="J405" i="65"/>
  <c r="M405" i="65"/>
  <c r="B406" i="65"/>
  <c r="G406" i="65"/>
  <c r="H406" i="65"/>
  <c r="I406" i="65"/>
  <c r="K406" i="65" s="1"/>
  <c r="J406" i="65"/>
  <c r="B407" i="65"/>
  <c r="G407" i="65"/>
  <c r="H407" i="65"/>
  <c r="I407" i="65"/>
  <c r="M407" i="65" s="1"/>
  <c r="J407" i="65"/>
  <c r="K407" i="65"/>
  <c r="B408" i="65"/>
  <c r="G408" i="65"/>
  <c r="H408" i="65"/>
  <c r="I408" i="65"/>
  <c r="K408" i="65" s="1"/>
  <c r="J408" i="65"/>
  <c r="B409" i="65"/>
  <c r="G409" i="65"/>
  <c r="H409" i="65"/>
  <c r="I409" i="65"/>
  <c r="J409" i="65"/>
  <c r="B410" i="65"/>
  <c r="G410" i="65"/>
  <c r="H410" i="65"/>
  <c r="I410" i="65"/>
  <c r="K410" i="65" s="1"/>
  <c r="J410" i="65"/>
  <c r="B411" i="65"/>
  <c r="G411" i="65"/>
  <c r="H411" i="65"/>
  <c r="I411" i="65"/>
  <c r="M411" i="65" s="1"/>
  <c r="J411" i="65"/>
  <c r="B412" i="65"/>
  <c r="G412" i="65"/>
  <c r="H412" i="65"/>
  <c r="I412" i="65"/>
  <c r="K412" i="65" s="1"/>
  <c r="J412" i="65"/>
  <c r="B413" i="65"/>
  <c r="G413" i="65"/>
  <c r="H413" i="65"/>
  <c r="I413" i="65"/>
  <c r="K413" i="65" s="1"/>
  <c r="J413" i="65"/>
  <c r="B414" i="65"/>
  <c r="G414" i="65"/>
  <c r="H414" i="65"/>
  <c r="I414" i="65"/>
  <c r="K414" i="65" s="1"/>
  <c r="J414" i="65"/>
  <c r="B415" i="65"/>
  <c r="G415" i="65"/>
  <c r="H415" i="65"/>
  <c r="I415" i="65"/>
  <c r="M415" i="65" s="1"/>
  <c r="J415" i="65"/>
  <c r="K415" i="65"/>
  <c r="B416" i="65"/>
  <c r="G416" i="65"/>
  <c r="H416" i="65"/>
  <c r="I416" i="65"/>
  <c r="J416" i="65"/>
  <c r="B417" i="65"/>
  <c r="G417" i="65"/>
  <c r="H417" i="65"/>
  <c r="I417" i="65"/>
  <c r="J417" i="65"/>
  <c r="B418" i="65"/>
  <c r="G418" i="65"/>
  <c r="H418" i="65"/>
  <c r="I418" i="65"/>
  <c r="J418" i="65"/>
  <c r="B419" i="65"/>
  <c r="G419" i="65"/>
  <c r="H419" i="65"/>
  <c r="I419" i="65"/>
  <c r="M419" i="65" s="1"/>
  <c r="J419" i="65"/>
  <c r="K419" i="65"/>
  <c r="B420" i="65"/>
  <c r="G420" i="65"/>
  <c r="H420" i="65"/>
  <c r="I420" i="65"/>
  <c r="J420" i="65"/>
  <c r="B421" i="65"/>
  <c r="G421" i="65"/>
  <c r="H421" i="65"/>
  <c r="I421" i="65"/>
  <c r="K421" i="65" s="1"/>
  <c r="J421" i="65"/>
  <c r="B422" i="65"/>
  <c r="G422" i="65"/>
  <c r="H422" i="65"/>
  <c r="I422" i="65"/>
  <c r="J422" i="65"/>
  <c r="B423" i="65"/>
  <c r="G423" i="65"/>
  <c r="H423" i="65"/>
  <c r="I423" i="65"/>
  <c r="J423" i="65"/>
  <c r="B424" i="65"/>
  <c r="G424" i="65"/>
  <c r="H424" i="65"/>
  <c r="I424" i="65"/>
  <c r="M424" i="65" s="1"/>
  <c r="J424" i="65"/>
  <c r="B425" i="65"/>
  <c r="G425" i="65"/>
  <c r="H425" i="65"/>
  <c r="I425" i="65"/>
  <c r="J425" i="65"/>
  <c r="B426" i="65"/>
  <c r="G426" i="65"/>
  <c r="H426" i="65"/>
  <c r="I426" i="65"/>
  <c r="M426" i="65" s="1"/>
  <c r="J426" i="65"/>
  <c r="K426" i="65"/>
  <c r="B427" i="65"/>
  <c r="G427" i="65"/>
  <c r="H427" i="65"/>
  <c r="I427" i="65"/>
  <c r="K427" i="65" s="1"/>
  <c r="J427" i="65"/>
  <c r="B428" i="65"/>
  <c r="G428" i="65"/>
  <c r="H428" i="65"/>
  <c r="I428" i="65"/>
  <c r="K428" i="65" s="1"/>
  <c r="J428" i="65"/>
  <c r="M428" i="65"/>
  <c r="B429" i="65"/>
  <c r="G429" i="65"/>
  <c r="H429" i="65"/>
  <c r="I429" i="65"/>
  <c r="J429" i="65"/>
  <c r="B430" i="65"/>
  <c r="G430" i="65"/>
  <c r="H430" i="65"/>
  <c r="I430" i="65"/>
  <c r="M430" i="65" s="1"/>
  <c r="J430" i="65"/>
  <c r="K430" i="65"/>
  <c r="B431" i="65"/>
  <c r="G431" i="65"/>
  <c r="H431" i="65"/>
  <c r="I431" i="65"/>
  <c r="K431" i="65" s="1"/>
  <c r="J431" i="65"/>
  <c r="B432" i="65"/>
  <c r="G432" i="65"/>
  <c r="H432" i="65"/>
  <c r="I432" i="65"/>
  <c r="J432" i="65"/>
  <c r="B433" i="65"/>
  <c r="G433" i="65"/>
  <c r="H433" i="65"/>
  <c r="I433" i="65"/>
  <c r="K433" i="65" s="1"/>
  <c r="J433" i="65"/>
  <c r="M433" i="65"/>
  <c r="AK433" i="65" s="1"/>
  <c r="B434" i="65"/>
  <c r="G434" i="65"/>
  <c r="H434" i="65"/>
  <c r="I434" i="65"/>
  <c r="K434" i="65" s="1"/>
  <c r="J434" i="65"/>
  <c r="B435" i="65"/>
  <c r="G435" i="65"/>
  <c r="H435" i="65"/>
  <c r="I435" i="65"/>
  <c r="K435" i="65" s="1"/>
  <c r="J435" i="65"/>
  <c r="B436" i="65"/>
  <c r="G436" i="65"/>
  <c r="H436" i="65"/>
  <c r="I436" i="65"/>
  <c r="K436" i="65" s="1"/>
  <c r="J436" i="65"/>
  <c r="M436" i="65"/>
  <c r="AJ436" i="65" s="1"/>
  <c r="B437" i="65"/>
  <c r="G437" i="65"/>
  <c r="H437" i="65"/>
  <c r="I437" i="65"/>
  <c r="K437" i="65" s="1"/>
  <c r="J437" i="65"/>
  <c r="M437" i="65"/>
  <c r="B438" i="65"/>
  <c r="G438" i="65"/>
  <c r="H438" i="65"/>
  <c r="I438" i="65"/>
  <c r="J438" i="65"/>
  <c r="B439" i="65"/>
  <c r="G439" i="65"/>
  <c r="H439" i="65"/>
  <c r="I439" i="65"/>
  <c r="J439" i="65"/>
  <c r="B440" i="65"/>
  <c r="G440" i="65"/>
  <c r="H440" i="65"/>
  <c r="I440" i="65"/>
  <c r="J440" i="65"/>
  <c r="B441" i="65"/>
  <c r="G441" i="65"/>
  <c r="H441" i="65"/>
  <c r="I441" i="65"/>
  <c r="M441" i="65" s="1"/>
  <c r="J441" i="65"/>
  <c r="AI441" i="65"/>
  <c r="B442" i="65"/>
  <c r="G442" i="65"/>
  <c r="AK442" i="65" s="1"/>
  <c r="H442" i="65"/>
  <c r="I442" i="65"/>
  <c r="M442" i="65" s="1"/>
  <c r="J442" i="65"/>
  <c r="K442" i="65"/>
  <c r="B443" i="65"/>
  <c r="G443" i="65"/>
  <c r="H443" i="65"/>
  <c r="I443" i="65"/>
  <c r="M443" i="65" s="1"/>
  <c r="J443" i="65"/>
  <c r="B444" i="65"/>
  <c r="G444" i="65"/>
  <c r="H444" i="65"/>
  <c r="I444" i="65"/>
  <c r="J444" i="65"/>
  <c r="B445" i="65"/>
  <c r="G445" i="65"/>
  <c r="H445" i="65"/>
  <c r="I445" i="65"/>
  <c r="M445" i="65" s="1"/>
  <c r="J445" i="65"/>
  <c r="B446" i="65"/>
  <c r="G446" i="65"/>
  <c r="H446" i="65"/>
  <c r="I446" i="65"/>
  <c r="J446" i="65"/>
  <c r="B447" i="65"/>
  <c r="G447" i="65"/>
  <c r="H447" i="65"/>
  <c r="I447" i="65"/>
  <c r="J447" i="65"/>
  <c r="B448" i="65"/>
  <c r="G448" i="65"/>
  <c r="H448" i="65"/>
  <c r="I448" i="65"/>
  <c r="J448" i="65"/>
  <c r="B449" i="65"/>
  <c r="G449" i="65"/>
  <c r="H449" i="65"/>
  <c r="I449" i="65"/>
  <c r="M449" i="65" s="1"/>
  <c r="J449" i="65"/>
  <c r="B450" i="65"/>
  <c r="G450" i="65"/>
  <c r="H450" i="65"/>
  <c r="I450" i="65"/>
  <c r="J450" i="65"/>
  <c r="B451" i="65"/>
  <c r="G451" i="65"/>
  <c r="H451" i="65"/>
  <c r="I451" i="65"/>
  <c r="J451" i="65"/>
  <c r="B452" i="65"/>
  <c r="G452" i="65"/>
  <c r="H452" i="65"/>
  <c r="I452" i="65"/>
  <c r="K452" i="65" s="1"/>
  <c r="J452" i="65"/>
  <c r="B453" i="65"/>
  <c r="G453" i="65"/>
  <c r="H453" i="65"/>
  <c r="I453" i="65"/>
  <c r="J453" i="65"/>
  <c r="B454" i="65"/>
  <c r="G454" i="65"/>
  <c r="H454" i="65"/>
  <c r="I454" i="65"/>
  <c r="J454" i="65"/>
  <c r="K454" i="65"/>
  <c r="M454" i="65"/>
  <c r="B455" i="65"/>
  <c r="G455" i="65"/>
  <c r="H455" i="65"/>
  <c r="I455" i="65"/>
  <c r="J455" i="65"/>
  <c r="B456" i="65"/>
  <c r="G456" i="65"/>
  <c r="H456" i="65"/>
  <c r="I456" i="65"/>
  <c r="J456" i="65"/>
  <c r="B457" i="65"/>
  <c r="G457" i="65"/>
  <c r="H457" i="65"/>
  <c r="I457" i="65"/>
  <c r="J457" i="65"/>
  <c r="B458" i="65"/>
  <c r="G458" i="65"/>
  <c r="H458" i="65"/>
  <c r="I458" i="65"/>
  <c r="K458" i="65" s="1"/>
  <c r="J458" i="65"/>
  <c r="B459" i="65"/>
  <c r="G459" i="65"/>
  <c r="H459" i="65"/>
  <c r="I459" i="65"/>
  <c r="J459" i="65"/>
  <c r="B460" i="65"/>
  <c r="G460" i="65"/>
  <c r="H460" i="65"/>
  <c r="I460" i="65"/>
  <c r="J460" i="65"/>
  <c r="B461" i="65"/>
  <c r="G461" i="65"/>
  <c r="H461" i="65"/>
  <c r="I461" i="65"/>
  <c r="J461" i="65"/>
  <c r="B462" i="65"/>
  <c r="G462" i="65"/>
  <c r="H462" i="65"/>
  <c r="I462" i="65"/>
  <c r="J462" i="65"/>
  <c r="K462" i="65"/>
  <c r="M462" i="65"/>
  <c r="B463" i="65"/>
  <c r="G463" i="65"/>
  <c r="H463" i="65"/>
  <c r="I463" i="65"/>
  <c r="J463" i="65"/>
  <c r="B464" i="65"/>
  <c r="G464" i="65"/>
  <c r="H464" i="65"/>
  <c r="I464" i="65"/>
  <c r="K464" i="65" s="1"/>
  <c r="J464" i="65"/>
  <c r="B465" i="65"/>
  <c r="G465" i="65"/>
  <c r="H465" i="65"/>
  <c r="I465" i="65"/>
  <c r="J465" i="65"/>
  <c r="B466" i="65"/>
  <c r="G466" i="65"/>
  <c r="H466" i="65"/>
  <c r="I466" i="65"/>
  <c r="M466" i="65" s="1"/>
  <c r="J466" i="65"/>
  <c r="K466" i="65"/>
  <c r="B467" i="65"/>
  <c r="G467" i="65"/>
  <c r="H467" i="65"/>
  <c r="I467" i="65"/>
  <c r="J467" i="65"/>
  <c r="B468" i="65"/>
  <c r="G468" i="65"/>
  <c r="H468" i="65"/>
  <c r="I468" i="65"/>
  <c r="K468" i="65" s="1"/>
  <c r="J468" i="65"/>
  <c r="M468" i="65"/>
  <c r="B469" i="65"/>
  <c r="G469" i="65"/>
  <c r="H469" i="65"/>
  <c r="I469" i="65"/>
  <c r="J469" i="65"/>
  <c r="B470" i="65"/>
  <c r="G470" i="65"/>
  <c r="H470" i="65"/>
  <c r="I470" i="65"/>
  <c r="K470" i="65" s="1"/>
  <c r="J470" i="65"/>
  <c r="B471" i="65"/>
  <c r="G471" i="65"/>
  <c r="H471" i="65"/>
  <c r="I471" i="65"/>
  <c r="J471" i="65"/>
  <c r="B472" i="65"/>
  <c r="G472" i="65"/>
  <c r="H472" i="65"/>
  <c r="I472" i="65"/>
  <c r="K472" i="65" s="1"/>
  <c r="J472" i="65"/>
  <c r="M472" i="65"/>
  <c r="B473" i="65"/>
  <c r="G473" i="65"/>
  <c r="H473" i="65"/>
  <c r="I473" i="65"/>
  <c r="J473" i="65"/>
  <c r="B474" i="65"/>
  <c r="G474" i="65"/>
  <c r="H474" i="65"/>
  <c r="I474" i="65"/>
  <c r="K474" i="65" s="1"/>
  <c r="J474" i="65"/>
  <c r="M474" i="65"/>
  <c r="AJ474" i="65" s="1"/>
  <c r="B475" i="65"/>
  <c r="G475" i="65"/>
  <c r="H475" i="65"/>
  <c r="I475" i="65"/>
  <c r="J475" i="65"/>
  <c r="B476" i="65"/>
  <c r="G476" i="65"/>
  <c r="H476" i="65"/>
  <c r="I476" i="65"/>
  <c r="J476" i="65"/>
  <c r="B477" i="65"/>
  <c r="G477" i="65"/>
  <c r="H477" i="65"/>
  <c r="I477" i="65"/>
  <c r="K477" i="65" s="1"/>
  <c r="J477" i="65"/>
  <c r="M477" i="65"/>
  <c r="B478" i="65"/>
  <c r="G478" i="65"/>
  <c r="H478" i="65"/>
  <c r="I478" i="65"/>
  <c r="M478" i="65" s="1"/>
  <c r="J478" i="65"/>
  <c r="K478" i="65"/>
  <c r="B479" i="65"/>
  <c r="G479" i="65"/>
  <c r="H479" i="65"/>
  <c r="I479" i="65"/>
  <c r="K479" i="65" s="1"/>
  <c r="J479" i="65"/>
  <c r="B480" i="65"/>
  <c r="G480" i="65"/>
  <c r="H480" i="65"/>
  <c r="I480" i="65"/>
  <c r="J480" i="65"/>
  <c r="B481" i="65"/>
  <c r="G481" i="65"/>
  <c r="H481" i="65"/>
  <c r="I481" i="65"/>
  <c r="J481" i="65"/>
  <c r="B482" i="65"/>
  <c r="G482" i="65"/>
  <c r="H482" i="65"/>
  <c r="I482" i="65"/>
  <c r="M482" i="65" s="1"/>
  <c r="J482" i="65"/>
  <c r="B483" i="65"/>
  <c r="G483" i="65"/>
  <c r="H483" i="65"/>
  <c r="I483" i="65"/>
  <c r="K483" i="65" s="1"/>
  <c r="J483" i="65"/>
  <c r="B484" i="65"/>
  <c r="G484" i="65"/>
  <c r="H484" i="65"/>
  <c r="I484" i="65"/>
  <c r="M484" i="65" s="1"/>
  <c r="J484" i="65"/>
  <c r="K484" i="65"/>
  <c r="B485" i="65"/>
  <c r="G485" i="65"/>
  <c r="H485" i="65"/>
  <c r="I485" i="65"/>
  <c r="K485" i="65" s="1"/>
  <c r="J485" i="65"/>
  <c r="B486" i="65"/>
  <c r="G486" i="65"/>
  <c r="H486" i="65"/>
  <c r="I486" i="65"/>
  <c r="K486" i="65" s="1"/>
  <c r="J486" i="65"/>
  <c r="B487" i="65"/>
  <c r="G487" i="65"/>
  <c r="H487" i="65"/>
  <c r="I487" i="65"/>
  <c r="K487" i="65" s="1"/>
  <c r="J487" i="65"/>
  <c r="B488" i="65"/>
  <c r="G488" i="65"/>
  <c r="H488" i="65"/>
  <c r="I488" i="65"/>
  <c r="K488" i="65" s="1"/>
  <c r="J488" i="65"/>
  <c r="B489" i="65"/>
  <c r="G489" i="65"/>
  <c r="H489" i="65"/>
  <c r="I489" i="65"/>
  <c r="J489" i="65"/>
  <c r="B490" i="65"/>
  <c r="G490" i="65"/>
  <c r="H490" i="65"/>
  <c r="I490" i="65"/>
  <c r="M490" i="65" s="1"/>
  <c r="J490" i="65"/>
  <c r="B334" i="50"/>
  <c r="F334" i="50"/>
  <c r="H334" i="50"/>
  <c r="I334" i="50"/>
  <c r="J334" i="50" s="1"/>
  <c r="AT334" i="50"/>
  <c r="AU334" i="50"/>
  <c r="AV334" i="50"/>
  <c r="B335" i="50"/>
  <c r="F335" i="50"/>
  <c r="H335" i="50"/>
  <c r="I335" i="50"/>
  <c r="J335" i="50" s="1"/>
  <c r="B336" i="50"/>
  <c r="F336" i="50"/>
  <c r="H336" i="50"/>
  <c r="AV336" i="50" s="1"/>
  <c r="I336" i="50"/>
  <c r="J336" i="50" s="1"/>
  <c r="X336" i="50" s="1"/>
  <c r="M336" i="50"/>
  <c r="AT336" i="50"/>
  <c r="AU336" i="50"/>
  <c r="B337" i="50"/>
  <c r="F337" i="50"/>
  <c r="H337" i="50"/>
  <c r="AV337" i="50" s="1"/>
  <c r="I337" i="50"/>
  <c r="J337" i="50"/>
  <c r="AU337" i="50"/>
  <c r="B338" i="50"/>
  <c r="F338" i="50"/>
  <c r="H338" i="50"/>
  <c r="AC338" i="50" s="1"/>
  <c r="I338" i="50"/>
  <c r="J338" i="50" s="1"/>
  <c r="P338" i="50" s="1"/>
  <c r="X338" i="50"/>
  <c r="AU338" i="50"/>
  <c r="B339" i="50"/>
  <c r="F339" i="50"/>
  <c r="H339" i="50"/>
  <c r="AU339" i="50" s="1"/>
  <c r="I339" i="50"/>
  <c r="J339" i="50"/>
  <c r="Y339" i="50" s="1"/>
  <c r="N339" i="50"/>
  <c r="B324" i="50"/>
  <c r="F324" i="50"/>
  <c r="H324" i="50"/>
  <c r="I324" i="50"/>
  <c r="J324" i="50" s="1"/>
  <c r="Z324" i="50" s="1"/>
  <c r="AT324" i="50"/>
  <c r="AU324" i="50"/>
  <c r="B325" i="50"/>
  <c r="F325" i="50"/>
  <c r="H325" i="50"/>
  <c r="I325" i="50"/>
  <c r="J325" i="50" s="1"/>
  <c r="B326" i="50"/>
  <c r="F326" i="50"/>
  <c r="H326" i="50"/>
  <c r="I326" i="50"/>
  <c r="J326" i="50" s="1"/>
  <c r="M326" i="50" s="1"/>
  <c r="P326" i="50"/>
  <c r="AO326" i="50"/>
  <c r="AT326" i="50"/>
  <c r="AU326" i="50"/>
  <c r="AV326" i="50"/>
  <c r="B327" i="50"/>
  <c r="F327" i="50"/>
  <c r="H327" i="50"/>
  <c r="I327" i="50"/>
  <c r="J327" i="50"/>
  <c r="N327" i="50" s="1"/>
  <c r="T327" i="50"/>
  <c r="AP327" i="50"/>
  <c r="AU327" i="50"/>
  <c r="B328" i="50"/>
  <c r="F328" i="50"/>
  <c r="H328" i="50"/>
  <c r="AU328" i="50" s="1"/>
  <c r="I328" i="50"/>
  <c r="J328" i="50" s="1"/>
  <c r="M328" i="50"/>
  <c r="V328" i="50"/>
  <c r="AT328" i="50"/>
  <c r="AV328" i="50"/>
  <c r="B329" i="50"/>
  <c r="F329" i="50"/>
  <c r="H329" i="50"/>
  <c r="I329" i="50"/>
  <c r="J329" i="50" s="1"/>
  <c r="B330" i="50"/>
  <c r="F330" i="50"/>
  <c r="H330" i="50"/>
  <c r="I330" i="50"/>
  <c r="J330" i="50" s="1"/>
  <c r="P330" i="50" s="1"/>
  <c r="AT330" i="50"/>
  <c r="AU330" i="50"/>
  <c r="AV330" i="50"/>
  <c r="B331" i="50"/>
  <c r="F331" i="50"/>
  <c r="H331" i="50"/>
  <c r="AV331" i="50" s="1"/>
  <c r="I331" i="50"/>
  <c r="J331" i="50"/>
  <c r="AT331" i="50"/>
  <c r="AU331" i="50"/>
  <c r="B332" i="50"/>
  <c r="F332" i="50"/>
  <c r="H332" i="50"/>
  <c r="AU332" i="50" s="1"/>
  <c r="I332" i="50"/>
  <c r="J332" i="50" s="1"/>
  <c r="P332" i="50" s="1"/>
  <c r="M332" i="50"/>
  <c r="AT332" i="50"/>
  <c r="AV332" i="50"/>
  <c r="B333" i="50"/>
  <c r="F333" i="50"/>
  <c r="H333" i="50"/>
  <c r="AV333" i="50" s="1"/>
  <c r="I333" i="50"/>
  <c r="J333" i="50"/>
  <c r="AO333" i="50" s="1"/>
  <c r="T333" i="50"/>
  <c r="B96" i="42"/>
  <c r="F96" i="42"/>
  <c r="H96" i="42"/>
  <c r="I96" i="42"/>
  <c r="M96" i="42" s="1"/>
  <c r="J96" i="42"/>
  <c r="K96" i="42"/>
  <c r="L96" i="42"/>
  <c r="U96" i="42"/>
  <c r="BV96" i="42"/>
  <c r="BW96" i="42"/>
  <c r="BX96" i="42"/>
  <c r="BY96" i="42"/>
  <c r="BZ96" i="42"/>
  <c r="B97" i="42"/>
  <c r="F97" i="42"/>
  <c r="H97" i="42"/>
  <c r="U97" i="42" s="1"/>
  <c r="I97" i="42"/>
  <c r="M97" i="42" s="1"/>
  <c r="J97" i="42"/>
  <c r="K97" i="42"/>
  <c r="L97" i="42"/>
  <c r="BW97" i="42" s="1"/>
  <c r="B98" i="42"/>
  <c r="F98" i="42"/>
  <c r="H98" i="42"/>
  <c r="I98" i="42"/>
  <c r="J98" i="42"/>
  <c r="K98" i="42"/>
  <c r="L98" i="42"/>
  <c r="M98" i="42"/>
  <c r="O98" i="42" s="1"/>
  <c r="BD98" i="42" s="1"/>
  <c r="B90" i="42"/>
  <c r="F90" i="42"/>
  <c r="H90" i="42"/>
  <c r="I90" i="42"/>
  <c r="J90" i="42"/>
  <c r="K90" i="42"/>
  <c r="L90" i="42"/>
  <c r="M90" i="42"/>
  <c r="U90" i="42"/>
  <c r="BV90" i="42"/>
  <c r="BW90" i="42"/>
  <c r="BX90" i="42"/>
  <c r="BY90" i="42"/>
  <c r="CA90" i="42"/>
  <c r="B91" i="42"/>
  <c r="F91" i="42"/>
  <c r="H91" i="42"/>
  <c r="I91" i="42"/>
  <c r="J91" i="42"/>
  <c r="K91" i="42"/>
  <c r="L91" i="42"/>
  <c r="BY91" i="42" s="1"/>
  <c r="M91" i="42"/>
  <c r="B92" i="42"/>
  <c r="F92" i="42"/>
  <c r="H92" i="42"/>
  <c r="I92" i="42"/>
  <c r="J92" i="42"/>
  <c r="K92" i="42"/>
  <c r="L92" i="42"/>
  <c r="BV92" i="42" s="1"/>
  <c r="M92" i="42"/>
  <c r="O92" i="42" s="1"/>
  <c r="BD92" i="42" s="1"/>
  <c r="P92" i="42"/>
  <c r="V92" i="42"/>
  <c r="AP92" i="42"/>
  <c r="AQ92" i="42"/>
  <c r="BX92" i="42"/>
  <c r="BY92" i="42"/>
  <c r="B93" i="42"/>
  <c r="F93" i="42"/>
  <c r="H93" i="42"/>
  <c r="I93" i="42"/>
  <c r="M93" i="42" s="1"/>
  <c r="J93" i="42"/>
  <c r="K93" i="42"/>
  <c r="L93" i="42"/>
  <c r="BX93" i="42" s="1"/>
  <c r="U93" i="42"/>
  <c r="BV93" i="42"/>
  <c r="BW93" i="42"/>
  <c r="BY93" i="42"/>
  <c r="BZ93" i="42"/>
  <c r="B94" i="42"/>
  <c r="F94" i="42"/>
  <c r="H94" i="42"/>
  <c r="L94" i="42" s="1"/>
  <c r="I94" i="42"/>
  <c r="M94" i="42" s="1"/>
  <c r="J94" i="42"/>
  <c r="K94" i="42"/>
  <c r="U94" i="42"/>
  <c r="B95" i="42"/>
  <c r="F95" i="42"/>
  <c r="H95" i="42"/>
  <c r="I95" i="42"/>
  <c r="J95" i="42"/>
  <c r="K95" i="42"/>
  <c r="L95" i="42"/>
  <c r="M95" i="42"/>
  <c r="S95" i="42"/>
  <c r="BZ95" i="42"/>
  <c r="Z507" i="65" l="1"/>
  <c r="T507" i="65"/>
  <c r="M488" i="65"/>
  <c r="M499" i="65"/>
  <c r="M485" i="65"/>
  <c r="P485" i="65" s="1"/>
  <c r="M464" i="65"/>
  <c r="M458" i="65"/>
  <c r="M452" i="65"/>
  <c r="K443" i="65"/>
  <c r="M434" i="65"/>
  <c r="AL433" i="65"/>
  <c r="M413" i="65"/>
  <c r="N413" i="65" s="1"/>
  <c r="K397" i="65"/>
  <c r="M394" i="65"/>
  <c r="K391" i="65"/>
  <c r="M390" i="65"/>
  <c r="AK390" i="65" s="1"/>
  <c r="K498" i="65"/>
  <c r="M521" i="65"/>
  <c r="R521" i="65" s="1"/>
  <c r="M517" i="65"/>
  <c r="M516" i="65"/>
  <c r="N516" i="65" s="1"/>
  <c r="M511" i="65"/>
  <c r="M509" i="65"/>
  <c r="AL508" i="65"/>
  <c r="Y507" i="65"/>
  <c r="R507" i="65"/>
  <c r="M506" i="65"/>
  <c r="R506" i="65" s="1"/>
  <c r="M470" i="65"/>
  <c r="AK470" i="65" s="1"/>
  <c r="M421" i="65"/>
  <c r="K411" i="65"/>
  <c r="M392" i="65"/>
  <c r="M384" i="65"/>
  <c r="N384" i="65" s="1"/>
  <c r="M503" i="65"/>
  <c r="M491" i="65"/>
  <c r="M512" i="65"/>
  <c r="AH508" i="65"/>
  <c r="W507" i="65"/>
  <c r="Q507" i="65"/>
  <c r="N462" i="65"/>
  <c r="V507" i="65"/>
  <c r="P507" i="65"/>
  <c r="N518" i="65"/>
  <c r="AH518" i="65"/>
  <c r="AL518" i="65"/>
  <c r="K514" i="65"/>
  <c r="M514" i="65"/>
  <c r="AK518" i="65"/>
  <c r="N517" i="65"/>
  <c r="N520" i="65"/>
  <c r="M519" i="65"/>
  <c r="AJ518" i="65"/>
  <c r="N513" i="65"/>
  <c r="AI518" i="65"/>
  <c r="N509" i="65"/>
  <c r="AH509" i="65"/>
  <c r="AL509" i="65"/>
  <c r="AJ508" i="65"/>
  <c r="AK509" i="65"/>
  <c r="AK508" i="65"/>
  <c r="N515" i="65"/>
  <c r="N511" i="65"/>
  <c r="M510" i="65"/>
  <c r="AJ509" i="65"/>
  <c r="AI508" i="65"/>
  <c r="X507" i="65"/>
  <c r="AD507" i="65" s="1"/>
  <c r="S507" i="65"/>
  <c r="M480" i="65"/>
  <c r="K480" i="65"/>
  <c r="K476" i="65"/>
  <c r="M476" i="65"/>
  <c r="AJ470" i="65"/>
  <c r="M450" i="65"/>
  <c r="K450" i="65"/>
  <c r="K438" i="65"/>
  <c r="M438" i="65"/>
  <c r="AI426" i="65"/>
  <c r="AK426" i="65"/>
  <c r="M401" i="65"/>
  <c r="K401" i="65"/>
  <c r="K399" i="65"/>
  <c r="M399" i="65"/>
  <c r="K393" i="65"/>
  <c r="M393" i="65"/>
  <c r="AL393" i="65" s="1"/>
  <c r="N466" i="65"/>
  <c r="K460" i="65"/>
  <c r="M460" i="65"/>
  <c r="M446" i="65"/>
  <c r="K446" i="65"/>
  <c r="AL437" i="65"/>
  <c r="K493" i="65"/>
  <c r="M493" i="65"/>
  <c r="K490" i="65"/>
  <c r="K489" i="65"/>
  <c r="M489" i="65"/>
  <c r="M486" i="65"/>
  <c r="R486" i="65" s="1"/>
  <c r="K482" i="65"/>
  <c r="K481" i="65"/>
  <c r="M481" i="65"/>
  <c r="N481" i="65" s="1"/>
  <c r="N468" i="65"/>
  <c r="AJ468" i="65"/>
  <c r="N443" i="65"/>
  <c r="AL443" i="65"/>
  <c r="AI436" i="65"/>
  <c r="AK436" i="65"/>
  <c r="K432" i="65"/>
  <c r="M432" i="65"/>
  <c r="N432" i="65" s="1"/>
  <c r="K409" i="65"/>
  <c r="M409" i="65"/>
  <c r="K404" i="65"/>
  <c r="M404" i="65"/>
  <c r="K395" i="65"/>
  <c r="M395" i="65"/>
  <c r="AK474" i="65"/>
  <c r="AK434" i="65"/>
  <c r="K425" i="65"/>
  <c r="M425" i="65"/>
  <c r="AJ424" i="65"/>
  <c r="N424" i="65"/>
  <c r="AK424" i="65"/>
  <c r="AI424" i="65"/>
  <c r="K417" i="65"/>
  <c r="M417" i="65"/>
  <c r="M500" i="65"/>
  <c r="K500" i="65"/>
  <c r="K456" i="65"/>
  <c r="M456" i="65"/>
  <c r="N456" i="65" s="1"/>
  <c r="M451" i="65"/>
  <c r="K451" i="65"/>
  <c r="N433" i="65"/>
  <c r="AH433" i="65"/>
  <c r="K429" i="65"/>
  <c r="M429" i="65"/>
  <c r="AI429" i="65" s="1"/>
  <c r="AI428" i="65"/>
  <c r="K400" i="65"/>
  <c r="M400" i="65"/>
  <c r="K389" i="65"/>
  <c r="M389" i="65"/>
  <c r="K386" i="65"/>
  <c r="M386" i="65"/>
  <c r="AI385" i="65"/>
  <c r="N458" i="65"/>
  <c r="P458" i="65"/>
  <c r="V458" i="65"/>
  <c r="Q458" i="65"/>
  <c r="W458" i="65"/>
  <c r="N452" i="65"/>
  <c r="M447" i="65"/>
  <c r="K447" i="65"/>
  <c r="AJ441" i="65"/>
  <c r="AK430" i="65"/>
  <c r="AK428" i="65"/>
  <c r="M422" i="65"/>
  <c r="K422" i="65"/>
  <c r="AK385" i="65"/>
  <c r="M502" i="65"/>
  <c r="K502" i="65"/>
  <c r="M496" i="65"/>
  <c r="N496" i="65" s="1"/>
  <c r="K496" i="65"/>
  <c r="M504" i="65"/>
  <c r="N500" i="65"/>
  <c r="R500" i="65" s="1"/>
  <c r="S500" i="65"/>
  <c r="R494" i="65"/>
  <c r="N494" i="65"/>
  <c r="Z494" i="65" s="1"/>
  <c r="S494" i="65"/>
  <c r="X494" i="65"/>
  <c r="T494" i="65"/>
  <c r="V494" i="65"/>
  <c r="P494" i="65"/>
  <c r="Y494" i="65"/>
  <c r="N505" i="65"/>
  <c r="M501" i="65"/>
  <c r="Z500" i="65"/>
  <c r="P500" i="65"/>
  <c r="M497" i="65"/>
  <c r="K495" i="65"/>
  <c r="M495" i="65"/>
  <c r="K505" i="65"/>
  <c r="V503" i="65"/>
  <c r="N503" i="65"/>
  <c r="T503" i="65" s="1"/>
  <c r="N502" i="65"/>
  <c r="N499" i="65"/>
  <c r="Q499" i="65" s="1"/>
  <c r="R498" i="65"/>
  <c r="N498" i="65"/>
  <c r="Y498" i="65" s="1"/>
  <c r="X498" i="65"/>
  <c r="T498" i="65"/>
  <c r="N491" i="65"/>
  <c r="V491" i="65" s="1"/>
  <c r="P491" i="65"/>
  <c r="N493" i="65"/>
  <c r="S493" i="65" s="1"/>
  <c r="X493" i="65"/>
  <c r="P493" i="65"/>
  <c r="Y493" i="65"/>
  <c r="Q493" i="65"/>
  <c r="Z493" i="65"/>
  <c r="M492" i="65"/>
  <c r="R490" i="65"/>
  <c r="W490" i="65"/>
  <c r="N490" i="65"/>
  <c r="S490" i="65"/>
  <c r="X490" i="65"/>
  <c r="P490" i="65"/>
  <c r="T490" i="65"/>
  <c r="Y490" i="65"/>
  <c r="Q490" i="65"/>
  <c r="V490" i="65"/>
  <c r="Z490" i="65"/>
  <c r="Z486" i="65"/>
  <c r="T486" i="65"/>
  <c r="N482" i="65"/>
  <c r="AJ477" i="65"/>
  <c r="K448" i="65"/>
  <c r="M448" i="65"/>
  <c r="N446" i="65"/>
  <c r="V488" i="65"/>
  <c r="Y486" i="65"/>
  <c r="AK478" i="65"/>
  <c r="AK477" i="65"/>
  <c r="AI476" i="65"/>
  <c r="K475" i="65"/>
  <c r="M475" i="65"/>
  <c r="K473" i="65"/>
  <c r="M473" i="65"/>
  <c r="K471" i="65"/>
  <c r="M471" i="65"/>
  <c r="K467" i="65"/>
  <c r="M467" i="65"/>
  <c r="AK466" i="65"/>
  <c r="AI466" i="65"/>
  <c r="K459" i="65"/>
  <c r="M459" i="65"/>
  <c r="K457" i="65"/>
  <c r="M457" i="65"/>
  <c r="N486" i="65"/>
  <c r="S486" i="65"/>
  <c r="X486" i="65"/>
  <c r="AH486" i="65"/>
  <c r="AL477" i="65"/>
  <c r="K455" i="65"/>
  <c r="M455" i="65"/>
  <c r="N488" i="65"/>
  <c r="Q488" i="65" s="1"/>
  <c r="S488" i="65"/>
  <c r="M487" i="65"/>
  <c r="W486" i="65"/>
  <c r="Q486" i="65"/>
  <c r="N484" i="65"/>
  <c r="M483" i="65"/>
  <c r="M479" i="65"/>
  <c r="AJ478" i="65"/>
  <c r="AI477" i="65"/>
  <c r="AH476" i="65"/>
  <c r="N474" i="65"/>
  <c r="AH474" i="65"/>
  <c r="AL474" i="65"/>
  <c r="AI474" i="65"/>
  <c r="N472" i="65"/>
  <c r="K469" i="65"/>
  <c r="M469" i="65"/>
  <c r="AK468" i="65"/>
  <c r="AJ464" i="65"/>
  <c r="K461" i="65"/>
  <c r="M461" i="65"/>
  <c r="N450" i="65"/>
  <c r="K444" i="65"/>
  <c r="M444" i="65"/>
  <c r="K440" i="65"/>
  <c r="M440" i="65"/>
  <c r="AJ438" i="65"/>
  <c r="N478" i="65"/>
  <c r="AH478" i="65"/>
  <c r="AL478" i="65"/>
  <c r="K465" i="65"/>
  <c r="M465" i="65"/>
  <c r="AK464" i="65"/>
  <c r="AI464" i="65"/>
  <c r="Z488" i="65"/>
  <c r="T488" i="65"/>
  <c r="Y488" i="65"/>
  <c r="R488" i="65"/>
  <c r="AI486" i="65"/>
  <c r="AJ486" i="65" s="1"/>
  <c r="AK486" i="65" s="1"/>
  <c r="AL486" i="65" s="1"/>
  <c r="V486" i="65"/>
  <c r="P486" i="65"/>
  <c r="AI478" i="65"/>
  <c r="AH477" i="65"/>
  <c r="N477" i="65"/>
  <c r="AK476" i="65"/>
  <c r="AJ466" i="65"/>
  <c r="N464" i="65"/>
  <c r="K463" i="65"/>
  <c r="M463" i="65"/>
  <c r="N454" i="65"/>
  <c r="K453" i="65"/>
  <c r="M453" i="65"/>
  <c r="AL442" i="65"/>
  <c r="N442" i="65"/>
  <c r="AJ442" i="65"/>
  <c r="AI470" i="65"/>
  <c r="AI468" i="65"/>
  <c r="AK441" i="65"/>
  <c r="AI430" i="65"/>
  <c r="N421" i="65"/>
  <c r="AH421" i="65"/>
  <c r="AL421" i="65"/>
  <c r="AI421" i="65"/>
  <c r="AJ421" i="65"/>
  <c r="AK421" i="65"/>
  <c r="AL468" i="65"/>
  <c r="AH468" i="65"/>
  <c r="AL466" i="65"/>
  <c r="AH466" i="65"/>
  <c r="AL464" i="65"/>
  <c r="AH464" i="65"/>
  <c r="AH458" i="65"/>
  <c r="AI458" i="65" s="1"/>
  <c r="X458" i="65"/>
  <c r="S458" i="65"/>
  <c r="N449" i="65"/>
  <c r="N445" i="65"/>
  <c r="N441" i="65"/>
  <c r="K439" i="65"/>
  <c r="M439" i="65"/>
  <c r="AJ437" i="65"/>
  <c r="N437" i="65"/>
  <c r="AH437" i="65"/>
  <c r="AI437" i="65"/>
  <c r="N400" i="65"/>
  <c r="K449" i="65"/>
  <c r="K445" i="65"/>
  <c r="AK443" i="65"/>
  <c r="AL441" i="65"/>
  <c r="K441" i="65"/>
  <c r="AK437" i="65"/>
  <c r="N436" i="65"/>
  <c r="AH436" i="65"/>
  <c r="AL436" i="65"/>
  <c r="M435" i="65"/>
  <c r="AJ434" i="65"/>
  <c r="AI433" i="65"/>
  <c r="AL432" i="65"/>
  <c r="M431" i="65"/>
  <c r="AJ430" i="65"/>
  <c r="N428" i="65"/>
  <c r="AH428" i="65"/>
  <c r="AL428" i="65"/>
  <c r="M427" i="65"/>
  <c r="AJ426" i="65"/>
  <c r="K423" i="65"/>
  <c r="M423" i="65"/>
  <c r="N419" i="65"/>
  <c r="N409" i="65"/>
  <c r="AI434" i="65"/>
  <c r="K402" i="65"/>
  <c r="M402" i="65"/>
  <c r="N434" i="65"/>
  <c r="AH434" i="65"/>
  <c r="AL434" i="65"/>
  <c r="AJ433" i="65"/>
  <c r="N430" i="65"/>
  <c r="AH430" i="65"/>
  <c r="AL430" i="65"/>
  <c r="AJ428" i="65"/>
  <c r="N426" i="65"/>
  <c r="AH426" i="65"/>
  <c r="AL426" i="65"/>
  <c r="N415" i="65"/>
  <c r="N411" i="65"/>
  <c r="N405" i="65"/>
  <c r="AL424" i="65"/>
  <c r="AH424" i="65"/>
  <c r="K424" i="65"/>
  <c r="AI422" i="65"/>
  <c r="AK422" i="65"/>
  <c r="K420" i="65"/>
  <c r="M420" i="65"/>
  <c r="K418" i="65"/>
  <c r="M418" i="65"/>
  <c r="K416" i="65"/>
  <c r="M416" i="65"/>
  <c r="N407" i="65"/>
  <c r="N404" i="65"/>
  <c r="AJ392" i="65"/>
  <c r="AK392" i="65"/>
  <c r="N392" i="65"/>
  <c r="AH392" i="65"/>
  <c r="AI392" i="65"/>
  <c r="AL392" i="65"/>
  <c r="K398" i="65"/>
  <c r="M398" i="65"/>
  <c r="AK387" i="65"/>
  <c r="M414" i="65"/>
  <c r="M412" i="65"/>
  <c r="M410" i="65"/>
  <c r="M408" i="65"/>
  <c r="M406" i="65"/>
  <c r="N403" i="65"/>
  <c r="N397" i="65"/>
  <c r="AL397" i="65"/>
  <c r="AJ394" i="65"/>
  <c r="N394" i="65"/>
  <c r="AI394" i="65"/>
  <c r="AK394" i="65"/>
  <c r="K403" i="65"/>
  <c r="N396" i="65"/>
  <c r="AK396" i="65"/>
  <c r="AL394" i="65"/>
  <c r="N395" i="65"/>
  <c r="AL395" i="65"/>
  <c r="N393" i="65"/>
  <c r="N391" i="65"/>
  <c r="AH391" i="65"/>
  <c r="AL391" i="65"/>
  <c r="AI391" i="65"/>
  <c r="N399" i="65"/>
  <c r="AK391" i="65"/>
  <c r="AI390" i="65"/>
  <c r="AJ395" i="65"/>
  <c r="AJ391" i="65"/>
  <c r="AJ390" i="65"/>
  <c r="AH389" i="65"/>
  <c r="M388" i="65"/>
  <c r="AJ387" i="65"/>
  <c r="AI386" i="65"/>
  <c r="AK389" i="65"/>
  <c r="AI387" i="65"/>
  <c r="AH386" i="65"/>
  <c r="N387" i="65"/>
  <c r="AH387" i="65"/>
  <c r="AL387" i="65"/>
  <c r="AJ386" i="65"/>
  <c r="AL385" i="65"/>
  <c r="AH385" i="65"/>
  <c r="N385" i="65"/>
  <c r="AJ385" i="65"/>
  <c r="T335" i="50"/>
  <c r="AN335" i="50"/>
  <c r="T325" i="50"/>
  <c r="AP325" i="50"/>
  <c r="AU333" i="50"/>
  <c r="M333" i="50"/>
  <c r="AT338" i="50"/>
  <c r="V338" i="50"/>
  <c r="Q337" i="50"/>
  <c r="N335" i="50"/>
  <c r="N329" i="50"/>
  <c r="AN332" i="50"/>
  <c r="AO328" i="50"/>
  <c r="AD327" i="50"/>
  <c r="AC326" i="50"/>
  <c r="AO338" i="50"/>
  <c r="AC336" i="50"/>
  <c r="AN327" i="50"/>
  <c r="AT333" i="50"/>
  <c r="T332" i="50"/>
  <c r="X328" i="50"/>
  <c r="W327" i="50"/>
  <c r="S326" i="50"/>
  <c r="AV338" i="50"/>
  <c r="P339" i="50"/>
  <c r="V339" i="50"/>
  <c r="Z339" i="50"/>
  <c r="AE339" i="50"/>
  <c r="AK339" i="50" s="1"/>
  <c r="AO339" i="50"/>
  <c r="M339" i="50"/>
  <c r="S339" i="50"/>
  <c r="X339" i="50"/>
  <c r="AC339" i="50"/>
  <c r="AQ339" i="50"/>
  <c r="AR339" i="50" s="1"/>
  <c r="M337" i="50"/>
  <c r="S337" i="50"/>
  <c r="X337" i="50"/>
  <c r="AC337" i="50"/>
  <c r="T337" i="50"/>
  <c r="AD337" i="50"/>
  <c r="AN337" i="50"/>
  <c r="N337" i="50"/>
  <c r="P337" i="50"/>
  <c r="V337" i="50"/>
  <c r="AO337" i="50"/>
  <c r="N336" i="50"/>
  <c r="T336" i="50"/>
  <c r="AD336" i="50"/>
  <c r="AJ336" i="50" s="1"/>
  <c r="AN336" i="50"/>
  <c r="P336" i="50"/>
  <c r="V336" i="50"/>
  <c r="AO336" i="50"/>
  <c r="Q336" i="50"/>
  <c r="W336" i="50"/>
  <c r="AI336" i="50" s="1"/>
  <c r="AB336" i="50"/>
  <c r="AP336" i="50"/>
  <c r="AT335" i="50"/>
  <c r="AU335" i="50"/>
  <c r="AV335" i="50"/>
  <c r="AF339" i="50"/>
  <c r="AN339" i="50"/>
  <c r="AD339" i="50"/>
  <c r="T339" i="50"/>
  <c r="AB337" i="50"/>
  <c r="AD335" i="50"/>
  <c r="P335" i="50"/>
  <c r="Q334" i="50"/>
  <c r="W334" i="50"/>
  <c r="AI334" i="50" s="1"/>
  <c r="AB334" i="50"/>
  <c r="AP334" i="50"/>
  <c r="M334" i="50"/>
  <c r="S334" i="50"/>
  <c r="X334" i="50"/>
  <c r="AC334" i="50"/>
  <c r="N334" i="50"/>
  <c r="T334" i="50"/>
  <c r="AD334" i="50"/>
  <c r="AN334" i="50"/>
  <c r="P334" i="50"/>
  <c r="V334" i="50"/>
  <c r="AH334" i="50" s="1"/>
  <c r="AO334" i="50"/>
  <c r="AP339" i="50"/>
  <c r="W339" i="50"/>
  <c r="AI339" i="50" s="1"/>
  <c r="AB339" i="50"/>
  <c r="Q339" i="50"/>
  <c r="AT339" i="50"/>
  <c r="AV339" i="50"/>
  <c r="Q338" i="50"/>
  <c r="W338" i="50"/>
  <c r="AI338" i="50" s="1"/>
  <c r="AB338" i="50"/>
  <c r="AH338" i="50" s="1"/>
  <c r="AP338" i="50"/>
  <c r="M338" i="50"/>
  <c r="S338" i="50"/>
  <c r="N338" i="50"/>
  <c r="T338" i="50"/>
  <c r="AD338" i="50"/>
  <c r="AJ338" i="50" s="1"/>
  <c r="AN338" i="50"/>
  <c r="AP337" i="50"/>
  <c r="W337" i="50"/>
  <c r="S336" i="50"/>
  <c r="AT337" i="50"/>
  <c r="AC335" i="50"/>
  <c r="X335" i="50"/>
  <c r="AJ335" i="50" s="1"/>
  <c r="S335" i="50"/>
  <c r="M335" i="50"/>
  <c r="AP335" i="50"/>
  <c r="AB335" i="50"/>
  <c r="W335" i="50"/>
  <c r="Q335" i="50"/>
  <c r="AO335" i="50"/>
  <c r="V335" i="50"/>
  <c r="AH335" i="50" s="1"/>
  <c r="M331" i="50"/>
  <c r="S331" i="50"/>
  <c r="X331" i="50"/>
  <c r="AC331" i="50"/>
  <c r="S330" i="50"/>
  <c r="AU329" i="50"/>
  <c r="AB329" i="50"/>
  <c r="Q329" i="50"/>
  <c r="P333" i="50"/>
  <c r="V333" i="50"/>
  <c r="X330" i="50"/>
  <c r="Q330" i="50"/>
  <c r="Q328" i="50"/>
  <c r="W328" i="50"/>
  <c r="AB328" i="50"/>
  <c r="AH328" i="50" s="1"/>
  <c r="AP328" i="50"/>
  <c r="N328" i="50"/>
  <c r="T328" i="50"/>
  <c r="AD328" i="50"/>
  <c r="AJ328" i="50" s="1"/>
  <c r="AN328" i="50"/>
  <c r="AB327" i="50"/>
  <c r="Q327" i="50"/>
  <c r="AV327" i="50"/>
  <c r="AT327" i="50"/>
  <c r="AT325" i="50"/>
  <c r="Q325" i="50"/>
  <c r="W325" i="50"/>
  <c r="AV325" i="50"/>
  <c r="AN331" i="50"/>
  <c r="T331" i="50"/>
  <c r="AT329" i="50"/>
  <c r="AV329" i="50"/>
  <c r="Q324" i="50"/>
  <c r="W324" i="50"/>
  <c r="AB324" i="50"/>
  <c r="AF324" i="50"/>
  <c r="AL324" i="50" s="1"/>
  <c r="AP324" i="50"/>
  <c r="AQ324" i="50" s="1"/>
  <c r="AR324" i="50" s="1"/>
  <c r="M324" i="50"/>
  <c r="S324" i="50"/>
  <c r="X324" i="50"/>
  <c r="AC324" i="50"/>
  <c r="N324" i="50"/>
  <c r="T324" i="50"/>
  <c r="Y324" i="50"/>
  <c r="AD324" i="50"/>
  <c r="AN324" i="50"/>
  <c r="AN333" i="50"/>
  <c r="AD333" i="50"/>
  <c r="S333" i="50"/>
  <c r="S332" i="50"/>
  <c r="AC333" i="50"/>
  <c r="X333" i="50"/>
  <c r="Q333" i="50"/>
  <c r="AD332" i="50"/>
  <c r="X332" i="50"/>
  <c r="AP331" i="50"/>
  <c r="AD331" i="50"/>
  <c r="W331" i="50"/>
  <c r="P331" i="50"/>
  <c r="AP330" i="50"/>
  <c r="AC330" i="50"/>
  <c r="W330" i="50"/>
  <c r="AP329" i="50"/>
  <c r="W329" i="50"/>
  <c r="P329" i="50"/>
  <c r="V329" i="50"/>
  <c r="AH329" i="50" s="1"/>
  <c r="AO329" i="50"/>
  <c r="M329" i="50"/>
  <c r="S329" i="50"/>
  <c r="X329" i="50"/>
  <c r="AC329" i="50"/>
  <c r="AC328" i="50"/>
  <c r="S328" i="50"/>
  <c r="X326" i="50"/>
  <c r="AN325" i="50"/>
  <c r="AD325" i="50"/>
  <c r="N325" i="50"/>
  <c r="AO324" i="50"/>
  <c r="V324" i="50"/>
  <c r="N330" i="50"/>
  <c r="T330" i="50"/>
  <c r="AD330" i="50"/>
  <c r="AN330" i="50"/>
  <c r="AE324" i="50"/>
  <c r="Q332" i="50"/>
  <c r="W332" i="50"/>
  <c r="AB332" i="50"/>
  <c r="AP332" i="50"/>
  <c r="Q331" i="50"/>
  <c r="AP333" i="50"/>
  <c r="AB333" i="50"/>
  <c r="W333" i="50"/>
  <c r="AI333" i="50" s="1"/>
  <c r="N333" i="50"/>
  <c r="AO332" i="50"/>
  <c r="AC332" i="50"/>
  <c r="V332" i="50"/>
  <c r="N332" i="50"/>
  <c r="AO331" i="50"/>
  <c r="AB331" i="50"/>
  <c r="V331" i="50"/>
  <c r="N331" i="50"/>
  <c r="AO330" i="50"/>
  <c r="AB330" i="50"/>
  <c r="V330" i="50"/>
  <c r="M330" i="50"/>
  <c r="AN329" i="50"/>
  <c r="AD329" i="50"/>
  <c r="T329" i="50"/>
  <c r="P328" i="50"/>
  <c r="M327" i="50"/>
  <c r="S327" i="50"/>
  <c r="X327" i="50"/>
  <c r="AJ327" i="50" s="1"/>
  <c r="AC327" i="50"/>
  <c r="AI327" i="50" s="1"/>
  <c r="P327" i="50"/>
  <c r="V327" i="50"/>
  <c r="AO327" i="50"/>
  <c r="V326" i="50"/>
  <c r="N326" i="50"/>
  <c r="T326" i="50"/>
  <c r="AD326" i="50"/>
  <c r="AN326" i="50"/>
  <c r="Q326" i="50"/>
  <c r="W326" i="50"/>
  <c r="AI326" i="50" s="1"/>
  <c r="AB326" i="50"/>
  <c r="AP326" i="50"/>
  <c r="AU325" i="50"/>
  <c r="AB325" i="50"/>
  <c r="P325" i="50"/>
  <c r="P324" i="50"/>
  <c r="AC325" i="50"/>
  <c r="X325" i="50"/>
  <c r="S325" i="50"/>
  <c r="M325" i="50"/>
  <c r="AO325" i="50"/>
  <c r="V325" i="50"/>
  <c r="S94" i="42"/>
  <c r="BX94" i="42"/>
  <c r="BW94" i="42"/>
  <c r="BY94" i="42"/>
  <c r="BZ94" i="42"/>
  <c r="BV94" i="42"/>
  <c r="O93" i="42"/>
  <c r="BD93" i="42" s="1"/>
  <c r="V93" i="42"/>
  <c r="AR93" i="42"/>
  <c r="AP93" i="42"/>
  <c r="P93" i="42"/>
  <c r="S93" i="42"/>
  <c r="AQ91" i="42"/>
  <c r="BZ97" i="42"/>
  <c r="U95" i="42"/>
  <c r="S92" i="42"/>
  <c r="BY97" i="42"/>
  <c r="O91" i="42"/>
  <c r="BD91" i="42" s="1"/>
  <c r="BV97" i="42"/>
  <c r="BV98" i="42"/>
  <c r="BZ98" i="42"/>
  <c r="BW98" i="42"/>
  <c r="BX98" i="42"/>
  <c r="S98" i="42"/>
  <c r="AR98" i="42"/>
  <c r="V98" i="42"/>
  <c r="AP98" i="42"/>
  <c r="U98" i="42"/>
  <c r="P98" i="42"/>
  <c r="P96" i="42"/>
  <c r="V96" i="42"/>
  <c r="AP96" i="42"/>
  <c r="O96" i="42"/>
  <c r="AQ96" i="42"/>
  <c r="S96" i="42"/>
  <c r="AR96" i="42"/>
  <c r="AQ98" i="42"/>
  <c r="BY98" i="42"/>
  <c r="R98" i="42"/>
  <c r="O97" i="42"/>
  <c r="AQ97" i="42"/>
  <c r="S97" i="42"/>
  <c r="P97" i="42"/>
  <c r="V97" i="42"/>
  <c r="AP97" i="42"/>
  <c r="AR97" i="42"/>
  <c r="BX97" i="42"/>
  <c r="BW95" i="42"/>
  <c r="O90" i="42"/>
  <c r="P90" i="42"/>
  <c r="V90" i="42"/>
  <c r="AP90" i="42"/>
  <c r="AQ90" i="42"/>
  <c r="BY95" i="42"/>
  <c r="AR95" i="42"/>
  <c r="R92" i="42"/>
  <c r="R91" i="42"/>
  <c r="BE92" i="42"/>
  <c r="AQ95" i="42"/>
  <c r="P95" i="42"/>
  <c r="O94" i="42"/>
  <c r="P94" i="42"/>
  <c r="V94" i="42"/>
  <c r="AP94" i="42"/>
  <c r="AQ94" i="42"/>
  <c r="BX95" i="42"/>
  <c r="BV95" i="42"/>
  <c r="AP95" i="42"/>
  <c r="V95" i="42"/>
  <c r="O95" i="42"/>
  <c r="AR94" i="42"/>
  <c r="BV91" i="42"/>
  <c r="BZ91" i="42"/>
  <c r="BW91" i="42"/>
  <c r="BX91" i="42"/>
  <c r="S91" i="42"/>
  <c r="AR91" i="42"/>
  <c r="U91" i="42"/>
  <c r="S90" i="42"/>
  <c r="BW92" i="42"/>
  <c r="U92" i="42"/>
  <c r="AP91" i="42"/>
  <c r="V91" i="42"/>
  <c r="P91" i="42"/>
  <c r="AQ93" i="42"/>
  <c r="BZ92" i="42"/>
  <c r="AR92" i="42"/>
  <c r="AF486" i="65" l="1"/>
  <c r="AB507" i="65"/>
  <c r="AH507" i="65" s="1"/>
  <c r="AC507" i="65"/>
  <c r="AF507" i="65"/>
  <c r="AD486" i="65"/>
  <c r="AE507" i="65"/>
  <c r="AB486" i="65"/>
  <c r="AC458" i="65"/>
  <c r="Y506" i="65"/>
  <c r="X506" i="65"/>
  <c r="AD506" i="65" s="1"/>
  <c r="V506" i="65"/>
  <c r="P506" i="65"/>
  <c r="N506" i="65"/>
  <c r="W506" i="65"/>
  <c r="Z506" i="65"/>
  <c r="T506" i="65"/>
  <c r="S506" i="65"/>
  <c r="AE506" i="65" s="1"/>
  <c r="Q506" i="65"/>
  <c r="AC506" i="65" s="1"/>
  <c r="AH506" i="65"/>
  <c r="AI506" i="65" s="1"/>
  <c r="AJ506" i="65" s="1"/>
  <c r="AK506" i="65" s="1"/>
  <c r="AL506" i="65" s="1"/>
  <c r="S521" i="65"/>
  <c r="AI521" i="65"/>
  <c r="AJ521" i="65" s="1"/>
  <c r="AK521" i="65" s="1"/>
  <c r="AL521" i="65" s="1"/>
  <c r="AH521" i="65"/>
  <c r="X521" i="65"/>
  <c r="AD521" i="65" s="1"/>
  <c r="N521" i="65"/>
  <c r="Y521" i="65"/>
  <c r="Z521" i="65"/>
  <c r="W521" i="65"/>
  <c r="Q521" i="65"/>
  <c r="T521" i="65"/>
  <c r="P521" i="65"/>
  <c r="V521" i="65"/>
  <c r="X488" i="65"/>
  <c r="AD488" i="65" s="1"/>
  <c r="W498" i="65"/>
  <c r="W494" i="65"/>
  <c r="P503" i="65"/>
  <c r="AB503" i="65" s="1"/>
  <c r="AH503" i="65" s="1"/>
  <c r="X500" i="65"/>
  <c r="AD500" i="65" s="1"/>
  <c r="Y503" i="65"/>
  <c r="S499" i="65"/>
  <c r="Y499" i="65"/>
  <c r="Z503" i="65"/>
  <c r="AF503" i="65" s="1"/>
  <c r="W488" i="65"/>
  <c r="AC488" i="65" s="1"/>
  <c r="P488" i="65"/>
  <c r="AB488" i="65" s="1"/>
  <c r="AH488" i="65" s="1"/>
  <c r="Z498" i="65"/>
  <c r="AF498" i="65" s="1"/>
  <c r="V498" i="65"/>
  <c r="W499" i="65"/>
  <c r="AC499" i="65" s="1"/>
  <c r="Z499" i="65"/>
  <c r="T499" i="65"/>
  <c r="S503" i="65"/>
  <c r="Q494" i="65"/>
  <c r="V493" i="65"/>
  <c r="AB493" i="65" s="1"/>
  <c r="AH493" i="65" s="1"/>
  <c r="T493" i="65"/>
  <c r="S498" i="65"/>
  <c r="AE498" i="65" s="1"/>
  <c r="X499" i="65"/>
  <c r="R499" i="65"/>
  <c r="Q503" i="65"/>
  <c r="W503" i="65"/>
  <c r="V499" i="65"/>
  <c r="P499" i="65"/>
  <c r="P498" i="65"/>
  <c r="R491" i="65"/>
  <c r="Q498" i="65"/>
  <c r="X503" i="65"/>
  <c r="AF494" i="65"/>
  <c r="R503" i="65"/>
  <c r="T500" i="65"/>
  <c r="AF500" i="65" s="1"/>
  <c r="T485" i="65"/>
  <c r="AH485" i="65"/>
  <c r="AI485" i="65" s="1"/>
  <c r="AJ485" i="65" s="1"/>
  <c r="AK485" i="65" s="1"/>
  <c r="AL485" i="65" s="1"/>
  <c r="V485" i="65"/>
  <c r="AB485" i="65" s="1"/>
  <c r="S485" i="65"/>
  <c r="X485" i="65"/>
  <c r="Y485" i="65"/>
  <c r="N485" i="65"/>
  <c r="Z485" i="65"/>
  <c r="R485" i="65"/>
  <c r="AD485" i="65" s="1"/>
  <c r="Q485" i="65"/>
  <c r="W485" i="65"/>
  <c r="P496" i="65"/>
  <c r="W496" i="65"/>
  <c r="Q491" i="65"/>
  <c r="Y496" i="65"/>
  <c r="T496" i="65"/>
  <c r="AL390" i="65"/>
  <c r="N470" i="65"/>
  <c r="T458" i="65"/>
  <c r="Y458" i="65"/>
  <c r="AE458" i="65" s="1"/>
  <c r="Z458" i="65"/>
  <c r="R458" i="65"/>
  <c r="AD458" i="65" s="1"/>
  <c r="AJ429" i="65"/>
  <c r="AH470" i="65"/>
  <c r="AI393" i="65"/>
  <c r="AL470" i="65"/>
  <c r="W491" i="65"/>
  <c r="Y491" i="65"/>
  <c r="X491" i="65"/>
  <c r="N512" i="65"/>
  <c r="AI509" i="65"/>
  <c r="AH390" i="65"/>
  <c r="N390" i="65"/>
  <c r="Z491" i="65"/>
  <c r="T491" i="65"/>
  <c r="S491" i="65"/>
  <c r="AE491" i="65" s="1"/>
  <c r="AB458" i="65"/>
  <c r="AJ510" i="65"/>
  <c r="AL510" i="65"/>
  <c r="N510" i="65"/>
  <c r="AH510" i="65"/>
  <c r="AI510" i="65"/>
  <c r="AK510" i="65"/>
  <c r="N519" i="65"/>
  <c r="AI507" i="65"/>
  <c r="AJ507" i="65" s="1"/>
  <c r="N514" i="65"/>
  <c r="N451" i="65"/>
  <c r="N417" i="65"/>
  <c r="AJ389" i="65"/>
  <c r="AI389" i="65"/>
  <c r="N389" i="65"/>
  <c r="AL389" i="65"/>
  <c r="AI425" i="65"/>
  <c r="AK425" i="65"/>
  <c r="AL425" i="65"/>
  <c r="N425" i="65"/>
  <c r="AJ425" i="65"/>
  <c r="AH438" i="65"/>
  <c r="AI438" i="65"/>
  <c r="AL438" i="65"/>
  <c r="N438" i="65"/>
  <c r="AE486" i="65"/>
  <c r="AH429" i="65"/>
  <c r="AL429" i="65"/>
  <c r="N429" i="65"/>
  <c r="AK429" i="65"/>
  <c r="AI432" i="65"/>
  <c r="AJ432" i="65"/>
  <c r="AK432" i="65"/>
  <c r="AH432" i="65"/>
  <c r="AH425" i="65"/>
  <c r="N489" i="65"/>
  <c r="T489" i="65" s="1"/>
  <c r="AK438" i="65"/>
  <c r="N480" i="65"/>
  <c r="Q496" i="65"/>
  <c r="V496" i="65"/>
  <c r="S496" i="65"/>
  <c r="R496" i="65"/>
  <c r="X496" i="65"/>
  <c r="Z496" i="65"/>
  <c r="N460" i="65"/>
  <c r="AH393" i="65"/>
  <c r="AK393" i="65"/>
  <c r="AJ393" i="65"/>
  <c r="Q500" i="65"/>
  <c r="V500" i="65"/>
  <c r="AB500" i="65" s="1"/>
  <c r="AH500" i="65" s="1"/>
  <c r="AK395" i="65"/>
  <c r="N401" i="65"/>
  <c r="AJ476" i="65"/>
  <c r="AF488" i="65"/>
  <c r="AL476" i="65"/>
  <c r="N476" i="65"/>
  <c r="Y500" i="65"/>
  <c r="AE500" i="65" s="1"/>
  <c r="W500" i="65"/>
  <c r="AL422" i="65"/>
  <c r="AH422" i="65"/>
  <c r="AJ422" i="65"/>
  <c r="N422" i="65"/>
  <c r="N447" i="65"/>
  <c r="N386" i="65"/>
  <c r="AK386" i="65"/>
  <c r="AL386" i="65"/>
  <c r="R493" i="65"/>
  <c r="AD493" i="65" s="1"/>
  <c r="W493" i="65"/>
  <c r="AC493" i="65" s="1"/>
  <c r="N497" i="65"/>
  <c r="T497" i="65" s="1"/>
  <c r="AB491" i="65"/>
  <c r="AH491" i="65" s="1"/>
  <c r="N501" i="65"/>
  <c r="P501" i="65" s="1"/>
  <c r="AE494" i="65"/>
  <c r="AD494" i="65"/>
  <c r="N492" i="65"/>
  <c r="R492" i="65" s="1"/>
  <c r="T492" i="65"/>
  <c r="Y492" i="65"/>
  <c r="AF493" i="65"/>
  <c r="AD498" i="65"/>
  <c r="X495" i="65"/>
  <c r="N495" i="65"/>
  <c r="Q495" i="65" s="1"/>
  <c r="AE493" i="65"/>
  <c r="AB494" i="65"/>
  <c r="AH494" i="65" s="1"/>
  <c r="P504" i="65"/>
  <c r="W504" i="65"/>
  <c r="N504" i="65"/>
  <c r="Y504" i="65" s="1"/>
  <c r="S504" i="65"/>
  <c r="Z504" i="65"/>
  <c r="N398" i="65"/>
  <c r="N461" i="65"/>
  <c r="N471" i="65"/>
  <c r="AI423" i="65"/>
  <c r="AJ423" i="65"/>
  <c r="AK423" i="65"/>
  <c r="AL423" i="65"/>
  <c r="N423" i="65"/>
  <c r="AH423" i="65"/>
  <c r="AJ427" i="65"/>
  <c r="AI427" i="65"/>
  <c r="AK427" i="65"/>
  <c r="AL427" i="65"/>
  <c r="AH427" i="65"/>
  <c r="N427" i="65"/>
  <c r="AJ431" i="65"/>
  <c r="AI431" i="65"/>
  <c r="AK431" i="65"/>
  <c r="AL431" i="65"/>
  <c r="AH431" i="65"/>
  <c r="N431" i="65"/>
  <c r="AJ458" i="65"/>
  <c r="AK458" i="65" s="1"/>
  <c r="AL458" i="65" s="1"/>
  <c r="AI465" i="65"/>
  <c r="AJ465" i="65"/>
  <c r="AK465" i="65"/>
  <c r="N465" i="65"/>
  <c r="AH465" i="65"/>
  <c r="AL465" i="65"/>
  <c r="AI440" i="65"/>
  <c r="AJ440" i="65"/>
  <c r="AK440" i="65"/>
  <c r="AL440" i="65"/>
  <c r="AH440" i="65"/>
  <c r="N440" i="65"/>
  <c r="N444" i="65"/>
  <c r="AJ479" i="65"/>
  <c r="AK479" i="65"/>
  <c r="AL479" i="65"/>
  <c r="N479" i="65"/>
  <c r="AH479" i="65"/>
  <c r="AI479" i="65"/>
  <c r="Z487" i="65"/>
  <c r="R487" i="65"/>
  <c r="X487" i="65"/>
  <c r="W487" i="65"/>
  <c r="S487" i="65"/>
  <c r="Y487" i="65"/>
  <c r="N487" i="65"/>
  <c r="Q487" i="65" s="1"/>
  <c r="T487" i="65"/>
  <c r="AE488" i="65"/>
  <c r="AJ475" i="65"/>
  <c r="N475" i="65"/>
  <c r="AK475" i="65"/>
  <c r="AL475" i="65"/>
  <c r="AI475" i="65"/>
  <c r="AH475" i="65"/>
  <c r="N406" i="65"/>
  <c r="AJ388" i="65"/>
  <c r="AK388" i="65"/>
  <c r="AL388" i="65"/>
  <c r="N388" i="65"/>
  <c r="AH388" i="65"/>
  <c r="AI388" i="65"/>
  <c r="N408" i="65"/>
  <c r="AJ435" i="65"/>
  <c r="AI435" i="65"/>
  <c r="AK435" i="65"/>
  <c r="AL435" i="65"/>
  <c r="AH435" i="65"/>
  <c r="N435" i="65"/>
  <c r="AJ439" i="65"/>
  <c r="AK439" i="65"/>
  <c r="AH439" i="65"/>
  <c r="AI439" i="65"/>
  <c r="AL439" i="65"/>
  <c r="N439" i="65"/>
  <c r="N483" i="65"/>
  <c r="AC486" i="65"/>
  <c r="N467" i="65"/>
  <c r="N473" i="65"/>
  <c r="N448" i="65"/>
  <c r="AF490" i="65"/>
  <c r="N412" i="65"/>
  <c r="N402" i="65"/>
  <c r="AI463" i="65"/>
  <c r="AJ463" i="65"/>
  <c r="AK463" i="65"/>
  <c r="AL463" i="65"/>
  <c r="N463" i="65"/>
  <c r="AH463" i="65"/>
  <c r="N457" i="65"/>
  <c r="N414" i="65"/>
  <c r="N418" i="65"/>
  <c r="N410" i="65"/>
  <c r="N416" i="65"/>
  <c r="AJ420" i="65"/>
  <c r="AK420" i="65"/>
  <c r="AL420" i="65"/>
  <c r="N420" i="65"/>
  <c r="AH420" i="65"/>
  <c r="AI420" i="65"/>
  <c r="N453" i="65"/>
  <c r="AI469" i="65"/>
  <c r="AJ469" i="65"/>
  <c r="AK469" i="65"/>
  <c r="AL469" i="65"/>
  <c r="N469" i="65"/>
  <c r="AH469" i="65"/>
  <c r="N455" i="65"/>
  <c r="P459" i="65"/>
  <c r="T459" i="65"/>
  <c r="Y459" i="65"/>
  <c r="Q459" i="65"/>
  <c r="V459" i="65"/>
  <c r="Z459" i="65"/>
  <c r="R459" i="65"/>
  <c r="W459" i="65"/>
  <c r="N459" i="65"/>
  <c r="AH459" i="65"/>
  <c r="AI459" i="65" s="1"/>
  <c r="AJ459" i="65" s="1"/>
  <c r="AK459" i="65" s="1"/>
  <c r="AL459" i="65" s="1"/>
  <c r="S459" i="65"/>
  <c r="X459" i="65"/>
  <c r="AC490" i="65"/>
  <c r="AB490" i="65"/>
  <c r="AH490" i="65" s="1"/>
  <c r="AE490" i="65"/>
  <c r="AD490" i="65"/>
  <c r="AH330" i="50"/>
  <c r="AH331" i="50"/>
  <c r="AH332" i="50"/>
  <c r="AI332" i="50"/>
  <c r="AI329" i="50"/>
  <c r="AH333" i="50"/>
  <c r="AJ332" i="50"/>
  <c r="AH336" i="50"/>
  <c r="AH337" i="50"/>
  <c r="AH339" i="50"/>
  <c r="AI335" i="50"/>
  <c r="AI337" i="50"/>
  <c r="AJ337" i="50"/>
  <c r="AJ334" i="50"/>
  <c r="AJ339" i="50"/>
  <c r="AL339" i="50"/>
  <c r="AH325" i="50"/>
  <c r="AH326" i="50"/>
  <c r="AH324" i="50"/>
  <c r="AI324" i="50"/>
  <c r="AJ331" i="50"/>
  <c r="AI325" i="50"/>
  <c r="AJ333" i="50"/>
  <c r="AK324" i="50"/>
  <c r="AI328" i="50"/>
  <c r="AJ329" i="50"/>
  <c r="AH327" i="50"/>
  <c r="AJ325" i="50"/>
  <c r="AJ326" i="50"/>
  <c r="AI330" i="50"/>
  <c r="AI331" i="50"/>
  <c r="AJ324" i="50"/>
  <c r="AJ330" i="50"/>
  <c r="BE93" i="42"/>
  <c r="R93" i="42"/>
  <c r="BE98" i="42"/>
  <c r="BE97" i="42"/>
  <c r="BD96" i="42"/>
  <c r="R96" i="42"/>
  <c r="BE96" i="42"/>
  <c r="BD97" i="42"/>
  <c r="R97" i="42"/>
  <c r="BD94" i="42"/>
  <c r="R94" i="42"/>
  <c r="BE90" i="42"/>
  <c r="BD95" i="42"/>
  <c r="R95" i="42"/>
  <c r="BE94" i="42"/>
  <c r="BD90" i="42"/>
  <c r="R90" i="42"/>
  <c r="BE91" i="42"/>
  <c r="BE95" i="42"/>
  <c r="AC503" i="65" l="1"/>
  <c r="AF491" i="65"/>
  <c r="AE496" i="65"/>
  <c r="AE485" i="65"/>
  <c r="AD503" i="65"/>
  <c r="AB499" i="65"/>
  <c r="AH499" i="65" s="1"/>
  <c r="AD499" i="65"/>
  <c r="AF499" i="65"/>
  <c r="AE499" i="65"/>
  <c r="AK507" i="65"/>
  <c r="AL507" i="65" s="1"/>
  <c r="AC496" i="65"/>
  <c r="AF506" i="65"/>
  <c r="AB506" i="65"/>
  <c r="AD496" i="65"/>
  <c r="AB521" i="65"/>
  <c r="AC521" i="65"/>
  <c r="AD491" i="65"/>
  <c r="AC485" i="65"/>
  <c r="AB498" i="65"/>
  <c r="AH498" i="65" s="1"/>
  <c r="AI490" i="65"/>
  <c r="AJ490" i="65" s="1"/>
  <c r="AK490" i="65" s="1"/>
  <c r="AL490" i="65" s="1"/>
  <c r="AD459" i="65"/>
  <c r="AF487" i="65"/>
  <c r="AF496" i="65"/>
  <c r="AB496" i="65"/>
  <c r="AH496" i="65" s="1"/>
  <c r="AE521" i="65"/>
  <c r="AF521" i="65"/>
  <c r="T504" i="65"/>
  <c r="AF504" i="65" s="1"/>
  <c r="S495" i="65"/>
  <c r="Y495" i="65"/>
  <c r="S492" i="65"/>
  <c r="Z492" i="65"/>
  <c r="AF492" i="65" s="1"/>
  <c r="W501" i="65"/>
  <c r="Q501" i="65"/>
  <c r="V497" i="65"/>
  <c r="P497" i="65"/>
  <c r="Z489" i="65"/>
  <c r="AF489" i="65" s="1"/>
  <c r="Q489" i="65"/>
  <c r="AC494" i="65"/>
  <c r="Z495" i="65"/>
  <c r="T495" i="65"/>
  <c r="V492" i="65"/>
  <c r="R501" i="65"/>
  <c r="S501" i="65"/>
  <c r="Y501" i="65"/>
  <c r="W497" i="65"/>
  <c r="Q497" i="65"/>
  <c r="Y489" i="65"/>
  <c r="V489" i="65"/>
  <c r="AI488" i="65"/>
  <c r="AJ488" i="65" s="1"/>
  <c r="AK488" i="65" s="1"/>
  <c r="AL488" i="65" s="1"/>
  <c r="AE503" i="65"/>
  <c r="AC498" i="65"/>
  <c r="AI498" i="65" s="1"/>
  <c r="AJ498" i="65" s="1"/>
  <c r="AK498" i="65" s="1"/>
  <c r="AL498" i="65" s="1"/>
  <c r="P487" i="65"/>
  <c r="V487" i="65"/>
  <c r="X504" i="65"/>
  <c r="Q504" i="65"/>
  <c r="AC504" i="65" s="1"/>
  <c r="R495" i="65"/>
  <c r="AD495" i="65" s="1"/>
  <c r="V495" i="65"/>
  <c r="P495" i="65"/>
  <c r="W492" i="65"/>
  <c r="Q492" i="65"/>
  <c r="X501" i="65"/>
  <c r="Z501" i="65"/>
  <c r="T501" i="65"/>
  <c r="X497" i="65"/>
  <c r="S497" i="65"/>
  <c r="Y497" i="65"/>
  <c r="S489" i="65"/>
  <c r="X489" i="65"/>
  <c r="AI493" i="65"/>
  <c r="AJ493" i="65" s="1"/>
  <c r="AK493" i="65" s="1"/>
  <c r="AL493" i="65" s="1"/>
  <c r="P489" i="65"/>
  <c r="V504" i="65"/>
  <c r="AB504" i="65" s="1"/>
  <c r="AH504" i="65" s="1"/>
  <c r="R504" i="65"/>
  <c r="AI494" i="65"/>
  <c r="AJ494" i="65" s="1"/>
  <c r="AK494" i="65" s="1"/>
  <c r="AL494" i="65" s="1"/>
  <c r="W495" i="65"/>
  <c r="AC495" i="65" s="1"/>
  <c r="AI503" i="65"/>
  <c r="P492" i="65"/>
  <c r="X492" i="65"/>
  <c r="AD492" i="65" s="1"/>
  <c r="AI499" i="65"/>
  <c r="AJ499" i="65" s="1"/>
  <c r="V501" i="65"/>
  <c r="AB501" i="65" s="1"/>
  <c r="AH501" i="65" s="1"/>
  <c r="R497" i="65"/>
  <c r="Z497" i="65"/>
  <c r="AF497" i="65" s="1"/>
  <c r="R489" i="65"/>
  <c r="W489" i="65"/>
  <c r="AC491" i="65"/>
  <c r="AI491" i="65" s="1"/>
  <c r="AF485" i="65"/>
  <c r="AE487" i="65"/>
  <c r="AF458" i="65"/>
  <c r="AC459" i="65"/>
  <c r="AB459" i="65"/>
  <c r="AD487" i="65"/>
  <c r="AE492" i="65"/>
  <c r="AD501" i="65"/>
  <c r="AC500" i="65"/>
  <c r="AI500" i="65" s="1"/>
  <c r="AJ500" i="65" s="1"/>
  <c r="AK500" i="65" s="1"/>
  <c r="AL500" i="65" s="1"/>
  <c r="AE504" i="65"/>
  <c r="AC487" i="65"/>
  <c r="AE459" i="65"/>
  <c r="AF459" i="65"/>
  <c r="AC497" i="65" l="1"/>
  <c r="AB492" i="65"/>
  <c r="AH492" i="65" s="1"/>
  <c r="AC489" i="65"/>
  <c r="AJ503" i="65"/>
  <c r="AK499" i="65"/>
  <c r="AL499" i="65" s="1"/>
  <c r="AB495" i="65"/>
  <c r="AH495" i="65" s="1"/>
  <c r="AI496" i="65"/>
  <c r="AJ496" i="65" s="1"/>
  <c r="AK496" i="65" s="1"/>
  <c r="AL496" i="65" s="1"/>
  <c r="AF501" i="65"/>
  <c r="AB497" i="65"/>
  <c r="AH497" i="65" s="1"/>
  <c r="AB487" i="65"/>
  <c r="AH487" i="65" s="1"/>
  <c r="AI487" i="65" s="1"/>
  <c r="AJ487" i="65" s="1"/>
  <c r="AK487" i="65" s="1"/>
  <c r="AL487" i="65" s="1"/>
  <c r="AF495" i="65"/>
  <c r="AC501" i="65"/>
  <c r="AD497" i="65"/>
  <c r="AD489" i="65"/>
  <c r="AE501" i="65"/>
  <c r="AB489" i="65"/>
  <c r="AH489" i="65" s="1"/>
  <c r="AD504" i="65"/>
  <c r="AC492" i="65"/>
  <c r="AI492" i="65" s="1"/>
  <c r="AJ492" i="65" s="1"/>
  <c r="AK492" i="65" s="1"/>
  <c r="AL492" i="65" s="1"/>
  <c r="AI495" i="65"/>
  <c r="AJ495" i="65" s="1"/>
  <c r="AJ491" i="65"/>
  <c r="AK491" i="65" s="1"/>
  <c r="AL491" i="65" s="1"/>
  <c r="AI501" i="65"/>
  <c r="AJ501" i="65" s="1"/>
  <c r="AK501" i="65" s="1"/>
  <c r="AL501" i="65" s="1"/>
  <c r="AK503" i="65"/>
  <c r="AL503" i="65" s="1"/>
  <c r="AI504" i="65"/>
  <c r="AI497" i="65"/>
  <c r="AE489" i="65"/>
  <c r="AE497" i="65"/>
  <c r="AE495" i="65"/>
  <c r="AI489" i="65" l="1"/>
  <c r="AJ497" i="65"/>
  <c r="AK497" i="65" s="1"/>
  <c r="AL497" i="65" s="1"/>
  <c r="AJ489" i="65"/>
  <c r="AK489" i="65" s="1"/>
  <c r="AL489" i="65" s="1"/>
  <c r="AK495" i="65"/>
  <c r="AL495" i="65" s="1"/>
  <c r="AJ504" i="65"/>
  <c r="AK504" i="65" s="1"/>
  <c r="AL504" i="65" s="1"/>
  <c r="N47" i="32" l="1"/>
  <c r="M43" i="32"/>
  <c r="N48" i="32" l="1"/>
  <c r="P18" i="91"/>
  <c r="J12" i="32"/>
  <c r="K12" i="32"/>
  <c r="L12" i="32"/>
  <c r="M12" i="32"/>
  <c r="N12" i="32"/>
  <c r="I12" i="32"/>
  <c r="R92" i="25" l="1"/>
  <c r="R91" i="25"/>
  <c r="Q86" i="25"/>
  <c r="P71" i="25"/>
  <c r="N18" i="34" l="1"/>
  <c r="N15" i="34"/>
  <c r="N16" i="34"/>
  <c r="N13" i="34"/>
  <c r="N12" i="34"/>
  <c r="M20" i="32"/>
  <c r="M21" i="32"/>
  <c r="M22" i="32"/>
  <c r="M23" i="32"/>
  <c r="M24" i="32"/>
  <c r="M25" i="32"/>
  <c r="M26" i="32"/>
  <c r="M27" i="32"/>
  <c r="M28" i="32"/>
  <c r="M29" i="32"/>
  <c r="M30" i="32"/>
  <c r="M31" i="32"/>
  <c r="M34" i="32"/>
  <c r="M35" i="32"/>
  <c r="M19" i="32"/>
  <c r="P15" i="66"/>
  <c r="P55" i="25"/>
  <c r="P105" i="25" a="1"/>
  <c r="P105" i="25" s="1"/>
  <c r="P97" i="25"/>
  <c r="P98" i="25" s="1"/>
  <c r="N23" i="32"/>
  <c r="P88" i="25"/>
  <c r="P79" i="25"/>
  <c r="P80" i="25" s="1"/>
  <c r="P81" i="25" s="1"/>
  <c r="P72" i="25"/>
  <c r="B836" i="37"/>
  <c r="B837" i="37"/>
  <c r="B838" i="37"/>
  <c r="B839" i="37"/>
  <c r="B840" i="37"/>
  <c r="B841" i="37"/>
  <c r="B842" i="37"/>
  <c r="B843" i="37"/>
  <c r="B844" i="37"/>
  <c r="B845" i="37"/>
  <c r="B846" i="37"/>
  <c r="B847" i="37"/>
  <c r="B848" i="37"/>
  <c r="B849" i="37"/>
  <c r="B850" i="37"/>
  <c r="B851" i="37"/>
  <c r="B852" i="37"/>
  <c r="B853" i="37"/>
  <c r="F836" i="37"/>
  <c r="G836" i="37"/>
  <c r="H836" i="37"/>
  <c r="I836" i="37"/>
  <c r="F837" i="37"/>
  <c r="G837" i="37"/>
  <c r="H837" i="37"/>
  <c r="I837" i="37"/>
  <c r="F838" i="37"/>
  <c r="G838" i="37"/>
  <c r="H838" i="37"/>
  <c r="I838" i="37"/>
  <c r="F839" i="37"/>
  <c r="G839" i="37"/>
  <c r="H839" i="37"/>
  <c r="I839" i="37"/>
  <c r="F840" i="37"/>
  <c r="G840" i="37"/>
  <c r="H840" i="37"/>
  <c r="I840" i="37"/>
  <c r="F841" i="37"/>
  <c r="G841" i="37"/>
  <c r="H841" i="37"/>
  <c r="I841" i="37"/>
  <c r="F842" i="37"/>
  <c r="G842" i="37"/>
  <c r="H842" i="37"/>
  <c r="I842" i="37"/>
  <c r="F843" i="37"/>
  <c r="G843" i="37"/>
  <c r="H843" i="37"/>
  <c r="I843" i="37"/>
  <c r="F844" i="37"/>
  <c r="G844" i="37"/>
  <c r="H844" i="37"/>
  <c r="I844" i="37"/>
  <c r="F845" i="37"/>
  <c r="G845" i="37"/>
  <c r="H845" i="37"/>
  <c r="I845" i="37"/>
  <c r="F846" i="37"/>
  <c r="G846" i="37"/>
  <c r="H846" i="37"/>
  <c r="I846" i="37"/>
  <c r="F847" i="37"/>
  <c r="G847" i="37"/>
  <c r="H847" i="37"/>
  <c r="I847" i="37"/>
  <c r="F848" i="37"/>
  <c r="G848" i="37"/>
  <c r="H848" i="37"/>
  <c r="I848" i="37"/>
  <c r="F849" i="37"/>
  <c r="G849" i="37"/>
  <c r="H849" i="37"/>
  <c r="I849" i="37"/>
  <c r="F850" i="37"/>
  <c r="G850" i="37"/>
  <c r="H850" i="37"/>
  <c r="I850" i="37"/>
  <c r="F851" i="37"/>
  <c r="G851" i="37"/>
  <c r="H851" i="37"/>
  <c r="I851" i="37"/>
  <c r="F852" i="37"/>
  <c r="G852" i="37"/>
  <c r="H852" i="37"/>
  <c r="I852" i="37"/>
  <c r="F853" i="37"/>
  <c r="G853" i="37"/>
  <c r="H853" i="37"/>
  <c r="I853" i="37"/>
  <c r="K34" i="68"/>
  <c r="K31" i="68"/>
  <c r="F1544" i="40"/>
  <c r="F1545" i="40"/>
  <c r="E1545" i="40"/>
  <c r="E1546" i="40"/>
  <c r="F1547" i="40"/>
  <c r="F1548" i="40"/>
  <c r="F1549" i="40"/>
  <c r="E1549" i="40"/>
  <c r="F1551" i="40"/>
  <c r="F1552" i="40"/>
  <c r="E1553" i="40"/>
  <c r="F1554" i="40"/>
  <c r="E1554" i="40"/>
  <c r="F1555" i="40"/>
  <c r="F1556" i="40"/>
  <c r="F1557" i="40"/>
  <c r="E1557" i="40"/>
  <c r="F1558" i="40"/>
  <c r="F1559" i="40"/>
  <c r="F1560" i="40"/>
  <c r="F1561" i="40"/>
  <c r="E1561" i="40"/>
  <c r="F1562" i="40"/>
  <c r="E1562" i="40"/>
  <c r="F1563" i="40"/>
  <c r="F1564" i="40"/>
  <c r="F1565" i="40"/>
  <c r="E1565" i="40"/>
  <c r="F1566" i="40"/>
  <c r="E1566" i="40"/>
  <c r="F1567" i="40"/>
  <c r="F1568" i="40"/>
  <c r="F1569" i="40"/>
  <c r="E1569" i="40"/>
  <c r="F1570" i="40"/>
  <c r="E1570" i="40"/>
  <c r="F1571" i="40"/>
  <c r="F1572" i="40"/>
  <c r="F1573" i="40"/>
  <c r="E1573" i="40"/>
  <c r="F1574" i="40"/>
  <c r="E1574" i="40"/>
  <c r="F1575" i="40"/>
  <c r="F1576" i="40"/>
  <c r="F1577" i="40"/>
  <c r="E1577" i="40"/>
  <c r="F1578" i="40"/>
  <c r="E1578" i="40"/>
  <c r="F1579" i="40"/>
  <c r="F1580" i="40"/>
  <c r="F1581" i="40"/>
  <c r="E1581" i="40"/>
  <c r="F1582" i="40"/>
  <c r="F1583" i="40"/>
  <c r="F1584" i="40"/>
  <c r="F1585" i="40"/>
  <c r="E1585" i="40"/>
  <c r="F1586" i="40"/>
  <c r="E1586" i="40"/>
  <c r="F1587" i="40"/>
  <c r="F1588" i="40"/>
  <c r="F1589" i="40"/>
  <c r="E1589" i="40"/>
  <c r="F1590" i="40"/>
  <c r="F1591" i="40"/>
  <c r="F1592" i="40"/>
  <c r="F1593" i="40"/>
  <c r="E1593" i="40"/>
  <c r="F1594" i="40"/>
  <c r="E1594" i="40"/>
  <c r="F1595" i="40"/>
  <c r="F1596" i="40"/>
  <c r="F1597" i="40"/>
  <c r="E1597" i="40"/>
  <c r="F1598" i="40"/>
  <c r="E1598" i="40"/>
  <c r="F1599" i="40"/>
  <c r="F1600" i="40"/>
  <c r="F1601" i="40"/>
  <c r="E1601" i="40"/>
  <c r="F1602" i="40"/>
  <c r="E1602" i="40"/>
  <c r="F1604" i="40"/>
  <c r="F1605" i="40"/>
  <c r="E1605" i="40"/>
  <c r="F1606" i="40"/>
  <c r="E1606" i="40"/>
  <c r="F1607" i="40"/>
  <c r="F1608" i="40"/>
  <c r="F1609" i="40"/>
  <c r="E1609" i="40"/>
  <c r="F1610" i="40"/>
  <c r="E1610" i="40"/>
  <c r="F1611" i="40"/>
  <c r="F1612" i="40"/>
  <c r="F1613" i="40"/>
  <c r="E1613" i="40"/>
  <c r="F1614" i="40"/>
  <c r="F1615" i="40"/>
  <c r="F1616" i="40"/>
  <c r="E1617" i="40"/>
  <c r="F1618" i="40"/>
  <c r="E1618" i="40"/>
  <c r="F1619" i="40"/>
  <c r="F1620" i="40"/>
  <c r="F1621" i="40"/>
  <c r="E1621" i="40"/>
  <c r="F1622" i="40"/>
  <c r="F1623" i="40"/>
  <c r="F1624" i="40"/>
  <c r="F1625" i="40"/>
  <c r="E1625" i="40"/>
  <c r="F1626" i="40"/>
  <c r="E1626" i="40"/>
  <c r="F1627" i="40"/>
  <c r="F1628" i="40"/>
  <c r="F1629" i="40"/>
  <c r="E1629" i="40"/>
  <c r="F1630" i="40"/>
  <c r="E1630" i="40"/>
  <c r="F1631" i="40"/>
  <c r="F1632" i="40"/>
  <c r="F1633" i="40"/>
  <c r="E1633" i="40"/>
  <c r="F1634" i="40"/>
  <c r="E1634" i="40"/>
  <c r="F1635" i="40"/>
  <c r="F1636" i="40"/>
  <c r="F1637" i="40"/>
  <c r="E1637" i="40"/>
  <c r="F1638" i="40"/>
  <c r="F1639" i="40"/>
  <c r="F1640" i="40"/>
  <c r="F1641" i="40"/>
  <c r="E1641" i="40"/>
  <c r="F1642" i="40"/>
  <c r="E1642" i="40"/>
  <c r="F1643" i="40"/>
  <c r="F1644" i="40"/>
  <c r="F1645" i="40"/>
  <c r="F1646" i="40"/>
  <c r="F1647" i="40"/>
  <c r="F1648" i="40"/>
  <c r="F1649" i="40"/>
  <c r="E1649" i="40"/>
  <c r="F1650" i="40"/>
  <c r="E1650" i="40"/>
  <c r="F1651" i="40"/>
  <c r="F1652" i="40"/>
  <c r="F1653" i="40"/>
  <c r="F1654" i="40"/>
  <c r="F1655" i="40"/>
  <c r="F1656" i="40"/>
  <c r="F1657" i="40"/>
  <c r="E1657" i="40"/>
  <c r="F1658" i="40"/>
  <c r="E1658" i="40"/>
  <c r="F1659" i="40"/>
  <c r="F1660" i="40"/>
  <c r="F1661" i="40"/>
  <c r="F1662" i="40"/>
  <c r="F1663" i="40"/>
  <c r="F1664" i="40"/>
  <c r="F1665" i="40"/>
  <c r="E1665" i="40"/>
  <c r="F1666" i="40"/>
  <c r="E1666" i="40"/>
  <c r="F1667" i="40"/>
  <c r="F1668" i="40"/>
  <c r="F1669" i="40"/>
  <c r="F1670" i="40"/>
  <c r="F1671" i="40"/>
  <c r="F1672" i="40"/>
  <c r="F1546" i="40"/>
  <c r="E1550" i="40"/>
  <c r="F1550" i="40"/>
  <c r="F1553" i="40"/>
  <c r="E1558" i="40"/>
  <c r="E1582" i="40"/>
  <c r="E1590" i="40"/>
  <c r="F1603" i="40"/>
  <c r="E1614" i="40"/>
  <c r="F1617" i="40"/>
  <c r="E1622" i="40"/>
  <c r="E1638" i="40"/>
  <c r="CI237" i="53"/>
  <c r="R75" i="24"/>
  <c r="N853" i="37" l="1"/>
  <c r="K852" i="37"/>
  <c r="L851" i="37"/>
  <c r="N850" i="37"/>
  <c r="T850" i="37" s="1"/>
  <c r="Q847" i="37"/>
  <c r="N846" i="37"/>
  <c r="K845" i="37"/>
  <c r="M843" i="37"/>
  <c r="R842" i="37"/>
  <c r="O841" i="37"/>
  <c r="L840" i="37"/>
  <c r="Q838" i="37"/>
  <c r="K837" i="37"/>
  <c r="M39" i="65"/>
  <c r="N15" i="32"/>
  <c r="M52" i="32"/>
  <c r="F1543" i="40"/>
  <c r="L848" i="37"/>
  <c r="S853" i="37"/>
  <c r="R850" i="37"/>
  <c r="O852" i="37"/>
  <c r="N838" i="37"/>
  <c r="K52" i="68"/>
  <c r="P73" i="25"/>
  <c r="P74" i="25" s="1"/>
  <c r="N37" i="37"/>
  <c r="R45" i="25"/>
  <c r="R87" i="25" s="1"/>
  <c r="M22" i="68"/>
  <c r="R34" i="66"/>
  <c r="O35" i="42"/>
  <c r="O37" i="50"/>
  <c r="R851" i="37"/>
  <c r="N851" i="37"/>
  <c r="T851" i="37" s="1"/>
  <c r="U851" i="37" s="1"/>
  <c r="S851" i="37"/>
  <c r="K851" i="37"/>
  <c r="O851" i="37"/>
  <c r="L849" i="37"/>
  <c r="R849" i="37"/>
  <c r="N849" i="37"/>
  <c r="T849" i="37" s="1"/>
  <c r="Q849" i="37"/>
  <c r="M849" i="37"/>
  <c r="R847" i="37"/>
  <c r="N847" i="37"/>
  <c r="T847" i="37" s="1"/>
  <c r="L847" i="37"/>
  <c r="S847" i="37"/>
  <c r="K847" i="37"/>
  <c r="O847" i="37"/>
  <c r="L845" i="37"/>
  <c r="R845" i="37"/>
  <c r="N845" i="37"/>
  <c r="T845" i="37" s="1"/>
  <c r="Q845" i="37"/>
  <c r="M845" i="37"/>
  <c r="L841" i="37"/>
  <c r="R841" i="37"/>
  <c r="N841" i="37"/>
  <c r="T841" i="37" s="1"/>
  <c r="U841" i="37" s="1"/>
  <c r="Q841" i="37"/>
  <c r="M841" i="37"/>
  <c r="M836" i="37"/>
  <c r="S836" i="37" s="1"/>
  <c r="R836" i="37"/>
  <c r="K836" i="37"/>
  <c r="O836" i="37"/>
  <c r="Q836" i="37"/>
  <c r="N836" i="37"/>
  <c r="O837" i="37"/>
  <c r="O849" i="37"/>
  <c r="S845" i="37"/>
  <c r="T853" i="37"/>
  <c r="L853" i="37"/>
  <c r="R853" i="37"/>
  <c r="Q853" i="37"/>
  <c r="M853" i="37"/>
  <c r="Q852" i="37"/>
  <c r="M852" i="37"/>
  <c r="S852" i="37"/>
  <c r="R852" i="37"/>
  <c r="N852" i="37"/>
  <c r="S850" i="37"/>
  <c r="K850" i="37"/>
  <c r="O850" i="37"/>
  <c r="Q850" i="37"/>
  <c r="M850" i="37"/>
  <c r="L850" i="37"/>
  <c r="Q848" i="37"/>
  <c r="M848" i="37"/>
  <c r="S848" i="37"/>
  <c r="K848" i="37"/>
  <c r="O848" i="37"/>
  <c r="R848" i="37"/>
  <c r="N848" i="37"/>
  <c r="T848" i="37" s="1"/>
  <c r="S846" i="37"/>
  <c r="K846" i="37"/>
  <c r="O846" i="37"/>
  <c r="Q846" i="37"/>
  <c r="U846" i="37"/>
  <c r="M846" i="37"/>
  <c r="T846" i="37"/>
  <c r="L846" i="37"/>
  <c r="Q844" i="37"/>
  <c r="M844" i="37"/>
  <c r="S844" i="37"/>
  <c r="K844" i="37"/>
  <c r="O844" i="37"/>
  <c r="R844" i="37"/>
  <c r="N844" i="37"/>
  <c r="R843" i="37"/>
  <c r="N843" i="37"/>
  <c r="T843" i="37" s="1"/>
  <c r="L843" i="37"/>
  <c r="S843" i="37"/>
  <c r="K843" i="37"/>
  <c r="O843" i="37"/>
  <c r="S842" i="37"/>
  <c r="K842" i="37"/>
  <c r="O842" i="37"/>
  <c r="Q842" i="37"/>
  <c r="M842" i="37"/>
  <c r="L842" i="37"/>
  <c r="Q840" i="37"/>
  <c r="M840" i="37"/>
  <c r="S840" i="37"/>
  <c r="K840" i="37"/>
  <c r="O840" i="37"/>
  <c r="R840" i="37"/>
  <c r="N840" i="37"/>
  <c r="T840" i="37" s="1"/>
  <c r="N839" i="37"/>
  <c r="T839" i="37" s="1"/>
  <c r="R839" i="37"/>
  <c r="L839" i="37"/>
  <c r="Q839" i="37"/>
  <c r="K839" i="37"/>
  <c r="O839" i="37"/>
  <c r="U839" i="37" s="1"/>
  <c r="R838" i="37"/>
  <c r="K838" i="37"/>
  <c r="O838" i="37"/>
  <c r="M838" i="37"/>
  <c r="S838" i="37" s="1"/>
  <c r="T838" i="37" s="1"/>
  <c r="U838" i="37" s="1"/>
  <c r="L838" i="37"/>
  <c r="S837" i="37"/>
  <c r="L837" i="37"/>
  <c r="Q837" i="37"/>
  <c r="N837" i="37"/>
  <c r="T837" i="37" s="1"/>
  <c r="U837" i="37" s="1"/>
  <c r="M837" i="37"/>
  <c r="O853" i="37"/>
  <c r="U853" i="37" s="1"/>
  <c r="L852" i="37"/>
  <c r="M847" i="37"/>
  <c r="L844" i="37"/>
  <c r="K841" i="37"/>
  <c r="T852" i="37"/>
  <c r="U852" i="37" s="1"/>
  <c r="S849" i="37"/>
  <c r="R846" i="37"/>
  <c r="Q843" i="37"/>
  <c r="S839" i="37"/>
  <c r="K853" i="37"/>
  <c r="M851" i="37"/>
  <c r="K849" i="37"/>
  <c r="O845" i="37"/>
  <c r="N842" i="37"/>
  <c r="T842" i="37" s="1"/>
  <c r="M839" i="37"/>
  <c r="L836" i="37"/>
  <c r="Q851" i="37"/>
  <c r="T844" i="37"/>
  <c r="S841" i="37"/>
  <c r="R837" i="37"/>
  <c r="E1639" i="40"/>
  <c r="E1635" i="40"/>
  <c r="E1631" i="40"/>
  <c r="E1627" i="40"/>
  <c r="E1623" i="40"/>
  <c r="E1619" i="40"/>
  <c r="E1615" i="40"/>
  <c r="E1611" i="40"/>
  <c r="E1607" i="40"/>
  <c r="E1603" i="40"/>
  <c r="E1599" i="40"/>
  <c r="E1595" i="40"/>
  <c r="E1591" i="40"/>
  <c r="E1587" i="40"/>
  <c r="E1583" i="40"/>
  <c r="E1579" i="40"/>
  <c r="E1575" i="40"/>
  <c r="E1571" i="40"/>
  <c r="E1567" i="40"/>
  <c r="E1563" i="40"/>
  <c r="E1559" i="40"/>
  <c r="E1555" i="40"/>
  <c r="E1551" i="40"/>
  <c r="E1547" i="40"/>
  <c r="E1543" i="40"/>
  <c r="E1672" i="40"/>
  <c r="E1670" i="40"/>
  <c r="E1668" i="40"/>
  <c r="E1664" i="40"/>
  <c r="E1662" i="40"/>
  <c r="E1660" i="40"/>
  <c r="E1656" i="40"/>
  <c r="E1654" i="40"/>
  <c r="E1652" i="40"/>
  <c r="E1648" i="40"/>
  <c r="E1646" i="40"/>
  <c r="E1644" i="40"/>
  <c r="E1640" i="40"/>
  <c r="E1632" i="40"/>
  <c r="E1624" i="40"/>
  <c r="E1616" i="40"/>
  <c r="E1608" i="40"/>
  <c r="E1600" i="40"/>
  <c r="E1592" i="40"/>
  <c r="E1584" i="40"/>
  <c r="E1576" i="40"/>
  <c r="E1568" i="40"/>
  <c r="E1560" i="40"/>
  <c r="E1552" i="40"/>
  <c r="E1544" i="40"/>
  <c r="E1671" i="40"/>
  <c r="E1669" i="40"/>
  <c r="E1667" i="40"/>
  <c r="E1663" i="40"/>
  <c r="E1661" i="40"/>
  <c r="E1659" i="40"/>
  <c r="E1655" i="40"/>
  <c r="E1653" i="40"/>
  <c r="E1651" i="40"/>
  <c r="E1647" i="40"/>
  <c r="E1645" i="40"/>
  <c r="E1643" i="40"/>
  <c r="E1636" i="40"/>
  <c r="E1628" i="40"/>
  <c r="E1620" i="40"/>
  <c r="E1612" i="40"/>
  <c r="E1604" i="40"/>
  <c r="E1596" i="40"/>
  <c r="E1588" i="40"/>
  <c r="E1580" i="40"/>
  <c r="E1572" i="40"/>
  <c r="E1564" i="40"/>
  <c r="E1556" i="40"/>
  <c r="E1548" i="40"/>
  <c r="U843" i="37" l="1"/>
  <c r="U850" i="37"/>
  <c r="U848" i="37"/>
  <c r="U847" i="37"/>
  <c r="U849" i="37"/>
  <c r="U844" i="37"/>
  <c r="U840" i="37"/>
  <c r="U845" i="37"/>
  <c r="U842" i="37"/>
  <c r="T836" i="37"/>
  <c r="U836" i="37" l="1"/>
  <c r="F88" i="42"/>
  <c r="B323" i="50" l="1"/>
  <c r="F323" i="50"/>
  <c r="H323" i="50"/>
  <c r="AT323" i="50" s="1"/>
  <c r="I323" i="50"/>
  <c r="J323" i="50" s="1"/>
  <c r="M323" i="50" s="1"/>
  <c r="AU323" i="50" l="1"/>
  <c r="AN323" i="50"/>
  <c r="T323" i="50"/>
  <c r="N323" i="50"/>
  <c r="AB323" i="50"/>
  <c r="W323" i="50"/>
  <c r="Q323" i="50"/>
  <c r="AO323" i="50"/>
  <c r="V323" i="50"/>
  <c r="P323" i="50"/>
  <c r="AC323" i="50"/>
  <c r="S323" i="50"/>
  <c r="AH323" i="50" l="1"/>
  <c r="AI323" i="50"/>
  <c r="B308" i="50" l="1"/>
  <c r="F308" i="50"/>
  <c r="H308" i="50"/>
  <c r="I308" i="50"/>
  <c r="J308" i="50" s="1"/>
  <c r="B309" i="50"/>
  <c r="F309" i="50"/>
  <c r="H309" i="50"/>
  <c r="I309" i="50"/>
  <c r="J309" i="50" s="1"/>
  <c r="M309" i="50" s="1"/>
  <c r="B310" i="50"/>
  <c r="F310" i="50"/>
  <c r="H310" i="50"/>
  <c r="AT310" i="50" s="1"/>
  <c r="I310" i="50"/>
  <c r="J310" i="50" s="1"/>
  <c r="B311" i="50"/>
  <c r="F311" i="50"/>
  <c r="H311" i="50"/>
  <c r="I311" i="50"/>
  <c r="J311" i="50" s="1"/>
  <c r="B312" i="50"/>
  <c r="F312" i="50"/>
  <c r="H312" i="50"/>
  <c r="I312" i="50"/>
  <c r="J312" i="50" s="1"/>
  <c r="B313" i="50"/>
  <c r="F313" i="50"/>
  <c r="H313" i="50"/>
  <c r="I313" i="50"/>
  <c r="J313" i="50" s="1"/>
  <c r="B314" i="50"/>
  <c r="F314" i="50"/>
  <c r="H314" i="50"/>
  <c r="I314" i="50"/>
  <c r="J314" i="50" s="1"/>
  <c r="B315" i="50"/>
  <c r="F315" i="50"/>
  <c r="H315" i="50"/>
  <c r="I315" i="50"/>
  <c r="J315" i="50" s="1"/>
  <c r="B316" i="50"/>
  <c r="F316" i="50"/>
  <c r="H316" i="50"/>
  <c r="AT316" i="50" s="1"/>
  <c r="I316" i="50"/>
  <c r="J316" i="50" s="1"/>
  <c r="B317" i="50"/>
  <c r="F317" i="50"/>
  <c r="H317" i="50"/>
  <c r="I317" i="50"/>
  <c r="J317" i="50" s="1"/>
  <c r="AN317" i="50" s="1"/>
  <c r="B318" i="50"/>
  <c r="F318" i="50"/>
  <c r="H318" i="50"/>
  <c r="I318" i="50"/>
  <c r="J318" i="50" s="1"/>
  <c r="B319" i="50"/>
  <c r="F319" i="50"/>
  <c r="H319" i="50"/>
  <c r="I319" i="50"/>
  <c r="J319" i="50" s="1"/>
  <c r="Q319" i="50" s="1"/>
  <c r="B320" i="50"/>
  <c r="F320" i="50"/>
  <c r="H320" i="50"/>
  <c r="I320" i="50"/>
  <c r="J320" i="50" s="1"/>
  <c r="B321" i="50"/>
  <c r="F321" i="50"/>
  <c r="H321" i="50"/>
  <c r="I321" i="50"/>
  <c r="J321" i="50" s="1"/>
  <c r="N321" i="50" s="1"/>
  <c r="B322" i="50"/>
  <c r="F322" i="50"/>
  <c r="H322" i="50"/>
  <c r="I322" i="50"/>
  <c r="J322" i="50" s="1"/>
  <c r="P322" i="50" s="1"/>
  <c r="F80" i="42"/>
  <c r="H80" i="42"/>
  <c r="L80" i="42" s="1"/>
  <c r="CA80" i="42" s="1"/>
  <c r="I80" i="42"/>
  <c r="M80" i="42" s="1"/>
  <c r="J80" i="42"/>
  <c r="K80" i="42"/>
  <c r="F81" i="42"/>
  <c r="H81" i="42"/>
  <c r="I81" i="42"/>
  <c r="M81" i="42" s="1"/>
  <c r="J81" i="42"/>
  <c r="K81" i="42"/>
  <c r="F82" i="42"/>
  <c r="H82" i="42"/>
  <c r="I82" i="42"/>
  <c r="M82" i="42" s="1"/>
  <c r="J82" i="42"/>
  <c r="K82" i="42"/>
  <c r="F83" i="42"/>
  <c r="H83" i="42"/>
  <c r="I83" i="42"/>
  <c r="M83" i="42" s="1"/>
  <c r="J83" i="42"/>
  <c r="K83" i="42"/>
  <c r="F84" i="42"/>
  <c r="H84" i="42"/>
  <c r="L84" i="42" s="1"/>
  <c r="CA84" i="42" s="1"/>
  <c r="I84" i="42"/>
  <c r="M84" i="42" s="1"/>
  <c r="J84" i="42"/>
  <c r="K84" i="42"/>
  <c r="F85" i="42"/>
  <c r="H85" i="42"/>
  <c r="I85" i="42"/>
  <c r="M85" i="42" s="1"/>
  <c r="J85" i="42"/>
  <c r="K85" i="42"/>
  <c r="F86" i="42"/>
  <c r="H86" i="42"/>
  <c r="I86" i="42"/>
  <c r="M86" i="42" s="1"/>
  <c r="J86" i="42"/>
  <c r="K86" i="42"/>
  <c r="F87" i="42"/>
  <c r="H87" i="42"/>
  <c r="I87" i="42"/>
  <c r="M87" i="42" s="1"/>
  <c r="J87" i="42"/>
  <c r="K87" i="42"/>
  <c r="H88" i="42"/>
  <c r="L88" i="42" s="1"/>
  <c r="CA88" i="42" s="1"/>
  <c r="I88" i="42"/>
  <c r="M88" i="42" s="1"/>
  <c r="J88" i="42"/>
  <c r="K88" i="42"/>
  <c r="F89" i="42"/>
  <c r="H89" i="42"/>
  <c r="L89" i="42" s="1"/>
  <c r="CA89" i="42" s="1"/>
  <c r="I89" i="42"/>
  <c r="M89" i="42" s="1"/>
  <c r="S89" i="42" s="1"/>
  <c r="J89" i="42"/>
  <c r="K89" i="42"/>
  <c r="B80" i="42"/>
  <c r="B81" i="42"/>
  <c r="B82" i="42"/>
  <c r="B83" i="42"/>
  <c r="B84" i="42"/>
  <c r="B85" i="42"/>
  <c r="B86" i="42"/>
  <c r="B87" i="42"/>
  <c r="B88" i="42"/>
  <c r="B89" i="42"/>
  <c r="B821" i="37"/>
  <c r="F821" i="37"/>
  <c r="G821" i="37"/>
  <c r="H821" i="37"/>
  <c r="I821" i="37"/>
  <c r="B822" i="37"/>
  <c r="F822" i="37"/>
  <c r="G822" i="37"/>
  <c r="AC822" i="37" s="1"/>
  <c r="H822" i="37"/>
  <c r="I822" i="37"/>
  <c r="B823" i="37"/>
  <c r="F823" i="37"/>
  <c r="G823" i="37"/>
  <c r="AD823" i="37" s="1"/>
  <c r="H823" i="37"/>
  <c r="I823" i="37"/>
  <c r="B824" i="37"/>
  <c r="F824" i="37"/>
  <c r="G824" i="37"/>
  <c r="AC824" i="37" s="1"/>
  <c r="H824" i="37"/>
  <c r="I824" i="37"/>
  <c r="B825" i="37"/>
  <c r="F825" i="37"/>
  <c r="G825" i="37"/>
  <c r="AD825" i="37" s="1"/>
  <c r="H825" i="37"/>
  <c r="I825" i="37"/>
  <c r="B826" i="37"/>
  <c r="F826" i="37"/>
  <c r="G826" i="37"/>
  <c r="AC826" i="37" s="1"/>
  <c r="H826" i="37"/>
  <c r="I826" i="37"/>
  <c r="B827" i="37"/>
  <c r="F827" i="37"/>
  <c r="G827" i="37"/>
  <c r="AC827" i="37" s="1"/>
  <c r="H827" i="37"/>
  <c r="I827" i="37"/>
  <c r="B828" i="37"/>
  <c r="F828" i="37"/>
  <c r="G828" i="37"/>
  <c r="AC828" i="37" s="1"/>
  <c r="H828" i="37"/>
  <c r="I828" i="37"/>
  <c r="B829" i="37"/>
  <c r="F829" i="37"/>
  <c r="G829" i="37"/>
  <c r="AD829" i="37" s="1"/>
  <c r="H829" i="37"/>
  <c r="I829" i="37"/>
  <c r="B830" i="37"/>
  <c r="F830" i="37"/>
  <c r="G830" i="37"/>
  <c r="AC830" i="37" s="1"/>
  <c r="H830" i="37"/>
  <c r="I830" i="37"/>
  <c r="B831" i="37"/>
  <c r="F831" i="37"/>
  <c r="G831" i="37"/>
  <c r="AC831" i="37" s="1"/>
  <c r="H831" i="37"/>
  <c r="I831" i="37"/>
  <c r="B832" i="37"/>
  <c r="F832" i="37"/>
  <c r="G832" i="37"/>
  <c r="AC832" i="37" s="1"/>
  <c r="H832" i="37"/>
  <c r="I832" i="37"/>
  <c r="B833" i="37"/>
  <c r="F833" i="37"/>
  <c r="G833" i="37"/>
  <c r="AD833" i="37" s="1"/>
  <c r="H833" i="37"/>
  <c r="I833" i="37"/>
  <c r="B834" i="37"/>
  <c r="F834" i="37"/>
  <c r="G834" i="37"/>
  <c r="AC834" i="37" s="1"/>
  <c r="H834" i="37"/>
  <c r="I834" i="37"/>
  <c r="B835" i="37"/>
  <c r="F835" i="37"/>
  <c r="G835" i="37"/>
  <c r="AD835" i="37" s="1"/>
  <c r="H835" i="37"/>
  <c r="I835" i="37"/>
  <c r="Q823" i="37" l="1"/>
  <c r="K822" i="37"/>
  <c r="AC825" i="37"/>
  <c r="Q825" i="37"/>
  <c r="AC823" i="37"/>
  <c r="O821" i="37"/>
  <c r="Q831" i="37"/>
  <c r="Q833" i="37"/>
  <c r="R827" i="37"/>
  <c r="Q827" i="37"/>
  <c r="Q835" i="37"/>
  <c r="K832" i="37"/>
  <c r="Q829" i="37"/>
  <c r="O835" i="37"/>
  <c r="AD834" i="37"/>
  <c r="AD830" i="37"/>
  <c r="O829" i="37"/>
  <c r="AD828" i="37"/>
  <c r="R835" i="37"/>
  <c r="L834" i="37"/>
  <c r="R831" i="37"/>
  <c r="L830" i="37"/>
  <c r="K828" i="37"/>
  <c r="O827" i="37"/>
  <c r="AD826" i="37"/>
  <c r="O833" i="37"/>
  <c r="L826" i="37"/>
  <c r="M834" i="37"/>
  <c r="S834" i="37" s="1"/>
  <c r="R833" i="37"/>
  <c r="R829" i="37"/>
  <c r="AD824" i="37"/>
  <c r="Q821" i="37"/>
  <c r="M832" i="37"/>
  <c r="S832" i="37" s="1"/>
  <c r="L824" i="37"/>
  <c r="R823" i="37"/>
  <c r="R821" i="37"/>
  <c r="AD832" i="37"/>
  <c r="O825" i="37"/>
  <c r="AD822" i="37"/>
  <c r="AC821" i="37"/>
  <c r="AC833" i="37"/>
  <c r="K833" i="37"/>
  <c r="AC829" i="37"/>
  <c r="K829" i="37"/>
  <c r="AD821" i="37"/>
  <c r="AC835" i="37"/>
  <c r="K835" i="37"/>
  <c r="K834" i="37"/>
  <c r="AD831" i="37"/>
  <c r="K831" i="37"/>
  <c r="K830" i="37"/>
  <c r="AD827" i="37"/>
  <c r="K827" i="37"/>
  <c r="K826" i="37"/>
  <c r="R825" i="37"/>
  <c r="M830" i="37"/>
  <c r="S830" i="37" s="1"/>
  <c r="K824" i="37"/>
  <c r="S88" i="42"/>
  <c r="S87" i="42"/>
  <c r="U86" i="42"/>
  <c r="U85" i="42"/>
  <c r="U81" i="42"/>
  <c r="U82" i="42"/>
  <c r="U87" i="42"/>
  <c r="U83" i="42"/>
  <c r="AQ81" i="42"/>
  <c r="V81" i="42"/>
  <c r="AP81" i="42"/>
  <c r="V80" i="42"/>
  <c r="O80" i="42"/>
  <c r="P80" i="42"/>
  <c r="BE80" i="42" s="1"/>
  <c r="P84" i="42"/>
  <c r="BE84" i="42" s="1"/>
  <c r="O84" i="42"/>
  <c r="BV88" i="42"/>
  <c r="BW88" i="42"/>
  <c r="BX88" i="42"/>
  <c r="BY88" i="42"/>
  <c r="AQ87" i="42"/>
  <c r="V87" i="42"/>
  <c r="AP87" i="42"/>
  <c r="BV84" i="42"/>
  <c r="BW84" i="42"/>
  <c r="BX80" i="42"/>
  <c r="BV80" i="42"/>
  <c r="BW80" i="42"/>
  <c r="O86" i="42"/>
  <c r="AQ86" i="42"/>
  <c r="P86" i="42"/>
  <c r="BE86" i="42" s="1"/>
  <c r="V86" i="42"/>
  <c r="S86" i="42"/>
  <c r="AP86" i="42"/>
  <c r="O82" i="42"/>
  <c r="AP82" i="42"/>
  <c r="P82" i="42"/>
  <c r="BE82" i="42" s="1"/>
  <c r="V82" i="42"/>
  <c r="AQ82" i="42"/>
  <c r="U88" i="42"/>
  <c r="L87" i="42"/>
  <c r="BW87" i="42" s="1"/>
  <c r="L85" i="42"/>
  <c r="L81" i="42"/>
  <c r="BW81" i="42" s="1"/>
  <c r="U89" i="42"/>
  <c r="L86" i="42"/>
  <c r="CA86" i="42" s="1"/>
  <c r="U84" i="42"/>
  <c r="L83" i="42"/>
  <c r="L82" i="42"/>
  <c r="CA82" i="42" s="1"/>
  <c r="U80" i="42"/>
  <c r="P318" i="50"/>
  <c r="AU316" i="50"/>
  <c r="AN319" i="50"/>
  <c r="AC316" i="50"/>
  <c r="AT313" i="50"/>
  <c r="AT312" i="50"/>
  <c r="AT318" i="50"/>
  <c r="AU310" i="50"/>
  <c r="M320" i="50"/>
  <c r="S320" i="50"/>
  <c r="P320" i="50"/>
  <c r="V320" i="50"/>
  <c r="AB320" i="50"/>
  <c r="AN320" i="50"/>
  <c r="Q320" i="50"/>
  <c r="W320" i="50"/>
  <c r="AC320" i="50"/>
  <c r="AO320" i="50"/>
  <c r="N320" i="50"/>
  <c r="T320" i="50"/>
  <c r="P315" i="50"/>
  <c r="V315" i="50"/>
  <c r="AB315" i="50"/>
  <c r="Q315" i="50"/>
  <c r="AC315" i="50"/>
  <c r="W315" i="50"/>
  <c r="M315" i="50"/>
  <c r="S315" i="50"/>
  <c r="AN315" i="50"/>
  <c r="N315" i="50"/>
  <c r="T315" i="50"/>
  <c r="AO315" i="50"/>
  <c r="T321" i="50"/>
  <c r="S317" i="50"/>
  <c r="AU322" i="50"/>
  <c r="AU321" i="50"/>
  <c r="AT321" i="50"/>
  <c r="N318" i="50"/>
  <c r="T318" i="50"/>
  <c r="AO318" i="50"/>
  <c r="Q318" i="50"/>
  <c r="W318" i="50"/>
  <c r="AC318" i="50"/>
  <c r="M318" i="50"/>
  <c r="S318" i="50"/>
  <c r="AN318" i="50"/>
  <c r="AT320" i="50"/>
  <c r="AU319" i="50"/>
  <c r="AT319" i="50"/>
  <c r="M316" i="50"/>
  <c r="S316" i="50"/>
  <c r="AB316" i="50"/>
  <c r="N316" i="50"/>
  <c r="T316" i="50"/>
  <c r="P316" i="50"/>
  <c r="V316" i="50"/>
  <c r="AN316" i="50"/>
  <c r="Q316" i="50"/>
  <c r="W316" i="50"/>
  <c r="AO316" i="50"/>
  <c r="AU317" i="50"/>
  <c r="AT317" i="50"/>
  <c r="Q314" i="50"/>
  <c r="W314" i="50"/>
  <c r="AC314" i="50"/>
  <c r="AN314" i="50"/>
  <c r="M314" i="50"/>
  <c r="S314" i="50"/>
  <c r="AO314" i="50"/>
  <c r="N314" i="50"/>
  <c r="T314" i="50"/>
  <c r="P314" i="50"/>
  <c r="V314" i="50"/>
  <c r="AB314" i="50"/>
  <c r="Q313" i="50"/>
  <c r="W313" i="50"/>
  <c r="AO313" i="50"/>
  <c r="M313" i="50"/>
  <c r="S313" i="50"/>
  <c r="AB313" i="50"/>
  <c r="N313" i="50"/>
  <c r="T313" i="50"/>
  <c r="AC313" i="50"/>
  <c r="P313" i="50"/>
  <c r="V313" i="50"/>
  <c r="AN313" i="50"/>
  <c r="P312" i="50"/>
  <c r="V312" i="50"/>
  <c r="AB312" i="50"/>
  <c r="AO312" i="50"/>
  <c r="Q312" i="50"/>
  <c r="W312" i="50"/>
  <c r="AC312" i="50"/>
  <c r="M312" i="50"/>
  <c r="S312" i="50"/>
  <c r="N312" i="50"/>
  <c r="T312" i="50"/>
  <c r="AN312" i="50"/>
  <c r="M311" i="50"/>
  <c r="S311" i="50"/>
  <c r="AB311" i="50"/>
  <c r="AN311" i="50"/>
  <c r="N311" i="50"/>
  <c r="T311" i="50"/>
  <c r="AC311" i="50"/>
  <c r="AO311" i="50"/>
  <c r="P311" i="50"/>
  <c r="V311" i="50"/>
  <c r="Q311" i="50"/>
  <c r="W311" i="50"/>
  <c r="AT322" i="50"/>
  <c r="M317" i="50"/>
  <c r="N322" i="50"/>
  <c r="T322" i="50"/>
  <c r="AO322" i="50"/>
  <c r="Q322" i="50"/>
  <c r="W322" i="50"/>
  <c r="AC322" i="50"/>
  <c r="M322" i="50"/>
  <c r="S322" i="50"/>
  <c r="AN322" i="50"/>
  <c r="M321" i="50"/>
  <c r="S321" i="50"/>
  <c r="AB321" i="50"/>
  <c r="P321" i="50"/>
  <c r="V321" i="50"/>
  <c r="AO321" i="50"/>
  <c r="Q321" i="50"/>
  <c r="W321" i="50"/>
  <c r="AT315" i="50"/>
  <c r="AU315" i="50"/>
  <c r="P310" i="50"/>
  <c r="V310" i="50"/>
  <c r="AB310" i="50"/>
  <c r="Q310" i="50"/>
  <c r="W310" i="50"/>
  <c r="AC310" i="50"/>
  <c r="M310" i="50"/>
  <c r="S310" i="50"/>
  <c r="AN310" i="50"/>
  <c r="N310" i="50"/>
  <c r="T310" i="50"/>
  <c r="AO310" i="50"/>
  <c r="M308" i="50"/>
  <c r="S308" i="50"/>
  <c r="AB308" i="50"/>
  <c r="N308" i="50"/>
  <c r="T308" i="50"/>
  <c r="AC308" i="50"/>
  <c r="P308" i="50"/>
  <c r="V308" i="50"/>
  <c r="AN308" i="50"/>
  <c r="Q308" i="50"/>
  <c r="W308" i="50"/>
  <c r="AO308" i="50"/>
  <c r="AB322" i="50"/>
  <c r="AN321" i="50"/>
  <c r="AU320" i="50"/>
  <c r="S319" i="50"/>
  <c r="AB318" i="50"/>
  <c r="Q317" i="50"/>
  <c r="W317" i="50"/>
  <c r="AC317" i="50"/>
  <c r="N317" i="50"/>
  <c r="T317" i="50"/>
  <c r="AO317" i="50"/>
  <c r="P317" i="50"/>
  <c r="V317" i="50"/>
  <c r="AB317" i="50"/>
  <c r="AT311" i="50"/>
  <c r="AU311" i="50"/>
  <c r="AT308" i="50"/>
  <c r="AU308" i="50"/>
  <c r="V322" i="50"/>
  <c r="AC321" i="50"/>
  <c r="M319" i="50"/>
  <c r="V318" i="50"/>
  <c r="AC319" i="50"/>
  <c r="V319" i="50"/>
  <c r="P319" i="50"/>
  <c r="AU314" i="50"/>
  <c r="AU309" i="50"/>
  <c r="AC309" i="50"/>
  <c r="W309" i="50"/>
  <c r="Q309" i="50"/>
  <c r="AO319" i="50"/>
  <c r="AB319" i="50"/>
  <c r="T319" i="50"/>
  <c r="N319" i="50"/>
  <c r="AU318" i="50"/>
  <c r="AT314" i="50"/>
  <c r="AU313" i="50"/>
  <c r="AU312" i="50"/>
  <c r="AT309" i="50"/>
  <c r="AB309" i="50"/>
  <c r="V309" i="50"/>
  <c r="P309" i="50"/>
  <c r="AO309" i="50"/>
  <c r="T309" i="50"/>
  <c r="N309" i="50"/>
  <c r="W319" i="50"/>
  <c r="AN309" i="50"/>
  <c r="S309" i="50"/>
  <c r="O831" i="37"/>
  <c r="O823" i="37"/>
  <c r="AQ89" i="42"/>
  <c r="AQ88" i="42"/>
  <c r="O83" i="42"/>
  <c r="P83" i="42"/>
  <c r="S83" i="42"/>
  <c r="AQ83" i="42"/>
  <c r="AP83" i="42"/>
  <c r="V84" i="42"/>
  <c r="AP84" i="42"/>
  <c r="AQ84" i="42"/>
  <c r="V88" i="42"/>
  <c r="BX84" i="42"/>
  <c r="BY84" i="42"/>
  <c r="AP88" i="42"/>
  <c r="O89" i="42"/>
  <c r="R89" i="42" s="1"/>
  <c r="V89" i="42"/>
  <c r="P89" i="42"/>
  <c r="AP89" i="42"/>
  <c r="BW89" i="42"/>
  <c r="BV89" i="42"/>
  <c r="BX89" i="42"/>
  <c r="BY89" i="42"/>
  <c r="P88" i="42"/>
  <c r="V83" i="42"/>
  <c r="O85" i="42"/>
  <c r="P85" i="42"/>
  <c r="S85" i="42"/>
  <c r="V85" i="42"/>
  <c r="AP85" i="42"/>
  <c r="AQ85" i="42"/>
  <c r="O88" i="42"/>
  <c r="R88" i="42" s="1"/>
  <c r="O87" i="42"/>
  <c r="R87" i="42" s="1"/>
  <c r="P87" i="42"/>
  <c r="O81" i="42"/>
  <c r="P81" i="42"/>
  <c r="BY80" i="42"/>
  <c r="AQ80" i="42"/>
  <c r="AP80" i="42"/>
  <c r="N834" i="37"/>
  <c r="Q834" i="37"/>
  <c r="O834" i="37"/>
  <c r="R834" i="37"/>
  <c r="M826" i="37"/>
  <c r="S826" i="37" s="1"/>
  <c r="N826" i="37"/>
  <c r="O826" i="37"/>
  <c r="Q826" i="37"/>
  <c r="R826" i="37"/>
  <c r="M828" i="37"/>
  <c r="S828" i="37" s="1"/>
  <c r="N828" i="37"/>
  <c r="O828" i="37"/>
  <c r="Q828" i="37"/>
  <c r="R828" i="37"/>
  <c r="N830" i="37"/>
  <c r="R830" i="37"/>
  <c r="O830" i="37"/>
  <c r="Q830" i="37"/>
  <c r="N832" i="37"/>
  <c r="Q832" i="37"/>
  <c r="R832" i="37"/>
  <c r="O832" i="37"/>
  <c r="M824" i="37"/>
  <c r="N824" i="37"/>
  <c r="O824" i="37"/>
  <c r="Q824" i="37"/>
  <c r="R824" i="37"/>
  <c r="L822" i="37"/>
  <c r="M822" i="37"/>
  <c r="S822" i="37" s="1"/>
  <c r="N822" i="37"/>
  <c r="O822" i="37"/>
  <c r="Q822" i="37"/>
  <c r="R822" i="37"/>
  <c r="L832" i="37"/>
  <c r="L828" i="37"/>
  <c r="N835" i="37"/>
  <c r="N833" i="37"/>
  <c r="N831" i="37"/>
  <c r="N829" i="37"/>
  <c r="N827" i="37"/>
  <c r="N825" i="37"/>
  <c r="N823" i="37"/>
  <c r="N821" i="37"/>
  <c r="M835" i="37"/>
  <c r="M833" i="37"/>
  <c r="M831" i="37"/>
  <c r="M829" i="37"/>
  <c r="M827" i="37"/>
  <c r="M825" i="37"/>
  <c r="M823" i="37"/>
  <c r="M821" i="37"/>
  <c r="L835" i="37"/>
  <c r="L833" i="37"/>
  <c r="L831" i="37"/>
  <c r="L829" i="37"/>
  <c r="L827" i="37"/>
  <c r="L825" i="37"/>
  <c r="L823" i="37"/>
  <c r="L821" i="37"/>
  <c r="K825" i="37"/>
  <c r="K823" i="37"/>
  <c r="K821" i="37"/>
  <c r="BW83" i="42" l="1"/>
  <c r="CA83" i="42"/>
  <c r="BX81" i="42"/>
  <c r="CA81" i="42"/>
  <c r="BY85" i="42"/>
  <c r="CA85" i="42"/>
  <c r="BY87" i="42"/>
  <c r="CA87" i="42"/>
  <c r="T828" i="37"/>
  <c r="T832" i="37"/>
  <c r="U832" i="37" s="1"/>
  <c r="T826" i="37"/>
  <c r="U826" i="37" s="1"/>
  <c r="T822" i="37"/>
  <c r="U822" i="37" s="1"/>
  <c r="U828" i="37"/>
  <c r="AH316" i="50"/>
  <c r="BX86" i="42"/>
  <c r="BV87" i="42"/>
  <c r="BY83" i="42"/>
  <c r="BV81" i="42"/>
  <c r="BY81" i="42"/>
  <c r="BX87" i="42"/>
  <c r="BX83" i="42"/>
  <c r="BV85" i="42"/>
  <c r="AI308" i="50"/>
  <c r="AI318" i="50"/>
  <c r="BV83" i="42"/>
  <c r="AI316" i="50"/>
  <c r="AI319" i="50"/>
  <c r="AH309" i="50"/>
  <c r="AH317" i="50"/>
  <c r="AH308" i="50"/>
  <c r="AH310" i="50"/>
  <c r="AI322" i="50"/>
  <c r="AI313" i="50"/>
  <c r="BV86" i="42"/>
  <c r="BX85" i="42"/>
  <c r="BW85" i="42"/>
  <c r="BY86" i="42"/>
  <c r="BW86" i="42"/>
  <c r="BV82" i="42"/>
  <c r="BX82" i="42"/>
  <c r="BY82" i="42"/>
  <c r="BW82" i="42"/>
  <c r="R86" i="42"/>
  <c r="BD86" i="42"/>
  <c r="R82" i="42"/>
  <c r="BD82" i="42"/>
  <c r="R84" i="42"/>
  <c r="BD84" i="42"/>
  <c r="BD80" i="42"/>
  <c r="R80" i="42"/>
  <c r="AI311" i="50"/>
  <c r="AH313" i="50"/>
  <c r="AH319" i="50"/>
  <c r="AI309" i="50"/>
  <c r="AI315" i="50"/>
  <c r="AI310" i="50"/>
  <c r="AH314" i="50"/>
  <c r="AI321" i="50"/>
  <c r="AH321" i="50"/>
  <c r="AI312" i="50"/>
  <c r="AH312" i="50"/>
  <c r="AI314" i="50"/>
  <c r="AH315" i="50"/>
  <c r="AI320" i="50"/>
  <c r="AH320" i="50"/>
  <c r="AH318" i="50"/>
  <c r="AH322" i="50"/>
  <c r="AI317" i="50"/>
  <c r="AH311" i="50"/>
  <c r="T830" i="37"/>
  <c r="U830" i="37" s="1"/>
  <c r="T834" i="37"/>
  <c r="U834" i="37" s="1"/>
  <c r="BE83" i="42"/>
  <c r="R85" i="42"/>
  <c r="BD85" i="42"/>
  <c r="BD89" i="42"/>
  <c r="R83" i="42"/>
  <c r="BD83" i="42"/>
  <c r="BE87" i="42"/>
  <c r="BD88" i="42"/>
  <c r="BD81" i="42"/>
  <c r="R81" i="42"/>
  <c r="BD87" i="42"/>
  <c r="BE81" i="42"/>
  <c r="BE88" i="42"/>
  <c r="BE85" i="42"/>
  <c r="BE89" i="42"/>
  <c r="S825" i="37"/>
  <c r="T825" i="37" s="1"/>
  <c r="U825" i="37" s="1"/>
  <c r="S827" i="37"/>
  <c r="T827" i="37" s="1"/>
  <c r="U827" i="37" s="1"/>
  <c r="S829" i="37"/>
  <c r="T829" i="37" s="1"/>
  <c r="U829" i="37" s="1"/>
  <c r="S831" i="37"/>
  <c r="T831" i="37" s="1"/>
  <c r="U831" i="37" s="1"/>
  <c r="S833" i="37"/>
  <c r="T833" i="37" s="1"/>
  <c r="U833" i="37" s="1"/>
  <c r="S835" i="37"/>
  <c r="T835" i="37" s="1"/>
  <c r="U835" i="37" s="1"/>
  <c r="S824" i="37"/>
  <c r="T824" i="37" s="1"/>
  <c r="U824" i="37" s="1"/>
  <c r="S823" i="37"/>
  <c r="T823" i="37" s="1"/>
  <c r="U823" i="37" s="1"/>
  <c r="S821" i="37"/>
  <c r="T821" i="37" s="1"/>
  <c r="U821" i="37" s="1"/>
  <c r="S82" i="42" l="1"/>
  <c r="S84" i="42"/>
  <c r="S81" i="42"/>
  <c r="S80" i="42"/>
  <c r="L20" i="32" l="1"/>
  <c r="L21" i="32"/>
  <c r="L22" i="32"/>
  <c r="L23" i="32"/>
  <c r="L24" i="32"/>
  <c r="L25" i="32"/>
  <c r="L26" i="32"/>
  <c r="L27" i="32"/>
  <c r="L28" i="32"/>
  <c r="L29" i="32"/>
  <c r="L30" i="32"/>
  <c r="L31" i="32"/>
  <c r="L34" i="32"/>
  <c r="L35" i="32"/>
  <c r="L36" i="32"/>
  <c r="L37" i="32"/>
  <c r="L38" i="32"/>
  <c r="L19" i="32"/>
  <c r="L52" i="32" l="1"/>
  <c r="B554" i="40"/>
  <c r="D554" i="40"/>
  <c r="F1431" i="40" s="1"/>
  <c r="E554" i="40"/>
  <c r="F554" i="40"/>
  <c r="G554" i="40"/>
  <c r="E1431" i="40" s="1"/>
  <c r="B555" i="40"/>
  <c r="D555" i="40"/>
  <c r="F1432" i="40" s="1"/>
  <c r="E555" i="40"/>
  <c r="F555" i="40"/>
  <c r="G555" i="40"/>
  <c r="E1432" i="40" s="1"/>
  <c r="B556" i="40"/>
  <c r="D556" i="40"/>
  <c r="F1433" i="40" s="1"/>
  <c r="E556" i="40"/>
  <c r="F556" i="40"/>
  <c r="G556" i="40"/>
  <c r="E1433" i="40" s="1"/>
  <c r="B557" i="40"/>
  <c r="D557" i="40"/>
  <c r="F1434" i="40" s="1"/>
  <c r="E557" i="40"/>
  <c r="F557" i="40"/>
  <c r="G557" i="40"/>
  <c r="E1434" i="40" s="1"/>
  <c r="B558" i="40"/>
  <c r="D558" i="40"/>
  <c r="F1435" i="40" s="1"/>
  <c r="E558" i="40"/>
  <c r="F558" i="40"/>
  <c r="G558" i="40"/>
  <c r="E1435" i="40" s="1"/>
  <c r="B559" i="40"/>
  <c r="D559" i="40"/>
  <c r="F1436" i="40" s="1"/>
  <c r="E559" i="40"/>
  <c r="F559" i="40"/>
  <c r="G559" i="40"/>
  <c r="E1436" i="40" s="1"/>
  <c r="B560" i="40"/>
  <c r="D560" i="40"/>
  <c r="F1437" i="40" s="1"/>
  <c r="E560" i="40"/>
  <c r="F560" i="40"/>
  <c r="G560" i="40"/>
  <c r="E1437" i="40" s="1"/>
  <c r="B561" i="40"/>
  <c r="D561" i="40"/>
  <c r="F1438" i="40" s="1"/>
  <c r="E561" i="40"/>
  <c r="F561" i="40"/>
  <c r="G561" i="40"/>
  <c r="E1438" i="40" s="1"/>
  <c r="B562" i="40"/>
  <c r="D562" i="40"/>
  <c r="F1439" i="40" s="1"/>
  <c r="E562" i="40"/>
  <c r="F562" i="40"/>
  <c r="G562" i="40"/>
  <c r="E1439" i="40" s="1"/>
  <c r="B563" i="40"/>
  <c r="D563" i="40"/>
  <c r="F1440" i="40" s="1"/>
  <c r="E563" i="40"/>
  <c r="F563" i="40"/>
  <c r="G563" i="40"/>
  <c r="E1440" i="40" s="1"/>
  <c r="B564" i="40"/>
  <c r="D564" i="40"/>
  <c r="F1441" i="40" s="1"/>
  <c r="E564" i="40"/>
  <c r="F564" i="40"/>
  <c r="G564" i="40"/>
  <c r="E1441" i="40" s="1"/>
  <c r="B565" i="40"/>
  <c r="D565" i="40"/>
  <c r="F1442" i="40" s="1"/>
  <c r="E565" i="40"/>
  <c r="F565" i="40"/>
  <c r="G565" i="40"/>
  <c r="E1442" i="40" s="1"/>
  <c r="B566" i="40"/>
  <c r="D566" i="40"/>
  <c r="F1443" i="40" s="1"/>
  <c r="E566" i="40"/>
  <c r="F566" i="40"/>
  <c r="G566" i="40"/>
  <c r="E1443" i="40" s="1"/>
  <c r="B567" i="40"/>
  <c r="D567" i="40"/>
  <c r="F1444" i="40" s="1"/>
  <c r="E567" i="40"/>
  <c r="F567" i="40"/>
  <c r="G567" i="40"/>
  <c r="E1444" i="40" s="1"/>
  <c r="B568" i="40"/>
  <c r="D568" i="40"/>
  <c r="F1445" i="40" s="1"/>
  <c r="E568" i="40"/>
  <c r="F568" i="40"/>
  <c r="G568" i="40"/>
  <c r="E1445" i="40" s="1"/>
  <c r="B569" i="40"/>
  <c r="D569" i="40"/>
  <c r="F1446" i="40" s="1"/>
  <c r="E569" i="40"/>
  <c r="F569" i="40"/>
  <c r="G569" i="40"/>
  <c r="E1446" i="40" s="1"/>
  <c r="B570" i="40"/>
  <c r="D570" i="40"/>
  <c r="F1447" i="40" s="1"/>
  <c r="E570" i="40"/>
  <c r="F570" i="40"/>
  <c r="G570" i="40"/>
  <c r="E1447" i="40" s="1"/>
  <c r="B571" i="40"/>
  <c r="D571" i="40"/>
  <c r="F1448" i="40" s="1"/>
  <c r="E571" i="40"/>
  <c r="F571" i="40"/>
  <c r="G571" i="40"/>
  <c r="E1448" i="40" s="1"/>
  <c r="B572" i="40"/>
  <c r="D572" i="40"/>
  <c r="F1449" i="40" s="1"/>
  <c r="E572" i="40"/>
  <c r="F572" i="40"/>
  <c r="G572" i="40"/>
  <c r="E1449" i="40" s="1"/>
  <c r="B573" i="40"/>
  <c r="D573" i="40"/>
  <c r="F1450" i="40" s="1"/>
  <c r="E573" i="40"/>
  <c r="F573" i="40"/>
  <c r="G573" i="40"/>
  <c r="E1450" i="40" s="1"/>
  <c r="B574" i="40"/>
  <c r="D574" i="40"/>
  <c r="F1451" i="40" s="1"/>
  <c r="E574" i="40"/>
  <c r="F574" i="40"/>
  <c r="G574" i="40"/>
  <c r="E1451" i="40" s="1"/>
  <c r="B575" i="40"/>
  <c r="D575" i="40"/>
  <c r="F1452" i="40" s="1"/>
  <c r="E575" i="40"/>
  <c r="F575" i="40"/>
  <c r="G575" i="40"/>
  <c r="E1452" i="40" s="1"/>
  <c r="B576" i="40"/>
  <c r="D576" i="40"/>
  <c r="F1453" i="40" s="1"/>
  <c r="E576" i="40"/>
  <c r="F576" i="40"/>
  <c r="G576" i="40"/>
  <c r="E1453" i="40" s="1"/>
  <c r="B577" i="40"/>
  <c r="D577" i="40"/>
  <c r="F1454" i="40" s="1"/>
  <c r="E577" i="40"/>
  <c r="F577" i="40"/>
  <c r="G577" i="40"/>
  <c r="E1454" i="40" s="1"/>
  <c r="B578" i="40"/>
  <c r="D578" i="40"/>
  <c r="F1455" i="40" s="1"/>
  <c r="E578" i="40"/>
  <c r="F578" i="40"/>
  <c r="G578" i="40"/>
  <c r="E1455" i="40" s="1"/>
  <c r="B579" i="40"/>
  <c r="D579" i="40"/>
  <c r="F1456" i="40" s="1"/>
  <c r="E579" i="40"/>
  <c r="F579" i="40"/>
  <c r="G579" i="40"/>
  <c r="E1456" i="40" s="1"/>
  <c r="B580" i="40"/>
  <c r="D580" i="40"/>
  <c r="F1457" i="40" s="1"/>
  <c r="E580" i="40"/>
  <c r="F580" i="40"/>
  <c r="G580" i="40"/>
  <c r="E1457" i="40" s="1"/>
  <c r="B581" i="40"/>
  <c r="D581" i="40"/>
  <c r="F1458" i="40" s="1"/>
  <c r="E581" i="40"/>
  <c r="F581" i="40"/>
  <c r="G581" i="40"/>
  <c r="E1458" i="40" s="1"/>
  <c r="B582" i="40"/>
  <c r="D582" i="40"/>
  <c r="F1459" i="40" s="1"/>
  <c r="E582" i="40"/>
  <c r="F582" i="40"/>
  <c r="G582" i="40"/>
  <c r="E1459" i="40" s="1"/>
  <c r="B583" i="40"/>
  <c r="D583" i="40"/>
  <c r="F1460" i="40" s="1"/>
  <c r="E583" i="40"/>
  <c r="F583" i="40"/>
  <c r="G583" i="40"/>
  <c r="E1460" i="40" s="1"/>
  <c r="B584" i="40"/>
  <c r="D584" i="40"/>
  <c r="F1461" i="40" s="1"/>
  <c r="E584" i="40"/>
  <c r="F584" i="40"/>
  <c r="G584" i="40"/>
  <c r="E1461" i="40" s="1"/>
  <c r="B585" i="40"/>
  <c r="D585" i="40"/>
  <c r="F1462" i="40" s="1"/>
  <c r="E585" i="40"/>
  <c r="F585" i="40"/>
  <c r="G585" i="40"/>
  <c r="E1462" i="40" s="1"/>
  <c r="B586" i="40"/>
  <c r="D586" i="40"/>
  <c r="F1463" i="40" s="1"/>
  <c r="E586" i="40"/>
  <c r="F586" i="40"/>
  <c r="G586" i="40"/>
  <c r="E1463" i="40" s="1"/>
  <c r="B587" i="40"/>
  <c r="D587" i="40"/>
  <c r="F1464" i="40" s="1"/>
  <c r="E587" i="40"/>
  <c r="F587" i="40"/>
  <c r="G587" i="40"/>
  <c r="E1464" i="40" s="1"/>
  <c r="B588" i="40"/>
  <c r="D588" i="40"/>
  <c r="F1465" i="40" s="1"/>
  <c r="E588" i="40"/>
  <c r="F588" i="40"/>
  <c r="G588" i="40"/>
  <c r="E1465" i="40" s="1"/>
  <c r="B589" i="40"/>
  <c r="D589" i="40"/>
  <c r="F1466" i="40" s="1"/>
  <c r="E589" i="40"/>
  <c r="F589" i="40"/>
  <c r="G589" i="40"/>
  <c r="E1466" i="40" s="1"/>
  <c r="B590" i="40"/>
  <c r="D590" i="40"/>
  <c r="F1467" i="40" s="1"/>
  <c r="E590" i="40"/>
  <c r="F590" i="40"/>
  <c r="G590" i="40"/>
  <c r="E1467" i="40" s="1"/>
  <c r="B591" i="40"/>
  <c r="D591" i="40"/>
  <c r="F1468" i="40" s="1"/>
  <c r="E591" i="40"/>
  <c r="F591" i="40"/>
  <c r="G591" i="40"/>
  <c r="E1468" i="40" s="1"/>
  <c r="B592" i="40"/>
  <c r="D592" i="40"/>
  <c r="F1469" i="40" s="1"/>
  <c r="E592" i="40"/>
  <c r="F592" i="40"/>
  <c r="G592" i="40"/>
  <c r="E1469" i="40" s="1"/>
  <c r="B593" i="40"/>
  <c r="D593" i="40"/>
  <c r="F1470" i="40" s="1"/>
  <c r="E593" i="40"/>
  <c r="F593" i="40"/>
  <c r="G593" i="40"/>
  <c r="E1470" i="40" s="1"/>
  <c r="B594" i="40"/>
  <c r="D594" i="40"/>
  <c r="F1471" i="40" s="1"/>
  <c r="E594" i="40"/>
  <c r="F594" i="40"/>
  <c r="G594" i="40"/>
  <c r="E1471" i="40" s="1"/>
  <c r="B595" i="40"/>
  <c r="D595" i="40"/>
  <c r="F1472" i="40" s="1"/>
  <c r="E595" i="40"/>
  <c r="F595" i="40"/>
  <c r="G595" i="40"/>
  <c r="E1472" i="40" s="1"/>
  <c r="B596" i="40"/>
  <c r="D596" i="40"/>
  <c r="F1473" i="40" s="1"/>
  <c r="E596" i="40"/>
  <c r="F596" i="40"/>
  <c r="G596" i="40"/>
  <c r="E1473" i="40" s="1"/>
  <c r="B597" i="40"/>
  <c r="D597" i="40"/>
  <c r="F1474" i="40" s="1"/>
  <c r="E597" i="40"/>
  <c r="F597" i="40"/>
  <c r="G597" i="40"/>
  <c r="E1474" i="40" s="1"/>
  <c r="B598" i="40"/>
  <c r="D598" i="40"/>
  <c r="F1475" i="40" s="1"/>
  <c r="E598" i="40"/>
  <c r="F598" i="40"/>
  <c r="G598" i="40"/>
  <c r="E1475" i="40" s="1"/>
  <c r="B599" i="40"/>
  <c r="D599" i="40"/>
  <c r="F1476" i="40" s="1"/>
  <c r="E599" i="40"/>
  <c r="F599" i="40"/>
  <c r="G599" i="40"/>
  <c r="E1476" i="40" s="1"/>
  <c r="B600" i="40"/>
  <c r="D600" i="40"/>
  <c r="F1477" i="40" s="1"/>
  <c r="E600" i="40"/>
  <c r="F600" i="40"/>
  <c r="G600" i="40"/>
  <c r="E1477" i="40" s="1"/>
  <c r="B601" i="40"/>
  <c r="D601" i="40"/>
  <c r="F1478" i="40" s="1"/>
  <c r="E601" i="40"/>
  <c r="F601" i="40"/>
  <c r="G601" i="40"/>
  <c r="E1478" i="40" s="1"/>
  <c r="B602" i="40"/>
  <c r="D602" i="40"/>
  <c r="F1479" i="40" s="1"/>
  <c r="E602" i="40"/>
  <c r="F602" i="40"/>
  <c r="G602" i="40"/>
  <c r="E1479" i="40" s="1"/>
  <c r="B603" i="40"/>
  <c r="D603" i="40"/>
  <c r="F1480" i="40" s="1"/>
  <c r="E603" i="40"/>
  <c r="F603" i="40"/>
  <c r="G603" i="40"/>
  <c r="E1480" i="40" s="1"/>
  <c r="B604" i="40"/>
  <c r="D604" i="40"/>
  <c r="F1481" i="40" s="1"/>
  <c r="E604" i="40"/>
  <c r="F604" i="40"/>
  <c r="G604" i="40"/>
  <c r="E1481" i="40" s="1"/>
  <c r="B605" i="40"/>
  <c r="D605" i="40"/>
  <c r="F1482" i="40" s="1"/>
  <c r="E605" i="40"/>
  <c r="F605" i="40"/>
  <c r="G605" i="40"/>
  <c r="E1482" i="40" s="1"/>
  <c r="B606" i="40"/>
  <c r="D606" i="40"/>
  <c r="F1483" i="40" s="1"/>
  <c r="E606" i="40"/>
  <c r="F606" i="40"/>
  <c r="G606" i="40"/>
  <c r="E1483" i="40" s="1"/>
  <c r="B607" i="40"/>
  <c r="D607" i="40"/>
  <c r="F1484" i="40" s="1"/>
  <c r="E607" i="40"/>
  <c r="F607" i="40"/>
  <c r="G607" i="40"/>
  <c r="E1484" i="40" s="1"/>
  <c r="B608" i="40"/>
  <c r="D608" i="40"/>
  <c r="F1485" i="40" s="1"/>
  <c r="E608" i="40"/>
  <c r="F608" i="40"/>
  <c r="G608" i="40"/>
  <c r="E1485" i="40" s="1"/>
  <c r="B609" i="40"/>
  <c r="D609" i="40"/>
  <c r="F1486" i="40" s="1"/>
  <c r="E609" i="40"/>
  <c r="F609" i="40"/>
  <c r="G609" i="40"/>
  <c r="E1486" i="40" s="1"/>
  <c r="B610" i="40"/>
  <c r="D610" i="40"/>
  <c r="F1487" i="40" s="1"/>
  <c r="E610" i="40"/>
  <c r="F610" i="40"/>
  <c r="G610" i="40"/>
  <c r="E1487" i="40" s="1"/>
  <c r="B611" i="40"/>
  <c r="D611" i="40"/>
  <c r="F1488" i="40" s="1"/>
  <c r="E611" i="40"/>
  <c r="F611" i="40"/>
  <c r="G611" i="40"/>
  <c r="E1488" i="40" s="1"/>
  <c r="B612" i="40"/>
  <c r="D612" i="40"/>
  <c r="F1489" i="40" s="1"/>
  <c r="E612" i="40"/>
  <c r="F612" i="40"/>
  <c r="G612" i="40"/>
  <c r="E1489" i="40" s="1"/>
  <c r="B613" i="40"/>
  <c r="D613" i="40"/>
  <c r="F1490" i="40" s="1"/>
  <c r="E613" i="40"/>
  <c r="F613" i="40"/>
  <c r="G613" i="40"/>
  <c r="E1490" i="40" s="1"/>
  <c r="B614" i="40"/>
  <c r="D614" i="40"/>
  <c r="F1491" i="40" s="1"/>
  <c r="E614" i="40"/>
  <c r="F614" i="40"/>
  <c r="G614" i="40"/>
  <c r="E1491" i="40" s="1"/>
  <c r="B615" i="40"/>
  <c r="D615" i="40"/>
  <c r="F1492" i="40" s="1"/>
  <c r="E615" i="40"/>
  <c r="F615" i="40"/>
  <c r="G615" i="40"/>
  <c r="E1492" i="40" s="1"/>
  <c r="B616" i="40"/>
  <c r="D616" i="40"/>
  <c r="F1493" i="40" s="1"/>
  <c r="E616" i="40"/>
  <c r="F616" i="40"/>
  <c r="G616" i="40"/>
  <c r="E1493" i="40" s="1"/>
  <c r="B617" i="40"/>
  <c r="D617" i="40"/>
  <c r="F1494" i="40" s="1"/>
  <c r="E617" i="40"/>
  <c r="F617" i="40"/>
  <c r="G617" i="40"/>
  <c r="E1494" i="40" s="1"/>
  <c r="B618" i="40"/>
  <c r="D618" i="40"/>
  <c r="F1495" i="40" s="1"/>
  <c r="E618" i="40"/>
  <c r="F618" i="40"/>
  <c r="G618" i="40"/>
  <c r="E1495" i="40" s="1"/>
  <c r="B619" i="40"/>
  <c r="D619" i="40"/>
  <c r="F1496" i="40" s="1"/>
  <c r="E619" i="40"/>
  <c r="F619" i="40"/>
  <c r="G619" i="40"/>
  <c r="E1496" i="40" s="1"/>
  <c r="B620" i="40"/>
  <c r="D620" i="40"/>
  <c r="F1497" i="40" s="1"/>
  <c r="E620" i="40"/>
  <c r="F620" i="40"/>
  <c r="G620" i="40"/>
  <c r="E1497" i="40" s="1"/>
  <c r="B621" i="40"/>
  <c r="D621" i="40"/>
  <c r="F1498" i="40" s="1"/>
  <c r="E621" i="40"/>
  <c r="F621" i="40"/>
  <c r="G621" i="40"/>
  <c r="E1498" i="40" s="1"/>
  <c r="B622" i="40"/>
  <c r="D622" i="40"/>
  <c r="F1499" i="40" s="1"/>
  <c r="E622" i="40"/>
  <c r="F622" i="40"/>
  <c r="G622" i="40"/>
  <c r="E1499" i="40" s="1"/>
  <c r="B623" i="40"/>
  <c r="D623" i="40"/>
  <c r="F1500" i="40" s="1"/>
  <c r="E623" i="40"/>
  <c r="F623" i="40"/>
  <c r="G623" i="40"/>
  <c r="E1500" i="40" s="1"/>
  <c r="B624" i="40"/>
  <c r="D624" i="40"/>
  <c r="F1501" i="40" s="1"/>
  <c r="E624" i="40"/>
  <c r="F624" i="40"/>
  <c r="G624" i="40"/>
  <c r="E1501" i="40" s="1"/>
  <c r="B625" i="40"/>
  <c r="D625" i="40"/>
  <c r="F1502" i="40" s="1"/>
  <c r="E625" i="40"/>
  <c r="F625" i="40"/>
  <c r="G625" i="40"/>
  <c r="E1502" i="40" s="1"/>
  <c r="B626" i="40"/>
  <c r="D626" i="40"/>
  <c r="F1503" i="40" s="1"/>
  <c r="E626" i="40"/>
  <c r="F626" i="40"/>
  <c r="G626" i="40"/>
  <c r="E1503" i="40" s="1"/>
  <c r="B627" i="40"/>
  <c r="D627" i="40"/>
  <c r="F1504" i="40" s="1"/>
  <c r="E627" i="40"/>
  <c r="F627" i="40"/>
  <c r="G627" i="40"/>
  <c r="E1504" i="40" s="1"/>
  <c r="B628" i="40"/>
  <c r="D628" i="40"/>
  <c r="F1505" i="40" s="1"/>
  <c r="E628" i="40"/>
  <c r="F628" i="40"/>
  <c r="G628" i="40"/>
  <c r="E1505" i="40" s="1"/>
  <c r="B629" i="40"/>
  <c r="D629" i="40"/>
  <c r="F1506" i="40" s="1"/>
  <c r="E629" i="40"/>
  <c r="F629" i="40"/>
  <c r="G629" i="40"/>
  <c r="E1506" i="40" s="1"/>
  <c r="B630" i="40"/>
  <c r="D630" i="40"/>
  <c r="F1507" i="40" s="1"/>
  <c r="E630" i="40"/>
  <c r="F630" i="40"/>
  <c r="G630" i="40"/>
  <c r="E1507" i="40" s="1"/>
  <c r="B631" i="40"/>
  <c r="D631" i="40"/>
  <c r="F1508" i="40" s="1"/>
  <c r="E631" i="40"/>
  <c r="F631" i="40"/>
  <c r="G631" i="40"/>
  <c r="E1508" i="40" s="1"/>
  <c r="B632" i="40"/>
  <c r="D632" i="40"/>
  <c r="F1509" i="40" s="1"/>
  <c r="E632" i="40"/>
  <c r="F632" i="40"/>
  <c r="G632" i="40"/>
  <c r="E1509" i="40" s="1"/>
  <c r="B633" i="40"/>
  <c r="D633" i="40"/>
  <c r="F1510" i="40" s="1"/>
  <c r="E633" i="40"/>
  <c r="F633" i="40"/>
  <c r="G633" i="40"/>
  <c r="E1510" i="40" s="1"/>
  <c r="B634" i="40"/>
  <c r="D634" i="40"/>
  <c r="F1511" i="40" s="1"/>
  <c r="E634" i="40"/>
  <c r="F634" i="40"/>
  <c r="G634" i="40"/>
  <c r="E1511" i="40" s="1"/>
  <c r="B635" i="40"/>
  <c r="D635" i="40"/>
  <c r="F1512" i="40" s="1"/>
  <c r="E635" i="40"/>
  <c r="F635" i="40"/>
  <c r="G635" i="40"/>
  <c r="E1512" i="40" s="1"/>
  <c r="B636" i="40"/>
  <c r="D636" i="40"/>
  <c r="F1513" i="40" s="1"/>
  <c r="E636" i="40"/>
  <c r="F636" i="40"/>
  <c r="G636" i="40"/>
  <c r="E1513" i="40" s="1"/>
  <c r="B637" i="40"/>
  <c r="D637" i="40"/>
  <c r="F1514" i="40" s="1"/>
  <c r="E637" i="40"/>
  <c r="F637" i="40"/>
  <c r="G637" i="40"/>
  <c r="E1514" i="40" s="1"/>
  <c r="B638" i="40"/>
  <c r="D638" i="40"/>
  <c r="F1515" i="40" s="1"/>
  <c r="E638" i="40"/>
  <c r="F638" i="40"/>
  <c r="G638" i="40"/>
  <c r="E1515" i="40" s="1"/>
  <c r="B639" i="40"/>
  <c r="D639" i="40"/>
  <c r="F1516" i="40" s="1"/>
  <c r="E639" i="40"/>
  <c r="F639" i="40"/>
  <c r="G639" i="40"/>
  <c r="E1516" i="40" s="1"/>
  <c r="B640" i="40"/>
  <c r="D640" i="40"/>
  <c r="F1517" i="40" s="1"/>
  <c r="E640" i="40"/>
  <c r="F640" i="40"/>
  <c r="G640" i="40"/>
  <c r="E1517" i="40" s="1"/>
  <c r="B641" i="40"/>
  <c r="D641" i="40"/>
  <c r="F1518" i="40" s="1"/>
  <c r="E641" i="40"/>
  <c r="F641" i="40"/>
  <c r="G641" i="40"/>
  <c r="E1518" i="40" s="1"/>
  <c r="B642" i="40"/>
  <c r="D642" i="40"/>
  <c r="F1519" i="40" s="1"/>
  <c r="E642" i="40"/>
  <c r="F642" i="40"/>
  <c r="G642" i="40"/>
  <c r="E1519" i="40" s="1"/>
  <c r="B643" i="40"/>
  <c r="D643" i="40"/>
  <c r="F1520" i="40" s="1"/>
  <c r="E643" i="40"/>
  <c r="F643" i="40"/>
  <c r="G643" i="40"/>
  <c r="E1520" i="40" s="1"/>
  <c r="B644" i="40"/>
  <c r="D644" i="40"/>
  <c r="F1521" i="40" s="1"/>
  <c r="E644" i="40"/>
  <c r="F644" i="40"/>
  <c r="G644" i="40"/>
  <c r="E1521" i="40" s="1"/>
  <c r="B645" i="40"/>
  <c r="D645" i="40"/>
  <c r="F1522" i="40" s="1"/>
  <c r="E645" i="40"/>
  <c r="F645" i="40"/>
  <c r="G645" i="40"/>
  <c r="E1522" i="40" s="1"/>
  <c r="B646" i="40"/>
  <c r="D646" i="40"/>
  <c r="F1523" i="40" s="1"/>
  <c r="E646" i="40"/>
  <c r="F646" i="40"/>
  <c r="G646" i="40"/>
  <c r="E1523" i="40" s="1"/>
  <c r="B647" i="40"/>
  <c r="D647" i="40"/>
  <c r="F1524" i="40" s="1"/>
  <c r="E647" i="40"/>
  <c r="F647" i="40"/>
  <c r="G647" i="40"/>
  <c r="E1524" i="40" s="1"/>
  <c r="B648" i="40"/>
  <c r="D648" i="40"/>
  <c r="F1525" i="40" s="1"/>
  <c r="E648" i="40"/>
  <c r="F648" i="40"/>
  <c r="G648" i="40"/>
  <c r="E1525" i="40" s="1"/>
  <c r="B649" i="40"/>
  <c r="D649" i="40"/>
  <c r="F1526" i="40" s="1"/>
  <c r="E649" i="40"/>
  <c r="F649" i="40"/>
  <c r="G649" i="40"/>
  <c r="E1526" i="40" s="1"/>
  <c r="B650" i="40"/>
  <c r="D650" i="40"/>
  <c r="F1527" i="40" s="1"/>
  <c r="E650" i="40"/>
  <c r="F650" i="40"/>
  <c r="G650" i="40"/>
  <c r="E1527" i="40" s="1"/>
  <c r="B651" i="40"/>
  <c r="D651" i="40"/>
  <c r="F1528" i="40" s="1"/>
  <c r="E651" i="40"/>
  <c r="F651" i="40"/>
  <c r="G651" i="40"/>
  <c r="E1528" i="40" s="1"/>
  <c r="B652" i="40"/>
  <c r="D652" i="40"/>
  <c r="F1529" i="40" s="1"/>
  <c r="E652" i="40"/>
  <c r="F652" i="40"/>
  <c r="G652" i="40"/>
  <c r="E1529" i="40" s="1"/>
  <c r="B653" i="40"/>
  <c r="D653" i="40"/>
  <c r="F1530" i="40" s="1"/>
  <c r="E653" i="40"/>
  <c r="F653" i="40"/>
  <c r="G653" i="40"/>
  <c r="E1530" i="40" s="1"/>
  <c r="B654" i="40"/>
  <c r="D654" i="40"/>
  <c r="F1531" i="40" s="1"/>
  <c r="E654" i="40"/>
  <c r="F654" i="40"/>
  <c r="G654" i="40"/>
  <c r="E1531" i="40" s="1"/>
  <c r="B655" i="40"/>
  <c r="D655" i="40"/>
  <c r="F1532" i="40" s="1"/>
  <c r="E655" i="40"/>
  <c r="F655" i="40"/>
  <c r="G655" i="40"/>
  <c r="E1532" i="40" s="1"/>
  <c r="B656" i="40"/>
  <c r="D656" i="40"/>
  <c r="F1533" i="40" s="1"/>
  <c r="E656" i="40"/>
  <c r="F656" i="40"/>
  <c r="G656" i="40"/>
  <c r="E1533" i="40" s="1"/>
  <c r="B657" i="40"/>
  <c r="D657" i="40"/>
  <c r="F1534" i="40" s="1"/>
  <c r="E657" i="40"/>
  <c r="F657" i="40"/>
  <c r="G657" i="40"/>
  <c r="E1534" i="40" s="1"/>
  <c r="B658" i="40"/>
  <c r="D658" i="40"/>
  <c r="F1535" i="40" s="1"/>
  <c r="E658" i="40"/>
  <c r="F658" i="40"/>
  <c r="G658" i="40"/>
  <c r="E1535" i="40" s="1"/>
  <c r="B659" i="40"/>
  <c r="D659" i="40"/>
  <c r="F1536" i="40" s="1"/>
  <c r="E659" i="40"/>
  <c r="F659" i="40"/>
  <c r="G659" i="40"/>
  <c r="E1536" i="40" s="1"/>
  <c r="B660" i="40"/>
  <c r="D660" i="40"/>
  <c r="F1537" i="40" s="1"/>
  <c r="E660" i="40"/>
  <c r="F660" i="40"/>
  <c r="G660" i="40"/>
  <c r="E1537" i="40" s="1"/>
  <c r="B661" i="40"/>
  <c r="D661" i="40"/>
  <c r="F1538" i="40" s="1"/>
  <c r="E661" i="40"/>
  <c r="F661" i="40"/>
  <c r="G661" i="40"/>
  <c r="E1538" i="40" s="1"/>
  <c r="B662" i="40"/>
  <c r="D662" i="40"/>
  <c r="F1539" i="40" s="1"/>
  <c r="E662" i="40"/>
  <c r="F662" i="40"/>
  <c r="G662" i="40"/>
  <c r="E1539" i="40" s="1"/>
  <c r="B663" i="40"/>
  <c r="D663" i="40"/>
  <c r="F1540" i="40" s="1"/>
  <c r="E663" i="40"/>
  <c r="F663" i="40"/>
  <c r="G663" i="40"/>
  <c r="E1540" i="40" s="1"/>
  <c r="B664" i="40"/>
  <c r="D664" i="40"/>
  <c r="F1541" i="40" s="1"/>
  <c r="E664" i="40"/>
  <c r="F664" i="40"/>
  <c r="G664" i="40"/>
  <c r="E1541" i="40" s="1"/>
  <c r="F1542" i="40"/>
  <c r="E1542" i="40"/>
  <c r="B549" i="40"/>
  <c r="D549" i="40"/>
  <c r="F1426" i="40" s="1"/>
  <c r="E549" i="40"/>
  <c r="F549" i="40"/>
  <c r="G549" i="40"/>
  <c r="E1426" i="40" s="1"/>
  <c r="B550" i="40"/>
  <c r="D550" i="40"/>
  <c r="F1427" i="40" s="1"/>
  <c r="E550" i="40"/>
  <c r="F550" i="40"/>
  <c r="G550" i="40"/>
  <c r="E1427" i="40" s="1"/>
  <c r="B551" i="40"/>
  <c r="D551" i="40"/>
  <c r="F1428" i="40" s="1"/>
  <c r="E551" i="40"/>
  <c r="F551" i="40"/>
  <c r="G551" i="40"/>
  <c r="E1428" i="40" s="1"/>
  <c r="B552" i="40"/>
  <c r="D552" i="40"/>
  <c r="F1429" i="40" s="1"/>
  <c r="E552" i="40"/>
  <c r="F552" i="40"/>
  <c r="G552" i="40"/>
  <c r="E1429" i="40" s="1"/>
  <c r="B553" i="40"/>
  <c r="D553" i="40"/>
  <c r="F1430" i="40" s="1"/>
  <c r="E553" i="40"/>
  <c r="F553" i="40"/>
  <c r="G553" i="40"/>
  <c r="E1430" i="40" s="1"/>
  <c r="G268" i="65"/>
  <c r="H268" i="65"/>
  <c r="I268" i="65"/>
  <c r="K268" i="65" s="1"/>
  <c r="J268" i="65"/>
  <c r="G269" i="65"/>
  <c r="H269" i="65"/>
  <c r="I269" i="65"/>
  <c r="M269" i="65" s="1"/>
  <c r="J269" i="65"/>
  <c r="G270" i="65"/>
  <c r="H270" i="65"/>
  <c r="I270" i="65"/>
  <c r="J270" i="65"/>
  <c r="G271" i="65"/>
  <c r="H271" i="65"/>
  <c r="I271" i="65"/>
  <c r="K271" i="65" s="1"/>
  <c r="J271" i="65"/>
  <c r="G272" i="65"/>
  <c r="H272" i="65"/>
  <c r="I272" i="65"/>
  <c r="J272" i="65"/>
  <c r="G273" i="65"/>
  <c r="H273" i="65"/>
  <c r="I273" i="65"/>
  <c r="J273" i="65"/>
  <c r="G274" i="65"/>
  <c r="H274" i="65"/>
  <c r="I274" i="65"/>
  <c r="J274" i="65"/>
  <c r="G275" i="65"/>
  <c r="H275" i="65"/>
  <c r="I275" i="65"/>
  <c r="M275" i="65" s="1"/>
  <c r="J275" i="65"/>
  <c r="G276" i="65"/>
  <c r="H276" i="65"/>
  <c r="I276" i="65"/>
  <c r="K276" i="65" s="1"/>
  <c r="J276" i="65"/>
  <c r="G277" i="65"/>
  <c r="H277" i="65"/>
  <c r="I277" i="65"/>
  <c r="J277" i="65"/>
  <c r="G278" i="65"/>
  <c r="H278" i="65"/>
  <c r="I278" i="65"/>
  <c r="K278" i="65" s="1"/>
  <c r="J278" i="65"/>
  <c r="G279" i="65"/>
  <c r="H279" i="65"/>
  <c r="I279" i="65"/>
  <c r="K279" i="65" s="1"/>
  <c r="J279" i="65"/>
  <c r="G280" i="65"/>
  <c r="H280" i="65"/>
  <c r="I280" i="65"/>
  <c r="J280" i="65"/>
  <c r="G281" i="65"/>
  <c r="H281" i="65"/>
  <c r="I281" i="65"/>
  <c r="J281" i="65"/>
  <c r="G282" i="65"/>
  <c r="H282" i="65"/>
  <c r="I282" i="65"/>
  <c r="K282" i="65" s="1"/>
  <c r="J282" i="65"/>
  <c r="G283" i="65"/>
  <c r="H283" i="65"/>
  <c r="I283" i="65"/>
  <c r="J283" i="65"/>
  <c r="G284" i="65"/>
  <c r="H284" i="65"/>
  <c r="I284" i="65"/>
  <c r="J284" i="65"/>
  <c r="G285" i="65"/>
  <c r="H285" i="65"/>
  <c r="I285" i="65"/>
  <c r="K285" i="65" s="1"/>
  <c r="J285" i="65"/>
  <c r="G286" i="65"/>
  <c r="H286" i="65"/>
  <c r="I286" i="65"/>
  <c r="K286" i="65" s="1"/>
  <c r="J286" i="65"/>
  <c r="G287" i="65"/>
  <c r="H287" i="65"/>
  <c r="I287" i="65"/>
  <c r="J287" i="65"/>
  <c r="G288" i="65"/>
  <c r="H288" i="65"/>
  <c r="I288" i="65"/>
  <c r="K288" i="65" s="1"/>
  <c r="J288" i="65"/>
  <c r="G289" i="65"/>
  <c r="H289" i="65"/>
  <c r="I289" i="65"/>
  <c r="K289" i="65" s="1"/>
  <c r="J289" i="65"/>
  <c r="G290" i="65"/>
  <c r="H290" i="65"/>
  <c r="I290" i="65"/>
  <c r="J290" i="65"/>
  <c r="G291" i="65"/>
  <c r="H291" i="65"/>
  <c r="I291" i="65"/>
  <c r="J291" i="65"/>
  <c r="G292" i="65"/>
  <c r="H292" i="65"/>
  <c r="I292" i="65"/>
  <c r="K292" i="65" s="1"/>
  <c r="J292" i="65"/>
  <c r="G293" i="65"/>
  <c r="H293" i="65"/>
  <c r="I293" i="65"/>
  <c r="K293" i="65" s="1"/>
  <c r="J293" i="65"/>
  <c r="G294" i="65"/>
  <c r="H294" i="65"/>
  <c r="I294" i="65"/>
  <c r="J294" i="65"/>
  <c r="G295" i="65"/>
  <c r="H295" i="65"/>
  <c r="I295" i="65"/>
  <c r="M295" i="65" s="1"/>
  <c r="J295" i="65"/>
  <c r="G296" i="65"/>
  <c r="H296" i="65"/>
  <c r="I296" i="65"/>
  <c r="K296" i="65" s="1"/>
  <c r="J296" i="65"/>
  <c r="G297" i="65"/>
  <c r="H297" i="65"/>
  <c r="I297" i="65"/>
  <c r="J297" i="65"/>
  <c r="G298" i="65"/>
  <c r="H298" i="65"/>
  <c r="I298" i="65"/>
  <c r="K298" i="65" s="1"/>
  <c r="J298" i="65"/>
  <c r="G299" i="65"/>
  <c r="H299" i="65"/>
  <c r="I299" i="65"/>
  <c r="M299" i="65" s="1"/>
  <c r="J299" i="65"/>
  <c r="G300" i="65"/>
  <c r="H300" i="65"/>
  <c r="I300" i="65"/>
  <c r="J300" i="65"/>
  <c r="G301" i="65"/>
  <c r="H301" i="65"/>
  <c r="I301" i="65"/>
  <c r="M301" i="65" s="1"/>
  <c r="J301" i="65"/>
  <c r="G302" i="65"/>
  <c r="H302" i="65"/>
  <c r="I302" i="65"/>
  <c r="J302" i="65"/>
  <c r="G303" i="65"/>
  <c r="H303" i="65"/>
  <c r="I303" i="65"/>
  <c r="J303" i="65"/>
  <c r="G304" i="65"/>
  <c r="H304" i="65"/>
  <c r="I304" i="65"/>
  <c r="K304" i="65" s="1"/>
  <c r="J304" i="65"/>
  <c r="G305" i="65"/>
  <c r="H305" i="65"/>
  <c r="I305" i="65"/>
  <c r="K305" i="65" s="1"/>
  <c r="J305" i="65"/>
  <c r="G306" i="65"/>
  <c r="H306" i="65"/>
  <c r="I306" i="65"/>
  <c r="K306" i="65" s="1"/>
  <c r="J306" i="65"/>
  <c r="G307" i="65"/>
  <c r="H307" i="65"/>
  <c r="I307" i="65"/>
  <c r="M307" i="65" s="1"/>
  <c r="J307" i="65"/>
  <c r="G308" i="65"/>
  <c r="H308" i="65"/>
  <c r="I308" i="65"/>
  <c r="J308" i="65"/>
  <c r="G309" i="65"/>
  <c r="H309" i="65"/>
  <c r="I309" i="65"/>
  <c r="J309" i="65"/>
  <c r="G310" i="65"/>
  <c r="H310" i="65"/>
  <c r="I310" i="65"/>
  <c r="K310" i="65" s="1"/>
  <c r="J310" i="65"/>
  <c r="G311" i="65"/>
  <c r="H311" i="65"/>
  <c r="I311" i="65"/>
  <c r="J311" i="65"/>
  <c r="G312" i="65"/>
  <c r="H312" i="65"/>
  <c r="I312" i="65"/>
  <c r="K312" i="65" s="1"/>
  <c r="J312" i="65"/>
  <c r="G313" i="65"/>
  <c r="H313" i="65"/>
  <c r="I313" i="65"/>
  <c r="J313" i="65"/>
  <c r="G314" i="65"/>
  <c r="H314" i="65"/>
  <c r="I314" i="65"/>
  <c r="K314" i="65" s="1"/>
  <c r="J314" i="65"/>
  <c r="G315" i="65"/>
  <c r="H315" i="65"/>
  <c r="I315" i="65"/>
  <c r="K315" i="65" s="1"/>
  <c r="J315" i="65"/>
  <c r="G316" i="65"/>
  <c r="H316" i="65"/>
  <c r="I316" i="65"/>
  <c r="J316" i="65"/>
  <c r="G317" i="65"/>
  <c r="H317" i="65"/>
  <c r="I317" i="65"/>
  <c r="M317" i="65" s="1"/>
  <c r="J317" i="65"/>
  <c r="G318" i="65"/>
  <c r="H318" i="65"/>
  <c r="I318" i="65"/>
  <c r="K318" i="65" s="1"/>
  <c r="J318" i="65"/>
  <c r="G319" i="65"/>
  <c r="H319" i="65"/>
  <c r="I319" i="65"/>
  <c r="J319" i="65"/>
  <c r="G320" i="65"/>
  <c r="H320" i="65"/>
  <c r="I320" i="65"/>
  <c r="J320" i="65"/>
  <c r="G321" i="65"/>
  <c r="H321" i="65"/>
  <c r="I321" i="65"/>
  <c r="K321" i="65" s="1"/>
  <c r="J321" i="65"/>
  <c r="G322" i="65"/>
  <c r="H322" i="65"/>
  <c r="I322" i="65"/>
  <c r="K322" i="65" s="1"/>
  <c r="J322" i="65"/>
  <c r="G323" i="65"/>
  <c r="H323" i="65"/>
  <c r="I323" i="65"/>
  <c r="J323" i="65"/>
  <c r="G324" i="65"/>
  <c r="H324" i="65"/>
  <c r="I324" i="65"/>
  <c r="K324" i="65" s="1"/>
  <c r="J324" i="65"/>
  <c r="G325" i="65"/>
  <c r="H325" i="65"/>
  <c r="I325" i="65"/>
  <c r="M325" i="65" s="1"/>
  <c r="J325" i="65"/>
  <c r="G326" i="65"/>
  <c r="H326" i="65"/>
  <c r="I326" i="65"/>
  <c r="K326" i="65" s="1"/>
  <c r="J326" i="65"/>
  <c r="G327" i="65"/>
  <c r="H327" i="65"/>
  <c r="I327" i="65"/>
  <c r="M327" i="65" s="1"/>
  <c r="J327" i="65"/>
  <c r="G328" i="65"/>
  <c r="H328" i="65"/>
  <c r="I328" i="65"/>
  <c r="J328" i="65"/>
  <c r="G329" i="65"/>
  <c r="H329" i="65"/>
  <c r="I329" i="65"/>
  <c r="J329" i="65"/>
  <c r="G330" i="65"/>
  <c r="H330" i="65"/>
  <c r="I330" i="65"/>
  <c r="K330" i="65" s="1"/>
  <c r="J330" i="65"/>
  <c r="G331" i="65"/>
  <c r="H331" i="65"/>
  <c r="I331" i="65"/>
  <c r="K331" i="65" s="1"/>
  <c r="J331" i="65"/>
  <c r="G332" i="65"/>
  <c r="H332" i="65"/>
  <c r="I332" i="65"/>
  <c r="J332" i="65"/>
  <c r="G333" i="65"/>
  <c r="H333" i="65"/>
  <c r="I333" i="65"/>
  <c r="M333" i="65" s="1"/>
  <c r="J333" i="65"/>
  <c r="G334" i="65"/>
  <c r="H334" i="65"/>
  <c r="I334" i="65"/>
  <c r="K334" i="65" s="1"/>
  <c r="J334" i="65"/>
  <c r="G335" i="65"/>
  <c r="H335" i="65"/>
  <c r="I335" i="65"/>
  <c r="J335" i="65"/>
  <c r="G336" i="65"/>
  <c r="H336" i="65"/>
  <c r="I336" i="65"/>
  <c r="K336" i="65" s="1"/>
  <c r="J336" i="65"/>
  <c r="G337" i="65"/>
  <c r="H337" i="65"/>
  <c r="I337" i="65"/>
  <c r="J337" i="65"/>
  <c r="G338" i="65"/>
  <c r="H338" i="65"/>
  <c r="I338" i="65"/>
  <c r="J338" i="65"/>
  <c r="G339" i="65"/>
  <c r="H339" i="65"/>
  <c r="I339" i="65"/>
  <c r="M339" i="65" s="1"/>
  <c r="J339" i="65"/>
  <c r="G340" i="65"/>
  <c r="H340" i="65"/>
  <c r="I340" i="65"/>
  <c r="K340" i="65" s="1"/>
  <c r="J340" i="65"/>
  <c r="G341" i="65"/>
  <c r="H341" i="65"/>
  <c r="I341" i="65"/>
  <c r="J341" i="65"/>
  <c r="G342" i="65"/>
  <c r="H342" i="65"/>
  <c r="I342" i="65"/>
  <c r="K342" i="65" s="1"/>
  <c r="J342" i="65"/>
  <c r="G343" i="65"/>
  <c r="H343" i="65"/>
  <c r="I343" i="65"/>
  <c r="K343" i="65" s="1"/>
  <c r="J343" i="65"/>
  <c r="G344" i="65"/>
  <c r="H344" i="65"/>
  <c r="I344" i="65"/>
  <c r="J344" i="65"/>
  <c r="G345" i="65"/>
  <c r="H345" i="65"/>
  <c r="I345" i="65"/>
  <c r="J345" i="65"/>
  <c r="G346" i="65"/>
  <c r="H346" i="65"/>
  <c r="I346" i="65"/>
  <c r="K346" i="65" s="1"/>
  <c r="J346" i="65"/>
  <c r="G347" i="65"/>
  <c r="H347" i="65"/>
  <c r="I347" i="65"/>
  <c r="J347" i="65"/>
  <c r="G348" i="65"/>
  <c r="H348" i="65"/>
  <c r="I348" i="65"/>
  <c r="J348" i="65"/>
  <c r="G349" i="65"/>
  <c r="H349" i="65"/>
  <c r="I349" i="65"/>
  <c r="M349" i="65" s="1"/>
  <c r="J349" i="65"/>
  <c r="G350" i="65"/>
  <c r="H350" i="65"/>
  <c r="I350" i="65"/>
  <c r="K350" i="65" s="1"/>
  <c r="J350" i="65"/>
  <c r="G351" i="65"/>
  <c r="H351" i="65"/>
  <c r="I351" i="65"/>
  <c r="J351" i="65"/>
  <c r="G352" i="65"/>
  <c r="H352" i="65"/>
  <c r="I352" i="65"/>
  <c r="K352" i="65" s="1"/>
  <c r="J352" i="65"/>
  <c r="G353" i="65"/>
  <c r="H353" i="65"/>
  <c r="I353" i="65"/>
  <c r="K353" i="65" s="1"/>
  <c r="J353" i="65"/>
  <c r="G354" i="65"/>
  <c r="H354" i="65"/>
  <c r="I354" i="65"/>
  <c r="J354" i="65"/>
  <c r="G355" i="65"/>
  <c r="H355" i="65"/>
  <c r="I355" i="65"/>
  <c r="J355" i="65"/>
  <c r="G356" i="65"/>
  <c r="H356" i="65"/>
  <c r="I356" i="65"/>
  <c r="K356" i="65" s="1"/>
  <c r="J356" i="65"/>
  <c r="G357" i="65"/>
  <c r="H357" i="65"/>
  <c r="I357" i="65"/>
  <c r="K357" i="65" s="1"/>
  <c r="J357" i="65"/>
  <c r="G358" i="65"/>
  <c r="H358" i="65"/>
  <c r="I358" i="65"/>
  <c r="J358" i="65"/>
  <c r="G359" i="65"/>
  <c r="H359" i="65"/>
  <c r="I359" i="65"/>
  <c r="M359" i="65" s="1"/>
  <c r="J359" i="65"/>
  <c r="G360" i="65"/>
  <c r="H360" i="65"/>
  <c r="I360" i="65"/>
  <c r="K360" i="65" s="1"/>
  <c r="J360" i="65"/>
  <c r="G361" i="65"/>
  <c r="H361" i="65"/>
  <c r="I361" i="65"/>
  <c r="J361" i="65"/>
  <c r="G362" i="65"/>
  <c r="H362" i="65"/>
  <c r="I362" i="65"/>
  <c r="K362" i="65" s="1"/>
  <c r="J362" i="65"/>
  <c r="G363" i="65"/>
  <c r="H363" i="65"/>
  <c r="I363" i="65"/>
  <c r="M363" i="65" s="1"/>
  <c r="J363" i="65"/>
  <c r="G364" i="65"/>
  <c r="H364" i="65"/>
  <c r="I364" i="65"/>
  <c r="J364" i="65"/>
  <c r="G365" i="65"/>
  <c r="H365" i="65"/>
  <c r="I365" i="65"/>
  <c r="M365" i="65" s="1"/>
  <c r="J365" i="65"/>
  <c r="G366" i="65"/>
  <c r="H366" i="65"/>
  <c r="I366" i="65"/>
  <c r="J366" i="65"/>
  <c r="G367" i="65"/>
  <c r="H367" i="65"/>
  <c r="I367" i="65"/>
  <c r="J367" i="65"/>
  <c r="G368" i="65"/>
  <c r="H368" i="65"/>
  <c r="I368" i="65"/>
  <c r="K368" i="65" s="1"/>
  <c r="J368" i="65"/>
  <c r="G369" i="65"/>
  <c r="H369" i="65"/>
  <c r="I369" i="65"/>
  <c r="K369" i="65" s="1"/>
  <c r="J369" i="65"/>
  <c r="G370" i="65"/>
  <c r="H370" i="65"/>
  <c r="I370" i="65"/>
  <c r="J370" i="65"/>
  <c r="G371" i="65"/>
  <c r="H371" i="65"/>
  <c r="I371" i="65"/>
  <c r="M371" i="65" s="1"/>
  <c r="J371" i="65"/>
  <c r="G372" i="65"/>
  <c r="H372" i="65"/>
  <c r="I372" i="65"/>
  <c r="J372" i="65"/>
  <c r="G373" i="65"/>
  <c r="H373" i="65"/>
  <c r="I373" i="65"/>
  <c r="M373" i="65" s="1"/>
  <c r="J373" i="65"/>
  <c r="G374" i="65"/>
  <c r="H374" i="65"/>
  <c r="I374" i="65"/>
  <c r="K374" i="65" s="1"/>
  <c r="J374" i="65"/>
  <c r="G375" i="65"/>
  <c r="H375" i="65"/>
  <c r="I375" i="65"/>
  <c r="J375" i="65"/>
  <c r="G376" i="65"/>
  <c r="H376" i="65"/>
  <c r="I376" i="65"/>
  <c r="K376" i="65" s="1"/>
  <c r="J376" i="65"/>
  <c r="G377" i="65"/>
  <c r="H377" i="65"/>
  <c r="I377" i="65"/>
  <c r="J377" i="65"/>
  <c r="G378" i="65"/>
  <c r="H378" i="65"/>
  <c r="I378" i="65"/>
  <c r="J378" i="65"/>
  <c r="G379" i="65"/>
  <c r="H379" i="65"/>
  <c r="I379" i="65"/>
  <c r="K379" i="65" s="1"/>
  <c r="J379" i="65"/>
  <c r="G380" i="65"/>
  <c r="H380" i="65"/>
  <c r="I380" i="65"/>
  <c r="J380" i="65"/>
  <c r="G381" i="65"/>
  <c r="H381" i="65"/>
  <c r="I381" i="65"/>
  <c r="M381" i="65" s="1"/>
  <c r="J381" i="65"/>
  <c r="G382" i="65"/>
  <c r="H382" i="65"/>
  <c r="I382" i="65"/>
  <c r="K382" i="65" s="1"/>
  <c r="J382" i="65"/>
  <c r="G383" i="65"/>
  <c r="H383" i="65"/>
  <c r="I383" i="65"/>
  <c r="M383" i="65" s="1"/>
  <c r="J383"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O15" i="66"/>
  <c r="K371" i="65" l="1"/>
  <c r="K373" i="65"/>
  <c r="K359" i="65"/>
  <c r="K383" i="65"/>
  <c r="K381" i="65"/>
  <c r="M285" i="65"/>
  <c r="N285" i="65" s="1"/>
  <c r="K269" i="65"/>
  <c r="K307" i="65"/>
  <c r="K349" i="65"/>
  <c r="K317" i="65"/>
  <c r="K299" i="65"/>
  <c r="K327" i="65"/>
  <c r="M336" i="65"/>
  <c r="M362" i="65"/>
  <c r="M331" i="65"/>
  <c r="N331" i="65" s="1"/>
  <c r="M276" i="65"/>
  <c r="N276" i="65" s="1"/>
  <c r="K333" i="65"/>
  <c r="K301" i="65"/>
  <c r="K295" i="65"/>
  <c r="M353" i="65"/>
  <c r="M315" i="65"/>
  <c r="K339" i="65"/>
  <c r="M343" i="65"/>
  <c r="M293" i="65"/>
  <c r="N293" i="65" s="1"/>
  <c r="K378" i="65"/>
  <c r="M378" i="65"/>
  <c r="N378" i="65" s="1"/>
  <c r="N333" i="65"/>
  <c r="N301" i="65"/>
  <c r="M287" i="65"/>
  <c r="K287" i="65"/>
  <c r="K274" i="65"/>
  <c r="M274" i="65"/>
  <c r="K370" i="65"/>
  <c r="M370" i="65"/>
  <c r="K365" i="65"/>
  <c r="K341" i="65"/>
  <c r="M341" i="65"/>
  <c r="K338" i="65"/>
  <c r="M338" i="65"/>
  <c r="N317" i="65"/>
  <c r="M309" i="65"/>
  <c r="K309" i="65"/>
  <c r="M277" i="65"/>
  <c r="K277" i="65"/>
  <c r="N381" i="65"/>
  <c r="K354" i="65"/>
  <c r="M354" i="65"/>
  <c r="N354" i="65" s="1"/>
  <c r="K290" i="65"/>
  <c r="M290" i="65"/>
  <c r="M322" i="65"/>
  <c r="M351" i="65"/>
  <c r="K351" i="65"/>
  <c r="K344" i="65"/>
  <c r="M344" i="65"/>
  <c r="N344" i="65" s="1"/>
  <c r="M319" i="65"/>
  <c r="K319" i="65"/>
  <c r="K280" i="65"/>
  <c r="M280" i="65"/>
  <c r="M374" i="65"/>
  <c r="M306" i="65"/>
  <c r="K275" i="65"/>
  <c r="M357" i="65"/>
  <c r="N357" i="65" s="1"/>
  <c r="M330" i="65"/>
  <c r="AH330" i="65" s="1"/>
  <c r="AI330" i="65" s="1"/>
  <c r="AJ330" i="65" s="1"/>
  <c r="AK330" i="65" s="1"/>
  <c r="AL330" i="65" s="1"/>
  <c r="M318" i="65"/>
  <c r="M314" i="65"/>
  <c r="M305" i="65"/>
  <c r="M292" i="65"/>
  <c r="N292" i="65" s="1"/>
  <c r="M282" i="65"/>
  <c r="N282" i="65" s="1"/>
  <c r="N275" i="65"/>
  <c r="M379" i="65"/>
  <c r="M356" i="65"/>
  <c r="M346" i="65"/>
  <c r="N339" i="65"/>
  <c r="M310" i="65"/>
  <c r="AH371" i="65"/>
  <c r="AI371" i="65" s="1"/>
  <c r="AJ371" i="65" s="1"/>
  <c r="AK371" i="65" s="1"/>
  <c r="AL371" i="65" s="1"/>
  <c r="K363" i="65"/>
  <c r="K325" i="65"/>
  <c r="M382" i="65"/>
  <c r="AH382" i="65" s="1"/>
  <c r="AI382" i="65" s="1"/>
  <c r="AJ382" i="65" s="1"/>
  <c r="AK382" i="65" s="1"/>
  <c r="AL382" i="65" s="1"/>
  <c r="M298" i="65"/>
  <c r="M289" i="65"/>
  <c r="M361" i="65"/>
  <c r="K361" i="65"/>
  <c r="K358" i="65"/>
  <c r="M358" i="65"/>
  <c r="M323" i="65"/>
  <c r="K323" i="65"/>
  <c r="K300" i="65"/>
  <c r="M300" i="65"/>
  <c r="M291" i="65"/>
  <c r="K291" i="65"/>
  <c r="N373" i="65"/>
  <c r="K328" i="65"/>
  <c r="M328" i="65"/>
  <c r="M326" i="65"/>
  <c r="M296" i="65"/>
  <c r="M375" i="65"/>
  <c r="K375" i="65"/>
  <c r="K372" i="65"/>
  <c r="M372" i="65"/>
  <c r="AH363" i="65"/>
  <c r="AI363" i="65" s="1"/>
  <c r="AJ363" i="65" s="1"/>
  <c r="AK363" i="65" s="1"/>
  <c r="AL363" i="65" s="1"/>
  <c r="N363" i="65"/>
  <c r="M347" i="65"/>
  <c r="K347" i="65"/>
  <c r="K337" i="65"/>
  <c r="M337" i="65"/>
  <c r="M311" i="65"/>
  <c r="K311" i="65"/>
  <c r="K308" i="65"/>
  <c r="M308" i="65"/>
  <c r="AH299" i="65"/>
  <c r="AI299" i="65" s="1"/>
  <c r="AJ299" i="65" s="1"/>
  <c r="AK299" i="65" s="1"/>
  <c r="AL299" i="65" s="1"/>
  <c r="N299" i="65"/>
  <c r="M283" i="65"/>
  <c r="K283" i="65"/>
  <c r="K273" i="65"/>
  <c r="M273" i="65"/>
  <c r="M369" i="65"/>
  <c r="M360" i="65"/>
  <c r="M340" i="65"/>
  <c r="M334" i="65"/>
  <c r="M288" i="65"/>
  <c r="M367" i="65"/>
  <c r="K367" i="65"/>
  <c r="K364" i="65"/>
  <c r="M364" i="65"/>
  <c r="M355" i="65"/>
  <c r="K355" i="65"/>
  <c r="M335" i="65"/>
  <c r="K335" i="65"/>
  <c r="K332" i="65"/>
  <c r="M332" i="65"/>
  <c r="M329" i="65"/>
  <c r="K329" i="65"/>
  <c r="M303" i="65"/>
  <c r="K303" i="65"/>
  <c r="M297" i="65"/>
  <c r="K297" i="65"/>
  <c r="K294" i="65"/>
  <c r="M294" i="65"/>
  <c r="M268" i="65"/>
  <c r="N349" i="65"/>
  <c r="N327" i="65"/>
  <c r="AH327" i="65"/>
  <c r="AI327" i="65" s="1"/>
  <c r="AJ327" i="65" s="1"/>
  <c r="AK327" i="65" s="1"/>
  <c r="AL327" i="65" s="1"/>
  <c r="K366" i="65"/>
  <c r="M366" i="65"/>
  <c r="K302" i="65"/>
  <c r="M302" i="65"/>
  <c r="K270" i="65"/>
  <c r="M270" i="65"/>
  <c r="M271" i="65"/>
  <c r="N359" i="65"/>
  <c r="K320" i="65"/>
  <c r="M320" i="65"/>
  <c r="N295" i="65"/>
  <c r="N365" i="65"/>
  <c r="M352" i="65"/>
  <c r="AH301" i="65"/>
  <c r="AI301" i="65" s="1"/>
  <c r="AJ301" i="65" s="1"/>
  <c r="AK301" i="65" s="1"/>
  <c r="AL301" i="65" s="1"/>
  <c r="M279" i="65"/>
  <c r="N383" i="65"/>
  <c r="K380" i="65"/>
  <c r="M380" i="65"/>
  <c r="M377" i="65"/>
  <c r="K377" i="65"/>
  <c r="K348" i="65"/>
  <c r="M348" i="65"/>
  <c r="M345" i="65"/>
  <c r="K345" i="65"/>
  <c r="K316" i="65"/>
  <c r="M316" i="65"/>
  <c r="M313" i="65"/>
  <c r="K313" i="65"/>
  <c r="K284" i="65"/>
  <c r="M284" i="65"/>
  <c r="M281" i="65"/>
  <c r="K281" i="65"/>
  <c r="K272" i="65"/>
  <c r="M272" i="65"/>
  <c r="AH381" i="65"/>
  <c r="AI381" i="65" s="1"/>
  <c r="AJ381" i="65" s="1"/>
  <c r="AK381" i="65" s="1"/>
  <c r="AL381" i="65" s="1"/>
  <c r="M376" i="65"/>
  <c r="M368" i="65"/>
  <c r="M350" i="65"/>
  <c r="M342" i="65"/>
  <c r="N325" i="65"/>
  <c r="M321" i="65"/>
  <c r="M312" i="65"/>
  <c r="M304" i="65"/>
  <c r="M286" i="65"/>
  <c r="M278" i="65"/>
  <c r="AH269" i="65"/>
  <c r="AI269" i="65" s="1"/>
  <c r="AJ269" i="65" s="1"/>
  <c r="AK269" i="65" s="1"/>
  <c r="AL269" i="65" s="1"/>
  <c r="N269" i="65"/>
  <c r="AH307" i="65"/>
  <c r="AI307" i="65" s="1"/>
  <c r="AJ307" i="65" s="1"/>
  <c r="AK307" i="65" s="1"/>
  <c r="AL307" i="65" s="1"/>
  <c r="N371" i="65"/>
  <c r="AH333" i="65"/>
  <c r="AI333" i="65" s="1"/>
  <c r="AJ333" i="65" s="1"/>
  <c r="AK333" i="65" s="1"/>
  <c r="AL333" i="65" s="1"/>
  <c r="M324" i="65"/>
  <c r="N307" i="65"/>
  <c r="O60" i="25"/>
  <c r="O59" i="25"/>
  <c r="O58" i="25"/>
  <c r="O55" i="25"/>
  <c r="AH338" i="65" l="1"/>
  <c r="N353" i="65"/>
  <c r="N336" i="65"/>
  <c r="N338" i="65"/>
  <c r="N362" i="65"/>
  <c r="N314" i="65"/>
  <c r="AH306" i="65"/>
  <c r="AI306" i="65" s="1"/>
  <c r="AJ306" i="65" s="1"/>
  <c r="AK306" i="65" s="1"/>
  <c r="AL306" i="65" s="1"/>
  <c r="N330" i="65"/>
  <c r="N351" i="65"/>
  <c r="AH336" i="65"/>
  <c r="AI336" i="65" s="1"/>
  <c r="AJ336" i="65" s="1"/>
  <c r="AK336" i="65" s="1"/>
  <c r="AL336" i="65" s="1"/>
  <c r="AH370" i="65"/>
  <c r="AI370" i="65" s="1"/>
  <c r="AJ370" i="65" s="1"/>
  <c r="AK370" i="65" s="1"/>
  <c r="AL370" i="65" s="1"/>
  <c r="N290" i="65"/>
  <c r="N356" i="65"/>
  <c r="N341" i="65"/>
  <c r="N374" i="65"/>
  <c r="N287" i="65"/>
  <c r="N315" i="65"/>
  <c r="AH362" i="65"/>
  <c r="AI362" i="65" s="1"/>
  <c r="AJ362" i="65" s="1"/>
  <c r="AK362" i="65" s="1"/>
  <c r="AL362" i="65" s="1"/>
  <c r="N346" i="65"/>
  <c r="AH274" i="65"/>
  <c r="AI274" i="65" s="1"/>
  <c r="AJ274" i="65" s="1"/>
  <c r="AK274" i="65" s="1"/>
  <c r="AL274" i="65" s="1"/>
  <c r="N309" i="65"/>
  <c r="AH318" i="65"/>
  <c r="AI318" i="65" s="1"/>
  <c r="AJ318" i="65" s="1"/>
  <c r="AK318" i="65" s="1"/>
  <c r="AL318" i="65" s="1"/>
  <c r="N370" i="65"/>
  <c r="N382" i="65"/>
  <c r="N306" i="65"/>
  <c r="N274" i="65"/>
  <c r="N318" i="65"/>
  <c r="AH331" i="65"/>
  <c r="AI331" i="65" s="1"/>
  <c r="AJ331" i="65" s="1"/>
  <c r="AK331" i="65" s="1"/>
  <c r="AL331" i="65" s="1"/>
  <c r="N343" i="65"/>
  <c r="N280" i="65"/>
  <c r="N289" i="65"/>
  <c r="N379" i="65"/>
  <c r="N298" i="65"/>
  <c r="N322" i="65"/>
  <c r="N319" i="65"/>
  <c r="N310" i="65"/>
  <c r="N305" i="65"/>
  <c r="AH305" i="65"/>
  <c r="AI305" i="65" s="1"/>
  <c r="AJ305" i="65" s="1"/>
  <c r="AK305" i="65" s="1"/>
  <c r="AL305" i="65" s="1"/>
  <c r="N277" i="65"/>
  <c r="AI338" i="65"/>
  <c r="AJ338" i="65" s="1"/>
  <c r="AK338" i="65" s="1"/>
  <c r="AL338" i="65" s="1"/>
  <c r="N284" i="65"/>
  <c r="N320" i="65"/>
  <c r="N270" i="65"/>
  <c r="AH270" i="65"/>
  <c r="AI270" i="65" s="1"/>
  <c r="AJ270" i="65" s="1"/>
  <c r="AK270" i="65" s="1"/>
  <c r="AL270" i="65" s="1"/>
  <c r="N329" i="65"/>
  <c r="AH329" i="65"/>
  <c r="AI329" i="65" s="1"/>
  <c r="AJ329" i="65" s="1"/>
  <c r="AK329" i="65" s="1"/>
  <c r="AL329" i="65" s="1"/>
  <c r="N364" i="65"/>
  <c r="N288" i="65"/>
  <c r="N347" i="65"/>
  <c r="N372" i="65"/>
  <c r="N296" i="65"/>
  <c r="N291" i="65"/>
  <c r="N361" i="65"/>
  <c r="N308" i="65"/>
  <c r="AH308" i="65"/>
  <c r="AI308" i="65" s="1"/>
  <c r="AJ308" i="65" s="1"/>
  <c r="AK308" i="65" s="1"/>
  <c r="AL308" i="65" s="1"/>
  <c r="N286" i="65"/>
  <c r="N321" i="65"/>
  <c r="N376" i="65"/>
  <c r="N345" i="65"/>
  <c r="N380" i="65"/>
  <c r="AH380" i="65"/>
  <c r="AI380" i="65" s="1"/>
  <c r="AJ380" i="65" s="1"/>
  <c r="AK380" i="65" s="1"/>
  <c r="AL380" i="65" s="1"/>
  <c r="N302" i="65"/>
  <c r="AH302" i="65"/>
  <c r="AI302" i="65" s="1"/>
  <c r="AJ302" i="65" s="1"/>
  <c r="AK302" i="65" s="1"/>
  <c r="AL302" i="65" s="1"/>
  <c r="N303" i="65"/>
  <c r="AH303" i="65"/>
  <c r="AI303" i="65" s="1"/>
  <c r="AJ303" i="65" s="1"/>
  <c r="AK303" i="65" s="1"/>
  <c r="AL303" i="65" s="1"/>
  <c r="N340" i="65"/>
  <c r="N283" i="65"/>
  <c r="N328" i="65"/>
  <c r="AH328" i="65"/>
  <c r="AI328" i="65" s="1"/>
  <c r="AJ328" i="65" s="1"/>
  <c r="AK328" i="65" s="1"/>
  <c r="AL328" i="65" s="1"/>
  <c r="N312" i="65"/>
  <c r="N350" i="65"/>
  <c r="N272" i="65"/>
  <c r="AH272" i="65"/>
  <c r="AI272" i="65" s="1"/>
  <c r="AJ272" i="65" s="1"/>
  <c r="AK272" i="65" s="1"/>
  <c r="AL272" i="65" s="1"/>
  <c r="N313" i="65"/>
  <c r="N366" i="65"/>
  <c r="N297" i="65"/>
  <c r="N335" i="65"/>
  <c r="AH335" i="65"/>
  <c r="AI335" i="65" s="1"/>
  <c r="AJ335" i="65" s="1"/>
  <c r="AK335" i="65" s="1"/>
  <c r="AL335" i="65" s="1"/>
  <c r="N369" i="65"/>
  <c r="N311" i="65"/>
  <c r="N323" i="65"/>
  <c r="N324" i="65"/>
  <c r="N278" i="65"/>
  <c r="N368" i="65"/>
  <c r="N316" i="65"/>
  <c r="N377" i="65"/>
  <c r="N279" i="65"/>
  <c r="N294" i="65"/>
  <c r="N332" i="65"/>
  <c r="AH332" i="65"/>
  <c r="AI332" i="65" s="1"/>
  <c r="AJ332" i="65" s="1"/>
  <c r="AK332" i="65" s="1"/>
  <c r="AL332" i="65" s="1"/>
  <c r="N334" i="65"/>
  <c r="AH334" i="65"/>
  <c r="AI334" i="65" s="1"/>
  <c r="AJ334" i="65" s="1"/>
  <c r="AK334" i="65" s="1"/>
  <c r="AL334" i="65" s="1"/>
  <c r="N337" i="65"/>
  <c r="AH337" i="65"/>
  <c r="AI337" i="65" s="1"/>
  <c r="AJ337" i="65" s="1"/>
  <c r="AK337" i="65" s="1"/>
  <c r="AL337" i="65" s="1"/>
  <c r="N326" i="65"/>
  <c r="AH326" i="65"/>
  <c r="AI326" i="65" s="1"/>
  <c r="AJ326" i="65" s="1"/>
  <c r="AK326" i="65" s="1"/>
  <c r="AL326" i="65" s="1"/>
  <c r="N300" i="65"/>
  <c r="AH300" i="65"/>
  <c r="AI300" i="65" s="1"/>
  <c r="AJ300" i="65" s="1"/>
  <c r="AK300" i="65" s="1"/>
  <c r="AL300" i="65" s="1"/>
  <c r="N358" i="65"/>
  <c r="N304" i="65"/>
  <c r="AH304" i="65"/>
  <c r="AI304" i="65" s="1"/>
  <c r="AJ304" i="65" s="1"/>
  <c r="AK304" i="65" s="1"/>
  <c r="AL304" i="65" s="1"/>
  <c r="N342" i="65"/>
  <c r="N281" i="65"/>
  <c r="N348" i="65"/>
  <c r="N352" i="65"/>
  <c r="AH271" i="65"/>
  <c r="AI271" i="65" s="1"/>
  <c r="AJ271" i="65" s="1"/>
  <c r="AK271" i="65" s="1"/>
  <c r="AL271" i="65" s="1"/>
  <c r="N271" i="65"/>
  <c r="N268" i="65"/>
  <c r="AH268" i="65"/>
  <c r="AI268" i="65" s="1"/>
  <c r="N355" i="65"/>
  <c r="N367" i="65"/>
  <c r="N360" i="65"/>
  <c r="N273" i="65"/>
  <c r="AH273" i="65"/>
  <c r="AI273" i="65" s="1"/>
  <c r="AJ273" i="65" s="1"/>
  <c r="AK273" i="65" s="1"/>
  <c r="AL273" i="65" s="1"/>
  <c r="N375" i="65"/>
  <c r="AJ268" i="65" l="1"/>
  <c r="AK268" i="65" l="1"/>
  <c r="B547" i="40"/>
  <c r="D547" i="40"/>
  <c r="E547" i="40"/>
  <c r="F547" i="40"/>
  <c r="G547" i="40"/>
  <c r="B548" i="40"/>
  <c r="D548" i="40"/>
  <c r="E548" i="40"/>
  <c r="F548" i="40"/>
  <c r="G548" i="40"/>
  <c r="G265" i="65"/>
  <c r="H265" i="65"/>
  <c r="I265" i="65"/>
  <c r="J265" i="65"/>
  <c r="G266" i="65"/>
  <c r="H266" i="65"/>
  <c r="I266" i="65"/>
  <c r="J266" i="65"/>
  <c r="B266"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M79" i="42" s="1"/>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AP79" i="42" l="1"/>
  <c r="O79" i="42"/>
  <c r="R79" i="42" s="1"/>
  <c r="S79" i="42"/>
  <c r="P79" i="42"/>
  <c r="AL268" i="65"/>
  <c r="Q74" i="24"/>
  <c r="R74" i="24" s="1"/>
  <c r="R14" i="91" s="1"/>
  <c r="R22" i="91" s="1"/>
  <c r="N39" i="32" s="1"/>
  <c r="R33" i="66" l="1"/>
  <c r="R44" i="25"/>
  <c r="N36" i="37"/>
  <c r="M21" i="68"/>
  <c r="O36" i="50"/>
  <c r="M38" i="65"/>
  <c r="O34"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R99" i="25" l="1"/>
  <c r="N25" i="32" s="1"/>
  <c r="R82" i="25"/>
  <c r="N22" i="32" s="1"/>
  <c r="R89" i="25"/>
  <c r="R75" i="25"/>
  <c r="N21" i="32" s="1"/>
  <c r="N60" i="25"/>
  <c r="R90" i="25" l="1"/>
  <c r="S16" i="59" s="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B817" i="37" l="1"/>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302" i="40" s="1"/>
  <c r="E425" i="40"/>
  <c r="F425" i="40"/>
  <c r="G425" i="40"/>
  <c r="E1302" i="40" s="1"/>
  <c r="D426" i="40"/>
  <c r="F1303" i="40" s="1"/>
  <c r="E426" i="40"/>
  <c r="F426" i="40"/>
  <c r="G426" i="40"/>
  <c r="E1303" i="40" s="1"/>
  <c r="D427" i="40"/>
  <c r="F1304" i="40" s="1"/>
  <c r="E427" i="40"/>
  <c r="F427" i="40"/>
  <c r="G427" i="40"/>
  <c r="E1304" i="40" s="1"/>
  <c r="D428" i="40"/>
  <c r="F1305" i="40" s="1"/>
  <c r="E428" i="40"/>
  <c r="F428" i="40"/>
  <c r="G428" i="40"/>
  <c r="E1305" i="40" s="1"/>
  <c r="D429" i="40"/>
  <c r="F1306" i="40" s="1"/>
  <c r="E429" i="40"/>
  <c r="F429" i="40"/>
  <c r="G429" i="40"/>
  <c r="E1306" i="40" s="1"/>
  <c r="D430" i="40"/>
  <c r="F1307" i="40" s="1"/>
  <c r="E430" i="40"/>
  <c r="F430" i="40"/>
  <c r="G430" i="40"/>
  <c r="E1307" i="40" s="1"/>
  <c r="D431" i="40"/>
  <c r="F1308" i="40" s="1"/>
  <c r="E431" i="40"/>
  <c r="F431" i="40"/>
  <c r="G431" i="40"/>
  <c r="E1308" i="40" s="1"/>
  <c r="D432" i="40"/>
  <c r="F1309" i="40" s="1"/>
  <c r="E432" i="40"/>
  <c r="F432" i="40"/>
  <c r="G432" i="40"/>
  <c r="E1309" i="40" s="1"/>
  <c r="D433" i="40"/>
  <c r="F1310" i="40" s="1"/>
  <c r="E433" i="40"/>
  <c r="F433" i="40"/>
  <c r="G433" i="40"/>
  <c r="E1310" i="40" s="1"/>
  <c r="D434" i="40"/>
  <c r="F1311" i="40" s="1"/>
  <c r="E434" i="40"/>
  <c r="F434" i="40"/>
  <c r="G434" i="40"/>
  <c r="E1311" i="40" s="1"/>
  <c r="D435" i="40"/>
  <c r="F1312" i="40" s="1"/>
  <c r="E435" i="40"/>
  <c r="F435" i="40"/>
  <c r="G435" i="40"/>
  <c r="E1312" i="40" s="1"/>
  <c r="D436" i="40"/>
  <c r="F1313" i="40" s="1"/>
  <c r="E436" i="40"/>
  <c r="F436" i="40"/>
  <c r="G436" i="40"/>
  <c r="E1313" i="40" s="1"/>
  <c r="D437" i="40"/>
  <c r="F1314" i="40" s="1"/>
  <c r="E437" i="40"/>
  <c r="F437" i="40"/>
  <c r="G437" i="40"/>
  <c r="E1314" i="40" s="1"/>
  <c r="D438" i="40"/>
  <c r="F1315" i="40" s="1"/>
  <c r="E438" i="40"/>
  <c r="F438" i="40"/>
  <c r="G438" i="40"/>
  <c r="E1315" i="40" s="1"/>
  <c r="D439" i="40"/>
  <c r="F1316" i="40" s="1"/>
  <c r="E439" i="40"/>
  <c r="F439" i="40"/>
  <c r="G439" i="40"/>
  <c r="E1316" i="40" s="1"/>
  <c r="D440" i="40"/>
  <c r="F1317" i="40" s="1"/>
  <c r="E440" i="40"/>
  <c r="F440" i="40"/>
  <c r="G440" i="40"/>
  <c r="E1317" i="40" s="1"/>
  <c r="D441" i="40"/>
  <c r="F1318" i="40" s="1"/>
  <c r="E441" i="40"/>
  <c r="F441" i="40"/>
  <c r="G441" i="40"/>
  <c r="E1318" i="40" s="1"/>
  <c r="D442" i="40"/>
  <c r="F1319" i="40" s="1"/>
  <c r="E442" i="40"/>
  <c r="F442" i="40"/>
  <c r="G442" i="40"/>
  <c r="E1319" i="40" s="1"/>
  <c r="D443" i="40"/>
  <c r="F1320" i="40" s="1"/>
  <c r="E443" i="40"/>
  <c r="F443" i="40"/>
  <c r="G443" i="40"/>
  <c r="E1320" i="40" s="1"/>
  <c r="D444" i="40"/>
  <c r="F1321" i="40" s="1"/>
  <c r="E444" i="40"/>
  <c r="F444" i="40"/>
  <c r="G444" i="40"/>
  <c r="E1321" i="40" s="1"/>
  <c r="D445" i="40"/>
  <c r="F1322" i="40" s="1"/>
  <c r="E445" i="40"/>
  <c r="F445" i="40"/>
  <c r="G445" i="40"/>
  <c r="E1322" i="40" s="1"/>
  <c r="D446" i="40"/>
  <c r="F1323" i="40" s="1"/>
  <c r="E446" i="40"/>
  <c r="F446" i="40"/>
  <c r="G446" i="40"/>
  <c r="E1323" i="40" s="1"/>
  <c r="D447" i="40"/>
  <c r="F1324" i="40" s="1"/>
  <c r="E447" i="40"/>
  <c r="F447" i="40"/>
  <c r="G447" i="40"/>
  <c r="E1324" i="40" s="1"/>
  <c r="D448" i="40"/>
  <c r="F1325" i="40" s="1"/>
  <c r="E448" i="40"/>
  <c r="F448" i="40"/>
  <c r="G448" i="40"/>
  <c r="E1325" i="40" s="1"/>
  <c r="D449" i="40"/>
  <c r="F1326" i="40" s="1"/>
  <c r="E449" i="40"/>
  <c r="F449" i="40"/>
  <c r="G449" i="40"/>
  <c r="E1326" i="40" s="1"/>
  <c r="D450" i="40"/>
  <c r="F1327" i="40" s="1"/>
  <c r="E450" i="40"/>
  <c r="F450" i="40"/>
  <c r="G450" i="40"/>
  <c r="E1327" i="40" s="1"/>
  <c r="D451" i="40"/>
  <c r="F1328" i="40" s="1"/>
  <c r="E451" i="40"/>
  <c r="F451" i="40"/>
  <c r="G451" i="40"/>
  <c r="E1328" i="40" s="1"/>
  <c r="D452" i="40"/>
  <c r="F1329" i="40" s="1"/>
  <c r="E452" i="40"/>
  <c r="F452" i="40"/>
  <c r="G452" i="40"/>
  <c r="E1329" i="40" s="1"/>
  <c r="D453" i="40"/>
  <c r="F1330" i="40" s="1"/>
  <c r="E453" i="40"/>
  <c r="F453" i="40"/>
  <c r="G453" i="40"/>
  <c r="E1330" i="40" s="1"/>
  <c r="D454" i="40"/>
  <c r="F1331" i="40" s="1"/>
  <c r="E454" i="40"/>
  <c r="F454" i="40"/>
  <c r="G454" i="40"/>
  <c r="E1331" i="40" s="1"/>
  <c r="D455" i="40"/>
  <c r="F1332" i="40" s="1"/>
  <c r="E455" i="40"/>
  <c r="F455" i="40"/>
  <c r="G455" i="40"/>
  <c r="E1332" i="40" s="1"/>
  <c r="D456" i="40"/>
  <c r="F1333" i="40" s="1"/>
  <c r="E456" i="40"/>
  <c r="F456" i="40"/>
  <c r="G456" i="40"/>
  <c r="E1333" i="40" s="1"/>
  <c r="D457" i="40"/>
  <c r="F1334" i="40" s="1"/>
  <c r="E457" i="40"/>
  <c r="F457" i="40"/>
  <c r="G457" i="40"/>
  <c r="E1334" i="40" s="1"/>
  <c r="D458" i="40"/>
  <c r="F1335" i="40" s="1"/>
  <c r="E458" i="40"/>
  <c r="F458" i="40"/>
  <c r="G458" i="40"/>
  <c r="E1335" i="40" s="1"/>
  <c r="D459" i="40"/>
  <c r="F1336" i="40" s="1"/>
  <c r="E459" i="40"/>
  <c r="F459" i="40"/>
  <c r="G459" i="40"/>
  <c r="E1336" i="40" s="1"/>
  <c r="D460" i="40"/>
  <c r="F1337" i="40" s="1"/>
  <c r="E460" i="40"/>
  <c r="F460" i="40"/>
  <c r="G460" i="40"/>
  <c r="E1337" i="40" s="1"/>
  <c r="D461" i="40"/>
  <c r="F1338" i="40" s="1"/>
  <c r="E461" i="40"/>
  <c r="F461" i="40"/>
  <c r="G461" i="40"/>
  <c r="E1338" i="40" s="1"/>
  <c r="D462" i="40"/>
  <c r="F1339" i="40" s="1"/>
  <c r="E462" i="40"/>
  <c r="F462" i="40"/>
  <c r="G462" i="40"/>
  <c r="E1339" i="40" s="1"/>
  <c r="D463" i="40"/>
  <c r="F1340" i="40" s="1"/>
  <c r="E463" i="40"/>
  <c r="F463" i="40"/>
  <c r="G463" i="40"/>
  <c r="E1340" i="40" s="1"/>
  <c r="D464" i="40"/>
  <c r="F1341" i="40" s="1"/>
  <c r="E464" i="40"/>
  <c r="F464" i="40"/>
  <c r="G464" i="40"/>
  <c r="E1341" i="40" s="1"/>
  <c r="D465" i="40"/>
  <c r="F1342" i="40" s="1"/>
  <c r="E465" i="40"/>
  <c r="F465" i="40"/>
  <c r="G465" i="40"/>
  <c r="E1342" i="40" s="1"/>
  <c r="D466" i="40"/>
  <c r="F1343" i="40" s="1"/>
  <c r="E466" i="40"/>
  <c r="F466" i="40"/>
  <c r="G466" i="40"/>
  <c r="E1343" i="40" s="1"/>
  <c r="D467" i="40"/>
  <c r="F1344" i="40" s="1"/>
  <c r="E467" i="40"/>
  <c r="F467" i="40"/>
  <c r="G467" i="40"/>
  <c r="E1344" i="40" s="1"/>
  <c r="D468" i="40"/>
  <c r="F1345" i="40" s="1"/>
  <c r="E468" i="40"/>
  <c r="F468" i="40"/>
  <c r="G468" i="40"/>
  <c r="E1345" i="40" s="1"/>
  <c r="D469" i="40"/>
  <c r="F1346" i="40" s="1"/>
  <c r="E469" i="40"/>
  <c r="F469" i="40"/>
  <c r="G469" i="40"/>
  <c r="E1346" i="40" s="1"/>
  <c r="D470" i="40"/>
  <c r="F1347" i="40" s="1"/>
  <c r="E470" i="40"/>
  <c r="F470" i="40"/>
  <c r="G470" i="40"/>
  <c r="E1347" i="40" s="1"/>
  <c r="D471" i="40"/>
  <c r="F1348" i="40" s="1"/>
  <c r="E471" i="40"/>
  <c r="F471" i="40"/>
  <c r="G471" i="40"/>
  <c r="E1348" i="40" s="1"/>
  <c r="D472" i="40"/>
  <c r="F1349" i="40" s="1"/>
  <c r="E472" i="40"/>
  <c r="F472" i="40"/>
  <c r="G472" i="40"/>
  <c r="E1349" i="40" s="1"/>
  <c r="D473" i="40"/>
  <c r="F1350" i="40" s="1"/>
  <c r="E473" i="40"/>
  <c r="F473" i="40"/>
  <c r="G473" i="40"/>
  <c r="E1350" i="40" s="1"/>
  <c r="D474" i="40"/>
  <c r="F1351" i="40" s="1"/>
  <c r="E474" i="40"/>
  <c r="F474" i="40"/>
  <c r="G474" i="40"/>
  <c r="E1351" i="40" s="1"/>
  <c r="D475" i="40"/>
  <c r="F1352" i="40" s="1"/>
  <c r="E475" i="40"/>
  <c r="F475" i="40"/>
  <c r="G475" i="40"/>
  <c r="E1352" i="40" s="1"/>
  <c r="D476" i="40"/>
  <c r="F1353" i="40" s="1"/>
  <c r="E476" i="40"/>
  <c r="F476" i="40"/>
  <c r="G476" i="40"/>
  <c r="E1353" i="40" s="1"/>
  <c r="D477" i="40"/>
  <c r="F1354" i="40" s="1"/>
  <c r="E477" i="40"/>
  <c r="F477" i="40"/>
  <c r="G477" i="40"/>
  <c r="E1354" i="40" s="1"/>
  <c r="D478" i="40"/>
  <c r="F1355" i="40" s="1"/>
  <c r="E478" i="40"/>
  <c r="F478" i="40"/>
  <c r="G478" i="40"/>
  <c r="E1355" i="40" s="1"/>
  <c r="D479" i="40"/>
  <c r="F1356" i="40" s="1"/>
  <c r="E479" i="40"/>
  <c r="F479" i="40"/>
  <c r="G479" i="40"/>
  <c r="E1356" i="40" s="1"/>
  <c r="D480" i="40"/>
  <c r="F1357" i="40" s="1"/>
  <c r="E480" i="40"/>
  <c r="F480" i="40"/>
  <c r="G480" i="40"/>
  <c r="E1357" i="40" s="1"/>
  <c r="D481" i="40"/>
  <c r="F1358" i="40" s="1"/>
  <c r="E481" i="40"/>
  <c r="F481" i="40"/>
  <c r="G481" i="40"/>
  <c r="E1358" i="40" s="1"/>
  <c r="D482" i="40"/>
  <c r="F1359" i="40" s="1"/>
  <c r="E482" i="40"/>
  <c r="F482" i="40"/>
  <c r="G482" i="40"/>
  <c r="E1359" i="40" s="1"/>
  <c r="D483" i="40"/>
  <c r="F1360" i="40" s="1"/>
  <c r="E483" i="40"/>
  <c r="F483" i="40"/>
  <c r="G483" i="40"/>
  <c r="E1360" i="40" s="1"/>
  <c r="D484" i="40"/>
  <c r="F1361" i="40" s="1"/>
  <c r="E484" i="40"/>
  <c r="F484" i="40"/>
  <c r="G484" i="40"/>
  <c r="E1361" i="40" s="1"/>
  <c r="D485" i="40"/>
  <c r="F1362" i="40" s="1"/>
  <c r="E485" i="40"/>
  <c r="F485" i="40"/>
  <c r="G485" i="40"/>
  <c r="E1362" i="40" s="1"/>
  <c r="D486" i="40"/>
  <c r="F1363" i="40" s="1"/>
  <c r="E486" i="40"/>
  <c r="F486" i="40"/>
  <c r="G486" i="40"/>
  <c r="E1363" i="40" s="1"/>
  <c r="D487" i="40"/>
  <c r="F1364" i="40" s="1"/>
  <c r="E487" i="40"/>
  <c r="F487" i="40"/>
  <c r="G487" i="40"/>
  <c r="E1364" i="40" s="1"/>
  <c r="D488" i="40"/>
  <c r="F1365" i="40" s="1"/>
  <c r="E488" i="40"/>
  <c r="F488" i="40"/>
  <c r="G488" i="40"/>
  <c r="E1365" i="40" s="1"/>
  <c r="D489" i="40"/>
  <c r="F1366" i="40" s="1"/>
  <c r="E489" i="40"/>
  <c r="F489" i="40"/>
  <c r="G489" i="40"/>
  <c r="E1366" i="40" s="1"/>
  <c r="D490" i="40"/>
  <c r="F1367" i="40" s="1"/>
  <c r="E490" i="40"/>
  <c r="F490" i="40"/>
  <c r="G490" i="40"/>
  <c r="E1367" i="40" s="1"/>
  <c r="D491" i="40"/>
  <c r="F1368" i="40" s="1"/>
  <c r="E491" i="40"/>
  <c r="F491" i="40"/>
  <c r="G491" i="40"/>
  <c r="E1368" i="40" s="1"/>
  <c r="D492" i="40"/>
  <c r="F1369" i="40" s="1"/>
  <c r="E492" i="40"/>
  <c r="F492" i="40"/>
  <c r="G492" i="40"/>
  <c r="E1369" i="40" s="1"/>
  <c r="D493" i="40"/>
  <c r="F1370" i="40" s="1"/>
  <c r="E493" i="40"/>
  <c r="F493" i="40"/>
  <c r="G493" i="40"/>
  <c r="E1370" i="40" s="1"/>
  <c r="D494" i="40"/>
  <c r="F1371" i="40" s="1"/>
  <c r="E494" i="40"/>
  <c r="F494" i="40"/>
  <c r="G494" i="40"/>
  <c r="E1371" i="40" s="1"/>
  <c r="D495" i="40"/>
  <c r="F1372" i="40" s="1"/>
  <c r="E495" i="40"/>
  <c r="F495" i="40"/>
  <c r="G495" i="40"/>
  <c r="E1372" i="40" s="1"/>
  <c r="D496" i="40"/>
  <c r="F1373" i="40" s="1"/>
  <c r="E496" i="40"/>
  <c r="F496" i="40"/>
  <c r="G496" i="40"/>
  <c r="E1373" i="40" s="1"/>
  <c r="D497" i="40"/>
  <c r="F1374" i="40" s="1"/>
  <c r="E497" i="40"/>
  <c r="F497" i="40"/>
  <c r="G497" i="40"/>
  <c r="E1374" i="40" s="1"/>
  <c r="D498" i="40"/>
  <c r="F1375" i="40" s="1"/>
  <c r="E498" i="40"/>
  <c r="F498" i="40"/>
  <c r="G498" i="40"/>
  <c r="E1375" i="40" s="1"/>
  <c r="D499" i="40"/>
  <c r="F1376" i="40" s="1"/>
  <c r="E499" i="40"/>
  <c r="F499" i="40"/>
  <c r="G499" i="40"/>
  <c r="E1376" i="40" s="1"/>
  <c r="D500" i="40"/>
  <c r="F1377" i="40" s="1"/>
  <c r="E500" i="40"/>
  <c r="F500" i="40"/>
  <c r="G500" i="40"/>
  <c r="E1377" i="40" s="1"/>
  <c r="D501" i="40"/>
  <c r="F1378" i="40" s="1"/>
  <c r="E501" i="40"/>
  <c r="F501" i="40"/>
  <c r="G501" i="40"/>
  <c r="E1378" i="40" s="1"/>
  <c r="D502" i="40"/>
  <c r="F1379" i="40" s="1"/>
  <c r="E502" i="40"/>
  <c r="F502" i="40"/>
  <c r="G502" i="40"/>
  <c r="E1379" i="40" s="1"/>
  <c r="D503" i="40"/>
  <c r="F1380" i="40" s="1"/>
  <c r="E503" i="40"/>
  <c r="F503" i="40"/>
  <c r="G503" i="40"/>
  <c r="E1380" i="40" s="1"/>
  <c r="D504" i="40"/>
  <c r="F1381" i="40" s="1"/>
  <c r="E504" i="40"/>
  <c r="F504" i="40"/>
  <c r="G504" i="40"/>
  <c r="E1381" i="40" s="1"/>
  <c r="D505" i="40"/>
  <c r="F1382" i="40" s="1"/>
  <c r="E505" i="40"/>
  <c r="F505" i="40"/>
  <c r="G505" i="40"/>
  <c r="E1382" i="40" s="1"/>
  <c r="D506" i="40"/>
  <c r="F1383" i="40" s="1"/>
  <c r="E506" i="40"/>
  <c r="F506" i="40"/>
  <c r="G506" i="40"/>
  <c r="E1383" i="40" s="1"/>
  <c r="D507" i="40"/>
  <c r="F1384" i="40" s="1"/>
  <c r="E507" i="40"/>
  <c r="F507" i="40"/>
  <c r="G507" i="40"/>
  <c r="E1384" i="40" s="1"/>
  <c r="D508" i="40"/>
  <c r="F1385" i="40" s="1"/>
  <c r="E508" i="40"/>
  <c r="F508" i="40"/>
  <c r="G508" i="40"/>
  <c r="E1385" i="40" s="1"/>
  <c r="D509" i="40"/>
  <c r="F1386" i="40" s="1"/>
  <c r="E509" i="40"/>
  <c r="F509" i="40"/>
  <c r="G509" i="40"/>
  <c r="E1386" i="40" s="1"/>
  <c r="D510" i="40"/>
  <c r="F1387" i="40" s="1"/>
  <c r="E510" i="40"/>
  <c r="F510" i="40"/>
  <c r="G510" i="40"/>
  <c r="E1387" i="40" s="1"/>
  <c r="D511" i="40"/>
  <c r="F1388" i="40" s="1"/>
  <c r="E511" i="40"/>
  <c r="F511" i="40"/>
  <c r="G511" i="40"/>
  <c r="E1388" i="40" s="1"/>
  <c r="D512" i="40"/>
  <c r="F1389" i="40" s="1"/>
  <c r="E512" i="40"/>
  <c r="F512" i="40"/>
  <c r="G512" i="40"/>
  <c r="E1389" i="40" s="1"/>
  <c r="D513" i="40"/>
  <c r="F1390" i="40" s="1"/>
  <c r="E513" i="40"/>
  <c r="F513" i="40"/>
  <c r="G513" i="40"/>
  <c r="E1390" i="40" s="1"/>
  <c r="D514" i="40"/>
  <c r="F1391" i="40" s="1"/>
  <c r="E514" i="40"/>
  <c r="F514" i="40"/>
  <c r="G514" i="40"/>
  <c r="E1391" i="40" s="1"/>
  <c r="D515" i="40"/>
  <c r="F1392" i="40" s="1"/>
  <c r="E515" i="40"/>
  <c r="F515" i="40"/>
  <c r="G515" i="40"/>
  <c r="E1392" i="40" s="1"/>
  <c r="D516" i="40"/>
  <c r="F1393" i="40" s="1"/>
  <c r="E516" i="40"/>
  <c r="F516" i="40"/>
  <c r="G516" i="40"/>
  <c r="E1393" i="40" s="1"/>
  <c r="D517" i="40"/>
  <c r="F1394" i="40" s="1"/>
  <c r="E517" i="40"/>
  <c r="F517" i="40"/>
  <c r="G517" i="40"/>
  <c r="E1394" i="40" s="1"/>
  <c r="D518" i="40"/>
  <c r="F1395" i="40" s="1"/>
  <c r="E518" i="40"/>
  <c r="F518" i="40"/>
  <c r="G518" i="40"/>
  <c r="E1395" i="40" s="1"/>
  <c r="D519" i="40"/>
  <c r="F1396" i="40" s="1"/>
  <c r="E519" i="40"/>
  <c r="F519" i="40"/>
  <c r="G519" i="40"/>
  <c r="E1396" i="40" s="1"/>
  <c r="D520" i="40"/>
  <c r="F1397" i="40" s="1"/>
  <c r="E520" i="40"/>
  <c r="F520" i="40"/>
  <c r="G520" i="40"/>
  <c r="E1397" i="40" s="1"/>
  <c r="D521" i="40"/>
  <c r="F1398" i="40" s="1"/>
  <c r="E521" i="40"/>
  <c r="F521" i="40"/>
  <c r="G521" i="40"/>
  <c r="E1398" i="40" s="1"/>
  <c r="D522" i="40"/>
  <c r="F1399" i="40" s="1"/>
  <c r="E522" i="40"/>
  <c r="F522" i="40"/>
  <c r="G522" i="40"/>
  <c r="E1399" i="40" s="1"/>
  <c r="D523" i="40"/>
  <c r="F1400" i="40" s="1"/>
  <c r="E523" i="40"/>
  <c r="F523" i="40"/>
  <c r="G523" i="40"/>
  <c r="E1400" i="40" s="1"/>
  <c r="D524" i="40"/>
  <c r="F1401" i="40" s="1"/>
  <c r="E524" i="40"/>
  <c r="F524" i="40"/>
  <c r="G524" i="40"/>
  <c r="E1401" i="40" s="1"/>
  <c r="D525" i="40"/>
  <c r="F1402" i="40" s="1"/>
  <c r="E525" i="40"/>
  <c r="F525" i="40"/>
  <c r="G525" i="40"/>
  <c r="E1402" i="40" s="1"/>
  <c r="D526" i="40"/>
  <c r="F1403" i="40" s="1"/>
  <c r="E526" i="40"/>
  <c r="F526" i="40"/>
  <c r="G526" i="40"/>
  <c r="E1403" i="40" s="1"/>
  <c r="D527" i="40"/>
  <c r="F1404" i="40" s="1"/>
  <c r="E527" i="40"/>
  <c r="F527" i="40"/>
  <c r="G527" i="40"/>
  <c r="E1404" i="40" s="1"/>
  <c r="D528" i="40"/>
  <c r="F1405" i="40" s="1"/>
  <c r="E528" i="40"/>
  <c r="F528" i="40"/>
  <c r="G528" i="40"/>
  <c r="E1405" i="40" s="1"/>
  <c r="D529" i="40"/>
  <c r="F1406" i="40" s="1"/>
  <c r="E529" i="40"/>
  <c r="F529" i="40"/>
  <c r="G529" i="40"/>
  <c r="E1406" i="40" s="1"/>
  <c r="D530" i="40"/>
  <c r="F1407" i="40" s="1"/>
  <c r="E530" i="40"/>
  <c r="F530" i="40"/>
  <c r="G530" i="40"/>
  <c r="E1407" i="40" s="1"/>
  <c r="D531" i="40"/>
  <c r="F1408" i="40" s="1"/>
  <c r="E531" i="40"/>
  <c r="F531" i="40"/>
  <c r="G531" i="40"/>
  <c r="E1408" i="40" s="1"/>
  <c r="D532" i="40"/>
  <c r="F1409" i="40" s="1"/>
  <c r="E532" i="40"/>
  <c r="F532" i="40"/>
  <c r="G532" i="40"/>
  <c r="E1409" i="40" s="1"/>
  <c r="D533" i="40"/>
  <c r="F1410" i="40" s="1"/>
  <c r="E533" i="40"/>
  <c r="F533" i="40"/>
  <c r="G533" i="40"/>
  <c r="E1410" i="40" s="1"/>
  <c r="D534" i="40"/>
  <c r="F1411" i="40" s="1"/>
  <c r="E534" i="40"/>
  <c r="F534" i="40"/>
  <c r="G534" i="40"/>
  <c r="E1411" i="40" s="1"/>
  <c r="D535" i="40"/>
  <c r="F1412" i="40" s="1"/>
  <c r="E535" i="40"/>
  <c r="F535" i="40"/>
  <c r="G535" i="40"/>
  <c r="E1412" i="40" s="1"/>
  <c r="D536" i="40"/>
  <c r="F1413" i="40" s="1"/>
  <c r="E536" i="40"/>
  <c r="F536" i="40"/>
  <c r="G536" i="40"/>
  <c r="E1413" i="40" s="1"/>
  <c r="D537" i="40"/>
  <c r="F1414" i="40" s="1"/>
  <c r="E537" i="40"/>
  <c r="F537" i="40"/>
  <c r="G537" i="40"/>
  <c r="E1414" i="40" s="1"/>
  <c r="D538" i="40"/>
  <c r="F1415" i="40" s="1"/>
  <c r="E538" i="40"/>
  <c r="F538" i="40"/>
  <c r="G538" i="40"/>
  <c r="E1415" i="40" s="1"/>
  <c r="D539" i="40"/>
  <c r="F1416" i="40" s="1"/>
  <c r="E539" i="40"/>
  <c r="F539" i="40"/>
  <c r="G539" i="40"/>
  <c r="E1416" i="40" s="1"/>
  <c r="D540" i="40"/>
  <c r="F1417" i="40" s="1"/>
  <c r="E540" i="40"/>
  <c r="F540" i="40"/>
  <c r="G540" i="40"/>
  <c r="E1417" i="40" s="1"/>
  <c r="D541" i="40"/>
  <c r="F1418" i="40" s="1"/>
  <c r="E541" i="40"/>
  <c r="F541" i="40"/>
  <c r="G541" i="40"/>
  <c r="E1418" i="40" s="1"/>
  <c r="D542" i="40"/>
  <c r="F1419" i="40" s="1"/>
  <c r="E542" i="40"/>
  <c r="F542" i="40"/>
  <c r="G542" i="40"/>
  <c r="E1419" i="40" s="1"/>
  <c r="D543" i="40"/>
  <c r="F1420" i="40" s="1"/>
  <c r="E543" i="40"/>
  <c r="F543" i="40"/>
  <c r="G543" i="40"/>
  <c r="E1420" i="40" s="1"/>
  <c r="D544" i="40"/>
  <c r="F1421" i="40" s="1"/>
  <c r="E544" i="40"/>
  <c r="F544" i="40"/>
  <c r="G544" i="40"/>
  <c r="E1421" i="40" s="1"/>
  <c r="D545" i="40"/>
  <c r="F1422" i="40" s="1"/>
  <c r="E545" i="40"/>
  <c r="F545" i="40"/>
  <c r="G545" i="40"/>
  <c r="E1422" i="40" s="1"/>
  <c r="D546" i="40"/>
  <c r="F1423" i="40" s="1"/>
  <c r="E546" i="40"/>
  <c r="F546" i="40"/>
  <c r="G546" i="40"/>
  <c r="E1423" i="40" s="1"/>
  <c r="F1424" i="40"/>
  <c r="E1424" i="40"/>
  <c r="F1425" i="40"/>
  <c r="E1425"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R804" i="37" l="1"/>
  <c r="AH302" i="50"/>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4" i="65" l="1"/>
  <c r="G144" i="65"/>
  <c r="H144" i="65"/>
  <c r="I144" i="65"/>
  <c r="J144" i="65"/>
  <c r="G145" i="65"/>
  <c r="H145" i="65"/>
  <c r="I145" i="65"/>
  <c r="J145" i="65"/>
  <c r="G146" i="65"/>
  <c r="H146" i="65"/>
  <c r="I146" i="65"/>
  <c r="J146" i="65"/>
  <c r="G147" i="65"/>
  <c r="H147" i="65"/>
  <c r="I147" i="65"/>
  <c r="J147" i="65"/>
  <c r="G148" i="65"/>
  <c r="H148" i="65"/>
  <c r="I148" i="65"/>
  <c r="J148" i="65"/>
  <c r="G149" i="65"/>
  <c r="H149" i="65"/>
  <c r="I149" i="65"/>
  <c r="J149" i="65"/>
  <c r="G150" i="65"/>
  <c r="H150" i="65"/>
  <c r="I150" i="65"/>
  <c r="J150" i="65"/>
  <c r="G151" i="65"/>
  <c r="H151" i="65"/>
  <c r="I151" i="65"/>
  <c r="J151" i="65"/>
  <c r="G152" i="65"/>
  <c r="H152" i="65"/>
  <c r="I152" i="65"/>
  <c r="J152" i="65"/>
  <c r="G153" i="65"/>
  <c r="H153" i="65"/>
  <c r="I153" i="65"/>
  <c r="J153" i="65"/>
  <c r="G154" i="65"/>
  <c r="H154" i="65"/>
  <c r="I154" i="65"/>
  <c r="J154" i="65"/>
  <c r="G155" i="65"/>
  <c r="H155" i="65"/>
  <c r="I155" i="65"/>
  <c r="J155" i="65"/>
  <c r="G156" i="65"/>
  <c r="H156" i="65"/>
  <c r="I156" i="65"/>
  <c r="J156" i="65"/>
  <c r="G157" i="65"/>
  <c r="H157" i="65"/>
  <c r="I157" i="65"/>
  <c r="J157" i="65"/>
  <c r="G158" i="65"/>
  <c r="H158" i="65"/>
  <c r="I158" i="65"/>
  <c r="J158" i="65"/>
  <c r="G159" i="65"/>
  <c r="H159" i="65"/>
  <c r="I159" i="65"/>
  <c r="J159" i="65"/>
  <c r="G160" i="65"/>
  <c r="H160" i="65"/>
  <c r="I160" i="65"/>
  <c r="J160" i="65"/>
  <c r="G161" i="65"/>
  <c r="H161" i="65"/>
  <c r="I161" i="65"/>
  <c r="J161" i="65"/>
  <c r="G162" i="65"/>
  <c r="H162" i="65"/>
  <c r="I162" i="65"/>
  <c r="J162" i="65"/>
  <c r="G163" i="65"/>
  <c r="H163" i="65"/>
  <c r="I163" i="65"/>
  <c r="J163" i="65"/>
  <c r="G164" i="65"/>
  <c r="H164" i="65"/>
  <c r="I164" i="65"/>
  <c r="J164" i="65"/>
  <c r="G165" i="65"/>
  <c r="H165" i="65"/>
  <c r="I165" i="65"/>
  <c r="J165" i="65"/>
  <c r="G166" i="65"/>
  <c r="H166" i="65"/>
  <c r="I166" i="65"/>
  <c r="J166" i="65"/>
  <c r="G167" i="65"/>
  <c r="H167" i="65"/>
  <c r="I167" i="65"/>
  <c r="J167" i="65"/>
  <c r="G168" i="65"/>
  <c r="H168" i="65"/>
  <c r="I168" i="65"/>
  <c r="J168" i="65"/>
  <c r="G169" i="65"/>
  <c r="H169" i="65"/>
  <c r="I169" i="65"/>
  <c r="J169" i="65"/>
  <c r="G170" i="65"/>
  <c r="H170" i="65"/>
  <c r="I170" i="65"/>
  <c r="J170" i="65"/>
  <c r="G171" i="65"/>
  <c r="H171" i="65"/>
  <c r="I171" i="65"/>
  <c r="J171" i="65"/>
  <c r="G172" i="65"/>
  <c r="H172" i="65"/>
  <c r="I172" i="65"/>
  <c r="J172" i="65"/>
  <c r="G173" i="65"/>
  <c r="H173" i="65"/>
  <c r="I173" i="65"/>
  <c r="J173" i="65"/>
  <c r="G174" i="65"/>
  <c r="H174" i="65"/>
  <c r="I174" i="65"/>
  <c r="J174" i="65"/>
  <c r="G175" i="65"/>
  <c r="H175" i="65"/>
  <c r="I175" i="65"/>
  <c r="J175" i="65"/>
  <c r="G176" i="65"/>
  <c r="H176" i="65"/>
  <c r="I176" i="65"/>
  <c r="J176" i="65"/>
  <c r="G177" i="65"/>
  <c r="H177" i="65"/>
  <c r="I177" i="65"/>
  <c r="J177" i="65"/>
  <c r="G178" i="65"/>
  <c r="H178" i="65"/>
  <c r="I178" i="65"/>
  <c r="J178" i="65"/>
  <c r="G179" i="65"/>
  <c r="H179" i="65"/>
  <c r="I179" i="65"/>
  <c r="J179" i="65"/>
  <c r="G180" i="65"/>
  <c r="H180" i="65"/>
  <c r="I180" i="65"/>
  <c r="J180" i="65"/>
  <c r="G181" i="65"/>
  <c r="H181" i="65"/>
  <c r="I181" i="65"/>
  <c r="J181" i="65"/>
  <c r="G182" i="65"/>
  <c r="H182" i="65"/>
  <c r="I182" i="65"/>
  <c r="J182" i="65"/>
  <c r="G183" i="65"/>
  <c r="H183" i="65"/>
  <c r="I183" i="65"/>
  <c r="J183" i="65"/>
  <c r="G184" i="65"/>
  <c r="H184" i="65"/>
  <c r="I184" i="65"/>
  <c r="J184" i="65"/>
  <c r="G185" i="65"/>
  <c r="H185" i="65"/>
  <c r="I185" i="65"/>
  <c r="J185" i="65"/>
  <c r="G186" i="65"/>
  <c r="H186" i="65"/>
  <c r="I186" i="65"/>
  <c r="J186" i="65"/>
  <c r="G187" i="65"/>
  <c r="H187" i="65"/>
  <c r="I187" i="65"/>
  <c r="J187" i="65"/>
  <c r="G188" i="65"/>
  <c r="H188" i="65"/>
  <c r="I188" i="65"/>
  <c r="J188" i="65"/>
  <c r="G189" i="65"/>
  <c r="H189" i="65"/>
  <c r="I189" i="65"/>
  <c r="J189" i="65"/>
  <c r="G190" i="65"/>
  <c r="H190" i="65"/>
  <c r="I190" i="65"/>
  <c r="J190" i="65"/>
  <c r="G191" i="65"/>
  <c r="H191" i="65"/>
  <c r="I191" i="65"/>
  <c r="J191" i="65"/>
  <c r="G192" i="65"/>
  <c r="H192" i="65"/>
  <c r="I192" i="65"/>
  <c r="J192" i="65"/>
  <c r="G193" i="65"/>
  <c r="H193" i="65"/>
  <c r="I193" i="65"/>
  <c r="J193" i="65"/>
  <c r="G194" i="65"/>
  <c r="H194" i="65"/>
  <c r="I194" i="65"/>
  <c r="J194" i="65"/>
  <c r="G195" i="65"/>
  <c r="H195" i="65"/>
  <c r="I195" i="65"/>
  <c r="J195" i="65"/>
  <c r="G196" i="65"/>
  <c r="H196" i="65"/>
  <c r="I196" i="65"/>
  <c r="J196" i="65"/>
  <c r="G197" i="65"/>
  <c r="H197" i="65"/>
  <c r="I197" i="65"/>
  <c r="J197" i="65"/>
  <c r="G198" i="65"/>
  <c r="H198" i="65"/>
  <c r="I198" i="65"/>
  <c r="J198" i="65"/>
  <c r="G199" i="65"/>
  <c r="H199" i="65"/>
  <c r="I199" i="65"/>
  <c r="J199" i="65"/>
  <c r="G200" i="65"/>
  <c r="H200" i="65"/>
  <c r="I200" i="65"/>
  <c r="J200" i="65"/>
  <c r="G201" i="65"/>
  <c r="H201" i="65"/>
  <c r="I201" i="65"/>
  <c r="J201" i="65"/>
  <c r="G202" i="65"/>
  <c r="H202" i="65"/>
  <c r="I202" i="65"/>
  <c r="J202" i="65"/>
  <c r="G203" i="65"/>
  <c r="H203" i="65"/>
  <c r="I203" i="65"/>
  <c r="J203" i="65"/>
  <c r="G204" i="65"/>
  <c r="H204" i="65"/>
  <c r="I204" i="65"/>
  <c r="J204" i="65"/>
  <c r="G205" i="65"/>
  <c r="H205" i="65"/>
  <c r="I205" i="65"/>
  <c r="J205" i="65"/>
  <c r="G206" i="65"/>
  <c r="H206" i="65"/>
  <c r="I206" i="65"/>
  <c r="J206" i="65"/>
  <c r="G207" i="65"/>
  <c r="H207" i="65"/>
  <c r="I207" i="65"/>
  <c r="J207" i="65"/>
  <c r="G208" i="65"/>
  <c r="H208" i="65"/>
  <c r="I208" i="65"/>
  <c r="J208" i="65"/>
  <c r="G209" i="65"/>
  <c r="H209" i="65"/>
  <c r="I209" i="65"/>
  <c r="J209" i="65"/>
  <c r="G210" i="65"/>
  <c r="H210" i="65"/>
  <c r="I210" i="65"/>
  <c r="J210" i="65"/>
  <c r="G211" i="65"/>
  <c r="H211" i="65"/>
  <c r="I211" i="65"/>
  <c r="J211" i="65"/>
  <c r="G212" i="65"/>
  <c r="H212" i="65"/>
  <c r="I212" i="65"/>
  <c r="J212" i="65"/>
  <c r="G213" i="65"/>
  <c r="H213" i="65"/>
  <c r="I213" i="65"/>
  <c r="J213" i="65"/>
  <c r="G214" i="65"/>
  <c r="H214" i="65"/>
  <c r="I214" i="65"/>
  <c r="J214" i="65"/>
  <c r="G215" i="65"/>
  <c r="H215" i="65"/>
  <c r="I215" i="65"/>
  <c r="J215" i="65"/>
  <c r="G216" i="65"/>
  <c r="H216" i="65"/>
  <c r="I216" i="65"/>
  <c r="J216" i="65"/>
  <c r="G217" i="65"/>
  <c r="H217" i="65"/>
  <c r="I217" i="65"/>
  <c r="J217" i="65"/>
  <c r="G218" i="65"/>
  <c r="H218" i="65"/>
  <c r="I218" i="65"/>
  <c r="J218" i="65"/>
  <c r="G219" i="65"/>
  <c r="H219" i="65"/>
  <c r="I219" i="65"/>
  <c r="J219" i="65"/>
  <c r="G220" i="65"/>
  <c r="H220" i="65"/>
  <c r="I220" i="65"/>
  <c r="J220" i="65"/>
  <c r="G221" i="65"/>
  <c r="H221" i="65"/>
  <c r="I221" i="65"/>
  <c r="J221" i="65"/>
  <c r="G222" i="65"/>
  <c r="H222" i="65"/>
  <c r="I222" i="65"/>
  <c r="J222" i="65"/>
  <c r="G223" i="65"/>
  <c r="H223" i="65"/>
  <c r="I223" i="65"/>
  <c r="J223" i="65"/>
  <c r="G224" i="65"/>
  <c r="H224" i="65"/>
  <c r="I224" i="65"/>
  <c r="J224" i="65"/>
  <c r="G225" i="65"/>
  <c r="H225" i="65"/>
  <c r="I225" i="65"/>
  <c r="J225" i="65"/>
  <c r="G226" i="65"/>
  <c r="H226" i="65"/>
  <c r="I226" i="65"/>
  <c r="J226" i="65"/>
  <c r="G227" i="65"/>
  <c r="H227" i="65"/>
  <c r="I227" i="65"/>
  <c r="J227" i="65"/>
  <c r="G228" i="65"/>
  <c r="H228" i="65"/>
  <c r="I228" i="65"/>
  <c r="J228" i="65"/>
  <c r="G229" i="65"/>
  <c r="H229" i="65"/>
  <c r="I229" i="65"/>
  <c r="J229" i="65"/>
  <c r="G230" i="65"/>
  <c r="H230" i="65"/>
  <c r="I230" i="65"/>
  <c r="J230" i="65"/>
  <c r="G231" i="65"/>
  <c r="H231" i="65"/>
  <c r="I231" i="65"/>
  <c r="J231" i="65"/>
  <c r="G232" i="65"/>
  <c r="H232" i="65"/>
  <c r="I232" i="65"/>
  <c r="J232" i="65"/>
  <c r="G233" i="65"/>
  <c r="H233" i="65"/>
  <c r="I233" i="65"/>
  <c r="J233" i="65"/>
  <c r="G234" i="65"/>
  <c r="H234" i="65"/>
  <c r="I234" i="65"/>
  <c r="J234" i="65"/>
  <c r="G235" i="65"/>
  <c r="H235" i="65"/>
  <c r="I235" i="65"/>
  <c r="J235" i="65"/>
  <c r="G236" i="65"/>
  <c r="H236" i="65"/>
  <c r="I236" i="65"/>
  <c r="J236" i="65"/>
  <c r="G237" i="65"/>
  <c r="H237" i="65"/>
  <c r="I237" i="65"/>
  <c r="J237" i="65"/>
  <c r="G238" i="65"/>
  <c r="H238" i="65"/>
  <c r="I238" i="65"/>
  <c r="J238" i="65"/>
  <c r="G239" i="65"/>
  <c r="H239" i="65"/>
  <c r="I239" i="65"/>
  <c r="J239" i="65"/>
  <c r="G240" i="65"/>
  <c r="H240" i="65"/>
  <c r="I240" i="65"/>
  <c r="J240" i="65"/>
  <c r="G241" i="65"/>
  <c r="H241" i="65"/>
  <c r="I241" i="65"/>
  <c r="J241" i="65"/>
  <c r="G242" i="65"/>
  <c r="H242" i="65"/>
  <c r="I242" i="65"/>
  <c r="J242" i="65"/>
  <c r="G243" i="65"/>
  <c r="H243" i="65"/>
  <c r="I243" i="65"/>
  <c r="J243" i="65"/>
  <c r="G244" i="65"/>
  <c r="H244" i="65"/>
  <c r="I244" i="65"/>
  <c r="J244" i="65"/>
  <c r="G245" i="65"/>
  <c r="H245" i="65"/>
  <c r="I245" i="65"/>
  <c r="J245" i="65"/>
  <c r="G246" i="65"/>
  <c r="H246" i="65"/>
  <c r="I246" i="65"/>
  <c r="J246" i="65"/>
  <c r="G247" i="65"/>
  <c r="H247" i="65"/>
  <c r="I247" i="65"/>
  <c r="J247" i="65"/>
  <c r="G248" i="65"/>
  <c r="H248" i="65"/>
  <c r="I248" i="65"/>
  <c r="J248" i="65"/>
  <c r="G249" i="65"/>
  <c r="H249" i="65"/>
  <c r="I249" i="65"/>
  <c r="J249" i="65"/>
  <c r="G250" i="65"/>
  <c r="H250" i="65"/>
  <c r="I250" i="65"/>
  <c r="J250" i="65"/>
  <c r="G251" i="65"/>
  <c r="H251" i="65"/>
  <c r="I251" i="65"/>
  <c r="J251" i="65"/>
  <c r="G252" i="65"/>
  <c r="H252" i="65"/>
  <c r="I252" i="65"/>
  <c r="J252" i="65"/>
  <c r="G253" i="65"/>
  <c r="H253" i="65"/>
  <c r="I253" i="65"/>
  <c r="J253" i="65"/>
  <c r="G254" i="65"/>
  <c r="H254" i="65"/>
  <c r="I254" i="65"/>
  <c r="J254" i="65"/>
  <c r="G255" i="65"/>
  <c r="H255" i="65"/>
  <c r="I255" i="65"/>
  <c r="J255" i="65"/>
  <c r="G256" i="65"/>
  <c r="H256" i="65"/>
  <c r="I256" i="65"/>
  <c r="J256" i="65"/>
  <c r="G257" i="65"/>
  <c r="H257" i="65"/>
  <c r="I257" i="65"/>
  <c r="J257" i="65"/>
  <c r="G258" i="65"/>
  <c r="H258" i="65"/>
  <c r="I258" i="65"/>
  <c r="J258" i="65"/>
  <c r="G259" i="65"/>
  <c r="H259" i="65"/>
  <c r="I259" i="65"/>
  <c r="J259" i="65"/>
  <c r="G260" i="65"/>
  <c r="H260" i="65"/>
  <c r="I260" i="65"/>
  <c r="J260" i="65"/>
  <c r="G261" i="65"/>
  <c r="H261" i="65"/>
  <c r="I261" i="65"/>
  <c r="J261" i="65"/>
  <c r="G262" i="65"/>
  <c r="H262" i="65"/>
  <c r="I262" i="65"/>
  <c r="J262" i="65"/>
  <c r="G263" i="65"/>
  <c r="H263" i="65"/>
  <c r="I263" i="65"/>
  <c r="J263" i="65"/>
  <c r="G264" i="65"/>
  <c r="H264" i="65"/>
  <c r="I264" i="65"/>
  <c r="J264" i="65"/>
  <c r="G267" i="65"/>
  <c r="H267" i="65"/>
  <c r="I267" i="65"/>
  <c r="J267" i="65"/>
  <c r="U66" i="42"/>
  <c r="L66" i="42"/>
  <c r="CA66" i="42" s="1"/>
  <c r="M66" i="42"/>
  <c r="L67" i="42"/>
  <c r="CA67" i="42" s="1"/>
  <c r="M67" i="42"/>
  <c r="U68" i="42"/>
  <c r="L68" i="42"/>
  <c r="CA68" i="42" s="1"/>
  <c r="M68" i="42"/>
  <c r="U69" i="42"/>
  <c r="L69" i="42"/>
  <c r="CA69" i="42" s="1"/>
  <c r="M69" i="42"/>
  <c r="L70" i="42"/>
  <c r="CA70" i="42" s="1"/>
  <c r="M70" i="42"/>
  <c r="L71" i="42"/>
  <c r="CA71" i="42" s="1"/>
  <c r="M71" i="42"/>
  <c r="L72" i="42"/>
  <c r="CA72" i="42" s="1"/>
  <c r="M72" i="42"/>
  <c r="L73" i="42"/>
  <c r="CA73" i="42" s="1"/>
  <c r="M73" i="42"/>
  <c r="L74" i="42"/>
  <c r="CA74" i="42" s="1"/>
  <c r="M74" i="42"/>
  <c r="M75" i="42"/>
  <c r="L75" i="42"/>
  <c r="CA75" i="42" s="1"/>
  <c r="M76" i="42"/>
  <c r="L76" i="42"/>
  <c r="CA76" i="42" s="1"/>
  <c r="M77" i="42"/>
  <c r="L77" i="42"/>
  <c r="CA77" i="42" s="1"/>
  <c r="L78" i="42"/>
  <c r="CA78" i="42" s="1"/>
  <c r="M78" i="42"/>
  <c r="L79" i="42"/>
  <c r="CA79" i="42" s="1"/>
  <c r="B145" i="65"/>
  <c r="BW76" i="42" l="1"/>
  <c r="BV74" i="42"/>
  <c r="BW72" i="42"/>
  <c r="BX70" i="42"/>
  <c r="BW78" i="42"/>
  <c r="BW67" i="42"/>
  <c r="BV77" i="42"/>
  <c r="BX75" i="42"/>
  <c r="BW79" i="42"/>
  <c r="BW73" i="42"/>
  <c r="BV71" i="42"/>
  <c r="BV69" i="42"/>
  <c r="U79" i="42"/>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Y66" i="42"/>
  <c r="AP66" i="42"/>
  <c r="O66" i="42"/>
  <c r="V66" i="42"/>
  <c r="AB66" i="42"/>
  <c r="B426" i="40"/>
  <c r="O77" i="42"/>
  <c r="R77" i="42" s="1"/>
  <c r="V77" i="42"/>
  <c r="BV78" i="42"/>
  <c r="U74" i="42"/>
  <c r="P73" i="42"/>
  <c r="BE73" i="42" s="1"/>
  <c r="BX72" i="42"/>
  <c r="U78" i="42"/>
  <c r="O76" i="42"/>
  <c r="U70" i="42"/>
  <c r="K267" i="65"/>
  <c r="M267" i="65"/>
  <c r="M265" i="65"/>
  <c r="K265" i="65"/>
  <c r="K263" i="65"/>
  <c r="M263" i="65"/>
  <c r="M261" i="65"/>
  <c r="K261" i="65"/>
  <c r="K259" i="65"/>
  <c r="M259" i="65"/>
  <c r="M257" i="65"/>
  <c r="K257" i="65"/>
  <c r="K255" i="65"/>
  <c r="M255" i="65"/>
  <c r="M253" i="65"/>
  <c r="K253" i="65"/>
  <c r="K251" i="65"/>
  <c r="M251" i="65"/>
  <c r="K249" i="65"/>
  <c r="M249" i="65"/>
  <c r="K247" i="65"/>
  <c r="M247" i="65"/>
  <c r="K245" i="65"/>
  <c r="M245" i="65"/>
  <c r="K243" i="65"/>
  <c r="M243" i="65"/>
  <c r="K241" i="65"/>
  <c r="M241" i="65"/>
  <c r="K239" i="65"/>
  <c r="M239" i="65"/>
  <c r="K237" i="65"/>
  <c r="M237" i="65"/>
  <c r="K235" i="65"/>
  <c r="M235" i="65"/>
  <c r="K233" i="65"/>
  <c r="M233" i="65"/>
  <c r="K231" i="65"/>
  <c r="M231" i="65"/>
  <c r="K229" i="65"/>
  <c r="M229" i="65"/>
  <c r="K227" i="65"/>
  <c r="M227" i="65"/>
  <c r="K225" i="65"/>
  <c r="M225" i="65"/>
  <c r="M223" i="65"/>
  <c r="K223" i="65"/>
  <c r="K221" i="65"/>
  <c r="M221" i="65"/>
  <c r="K219" i="65"/>
  <c r="M219" i="65"/>
  <c r="K217" i="65"/>
  <c r="M217" i="65"/>
  <c r="M215" i="65"/>
  <c r="K215" i="65"/>
  <c r="K213" i="65"/>
  <c r="M213" i="65"/>
  <c r="K211" i="65"/>
  <c r="M211" i="65"/>
  <c r="K209" i="65"/>
  <c r="M209" i="65"/>
  <c r="M207" i="65"/>
  <c r="K207" i="65"/>
  <c r="K205" i="65"/>
  <c r="M205" i="65"/>
  <c r="K203" i="65"/>
  <c r="M203" i="65"/>
  <c r="M201" i="65"/>
  <c r="K201" i="65"/>
  <c r="M199" i="65"/>
  <c r="K199" i="65"/>
  <c r="M197" i="65"/>
  <c r="K197" i="65"/>
  <c r="M195" i="65"/>
  <c r="K195" i="65"/>
  <c r="K193" i="65"/>
  <c r="M193" i="65"/>
  <c r="M191" i="65"/>
  <c r="K191" i="65"/>
  <c r="M189" i="65"/>
  <c r="K189" i="65"/>
  <c r="K187" i="65"/>
  <c r="M187" i="65"/>
  <c r="M185" i="65"/>
  <c r="K185" i="65"/>
  <c r="K183" i="65"/>
  <c r="M183" i="65"/>
  <c r="M181" i="65"/>
  <c r="K181" i="65"/>
  <c r="K179" i="65"/>
  <c r="M179" i="65"/>
  <c r="K177" i="65"/>
  <c r="M177" i="65"/>
  <c r="M175" i="65"/>
  <c r="K175" i="65"/>
  <c r="K173" i="65"/>
  <c r="M173" i="65"/>
  <c r="K171" i="65"/>
  <c r="M171" i="65"/>
  <c r="M169" i="65"/>
  <c r="K169" i="65"/>
  <c r="K167" i="65"/>
  <c r="M167" i="65"/>
  <c r="K165" i="65"/>
  <c r="M165" i="65"/>
  <c r="K163" i="65"/>
  <c r="M163" i="65"/>
  <c r="K161" i="65"/>
  <c r="M161" i="65"/>
  <c r="M159" i="65"/>
  <c r="K159" i="65"/>
  <c r="K157" i="65"/>
  <c r="M157" i="65"/>
  <c r="K155" i="65"/>
  <c r="M155" i="65"/>
  <c r="K153" i="65"/>
  <c r="M153" i="65"/>
  <c r="K151" i="65"/>
  <c r="M151" i="65"/>
  <c r="M149" i="65"/>
  <c r="K149" i="65"/>
  <c r="K147" i="65"/>
  <c r="M147" i="65"/>
  <c r="K145" i="65"/>
  <c r="M145" i="65"/>
  <c r="K266" i="65"/>
  <c r="M266" i="65"/>
  <c r="K264" i="65"/>
  <c r="M264" i="65"/>
  <c r="K262" i="65"/>
  <c r="M262" i="65"/>
  <c r="K260" i="65"/>
  <c r="M260" i="65"/>
  <c r="K258" i="65"/>
  <c r="M258" i="65"/>
  <c r="K256" i="65"/>
  <c r="M256" i="65"/>
  <c r="K254" i="65"/>
  <c r="M254" i="65"/>
  <c r="K252" i="65"/>
  <c r="M252" i="65"/>
  <c r="K250" i="65"/>
  <c r="M250" i="65"/>
  <c r="K248" i="65"/>
  <c r="M248" i="65"/>
  <c r="M246" i="65"/>
  <c r="K246" i="65"/>
  <c r="K244" i="65"/>
  <c r="M244" i="65"/>
  <c r="K242" i="65"/>
  <c r="M242" i="65"/>
  <c r="K240" i="65"/>
  <c r="M240" i="65"/>
  <c r="M238" i="65"/>
  <c r="K238" i="65"/>
  <c r="K236" i="65"/>
  <c r="M236" i="65"/>
  <c r="K234" i="65"/>
  <c r="M234" i="65"/>
  <c r="K232" i="65"/>
  <c r="M232" i="65"/>
  <c r="M230" i="65"/>
  <c r="K230" i="65"/>
  <c r="K228" i="65"/>
  <c r="M228" i="65"/>
  <c r="K226" i="65"/>
  <c r="M226" i="65"/>
  <c r="M224" i="65"/>
  <c r="K224" i="65"/>
  <c r="K222" i="65"/>
  <c r="M222" i="65"/>
  <c r="K220" i="65"/>
  <c r="M220" i="65"/>
  <c r="K218" i="65"/>
  <c r="M218" i="65"/>
  <c r="K216" i="65"/>
  <c r="M216" i="65"/>
  <c r="K214" i="65"/>
  <c r="M214" i="65"/>
  <c r="K212" i="65"/>
  <c r="M212" i="65"/>
  <c r="K210" i="65"/>
  <c r="M210" i="65"/>
  <c r="K208" i="65"/>
  <c r="M208" i="65"/>
  <c r="K206" i="65"/>
  <c r="M206" i="65"/>
  <c r="K204" i="65"/>
  <c r="M204" i="65"/>
  <c r="M202" i="65"/>
  <c r="K202" i="65"/>
  <c r="M200" i="65"/>
  <c r="K200" i="65"/>
  <c r="K198" i="65"/>
  <c r="M198" i="65"/>
  <c r="K196" i="65"/>
  <c r="M196" i="65"/>
  <c r="M194" i="65"/>
  <c r="K194" i="65"/>
  <c r="K192" i="65"/>
  <c r="M192" i="65"/>
  <c r="K190" i="65"/>
  <c r="M190" i="65"/>
  <c r="K188" i="65"/>
  <c r="M188" i="65"/>
  <c r="K186" i="65"/>
  <c r="M186" i="65"/>
  <c r="M184" i="65"/>
  <c r="K184" i="65"/>
  <c r="M182" i="65"/>
  <c r="K182" i="65"/>
  <c r="K180" i="65"/>
  <c r="M180" i="65"/>
  <c r="K178" i="65"/>
  <c r="M178" i="65"/>
  <c r="M176" i="65"/>
  <c r="K176" i="65"/>
  <c r="M174" i="65"/>
  <c r="K174" i="65"/>
  <c r="M172" i="65"/>
  <c r="K172" i="65"/>
  <c r="K170" i="65"/>
  <c r="M170" i="65"/>
  <c r="K168" i="65"/>
  <c r="M168" i="65"/>
  <c r="M166" i="65"/>
  <c r="K166" i="65"/>
  <c r="K164" i="65"/>
  <c r="M164" i="65"/>
  <c r="M162" i="65"/>
  <c r="K162" i="65"/>
  <c r="M160" i="65"/>
  <c r="K160" i="65"/>
  <c r="K158" i="65"/>
  <c r="M158" i="65"/>
  <c r="K156" i="65"/>
  <c r="M156" i="65"/>
  <c r="K154" i="65"/>
  <c r="M154" i="65"/>
  <c r="K152" i="65"/>
  <c r="M152" i="65"/>
  <c r="K150" i="65"/>
  <c r="M150" i="65"/>
  <c r="K148" i="65"/>
  <c r="M148" i="65"/>
  <c r="M146" i="65"/>
  <c r="K146" i="65"/>
  <c r="K144" i="65"/>
  <c r="M144" i="65"/>
  <c r="BV66" i="42"/>
  <c r="V73" i="42"/>
  <c r="BW77" i="42"/>
  <c r="P77" i="42"/>
  <c r="BE77" i="42" s="1"/>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AR66" i="42" l="1"/>
  <c r="BD78" i="42"/>
  <c r="BD77" i="42"/>
  <c r="BD76" i="42"/>
  <c r="R76" i="42"/>
  <c r="R66" i="42"/>
  <c r="B427" i="40"/>
  <c r="B146" i="65"/>
  <c r="AM66" i="42"/>
  <c r="BI66" i="42" s="1"/>
  <c r="AJ148" i="65"/>
  <c r="AK148" i="65"/>
  <c r="AI148" i="65"/>
  <c r="N148" i="65"/>
  <c r="AL148" i="65"/>
  <c r="AH148" i="65"/>
  <c r="AJ152" i="65"/>
  <c r="AK152" i="65"/>
  <c r="AL152" i="65"/>
  <c r="N152" i="65"/>
  <c r="N164" i="65"/>
  <c r="N192" i="65"/>
  <c r="AK204" i="65"/>
  <c r="AI204" i="65"/>
  <c r="AJ204" i="65"/>
  <c r="N204" i="65"/>
  <c r="AH204" i="65"/>
  <c r="AL204" i="65"/>
  <c r="N212" i="65"/>
  <c r="N232" i="65"/>
  <c r="N244" i="65"/>
  <c r="AJ244" i="65"/>
  <c r="AK244" i="65"/>
  <c r="AI244" i="65"/>
  <c r="AL244" i="65"/>
  <c r="AH244" i="65"/>
  <c r="N252" i="65"/>
  <c r="N256" i="65"/>
  <c r="AI145" i="65"/>
  <c r="AJ145" i="65"/>
  <c r="AK145" i="65"/>
  <c r="AL145" i="65"/>
  <c r="N145" i="65"/>
  <c r="AH145" i="65"/>
  <c r="N157" i="65"/>
  <c r="N165" i="65"/>
  <c r="AI177" i="65"/>
  <c r="N177" i="65"/>
  <c r="AK177" i="65"/>
  <c r="AL177" i="65"/>
  <c r="AH177" i="65"/>
  <c r="AJ177" i="65"/>
  <c r="AI205" i="65"/>
  <c r="AK205" i="65"/>
  <c r="AJ205" i="65"/>
  <c r="AL205" i="65"/>
  <c r="N205" i="65"/>
  <c r="AH205" i="65"/>
  <c r="N217" i="65"/>
  <c r="N221" i="65"/>
  <c r="N233" i="65"/>
  <c r="N185" i="65"/>
  <c r="AL185" i="65"/>
  <c r="AH185" i="65"/>
  <c r="AI185" i="65"/>
  <c r="AK185" i="65"/>
  <c r="AJ185" i="65"/>
  <c r="N197" i="65"/>
  <c r="AL197" i="65"/>
  <c r="AH197" i="65"/>
  <c r="AK197" i="65"/>
  <c r="AI197" i="65"/>
  <c r="AJ197" i="65"/>
  <c r="N253" i="65"/>
  <c r="N257" i="65"/>
  <c r="N261" i="65"/>
  <c r="AJ261" i="65"/>
  <c r="AI261" i="65"/>
  <c r="AL261" i="65"/>
  <c r="AK261" i="65"/>
  <c r="AH261" i="65"/>
  <c r="N265" i="65"/>
  <c r="AK265" i="65"/>
  <c r="AI265" i="65"/>
  <c r="AL265" i="65"/>
  <c r="AJ265" i="65"/>
  <c r="AH265" i="65"/>
  <c r="AJ144" i="65"/>
  <c r="AK144" i="65"/>
  <c r="AH144" i="65"/>
  <c r="N144" i="65"/>
  <c r="AI144" i="65"/>
  <c r="AL144" i="65"/>
  <c r="N156" i="65"/>
  <c r="N168" i="65"/>
  <c r="AI180" i="65"/>
  <c r="N180" i="65"/>
  <c r="AK180" i="65"/>
  <c r="AL180" i="65"/>
  <c r="AJ180" i="65"/>
  <c r="AH180" i="65"/>
  <c r="N188" i="65"/>
  <c r="AI188" i="65"/>
  <c r="AK188" i="65"/>
  <c r="AL188" i="65"/>
  <c r="AJ188" i="65"/>
  <c r="N196" i="65"/>
  <c r="AL196" i="65"/>
  <c r="AH196" i="65"/>
  <c r="AI196" i="65"/>
  <c r="AK196" i="65"/>
  <c r="AJ196" i="65"/>
  <c r="AJ208" i="65"/>
  <c r="AI208" i="65"/>
  <c r="AK208" i="65"/>
  <c r="AH208" i="65"/>
  <c r="N208" i="65"/>
  <c r="AL208" i="65"/>
  <c r="N216" i="65"/>
  <c r="N228" i="65"/>
  <c r="AL228" i="65"/>
  <c r="N236" i="65"/>
  <c r="N248" i="65"/>
  <c r="N260" i="65"/>
  <c r="AJ260" i="65"/>
  <c r="AI260" i="65"/>
  <c r="AL260" i="65"/>
  <c r="AK260" i="65"/>
  <c r="AH260" i="65"/>
  <c r="AK153" i="65"/>
  <c r="N153" i="65"/>
  <c r="AL153" i="65"/>
  <c r="N209" i="65"/>
  <c r="AI225" i="65"/>
  <c r="N225" i="65"/>
  <c r="AL225" i="65"/>
  <c r="AH225" i="65"/>
  <c r="AK225" i="65"/>
  <c r="AJ225" i="65"/>
  <c r="N237" i="65"/>
  <c r="N241" i="65"/>
  <c r="N245" i="65"/>
  <c r="AK245" i="65"/>
  <c r="AJ245" i="65"/>
  <c r="AH245" i="65"/>
  <c r="AI245" i="65"/>
  <c r="AL245" i="65"/>
  <c r="N160" i="65"/>
  <c r="AH172" i="65"/>
  <c r="AL172" i="65"/>
  <c r="N172" i="65"/>
  <c r="AI172" i="65"/>
  <c r="AK172" i="65"/>
  <c r="AJ172" i="65"/>
  <c r="AJ176" i="65"/>
  <c r="AH176" i="65"/>
  <c r="AL176" i="65"/>
  <c r="AI176" i="65"/>
  <c r="AK176" i="65"/>
  <c r="N176" i="65"/>
  <c r="N184" i="65"/>
  <c r="AK184" i="65"/>
  <c r="AH184" i="65"/>
  <c r="AL184" i="65"/>
  <c r="AI184" i="65"/>
  <c r="AJ184" i="65"/>
  <c r="N200" i="65"/>
  <c r="AI200" i="65"/>
  <c r="AK200" i="65"/>
  <c r="AJ200" i="65"/>
  <c r="AH200" i="65"/>
  <c r="AL200" i="65"/>
  <c r="AI224" i="65"/>
  <c r="AJ224" i="65"/>
  <c r="AK224" i="65"/>
  <c r="AH224" i="65"/>
  <c r="AL224" i="65"/>
  <c r="N224" i="65"/>
  <c r="AJ149" i="65"/>
  <c r="AK149" i="65"/>
  <c r="AI149" i="65"/>
  <c r="N149" i="65"/>
  <c r="AH149" i="65"/>
  <c r="AL149" i="65"/>
  <c r="N169" i="65"/>
  <c r="N181" i="65"/>
  <c r="AK181" i="65"/>
  <c r="AJ181" i="65"/>
  <c r="AL181" i="65"/>
  <c r="AH181" i="65"/>
  <c r="AI181" i="65"/>
  <c r="AL189" i="65"/>
  <c r="N189" i="65"/>
  <c r="AK189" i="65"/>
  <c r="AI201" i="65"/>
  <c r="AH201" i="65"/>
  <c r="AJ201" i="65"/>
  <c r="AL201" i="65"/>
  <c r="N201" i="65"/>
  <c r="AK201" i="65"/>
  <c r="AI150" i="65"/>
  <c r="AK150" i="65"/>
  <c r="AJ150" i="65"/>
  <c r="AH150" i="65"/>
  <c r="AL150" i="65"/>
  <c r="N150" i="65"/>
  <c r="AL154" i="65"/>
  <c r="N154" i="65"/>
  <c r="N158" i="65"/>
  <c r="N170" i="65"/>
  <c r="AI178" i="65"/>
  <c r="N178" i="65"/>
  <c r="AK178" i="65"/>
  <c r="AH178" i="65"/>
  <c r="AJ178" i="65"/>
  <c r="AL178" i="65"/>
  <c r="AH186" i="65"/>
  <c r="AI186" i="65"/>
  <c r="N186" i="65"/>
  <c r="AK186" i="65"/>
  <c r="AL186" i="65"/>
  <c r="AJ186" i="65"/>
  <c r="N190" i="65"/>
  <c r="AI198" i="65"/>
  <c r="AK198" i="65"/>
  <c r="AJ198" i="65"/>
  <c r="AH198" i="65"/>
  <c r="N198" i="65"/>
  <c r="AL198" i="65"/>
  <c r="AJ206" i="65"/>
  <c r="AH206" i="65"/>
  <c r="AI206" i="65"/>
  <c r="N206" i="65"/>
  <c r="AL206" i="65"/>
  <c r="AK206" i="65"/>
  <c r="N210" i="65"/>
  <c r="N214" i="65"/>
  <c r="N218" i="65"/>
  <c r="N222" i="65"/>
  <c r="AL222" i="65"/>
  <c r="AK222" i="65"/>
  <c r="AJ222" i="65"/>
  <c r="AH222" i="65"/>
  <c r="AI222" i="65"/>
  <c r="AH226" i="65"/>
  <c r="AK226" i="65"/>
  <c r="N226" i="65"/>
  <c r="AL226" i="65"/>
  <c r="AJ226" i="65"/>
  <c r="AI226" i="65"/>
  <c r="N234" i="65"/>
  <c r="N242" i="65"/>
  <c r="N250" i="65"/>
  <c r="N254" i="65"/>
  <c r="N258" i="65"/>
  <c r="N262" i="65"/>
  <c r="AI262" i="65"/>
  <c r="AJ262" i="65"/>
  <c r="AL262" i="65"/>
  <c r="AK262" i="65"/>
  <c r="AH262" i="65"/>
  <c r="N266" i="65"/>
  <c r="AI266" i="65"/>
  <c r="AK266" i="65"/>
  <c r="AJ266" i="65"/>
  <c r="AL266" i="65"/>
  <c r="AH266" i="65"/>
  <c r="AK147" i="65"/>
  <c r="AL147" i="65"/>
  <c r="AJ147" i="65"/>
  <c r="N147" i="65"/>
  <c r="AI147" i="65"/>
  <c r="AH147" i="65"/>
  <c r="N151" i="65"/>
  <c r="AI151" i="65"/>
  <c r="AK151" i="65"/>
  <c r="AL151" i="65"/>
  <c r="AJ151" i="65"/>
  <c r="N155" i="65"/>
  <c r="N163" i="65"/>
  <c r="N167" i="65"/>
  <c r="AJ171" i="65"/>
  <c r="N171" i="65"/>
  <c r="AL171" i="65"/>
  <c r="AH171" i="65"/>
  <c r="AK171" i="65"/>
  <c r="AI171" i="65"/>
  <c r="AI179" i="65"/>
  <c r="AJ179" i="65"/>
  <c r="N179" i="65"/>
  <c r="AK179" i="65"/>
  <c r="AH179" i="65"/>
  <c r="AL179" i="65"/>
  <c r="N183" i="65"/>
  <c r="AK183" i="65"/>
  <c r="AH183" i="65"/>
  <c r="AL183" i="65"/>
  <c r="AI183" i="65"/>
  <c r="AJ183" i="65"/>
  <c r="AK187" i="65"/>
  <c r="AL187" i="65"/>
  <c r="AI187" i="65"/>
  <c r="N187" i="65"/>
  <c r="AH187" i="65"/>
  <c r="AJ187" i="65"/>
  <c r="AK203" i="65"/>
  <c r="AJ203" i="65"/>
  <c r="AI203" i="65"/>
  <c r="AH203" i="65"/>
  <c r="AL203" i="65"/>
  <c r="N203" i="65"/>
  <c r="N211" i="65"/>
  <c r="N219" i="65"/>
  <c r="AK227" i="65"/>
  <c r="AL227" i="65"/>
  <c r="N227" i="65"/>
  <c r="N231" i="65"/>
  <c r="N235" i="65"/>
  <c r="N239" i="65"/>
  <c r="N243" i="65"/>
  <c r="N247" i="65"/>
  <c r="AL247" i="65"/>
  <c r="N251" i="65"/>
  <c r="N255" i="65"/>
  <c r="N259" i="65"/>
  <c r="N263" i="65"/>
  <c r="AI263" i="65"/>
  <c r="AL263" i="65"/>
  <c r="AK263" i="65"/>
  <c r="AJ263" i="65"/>
  <c r="AH263" i="65"/>
  <c r="N267" i="65"/>
  <c r="N220" i="65"/>
  <c r="N240" i="65"/>
  <c r="N264" i="65"/>
  <c r="AK264" i="65"/>
  <c r="AI264" i="65"/>
  <c r="AJ264" i="65"/>
  <c r="AL264" i="65"/>
  <c r="AH264" i="65"/>
  <c r="N161" i="65"/>
  <c r="AI173" i="65"/>
  <c r="AK173" i="65"/>
  <c r="AL173" i="65"/>
  <c r="AJ173" i="65"/>
  <c r="N173" i="65"/>
  <c r="AH173" i="65"/>
  <c r="N193" i="65"/>
  <c r="N213" i="65"/>
  <c r="N229" i="65"/>
  <c r="N249" i="65"/>
  <c r="N146" i="65"/>
  <c r="AL146" i="65"/>
  <c r="AK146" i="65"/>
  <c r="AI146" i="65"/>
  <c r="AJ146" i="65"/>
  <c r="AH146" i="65"/>
  <c r="N162" i="65"/>
  <c r="N166" i="65"/>
  <c r="AJ174" i="65"/>
  <c r="AH174" i="65"/>
  <c r="AL174" i="65"/>
  <c r="AI174" i="65"/>
  <c r="N174" i="65"/>
  <c r="AK174" i="65"/>
  <c r="N182" i="65"/>
  <c r="AI182" i="65"/>
  <c r="AJ182" i="65"/>
  <c r="AL182" i="65"/>
  <c r="AH182" i="65"/>
  <c r="AK182" i="65"/>
  <c r="N194" i="65"/>
  <c r="AH202" i="65"/>
  <c r="AI202" i="65"/>
  <c r="N202" i="65"/>
  <c r="AL202" i="65"/>
  <c r="AJ202" i="65"/>
  <c r="AK202" i="65"/>
  <c r="N230" i="65"/>
  <c r="N238" i="65"/>
  <c r="N246" i="65"/>
  <c r="AL246" i="65"/>
  <c r="AK246" i="65"/>
  <c r="N159" i="65"/>
  <c r="AJ175" i="65"/>
  <c r="AH175" i="65"/>
  <c r="AL175" i="65"/>
  <c r="N175" i="65"/>
  <c r="AK175" i="65"/>
  <c r="AI175" i="65"/>
  <c r="N191" i="65"/>
  <c r="N195" i="65"/>
  <c r="AI199" i="65"/>
  <c r="N199" i="65"/>
  <c r="AL199" i="65"/>
  <c r="AJ199" i="65"/>
  <c r="AK199" i="65"/>
  <c r="AH199" i="65"/>
  <c r="AJ207" i="65"/>
  <c r="AK207" i="65"/>
  <c r="AI207" i="65"/>
  <c r="N207" i="65"/>
  <c r="AH207" i="65"/>
  <c r="AL207" i="65"/>
  <c r="N215" i="65"/>
  <c r="AK223" i="65"/>
  <c r="AJ223" i="65"/>
  <c r="AH223" i="65"/>
  <c r="AI223" i="65"/>
  <c r="AL223" i="65"/>
  <c r="N223"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AS66" i="42" l="1"/>
  <c r="B428" i="40"/>
  <c r="B147" i="65"/>
  <c r="F82" i="36"/>
  <c r="BJ66" i="42"/>
  <c r="BG66" i="42"/>
  <c r="BH66" i="42"/>
  <c r="BF66" i="42"/>
  <c r="H74" i="66"/>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O72" i="24"/>
  <c r="N71" i="24"/>
  <c r="O71" i="24" s="1"/>
  <c r="M70" i="24"/>
  <c r="N70" i="24" s="1"/>
  <c r="O70" i="24" s="1"/>
  <c r="L69" i="24"/>
  <c r="M69" i="24" s="1"/>
  <c r="N69" i="24" s="1"/>
  <c r="O69" i="24" s="1"/>
  <c r="P73" i="24"/>
  <c r="Q73" i="24" s="1"/>
  <c r="R73" i="24" s="1"/>
  <c r="AT66" i="42" l="1"/>
  <c r="R32" i="66"/>
  <c r="M20" i="68"/>
  <c r="N35" i="37"/>
  <c r="R43" i="25"/>
  <c r="M37" i="65"/>
  <c r="O33" i="42"/>
  <c r="O35" i="50"/>
  <c r="B429" i="40"/>
  <c r="B148" i="65"/>
  <c r="P69" i="24"/>
  <c r="Q69" i="24" s="1"/>
  <c r="R69" i="24" s="1"/>
  <c r="P70" i="24"/>
  <c r="Q70" i="24" s="1"/>
  <c r="R70" i="24" s="1"/>
  <c r="P72" i="24"/>
  <c r="Q72" i="24" s="1"/>
  <c r="R72" i="24" s="1"/>
  <c r="P71" i="24"/>
  <c r="Q71" i="24" s="1"/>
  <c r="R71" i="24" s="1"/>
  <c r="L17" i="65"/>
  <c r="K17" i="65"/>
  <c r="J17" i="65"/>
  <c r="I17" i="65"/>
  <c r="H17" i="65"/>
  <c r="N55" i="25"/>
  <c r="AQ521" i="65" l="1"/>
  <c r="AQ507" i="65"/>
  <c r="AQ506" i="65"/>
  <c r="AN507" i="65"/>
  <c r="AN506" i="65"/>
  <c r="AN521" i="65"/>
  <c r="AR521" i="65"/>
  <c r="AR506" i="65"/>
  <c r="AR507" i="65"/>
  <c r="AO521" i="65"/>
  <c r="AO506" i="65"/>
  <c r="AO507" i="65"/>
  <c r="AP521" i="65"/>
  <c r="AP506" i="65"/>
  <c r="AP507" i="65"/>
  <c r="AN493" i="65"/>
  <c r="AN458" i="65"/>
  <c r="AN486" i="65"/>
  <c r="AN502" i="65"/>
  <c r="AN505" i="65"/>
  <c r="AN485" i="65"/>
  <c r="AN498" i="65"/>
  <c r="AN488" i="65"/>
  <c r="AN496" i="65"/>
  <c r="AN503" i="65"/>
  <c r="AN504" i="65"/>
  <c r="AN499" i="65"/>
  <c r="AN500" i="65"/>
  <c r="AN489" i="65"/>
  <c r="AN494" i="65"/>
  <c r="AN459" i="65"/>
  <c r="AN490" i="65"/>
  <c r="AN491" i="65"/>
  <c r="AN492" i="65"/>
  <c r="AN501" i="65"/>
  <c r="AN495" i="65"/>
  <c r="AN487" i="65"/>
  <c r="AN497" i="65"/>
  <c r="AR494" i="65"/>
  <c r="AR498" i="65"/>
  <c r="AR491" i="65"/>
  <c r="AR485" i="65"/>
  <c r="AR503" i="65"/>
  <c r="AR502" i="65"/>
  <c r="AR486" i="65"/>
  <c r="AR489" i="65"/>
  <c r="AR505" i="65"/>
  <c r="AR499" i="65"/>
  <c r="AR500" i="65"/>
  <c r="AR487" i="65"/>
  <c r="AR492" i="65"/>
  <c r="AR497" i="65"/>
  <c r="AR490" i="65"/>
  <c r="AR493" i="65"/>
  <c r="AR488" i="65"/>
  <c r="AR496" i="65"/>
  <c r="AR458" i="65"/>
  <c r="AR504" i="65"/>
  <c r="AR495" i="65"/>
  <c r="AR501" i="65"/>
  <c r="AR459" i="65"/>
  <c r="AO505" i="65"/>
  <c r="AO458" i="65"/>
  <c r="AO491" i="65"/>
  <c r="AO493" i="65"/>
  <c r="AO494" i="65"/>
  <c r="AO488" i="65"/>
  <c r="AO498" i="65"/>
  <c r="AO486" i="65"/>
  <c r="AO485" i="65"/>
  <c r="AO504" i="65"/>
  <c r="AO497" i="65"/>
  <c r="AO490" i="65"/>
  <c r="AO499" i="65"/>
  <c r="AO459" i="65"/>
  <c r="AO496" i="65"/>
  <c r="AO495" i="65"/>
  <c r="AO502" i="65"/>
  <c r="AO503" i="65"/>
  <c r="AO487" i="65"/>
  <c r="AO489" i="65"/>
  <c r="AO501" i="65"/>
  <c r="AO492" i="65"/>
  <c r="AO500" i="65"/>
  <c r="AQ499" i="65"/>
  <c r="AQ498" i="65"/>
  <c r="AQ505" i="65"/>
  <c r="AQ485" i="65"/>
  <c r="AQ502" i="65"/>
  <c r="AQ503" i="65"/>
  <c r="AQ458" i="65"/>
  <c r="AQ490" i="65"/>
  <c r="AQ493" i="65"/>
  <c r="AQ486" i="65"/>
  <c r="AQ489" i="65"/>
  <c r="AQ491" i="65"/>
  <c r="AQ488" i="65"/>
  <c r="AQ487" i="65"/>
  <c r="AQ500" i="65"/>
  <c r="AQ495" i="65"/>
  <c r="AQ496" i="65"/>
  <c r="AQ494" i="65"/>
  <c r="AQ497" i="65"/>
  <c r="AQ492" i="65"/>
  <c r="AQ459" i="65"/>
  <c r="AQ504" i="65"/>
  <c r="AQ501" i="65"/>
  <c r="AP491" i="65"/>
  <c r="AP505" i="65"/>
  <c r="AP486" i="65"/>
  <c r="AP493" i="65"/>
  <c r="AP500" i="65"/>
  <c r="AP459" i="65"/>
  <c r="AP458" i="65"/>
  <c r="AP489" i="65"/>
  <c r="AP485" i="65"/>
  <c r="AP503" i="65"/>
  <c r="AP492" i="65"/>
  <c r="AP490" i="65"/>
  <c r="AP488" i="65"/>
  <c r="AP498" i="65"/>
  <c r="AP495" i="65"/>
  <c r="AP496" i="65"/>
  <c r="AP494" i="65"/>
  <c r="AP499" i="65"/>
  <c r="AP487" i="65"/>
  <c r="AP501" i="65"/>
  <c r="AP504" i="65"/>
  <c r="AP497" i="65"/>
  <c r="AP502" i="65"/>
  <c r="R29" i="66"/>
  <c r="N32" i="37"/>
  <c r="R40" i="25"/>
  <c r="O32" i="50"/>
  <c r="O30" i="42"/>
  <c r="R28" i="66"/>
  <c r="N31" i="37"/>
  <c r="R39" i="25"/>
  <c r="O29" i="42"/>
  <c r="O31" i="50"/>
  <c r="R41" i="25"/>
  <c r="R30" i="66"/>
  <c r="M18" i="68"/>
  <c r="N33" i="37"/>
  <c r="O33" i="50"/>
  <c r="M35" i="65"/>
  <c r="O31" i="42"/>
  <c r="R42" i="25"/>
  <c r="N34" i="37"/>
  <c r="M19" i="68"/>
  <c r="R31" i="66"/>
  <c r="M36" i="65"/>
  <c r="O32" i="42"/>
  <c r="O34" i="50"/>
  <c r="B430" i="40"/>
  <c r="B149" i="65"/>
  <c r="AT291" i="50"/>
  <c r="B431" i="40" l="1"/>
  <c r="B150" i="65"/>
  <c r="B432" i="40" l="1"/>
  <c r="B151" i="65"/>
  <c r="H50" i="37"/>
  <c r="I51" i="37"/>
  <c r="J52" i="37"/>
  <c r="K53" i="37"/>
  <c r="L54" i="37"/>
  <c r="M55" i="37"/>
  <c r="G49" i="37"/>
  <c r="H41" i="37"/>
  <c r="I42" i="37"/>
  <c r="J43" i="37"/>
  <c r="K44" i="37"/>
  <c r="L45" i="37"/>
  <c r="M46" i="37"/>
  <c r="G40" i="37"/>
  <c r="I803" i="37"/>
  <c r="H803" i="37"/>
  <c r="G803" i="37"/>
  <c r="F803" i="37"/>
  <c r="B803" i="37"/>
  <c r="B433" i="40" l="1"/>
  <c r="B152" i="65"/>
  <c r="K803" i="37"/>
  <c r="L803" i="37"/>
  <c r="M803" i="37"/>
  <c r="N803" i="37"/>
  <c r="O803" i="37"/>
  <c r="B434" i="40" l="1"/>
  <c r="B153" i="65"/>
  <c r="Q803" i="37"/>
  <c r="B435" i="40" l="1"/>
  <c r="B154" i="65"/>
  <c r="R803" i="37"/>
  <c r="B436" i="40" l="1"/>
  <c r="B155" i="65"/>
  <c r="S803" i="37"/>
  <c r="B437" i="40" l="1"/>
  <c r="B156" i="65"/>
  <c r="T803" i="37"/>
  <c r="B438" i="40" l="1"/>
  <c r="B157" i="65"/>
  <c r="U803" i="37"/>
  <c r="B439" i="40" l="1"/>
  <c r="B158" i="65"/>
  <c r="N15" i="66"/>
  <c r="F63" i="66"/>
  <c r="B440" i="40" l="1"/>
  <c r="B159" i="65"/>
  <c r="B441" i="40" l="1"/>
  <c r="B160" i="65"/>
  <c r="B442" i="40" l="1"/>
  <c r="B161" i="65"/>
  <c r="J29" i="25"/>
  <c r="I28" i="25"/>
  <c r="H27" i="25"/>
  <c r="J17" i="25"/>
  <c r="I16" i="25"/>
  <c r="H15" i="25"/>
  <c r="F67" i="25"/>
  <c r="N59" i="25"/>
  <c r="N58" i="25"/>
  <c r="M59" i="25"/>
  <c r="I60" i="25"/>
  <c r="J60" i="25"/>
  <c r="H60" i="25"/>
  <c r="H59" i="25"/>
  <c r="I59" i="25"/>
  <c r="J59" i="25"/>
  <c r="I58" i="25"/>
  <c r="J58" i="25"/>
  <c r="H58" i="25"/>
  <c r="B443" i="40" l="1"/>
  <c r="B162" i="65"/>
  <c r="F159" i="50"/>
  <c r="H159" i="50"/>
  <c r="I159" i="50"/>
  <c r="J159" i="50"/>
  <c r="K159" i="50"/>
  <c r="F160" i="50"/>
  <c r="H160" i="50"/>
  <c r="I160" i="50"/>
  <c r="J160" i="50"/>
  <c r="K160" i="50"/>
  <c r="F161" i="50"/>
  <c r="H161" i="50"/>
  <c r="I161" i="50"/>
  <c r="J161" i="50"/>
  <c r="K161" i="50"/>
  <c r="F162" i="50"/>
  <c r="H162" i="50"/>
  <c r="I162" i="50"/>
  <c r="J162" i="50"/>
  <c r="K162" i="50"/>
  <c r="F163" i="50"/>
  <c r="H163" i="50"/>
  <c r="I163" i="50"/>
  <c r="J163" i="50"/>
  <c r="K163" i="50"/>
  <c r="F164" i="50"/>
  <c r="H164" i="50"/>
  <c r="I164" i="50"/>
  <c r="J164" i="50"/>
  <c r="K164" i="50"/>
  <c r="F165" i="50"/>
  <c r="H165" i="50"/>
  <c r="I165" i="50"/>
  <c r="J165" i="50"/>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I171" i="50"/>
  <c r="J171" i="50"/>
  <c r="K171" i="50"/>
  <c r="F172" i="50"/>
  <c r="H172" i="50"/>
  <c r="I172" i="50"/>
  <c r="J172" i="50"/>
  <c r="K172" i="50"/>
  <c r="F173" i="50"/>
  <c r="H173" i="50"/>
  <c r="I173" i="50"/>
  <c r="J173" i="50"/>
  <c r="K173" i="50"/>
  <c r="F174" i="50"/>
  <c r="H174" i="50"/>
  <c r="I174" i="50"/>
  <c r="J174" i="50"/>
  <c r="K174" i="50"/>
  <c r="F175" i="50"/>
  <c r="H175" i="50"/>
  <c r="I175" i="50"/>
  <c r="J175" i="50"/>
  <c r="K175" i="50"/>
  <c r="F176" i="50"/>
  <c r="H176" i="50"/>
  <c r="I176" i="50"/>
  <c r="J176" i="50"/>
  <c r="K176" i="50"/>
  <c r="F177" i="50"/>
  <c r="H177" i="50"/>
  <c r="I177" i="50"/>
  <c r="J177" i="50"/>
  <c r="K177" i="50"/>
  <c r="F178" i="50"/>
  <c r="H178" i="50"/>
  <c r="I178" i="50"/>
  <c r="J178" i="50"/>
  <c r="K178" i="50"/>
  <c r="F179" i="50"/>
  <c r="H179" i="50"/>
  <c r="I179" i="50"/>
  <c r="J179" i="50"/>
  <c r="K179" i="50"/>
  <c r="F180" i="50"/>
  <c r="H180" i="50"/>
  <c r="I180" i="50"/>
  <c r="J180" i="50"/>
  <c r="K180" i="50"/>
  <c r="F181" i="50"/>
  <c r="H181" i="50"/>
  <c r="I181" i="50"/>
  <c r="J181" i="50"/>
  <c r="M181" i="50" s="1"/>
  <c r="K181" i="50"/>
  <c r="F182" i="50"/>
  <c r="H182" i="50"/>
  <c r="I182" i="50"/>
  <c r="J182" i="50"/>
  <c r="K182" i="50"/>
  <c r="F183" i="50"/>
  <c r="H183" i="50"/>
  <c r="I183" i="50"/>
  <c r="J183" i="50"/>
  <c r="K183" i="50"/>
  <c r="F184" i="50"/>
  <c r="H184" i="50"/>
  <c r="I184" i="50"/>
  <c r="J184" i="50"/>
  <c r="K184" i="50"/>
  <c r="F185" i="50"/>
  <c r="H185" i="50"/>
  <c r="I185" i="50"/>
  <c r="J185" i="50"/>
  <c r="K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K190" i="50"/>
  <c r="F191" i="50"/>
  <c r="H191" i="50"/>
  <c r="I191" i="50"/>
  <c r="J191" i="50"/>
  <c r="K191" i="50"/>
  <c r="F192" i="50"/>
  <c r="H192" i="50"/>
  <c r="I192" i="50"/>
  <c r="J192" i="50"/>
  <c r="K192" i="50"/>
  <c r="F193" i="50"/>
  <c r="H193" i="50"/>
  <c r="I193" i="50"/>
  <c r="J193" i="50"/>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E178" i="50" l="1"/>
  <c r="Q174" i="50"/>
  <c r="M164" i="50"/>
  <c r="T160" i="50"/>
  <c r="V193" i="50"/>
  <c r="Q185" i="50"/>
  <c r="P173" i="50"/>
  <c r="S173" i="50" s="1"/>
  <c r="W171" i="50"/>
  <c r="M165" i="50"/>
  <c r="AN190" i="50"/>
  <c r="M199" i="50"/>
  <c r="M191" i="50"/>
  <c r="AB182" i="50"/>
  <c r="M180" i="50"/>
  <c r="P162" i="50"/>
  <c r="S162" i="50" s="1"/>
  <c r="AD173" i="50"/>
  <c r="W173" i="50"/>
  <c r="Q162" i="50"/>
  <c r="X160" i="50"/>
  <c r="V173" i="50"/>
  <c r="N196" i="50"/>
  <c r="M171" i="50"/>
  <c r="P167" i="50"/>
  <c r="AC181" i="50"/>
  <c r="T170" i="50"/>
  <c r="P197" i="50"/>
  <c r="S197" i="50" s="1"/>
  <c r="T194" i="50"/>
  <c r="AE193" i="50"/>
  <c r="T180" i="50"/>
  <c r="AD167" i="50"/>
  <c r="AC172" i="50"/>
  <c r="M196" i="50"/>
  <c r="W181" i="50"/>
  <c r="P178" i="50"/>
  <c r="S178" i="50" s="1"/>
  <c r="B444" i="40"/>
  <c r="B163"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M170" i="50"/>
  <c r="Q166" i="50"/>
  <c r="N200" i="50"/>
  <c r="N170" i="50"/>
  <c r="Q164" i="50"/>
  <c r="W162" i="50"/>
  <c r="AD160" i="50"/>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X165" i="50"/>
  <c r="AD200" i="50"/>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Y181" i="50"/>
  <c r="T181" i="50"/>
  <c r="M173" i="50"/>
  <c r="X173" i="50"/>
  <c r="N172" i="50"/>
  <c r="T172" i="50"/>
  <c r="Y172" i="50"/>
  <c r="AD172" i="50"/>
  <c r="Q170" i="50"/>
  <c r="W170" i="50"/>
  <c r="AB170" i="50"/>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35" i="32"/>
  <c r="K34" i="32"/>
  <c r="K33" i="32"/>
  <c r="K31" i="32"/>
  <c r="K30" i="32"/>
  <c r="K29" i="32"/>
  <c r="K28" i="32"/>
  <c r="K27" i="32"/>
  <c r="J19" i="32"/>
  <c r="K19" i="32"/>
  <c r="J20" i="32"/>
  <c r="K20" i="32"/>
  <c r="I20" i="32"/>
  <c r="I19" i="32"/>
  <c r="K26" i="32"/>
  <c r="K25" i="32"/>
  <c r="K23" i="32"/>
  <c r="K22" i="32"/>
  <c r="K21" i="32"/>
  <c r="K103" i="25"/>
  <c r="AJ200" i="50" l="1"/>
  <c r="AI173" i="50"/>
  <c r="K52" i="32"/>
  <c r="AH170" i="50"/>
  <c r="AJ181" i="50"/>
  <c r="AH200" i="50"/>
  <c r="AI181" i="50"/>
  <c r="AK193" i="50"/>
  <c r="AJ160" i="50"/>
  <c r="AI171" i="50"/>
  <c r="AH173" i="50"/>
  <c r="AJ173" i="50"/>
  <c r="AI165" i="50"/>
  <c r="AI164" i="50"/>
  <c r="AJ167" i="50"/>
  <c r="AI172" i="50"/>
  <c r="AK181" i="50"/>
  <c r="AK186" i="50"/>
  <c r="AK182" i="50"/>
  <c r="AJ199" i="50"/>
  <c r="AH162" i="50"/>
  <c r="AH181" i="50"/>
  <c r="AJ175" i="50"/>
  <c r="AL181" i="50"/>
  <c r="B445" i="40"/>
  <c r="B164"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5"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6" i="65"/>
  <c r="B448" i="40" l="1"/>
  <c r="B167" i="65"/>
  <c r="F60" i="42"/>
  <c r="F170" i="24"/>
  <c r="F176" i="24"/>
  <c r="F177" i="24" s="1"/>
  <c r="B449" i="40" l="1"/>
  <c r="B168" i="65"/>
  <c r="I74" i="66"/>
  <c r="J74" i="66"/>
  <c r="Q34" i="66"/>
  <c r="P33" i="66"/>
  <c r="O32" i="66"/>
  <c r="N31" i="66"/>
  <c r="M30" i="66"/>
  <c r="L29" i="66"/>
  <c r="K28" i="66"/>
  <c r="B450" i="40" l="1"/>
  <c r="B169" i="65"/>
  <c r="O31" i="66"/>
  <c r="B451" i="40" l="1"/>
  <c r="B170" i="65"/>
  <c r="Q33" i="66"/>
  <c r="P32" i="66"/>
  <c r="N30" i="66"/>
  <c r="P31" i="66"/>
  <c r="B452" i="40" l="1"/>
  <c r="B171" i="65"/>
  <c r="Q31" i="66"/>
  <c r="Q32" i="66"/>
  <c r="O30" i="66"/>
  <c r="B453" i="40" l="1"/>
  <c r="B172" i="65"/>
  <c r="P30" i="66"/>
  <c r="B454" i="40" l="1"/>
  <c r="B173" i="65"/>
  <c r="L28" i="66"/>
  <c r="Q30" i="66"/>
  <c r="M29" i="66"/>
  <c r="B455" i="40" l="1"/>
  <c r="B174" i="65"/>
  <c r="N29" i="66"/>
  <c r="M28" i="66"/>
  <c r="B456" i="40" l="1"/>
  <c r="B175" i="65"/>
  <c r="N28" i="66"/>
  <c r="O29" i="66"/>
  <c r="M65" i="42"/>
  <c r="S65" i="42" s="1"/>
  <c r="B11" i="69" a="1"/>
  <c r="B11" i="69" s="1"/>
  <c r="B457" i="40" l="1"/>
  <c r="B176" i="65"/>
  <c r="P29" i="66"/>
  <c r="O28" i="66"/>
  <c r="O65" i="42"/>
  <c r="R65" i="42" s="1"/>
  <c r="U65" i="42"/>
  <c r="L65" i="42"/>
  <c r="CA65" i="42" s="1"/>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3" i="65"/>
  <c r="I143" i="65"/>
  <c r="G143" i="65"/>
  <c r="B143" i="65"/>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L103" i="42"/>
  <c r="J103" i="42"/>
  <c r="K103" i="42"/>
  <c r="B458" i="40"/>
  <c r="B177" i="65"/>
  <c r="Q29" i="66"/>
  <c r="P28" i="66"/>
  <c r="M15" i="66"/>
  <c r="B459" i="40" l="1"/>
  <c r="B178" i="65"/>
  <c r="Q28" i="66"/>
  <c r="J70" i="66"/>
  <c r="B460" i="40" l="1"/>
  <c r="B179" i="65"/>
  <c r="F52" i="65"/>
  <c r="Q67" i="66"/>
  <c r="P67" i="66"/>
  <c r="P79" i="66" s="1"/>
  <c r="O67" i="66"/>
  <c r="O79" i="66" s="1"/>
  <c r="N67" i="66"/>
  <c r="N79" i="66" s="1"/>
  <c r="Q66" i="66"/>
  <c r="P66" i="66"/>
  <c r="O66" i="66"/>
  <c r="N66" i="66"/>
  <c r="N80" i="66" s="1"/>
  <c r="P81" i="66" s="1"/>
  <c r="P45" i="66"/>
  <c r="Q46" i="66"/>
  <c r="P57" i="66"/>
  <c r="Q58" i="66"/>
  <c r="F25" i="66"/>
  <c r="P123" i="66" s="1"/>
  <c r="R125" i="66" s="1"/>
  <c r="P80" i="66" l="1"/>
  <c r="R81" i="66" s="1"/>
  <c r="N123" i="66"/>
  <c r="P125" i="66" s="1"/>
  <c r="O123" i="66"/>
  <c r="Q125" i="66" s="1"/>
  <c r="O80" i="66"/>
  <c r="Q81" i="66" s="1"/>
  <c r="B461" i="40"/>
  <c r="B180" i="65"/>
  <c r="F22" i="66"/>
  <c r="F21" i="66"/>
  <c r="J71" i="66"/>
  <c r="M67" i="66"/>
  <c r="M79" i="66" s="1"/>
  <c r="M66" i="66"/>
  <c r="F18" i="66"/>
  <c r="O56" i="66"/>
  <c r="N55" i="66"/>
  <c r="M54" i="66"/>
  <c r="L53" i="66"/>
  <c r="K52" i="66"/>
  <c r="J51" i="66"/>
  <c r="I50" i="66"/>
  <c r="H49" i="66"/>
  <c r="O44" i="66"/>
  <c r="N43" i="66"/>
  <c r="M42" i="66"/>
  <c r="L41" i="66"/>
  <c r="K40" i="66"/>
  <c r="J39" i="66"/>
  <c r="I38" i="66"/>
  <c r="H37" i="66"/>
  <c r="O115" i="66" l="1"/>
  <c r="M80" i="66"/>
  <c r="O81" i="66" s="1"/>
  <c r="B462" i="40"/>
  <c r="B181" i="65"/>
  <c r="J267" i="50"/>
  <c r="J266" i="50"/>
  <c r="J265" i="50"/>
  <c r="J264" i="50"/>
  <c r="J263" i="50"/>
  <c r="J262" i="50"/>
  <c r="J261" i="50"/>
  <c r="J260" i="50"/>
  <c r="J259" i="50"/>
  <c r="J258" i="50"/>
  <c r="J257" i="50"/>
  <c r="J256" i="50"/>
  <c r="J255" i="50"/>
  <c r="J254" i="50"/>
  <c r="J253" i="50"/>
  <c r="J252" i="50"/>
  <c r="J251" i="50"/>
  <c r="B463" i="40" l="1"/>
  <c r="B182"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CA61" i="42" s="1"/>
  <c r="M61" i="42"/>
  <c r="S61" i="42" s="1"/>
  <c r="L62" i="42"/>
  <c r="CA62" i="42" s="1"/>
  <c r="M62" i="42"/>
  <c r="L63" i="42"/>
  <c r="CA63" i="42" s="1"/>
  <c r="M63" i="42"/>
  <c r="S63" i="42" s="1"/>
  <c r="L64" i="42"/>
  <c r="CA64" i="42" s="1"/>
  <c r="M64" i="42"/>
  <c r="S64" i="42" s="1"/>
  <c r="BV64" i="42" l="1"/>
  <c r="O62" i="42"/>
  <c r="R62" i="42" s="1"/>
  <c r="S62" i="42"/>
  <c r="B464" i="40"/>
  <c r="B183" i="65"/>
  <c r="P61" i="42"/>
  <c r="V61" i="42"/>
  <c r="O61" i="42"/>
  <c r="P64" i="42"/>
  <c r="V64" i="42"/>
  <c r="O64" i="42"/>
  <c r="R64" i="42" s="1"/>
  <c r="P63" i="42"/>
  <c r="V63" i="42"/>
  <c r="O63" i="42"/>
  <c r="R63" i="42" s="1"/>
  <c r="P65" i="42"/>
  <c r="V65" i="42"/>
  <c r="P62" i="42"/>
  <c r="V62" i="42"/>
  <c r="K53" i="65"/>
  <c r="K54" i="65"/>
  <c r="K55" i="65"/>
  <c r="K56" i="65"/>
  <c r="M57" i="65"/>
  <c r="K58" i="65"/>
  <c r="K59" i="65"/>
  <c r="M61" i="65"/>
  <c r="M63" i="65"/>
  <c r="K65" i="65"/>
  <c r="M66" i="65"/>
  <c r="M67" i="65"/>
  <c r="K68" i="65"/>
  <c r="K70" i="65"/>
  <c r="M71" i="65"/>
  <c r="K72" i="65"/>
  <c r="M74" i="65"/>
  <c r="M76" i="65"/>
  <c r="K77" i="65"/>
  <c r="M78" i="65"/>
  <c r="M79" i="65"/>
  <c r="K80" i="65"/>
  <c r="M81" i="65"/>
  <c r="K82" i="65"/>
  <c r="M83" i="65"/>
  <c r="K84" i="65"/>
  <c r="M85" i="65"/>
  <c r="M87" i="65"/>
  <c r="M89" i="65"/>
  <c r="M91" i="65"/>
  <c r="M93" i="65"/>
  <c r="M95" i="65"/>
  <c r="M96" i="65"/>
  <c r="K97" i="65"/>
  <c r="M98" i="65"/>
  <c r="K99" i="65"/>
  <c r="M100" i="65"/>
  <c r="K102" i="65"/>
  <c r="K103" i="65"/>
  <c r="K104" i="65"/>
  <c r="K106" i="65"/>
  <c r="K107" i="65"/>
  <c r="K108" i="65"/>
  <c r="K109" i="65"/>
  <c r="M110" i="65"/>
  <c r="M112" i="65"/>
  <c r="M113" i="65"/>
  <c r="M114" i="65"/>
  <c r="M115" i="65"/>
  <c r="M116" i="65"/>
  <c r="M117" i="65"/>
  <c r="M118" i="65"/>
  <c r="M119" i="65"/>
  <c r="M120" i="65"/>
  <c r="M121" i="65"/>
  <c r="M122" i="65"/>
  <c r="M123" i="65"/>
  <c r="K124" i="65"/>
  <c r="M125" i="65"/>
  <c r="K126" i="65"/>
  <c r="K128" i="65"/>
  <c r="M129" i="65"/>
  <c r="K130" i="65"/>
  <c r="M131" i="65"/>
  <c r="K132" i="65"/>
  <c r="K134" i="65"/>
  <c r="M135" i="65"/>
  <c r="K136" i="65"/>
  <c r="K138" i="65"/>
  <c r="K140" i="65"/>
  <c r="M141" i="65"/>
  <c r="K142" i="65"/>
  <c r="K143" i="65"/>
  <c r="F1286" i="40"/>
  <c r="E1286" i="40"/>
  <c r="F1287" i="40"/>
  <c r="E1287" i="40"/>
  <c r="F1288" i="40"/>
  <c r="E1288" i="40"/>
  <c r="F1289" i="40"/>
  <c r="E1289" i="40"/>
  <c r="F1290" i="40"/>
  <c r="E1290" i="40"/>
  <c r="F1291" i="40"/>
  <c r="E1291" i="40"/>
  <c r="F1292" i="40"/>
  <c r="E1292" i="40"/>
  <c r="F1293" i="40"/>
  <c r="E1293" i="40"/>
  <c r="F1294" i="40"/>
  <c r="E1294" i="40"/>
  <c r="F1295" i="40"/>
  <c r="E1295" i="40"/>
  <c r="F1296" i="40"/>
  <c r="E1296" i="40"/>
  <c r="F1297" i="40"/>
  <c r="E1297" i="40"/>
  <c r="F1298" i="40"/>
  <c r="E1298" i="40"/>
  <c r="F1299" i="40"/>
  <c r="E1299" i="40"/>
  <c r="F1300" i="40"/>
  <c r="E1300" i="40"/>
  <c r="F1301" i="40"/>
  <c r="E1301" i="40"/>
  <c r="E1285" i="40"/>
  <c r="F1285" i="40"/>
  <c r="E1284" i="40"/>
  <c r="F1284" i="40"/>
  <c r="E1283" i="40"/>
  <c r="F1283" i="40"/>
  <c r="E1282" i="40"/>
  <c r="F1282" i="40"/>
  <c r="E1281" i="40"/>
  <c r="F1281" i="40"/>
  <c r="E1280" i="40"/>
  <c r="F1280" i="40"/>
  <c r="E1279" i="40"/>
  <c r="F1279" i="40"/>
  <c r="E1278" i="40"/>
  <c r="F1278" i="40"/>
  <c r="E1277" i="40"/>
  <c r="F1277" i="40"/>
  <c r="E1276" i="40"/>
  <c r="F1276" i="40"/>
  <c r="E1275" i="40"/>
  <c r="F1275" i="40"/>
  <c r="E1274" i="40"/>
  <c r="F1274" i="40"/>
  <c r="E1273" i="40"/>
  <c r="F1273" i="40"/>
  <c r="E1272" i="40"/>
  <c r="F1272" i="40"/>
  <c r="E1271" i="40"/>
  <c r="F1271" i="40"/>
  <c r="E1270" i="40"/>
  <c r="F1270" i="40"/>
  <c r="E1269" i="40"/>
  <c r="F1269" i="40"/>
  <c r="E1268" i="40"/>
  <c r="F1268" i="40"/>
  <c r="E1267" i="40"/>
  <c r="F1267" i="40"/>
  <c r="E1266" i="40"/>
  <c r="F1266" i="40"/>
  <c r="E1265" i="40"/>
  <c r="F1265" i="40"/>
  <c r="E1264" i="40"/>
  <c r="F1264" i="40"/>
  <c r="E1263" i="40"/>
  <c r="F1263" i="40"/>
  <c r="E1262" i="40"/>
  <c r="F1262" i="40"/>
  <c r="E1261" i="40"/>
  <c r="F1261" i="40"/>
  <c r="E1260" i="40"/>
  <c r="F1260" i="40"/>
  <c r="E1259" i="40"/>
  <c r="F1259" i="40"/>
  <c r="E1258" i="40"/>
  <c r="F1258" i="40"/>
  <c r="E1257" i="40"/>
  <c r="F1257" i="40"/>
  <c r="E1256" i="40"/>
  <c r="F1256" i="40"/>
  <c r="E1255" i="40"/>
  <c r="F1255" i="40"/>
  <c r="E1254" i="40"/>
  <c r="F1254" i="40"/>
  <c r="E1253" i="40"/>
  <c r="F1253" i="40"/>
  <c r="E1252" i="40"/>
  <c r="F1252" i="40"/>
  <c r="E1251" i="40"/>
  <c r="F1251" i="40"/>
  <c r="E1250" i="40"/>
  <c r="F1250" i="40"/>
  <c r="E1249" i="40"/>
  <c r="F1249" i="40"/>
  <c r="E1248" i="40"/>
  <c r="F1248" i="40"/>
  <c r="E1247" i="40"/>
  <c r="F1247" i="40"/>
  <c r="E1246" i="40"/>
  <c r="F1246" i="40"/>
  <c r="E1245" i="40"/>
  <c r="F1245" i="40"/>
  <c r="E1244" i="40"/>
  <c r="F1244" i="40"/>
  <c r="E1243" i="40"/>
  <c r="F1243" i="40"/>
  <c r="E1242" i="40"/>
  <c r="F1242" i="40"/>
  <c r="E1241" i="40"/>
  <c r="F1241" i="40"/>
  <c r="E1240" i="40"/>
  <c r="F1240" i="40"/>
  <c r="E1239" i="40"/>
  <c r="F1239" i="40"/>
  <c r="E1238" i="40"/>
  <c r="F1238" i="40"/>
  <c r="E1237" i="40"/>
  <c r="F1237" i="40"/>
  <c r="E1236" i="40"/>
  <c r="F1236" i="40"/>
  <c r="E1235" i="40"/>
  <c r="F1235" i="40"/>
  <c r="E1234" i="40"/>
  <c r="F1234" i="40"/>
  <c r="E1233" i="40"/>
  <c r="F1233" i="40"/>
  <c r="E1232" i="40"/>
  <c r="F1232" i="40"/>
  <c r="E1231" i="40"/>
  <c r="F1231" i="40"/>
  <c r="E1230" i="40"/>
  <c r="F1230" i="40"/>
  <c r="E1229" i="40"/>
  <c r="F1229" i="40"/>
  <c r="E1228" i="40"/>
  <c r="F1228" i="40"/>
  <c r="E1227" i="40"/>
  <c r="F1227" i="40"/>
  <c r="F1224" i="40"/>
  <c r="E1224" i="40"/>
  <c r="F1225" i="40"/>
  <c r="E1225" i="40"/>
  <c r="F1226" i="40"/>
  <c r="E1226" i="40"/>
  <c r="BD62" i="42" l="1"/>
  <c r="U61" i="42"/>
  <c r="R61" i="42"/>
  <c r="B465" i="40"/>
  <c r="B184" i="65"/>
  <c r="U63" i="42"/>
  <c r="U64" i="42"/>
  <c r="U62" i="42"/>
  <c r="M143" i="65"/>
  <c r="M68" i="65"/>
  <c r="N68" i="65" s="1"/>
  <c r="M106" i="65"/>
  <c r="K141" i="65"/>
  <c r="K131" i="65"/>
  <c r="M107" i="65"/>
  <c r="AL107" i="65" s="1"/>
  <c r="M102" i="65"/>
  <c r="M104" i="65"/>
  <c r="AK104" i="65" s="1"/>
  <c r="K98" i="65"/>
  <c r="AJ87" i="65"/>
  <c r="K135" i="65"/>
  <c r="K129" i="65"/>
  <c r="K125" i="65"/>
  <c r="K83" i="65"/>
  <c r="M80" i="65"/>
  <c r="N80" i="65" s="1"/>
  <c r="M108" i="65"/>
  <c r="K87" i="65"/>
  <c r="M84" i="65"/>
  <c r="N84" i="65" s="1"/>
  <c r="K79" i="65"/>
  <c r="K76" i="65"/>
  <c r="N74" i="65"/>
  <c r="M70" i="65"/>
  <c r="K61" i="65"/>
  <c r="M55" i="65"/>
  <c r="N95" i="65"/>
  <c r="M72" i="65"/>
  <c r="N72" i="65" s="1"/>
  <c r="K63" i="65"/>
  <c r="K57" i="65"/>
  <c r="N123" i="65"/>
  <c r="AL121" i="65"/>
  <c r="K111" i="65"/>
  <c r="M111" i="65"/>
  <c r="K127" i="65"/>
  <c r="M127" i="65"/>
  <c r="N127" i="65" s="1"/>
  <c r="K133" i="65"/>
  <c r="M133" i="65"/>
  <c r="N133" i="65" s="1"/>
  <c r="AK129" i="65"/>
  <c r="AL122" i="65"/>
  <c r="AL120" i="65"/>
  <c r="K139" i="65"/>
  <c r="M139" i="65"/>
  <c r="K137" i="65"/>
  <c r="M137" i="65"/>
  <c r="K110" i="65"/>
  <c r="M103" i="65"/>
  <c r="K100" i="65"/>
  <c r="M99" i="65"/>
  <c r="K91" i="65"/>
  <c r="K89" i="65"/>
  <c r="M82" i="65"/>
  <c r="N82" i="65" s="1"/>
  <c r="K71" i="65"/>
  <c r="K67" i="65"/>
  <c r="M53" i="65"/>
  <c r="M77" i="65"/>
  <c r="N77" i="65" s="1"/>
  <c r="M65" i="65"/>
  <c r="N65" i="65" s="1"/>
  <c r="M59" i="65"/>
  <c r="N59" i="65" s="1"/>
  <c r="M97" i="65"/>
  <c r="K96" i="65"/>
  <c r="K93" i="65"/>
  <c r="K85" i="65"/>
  <c r="K81" i="65"/>
  <c r="N78" i="65"/>
  <c r="K66" i="65"/>
  <c r="BE64" i="42"/>
  <c r="BE62" i="42"/>
  <c r="BE65" i="42"/>
  <c r="BE63" i="42"/>
  <c r="BD61" i="42"/>
  <c r="BE61" i="42"/>
  <c r="BD65" i="42"/>
  <c r="BD63" i="42"/>
  <c r="BD64" i="42"/>
  <c r="N129" i="65"/>
  <c r="AH129" i="65"/>
  <c r="AL129" i="65"/>
  <c r="AI129" i="65"/>
  <c r="AJ129" i="65"/>
  <c r="N131" i="65"/>
  <c r="N135" i="65"/>
  <c r="AL135" i="65"/>
  <c r="N141" i="65"/>
  <c r="AK135" i="65"/>
  <c r="N125" i="65"/>
  <c r="AK122" i="65"/>
  <c r="AJ121" i="65"/>
  <c r="AI120" i="65"/>
  <c r="AK120" i="65"/>
  <c r="N110" i="65"/>
  <c r="AL110" i="65"/>
  <c r="AK110" i="65"/>
  <c r="K101" i="65"/>
  <c r="M101" i="65"/>
  <c r="K88" i="65"/>
  <c r="M88" i="65"/>
  <c r="AK121" i="65"/>
  <c r="AI121" i="65"/>
  <c r="AJ120" i="65"/>
  <c r="M142" i="65"/>
  <c r="M140" i="65"/>
  <c r="M138" i="65"/>
  <c r="M136" i="65"/>
  <c r="M134" i="65"/>
  <c r="M132" i="65"/>
  <c r="M130" i="65"/>
  <c r="M128" i="65"/>
  <c r="M126" i="65"/>
  <c r="M124" i="65"/>
  <c r="N122" i="65"/>
  <c r="AH121" i="65"/>
  <c r="N121" i="65"/>
  <c r="AH120" i="65"/>
  <c r="N120" i="65"/>
  <c r="N119" i="65"/>
  <c r="N118" i="65"/>
  <c r="N117" i="65"/>
  <c r="N116" i="65"/>
  <c r="N115" i="65"/>
  <c r="N114" i="65"/>
  <c r="N113" i="65"/>
  <c r="N112" i="65"/>
  <c r="K105" i="65"/>
  <c r="M105" i="65"/>
  <c r="N100" i="65"/>
  <c r="N91" i="65"/>
  <c r="K123" i="65"/>
  <c r="K122" i="65"/>
  <c r="K121" i="65"/>
  <c r="K120" i="65"/>
  <c r="K119" i="65"/>
  <c r="K118" i="65"/>
  <c r="K117" i="65"/>
  <c r="K116" i="65"/>
  <c r="K115" i="65"/>
  <c r="K114" i="65"/>
  <c r="K113" i="65"/>
  <c r="K112" i="65"/>
  <c r="M109" i="65"/>
  <c r="N98" i="65"/>
  <c r="N93" i="65"/>
  <c r="K90" i="65"/>
  <c r="M90" i="65"/>
  <c r="N85" i="65"/>
  <c r="K92" i="65"/>
  <c r="M92" i="65"/>
  <c r="AK87" i="65"/>
  <c r="N87" i="65"/>
  <c r="AL87" i="65"/>
  <c r="N96" i="65"/>
  <c r="K94" i="65"/>
  <c r="M94" i="65"/>
  <c r="N89" i="65"/>
  <c r="K86" i="65"/>
  <c r="M86" i="65"/>
  <c r="N79" i="65"/>
  <c r="K75" i="65"/>
  <c r="M75" i="65"/>
  <c r="N81" i="65"/>
  <c r="N66" i="65"/>
  <c r="K95" i="65"/>
  <c r="N83" i="65"/>
  <c r="M73" i="65"/>
  <c r="K73" i="65"/>
  <c r="K78" i="65"/>
  <c r="K74" i="65"/>
  <c r="N71" i="65"/>
  <c r="M69" i="65"/>
  <c r="K69" i="65"/>
  <c r="N76" i="65"/>
  <c r="N57" i="65"/>
  <c r="N67" i="65"/>
  <c r="K64" i="65"/>
  <c r="M64" i="65"/>
  <c r="K62" i="65"/>
  <c r="M62" i="65"/>
  <c r="K60" i="65"/>
  <c r="M60" i="65"/>
  <c r="N63" i="65"/>
  <c r="N61" i="65"/>
  <c r="M58" i="65"/>
  <c r="M56" i="65"/>
  <c r="M54" i="65"/>
  <c r="B466" i="40" l="1"/>
  <c r="B185" i="65"/>
  <c r="N103" i="65"/>
  <c r="N106" i="65"/>
  <c r="N111" i="65"/>
  <c r="N55" i="65"/>
  <c r="N143" i="65"/>
  <c r="N137" i="65"/>
  <c r="N108" i="65"/>
  <c r="N107" i="65"/>
  <c r="AK107" i="65"/>
  <c r="AH107" i="65"/>
  <c r="N99" i="65"/>
  <c r="N70" i="65"/>
  <c r="N53" i="65"/>
  <c r="N97" i="65"/>
  <c r="N102" i="65"/>
  <c r="AJ107" i="65"/>
  <c r="AI107" i="65"/>
  <c r="AL104" i="65"/>
  <c r="N104" i="65"/>
  <c r="AI104" i="65"/>
  <c r="AH104" i="65"/>
  <c r="AJ104" i="65"/>
  <c r="N139" i="65"/>
  <c r="N58" i="65"/>
  <c r="N140" i="65"/>
  <c r="N62" i="65"/>
  <c r="N69" i="65"/>
  <c r="AI86" i="65"/>
  <c r="AJ86" i="65"/>
  <c r="AL86" i="65"/>
  <c r="N86" i="65"/>
  <c r="AK86" i="65"/>
  <c r="N94" i="65"/>
  <c r="N126" i="65"/>
  <c r="AJ134" i="65"/>
  <c r="AK134" i="65"/>
  <c r="N134" i="65"/>
  <c r="AL134" i="65"/>
  <c r="N142" i="65"/>
  <c r="AL88" i="65"/>
  <c r="N88" i="65"/>
  <c r="AK88" i="65"/>
  <c r="N124" i="65"/>
  <c r="N101" i="65"/>
  <c r="N54" i="65"/>
  <c r="N75" i="65"/>
  <c r="N92" i="65"/>
  <c r="N90" i="65"/>
  <c r="N105" i="65"/>
  <c r="N128" i="65"/>
  <c r="N136" i="65"/>
  <c r="AL136" i="65"/>
  <c r="N109" i="65"/>
  <c r="N132" i="65"/>
  <c r="N56" i="65"/>
  <c r="N60" i="65"/>
  <c r="N64" i="65"/>
  <c r="N73" i="65"/>
  <c r="N130" i="65"/>
  <c r="N138" i="65"/>
  <c r="B467" i="40" l="1"/>
  <c r="B186"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7"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I148" i="50" l="1"/>
  <c r="B469" i="40"/>
  <c r="B188"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9" i="65"/>
  <c r="M60" i="42"/>
  <c r="L60" i="42"/>
  <c r="CA60" i="42" s="1"/>
  <c r="I19" i="68"/>
  <c r="J19" i="68"/>
  <c r="J20" i="68"/>
  <c r="K20" i="68"/>
  <c r="K21" i="68"/>
  <c r="L22" i="68"/>
  <c r="L21" i="68"/>
  <c r="I18" i="68"/>
  <c r="H18" i="68"/>
  <c r="F1210" i="40"/>
  <c r="E1210" i="40"/>
  <c r="F1211" i="40"/>
  <c r="E1211" i="40"/>
  <c r="F1212" i="40"/>
  <c r="E1212" i="40"/>
  <c r="F1213" i="40"/>
  <c r="E1213" i="40"/>
  <c r="F1214" i="40"/>
  <c r="E1214" i="40"/>
  <c r="F1215" i="40"/>
  <c r="E1215" i="40"/>
  <c r="F1216" i="40"/>
  <c r="E1216" i="40"/>
  <c r="F1217" i="40"/>
  <c r="E1217" i="40"/>
  <c r="F1218" i="40"/>
  <c r="E1218" i="40"/>
  <c r="F1219" i="40"/>
  <c r="E1219" i="40"/>
  <c r="F1220" i="40"/>
  <c r="E1220" i="40"/>
  <c r="F1221" i="40"/>
  <c r="E1221" i="40"/>
  <c r="F1222" i="40"/>
  <c r="E1222" i="40"/>
  <c r="F1223" i="40"/>
  <c r="E1223" i="40"/>
  <c r="I40" i="68"/>
  <c r="I41" i="68"/>
  <c r="I42" i="68"/>
  <c r="I43" i="68"/>
  <c r="I39" i="68"/>
  <c r="K54" i="24"/>
  <c r="I52" i="24"/>
  <c r="M39" i="24"/>
  <c r="L38" i="24"/>
  <c r="H40" i="37" s="1"/>
  <c r="K37" i="24"/>
  <c r="K17" i="25" s="1"/>
  <c r="J36" i="24"/>
  <c r="J16" i="25" s="1"/>
  <c r="I35" i="24"/>
  <c r="I15" i="25" s="1"/>
  <c r="F40" i="68"/>
  <c r="H40" i="68"/>
  <c r="F41" i="68"/>
  <c r="H41" i="68"/>
  <c r="F42" i="68"/>
  <c r="H42" i="68"/>
  <c r="F43" i="68"/>
  <c r="H43" i="68"/>
  <c r="H39" i="68"/>
  <c r="F39" i="68"/>
  <c r="F28" i="68"/>
  <c r="F25" i="68"/>
  <c r="V60" i="42" l="1"/>
  <c r="B471" i="40"/>
  <c r="B190" i="65"/>
  <c r="M41" i="66"/>
  <c r="I41" i="37"/>
  <c r="L37" i="24"/>
  <c r="L39" i="66" s="1"/>
  <c r="I49" i="66"/>
  <c r="I27" i="25"/>
  <c r="K51" i="66"/>
  <c r="K29" i="25"/>
  <c r="M38" i="24"/>
  <c r="I40" i="37" s="1"/>
  <c r="L40" i="66"/>
  <c r="J35" i="24"/>
  <c r="J15" i="25" s="1"/>
  <c r="I37" i="66"/>
  <c r="K36" i="24"/>
  <c r="K16" i="25" s="1"/>
  <c r="J38" i="66"/>
  <c r="K39" i="66"/>
  <c r="I32" i="32"/>
  <c r="B472" i="40" l="1"/>
  <c r="B191" i="65"/>
  <c r="M37" i="24"/>
  <c r="M17" i="25" s="1"/>
  <c r="L17" i="25"/>
  <c r="K35" i="24"/>
  <c r="K15" i="25" s="1"/>
  <c r="J37" i="66"/>
  <c r="L36" i="24"/>
  <c r="L16" i="25" s="1"/>
  <c r="K38" i="66"/>
  <c r="N38" i="24"/>
  <c r="J40" i="37" s="1"/>
  <c r="M40" i="66"/>
  <c r="K43" i="68"/>
  <c r="U43" i="68" s="1"/>
  <c r="K40" i="68"/>
  <c r="O40" i="68" s="1"/>
  <c r="K39" i="68"/>
  <c r="P39" i="68" s="1"/>
  <c r="O39" i="68"/>
  <c r="M39" i="66" l="1"/>
  <c r="B473" i="40"/>
  <c r="B192" i="65"/>
  <c r="N37" i="24"/>
  <c r="N17" i="25" s="1"/>
  <c r="M36" i="24"/>
  <c r="M16" i="25" s="1"/>
  <c r="L38" i="66"/>
  <c r="L35" i="24"/>
  <c r="L15" i="25" s="1"/>
  <c r="K37" i="66"/>
  <c r="O38" i="24"/>
  <c r="K40" i="37" s="1"/>
  <c r="N40"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N39" i="66" l="1"/>
  <c r="B474" i="40"/>
  <c r="B193" i="65"/>
  <c r="O37" i="24"/>
  <c r="O17" i="25" s="1"/>
  <c r="N36" i="24"/>
  <c r="N16" i="25" s="1"/>
  <c r="M38" i="66"/>
  <c r="P38" i="24"/>
  <c r="L40" i="37" s="1"/>
  <c r="O40" i="66"/>
  <c r="M35"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4" i="65"/>
  <c r="AF40" i="68"/>
  <c r="AG40" i="68" s="1"/>
  <c r="AM40" i="68" s="1"/>
  <c r="P37" i="24"/>
  <c r="P17" i="25" s="1"/>
  <c r="O36" i="24"/>
  <c r="O16" i="25" s="1"/>
  <c r="N38" i="66"/>
  <c r="N35" i="24"/>
  <c r="N15" i="25" s="1"/>
  <c r="M37" i="66"/>
  <c r="P40" i="66"/>
  <c r="Q38"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37" i="24"/>
  <c r="P39" i="66"/>
  <c r="B476" i="40"/>
  <c r="B195" i="65"/>
  <c r="Q40" i="66"/>
  <c r="M40" i="37"/>
  <c r="O35" i="24"/>
  <c r="O15" i="25" s="1"/>
  <c r="N37" i="66"/>
  <c r="AF42" i="68"/>
  <c r="AG42" i="68" s="1"/>
  <c r="AH42" i="68" s="1"/>
  <c r="AI42" i="68" s="1"/>
  <c r="AO42" i="68" s="1"/>
  <c r="O38" i="66"/>
  <c r="P36" i="24"/>
  <c r="P16" i="25" s="1"/>
  <c r="AK41" i="68"/>
  <c r="AL39" i="68"/>
  <c r="AL43" i="68"/>
  <c r="AK39" i="68"/>
  <c r="AK43" i="68"/>
  <c r="AF41" i="68"/>
  <c r="AG41" i="68" s="1"/>
  <c r="AH39" i="68"/>
  <c r="AM39" i="68"/>
  <c r="AK42" i="68"/>
  <c r="AH43" i="68"/>
  <c r="AM43" i="68"/>
  <c r="AN40" i="68" l="1"/>
  <c r="Q17" i="25"/>
  <c r="Q39" i="66"/>
  <c r="B477" i="40"/>
  <c r="B196" i="65"/>
  <c r="AM42" i="68"/>
  <c r="AN42" i="68"/>
  <c r="P38" i="66"/>
  <c r="Q36" i="24"/>
  <c r="O37" i="66"/>
  <c r="P35" i="24"/>
  <c r="P15" i="25" s="1"/>
  <c r="AL42" i="68"/>
  <c r="AI39" i="68"/>
  <c r="AO39" i="68" s="1"/>
  <c r="AN39" i="68"/>
  <c r="AI43" i="68"/>
  <c r="AO43" i="68" s="1"/>
  <c r="AN43" i="68"/>
  <c r="AH41" i="68"/>
  <c r="AM41" i="68"/>
  <c r="AL41" i="68"/>
  <c r="B478" i="40" l="1"/>
  <c r="B197" i="65"/>
  <c r="Q38" i="66"/>
  <c r="Q16" i="25"/>
  <c r="P37" i="66"/>
  <c r="Q35" i="24"/>
  <c r="AI41" i="68"/>
  <c r="AO41" i="68" s="1"/>
  <c r="AN41" i="68"/>
  <c r="K17" i="42"/>
  <c r="AY66" i="42" s="1"/>
  <c r="BO66" i="42" s="1"/>
  <c r="L17" i="42"/>
  <c r="AZ66" i="42" s="1"/>
  <c r="BP66" i="42" s="1"/>
  <c r="M17" i="42"/>
  <c r="BA66" i="42" s="1"/>
  <c r="BQ66" i="42" s="1"/>
  <c r="N17" i="42"/>
  <c r="BB66" i="42" s="1"/>
  <c r="BR66" i="42" s="1"/>
  <c r="BZ66" i="42" s="1"/>
  <c r="J17" i="42"/>
  <c r="J16" i="50"/>
  <c r="M131" i="25"/>
  <c r="N131" i="25"/>
  <c r="O131" i="25"/>
  <c r="P131" i="25"/>
  <c r="Q131" i="25"/>
  <c r="N130" i="25"/>
  <c r="O130" i="25"/>
  <c r="P130" i="25"/>
  <c r="Q130" i="25"/>
  <c r="M130" i="25"/>
  <c r="F32" i="65"/>
  <c r="K52" i="65"/>
  <c r="AZ329" i="50" l="1"/>
  <c r="AZ337" i="50"/>
  <c r="AZ328" i="50"/>
  <c r="AZ338" i="50"/>
  <c r="AZ335" i="50"/>
  <c r="AZ334" i="50"/>
  <c r="AZ333" i="50"/>
  <c r="AZ324" i="50"/>
  <c r="AZ339" i="50"/>
  <c r="AZ336" i="50"/>
  <c r="AZ327" i="50"/>
  <c r="AZ332" i="50"/>
  <c r="AZ326" i="50"/>
  <c r="AZ331" i="50"/>
  <c r="AZ325" i="50"/>
  <c r="AZ330" i="50"/>
  <c r="K47" i="68"/>
  <c r="M57" i="68" s="1"/>
  <c r="N31" i="32" s="1"/>
  <c r="AZ323" i="50"/>
  <c r="AZ316" i="50"/>
  <c r="AZ315" i="50"/>
  <c r="AZ313" i="50"/>
  <c r="AZ311" i="50"/>
  <c r="AZ319" i="50"/>
  <c r="AZ322" i="50"/>
  <c r="AZ321" i="50"/>
  <c r="AZ320" i="50"/>
  <c r="AZ309" i="50"/>
  <c r="AZ310" i="50"/>
  <c r="AZ308" i="50"/>
  <c r="AZ312" i="50"/>
  <c r="AZ318" i="50"/>
  <c r="AZ317" i="50"/>
  <c r="AZ314" i="50"/>
  <c r="AX66" i="42"/>
  <c r="BN66" i="42" s="1"/>
  <c r="B479" i="40"/>
  <c r="B198" i="65"/>
  <c r="AZ307" i="50"/>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9" i="65"/>
  <c r="M55" i="25"/>
  <c r="F29" i="65"/>
  <c r="M52" i="65"/>
  <c r="L46" i="65"/>
  <c r="K45" i="65"/>
  <c r="J44" i="65"/>
  <c r="I43" i="65"/>
  <c r="H42" i="65"/>
  <c r="L39" i="65"/>
  <c r="K38" i="65"/>
  <c r="J37" i="65"/>
  <c r="I36" i="65"/>
  <c r="H35" i="65"/>
  <c r="F26" i="65"/>
  <c r="F23" i="65"/>
  <c r="F20"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3" i="24"/>
  <c r="L54" i="24"/>
  <c r="L29" i="25" s="1"/>
  <c r="L55" i="24"/>
  <c r="M56" i="24"/>
  <c r="N57" i="24"/>
  <c r="O58" i="24"/>
  <c r="K52" i="37" s="1"/>
  <c r="P59" i="24"/>
  <c r="Q60" i="24"/>
  <c r="J40" i="50"/>
  <c r="N39" i="24"/>
  <c r="N40" i="24"/>
  <c r="O41" i="24"/>
  <c r="P42" i="24"/>
  <c r="Q43" i="24"/>
  <c r="Y508" i="65" l="1"/>
  <c r="T508" i="65"/>
  <c r="T518" i="65"/>
  <c r="Z518" i="65"/>
  <c r="Y518" i="65"/>
  <c r="X520" i="65"/>
  <c r="Q518" i="65"/>
  <c r="S509" i="65"/>
  <c r="Y509" i="65"/>
  <c r="R508" i="65"/>
  <c r="X511" i="65"/>
  <c r="Q509" i="65"/>
  <c r="S508" i="65"/>
  <c r="AE508" i="65" s="1"/>
  <c r="AQ508" i="65" s="1"/>
  <c r="W518" i="65"/>
  <c r="P518" i="65"/>
  <c r="V513" i="65"/>
  <c r="R518" i="65"/>
  <c r="X509" i="65"/>
  <c r="Q508" i="65"/>
  <c r="R509" i="65"/>
  <c r="X518" i="65"/>
  <c r="Y520" i="65"/>
  <c r="Z508" i="65"/>
  <c r="AF508" i="65" s="1"/>
  <c r="AR508" i="65" s="1"/>
  <c r="X508" i="65"/>
  <c r="W509" i="65"/>
  <c r="P508" i="65"/>
  <c r="S518" i="65"/>
  <c r="AE518" i="65" s="1"/>
  <c r="AQ518" i="65" s="1"/>
  <c r="Z520" i="65"/>
  <c r="V518" i="65"/>
  <c r="V508" i="65"/>
  <c r="W508" i="65"/>
  <c r="X515" i="65"/>
  <c r="W515" i="65"/>
  <c r="V509" i="65"/>
  <c r="W510" i="65"/>
  <c r="R510" i="65"/>
  <c r="V515" i="65"/>
  <c r="W516" i="65"/>
  <c r="W520" i="65"/>
  <c r="X516" i="65"/>
  <c r="W511" i="65"/>
  <c r="Z510" i="65"/>
  <c r="Y511" i="65"/>
  <c r="P509" i="65"/>
  <c r="Q510" i="65"/>
  <c r="S510" i="65"/>
  <c r="T510" i="65"/>
  <c r="Z516" i="65"/>
  <c r="W513" i="65"/>
  <c r="V516" i="65"/>
  <c r="Y513" i="65"/>
  <c r="V520" i="65"/>
  <c r="P510" i="65"/>
  <c r="Z513" i="65"/>
  <c r="Y516" i="65"/>
  <c r="T509" i="65"/>
  <c r="Z509" i="65"/>
  <c r="V510" i="65"/>
  <c r="Y510" i="65"/>
  <c r="X510" i="65"/>
  <c r="Y515" i="65"/>
  <c r="Z511" i="65"/>
  <c r="Z515" i="65"/>
  <c r="X513" i="65"/>
  <c r="V511" i="65"/>
  <c r="Y512" i="65"/>
  <c r="Z519" i="65"/>
  <c r="V512" i="65"/>
  <c r="W519" i="65"/>
  <c r="Y519" i="65"/>
  <c r="V519" i="65"/>
  <c r="X519" i="65"/>
  <c r="Z512" i="65"/>
  <c r="X512" i="65"/>
  <c r="W512" i="65"/>
  <c r="R520" i="65"/>
  <c r="AD520" i="65" s="1"/>
  <c r="Q511" i="65"/>
  <c r="AC511" i="65" s="1"/>
  <c r="S520" i="65"/>
  <c r="AE520" i="65" s="1"/>
  <c r="T520" i="65"/>
  <c r="S511" i="65"/>
  <c r="S512" i="65"/>
  <c r="T513" i="65"/>
  <c r="AF513" i="65" s="1"/>
  <c r="T515" i="65"/>
  <c r="T511" i="65"/>
  <c r="R511" i="65"/>
  <c r="Q516" i="65"/>
  <c r="AC516" i="65" s="1"/>
  <c r="S516" i="65"/>
  <c r="AE516" i="65" s="1"/>
  <c r="P511" i="65"/>
  <c r="T516" i="65"/>
  <c r="Q515" i="65"/>
  <c r="Q520" i="65"/>
  <c r="AC520" i="65" s="1"/>
  <c r="P515" i="65"/>
  <c r="AB515" i="65" s="1"/>
  <c r="S519" i="65"/>
  <c r="S513" i="65"/>
  <c r="R513" i="65"/>
  <c r="S515" i="65"/>
  <c r="T512" i="65"/>
  <c r="P516" i="65"/>
  <c r="AB516" i="65" s="1"/>
  <c r="R515" i="65"/>
  <c r="P513" i="65"/>
  <c r="AB513" i="65" s="1"/>
  <c r="Q513" i="65"/>
  <c r="AC513" i="65" s="1"/>
  <c r="P520" i="65"/>
  <c r="R516" i="65"/>
  <c r="Q519" i="65"/>
  <c r="Q512" i="65"/>
  <c r="R512" i="65"/>
  <c r="AD512" i="65" s="1"/>
  <c r="P519" i="65"/>
  <c r="T519" i="65"/>
  <c r="P512" i="65"/>
  <c r="R519" i="65"/>
  <c r="V428" i="65"/>
  <c r="Y428" i="65"/>
  <c r="R433" i="65"/>
  <c r="T385" i="65"/>
  <c r="W424" i="65"/>
  <c r="X433" i="65"/>
  <c r="W436" i="65"/>
  <c r="Q468" i="65"/>
  <c r="Q474" i="65"/>
  <c r="W385" i="65"/>
  <c r="Y391" i="65"/>
  <c r="Y424" i="65"/>
  <c r="Q426" i="65"/>
  <c r="R426" i="65"/>
  <c r="V426" i="65"/>
  <c r="R437" i="65"/>
  <c r="W474" i="65"/>
  <c r="T443" i="65"/>
  <c r="Y436" i="65"/>
  <c r="T424" i="65"/>
  <c r="V424" i="65"/>
  <c r="Z443" i="65"/>
  <c r="T433" i="65"/>
  <c r="P428" i="65"/>
  <c r="R385" i="65"/>
  <c r="Q430" i="65"/>
  <c r="P422" i="65"/>
  <c r="Q477" i="65"/>
  <c r="X477" i="65"/>
  <c r="R466" i="65"/>
  <c r="T466" i="65"/>
  <c r="T478" i="65"/>
  <c r="W478" i="65"/>
  <c r="Y474" i="65"/>
  <c r="W468" i="65"/>
  <c r="X478" i="65"/>
  <c r="P478" i="65"/>
  <c r="V468" i="65"/>
  <c r="T442" i="65"/>
  <c r="T470" i="65"/>
  <c r="T468" i="65"/>
  <c r="T434" i="65"/>
  <c r="Z430" i="65"/>
  <c r="R421" i="65"/>
  <c r="S470" i="65"/>
  <c r="S468" i="65"/>
  <c r="S466" i="65"/>
  <c r="S464" i="65"/>
  <c r="X443" i="65"/>
  <c r="V437" i="65"/>
  <c r="T437" i="65"/>
  <c r="W443" i="65"/>
  <c r="S441" i="65"/>
  <c r="R434" i="65"/>
  <c r="Q434" i="65"/>
  <c r="W430" i="65"/>
  <c r="T428" i="65"/>
  <c r="W426" i="65"/>
  <c r="V433" i="65"/>
  <c r="R387" i="65"/>
  <c r="R394" i="65"/>
  <c r="Z396" i="65"/>
  <c r="S395" i="65"/>
  <c r="Z395" i="65"/>
  <c r="V390" i="65"/>
  <c r="T390" i="65"/>
  <c r="Q387" i="65"/>
  <c r="Z384" i="65"/>
  <c r="Z386" i="65"/>
  <c r="Y478" i="65"/>
  <c r="W466" i="65"/>
  <c r="Y466" i="65"/>
  <c r="Y456" i="65"/>
  <c r="W482" i="65"/>
  <c r="P464" i="65"/>
  <c r="V470" i="65"/>
  <c r="P426" i="65"/>
  <c r="Z426" i="65"/>
  <c r="Z466" i="65"/>
  <c r="R474" i="65"/>
  <c r="R436" i="65"/>
  <c r="V436" i="65"/>
  <c r="X390" i="65"/>
  <c r="Q470" i="65"/>
  <c r="Z424" i="65"/>
  <c r="X441" i="65"/>
  <c r="R428" i="65"/>
  <c r="Q385" i="65"/>
  <c r="V477" i="65"/>
  <c r="R477" i="65"/>
  <c r="S476" i="65"/>
  <c r="Q478" i="65"/>
  <c r="Y437" i="65"/>
  <c r="Z474" i="65"/>
  <c r="Z468" i="65"/>
  <c r="Q436" i="65"/>
  <c r="R390" i="65"/>
  <c r="Q424" i="65"/>
  <c r="Q464" i="65"/>
  <c r="Q428" i="65"/>
  <c r="Y443" i="65"/>
  <c r="V476" i="65"/>
  <c r="V464" i="65"/>
  <c r="W477" i="65"/>
  <c r="R468" i="65"/>
  <c r="R464" i="65"/>
  <c r="Y464" i="65"/>
  <c r="Y476" i="65"/>
  <c r="Q466" i="65"/>
  <c r="W452" i="65"/>
  <c r="P470" i="65"/>
  <c r="R441" i="65"/>
  <c r="T430" i="65"/>
  <c r="X468" i="65"/>
  <c r="T441" i="65"/>
  <c r="Q437" i="65"/>
  <c r="Y434" i="65"/>
  <c r="X436" i="65"/>
  <c r="P433" i="65"/>
  <c r="AB433" i="65" s="1"/>
  <c r="AN433" i="65" s="1"/>
  <c r="W429" i="65"/>
  <c r="X428" i="65"/>
  <c r="X430" i="65"/>
  <c r="Q429" i="65"/>
  <c r="W428" i="65"/>
  <c r="AC428" i="65" s="1"/>
  <c r="AO428" i="65" s="1"/>
  <c r="X424" i="65"/>
  <c r="V422" i="65"/>
  <c r="Z392" i="65"/>
  <c r="Y392" i="65"/>
  <c r="T392" i="65"/>
  <c r="Z394" i="65"/>
  <c r="X394" i="65"/>
  <c r="X393" i="65"/>
  <c r="Q393" i="65"/>
  <c r="Q390" i="65"/>
  <c r="W387" i="65"/>
  <c r="Y384" i="65"/>
  <c r="X387" i="65"/>
  <c r="Q386" i="65"/>
  <c r="W434" i="65"/>
  <c r="Y387" i="65"/>
  <c r="X397" i="65"/>
  <c r="Y404" i="65"/>
  <c r="S391" i="65"/>
  <c r="T391" i="65"/>
  <c r="P390" i="65"/>
  <c r="AB390" i="65" s="1"/>
  <c r="AN390" i="65" s="1"/>
  <c r="V482" i="65"/>
  <c r="Y468" i="65"/>
  <c r="T421" i="65"/>
  <c r="W392" i="65"/>
  <c r="T387" i="65"/>
  <c r="Z385" i="65"/>
  <c r="R470" i="65"/>
  <c r="T432" i="65"/>
  <c r="W450" i="65"/>
  <c r="P438" i="65"/>
  <c r="Y438" i="65"/>
  <c r="Y462" i="65"/>
  <c r="Y470" i="65"/>
  <c r="X466" i="65"/>
  <c r="Z441" i="65"/>
  <c r="X400" i="65"/>
  <c r="S436" i="65"/>
  <c r="X432" i="65"/>
  <c r="W470" i="65"/>
  <c r="Q391" i="65"/>
  <c r="Z470" i="65"/>
  <c r="Z462" i="65"/>
  <c r="W390" i="65"/>
  <c r="P385" i="65"/>
  <c r="V452" i="65"/>
  <c r="Y433" i="65"/>
  <c r="X482" i="65"/>
  <c r="R478" i="65"/>
  <c r="AD478" i="65" s="1"/>
  <c r="AP478" i="65" s="1"/>
  <c r="Z478" i="65"/>
  <c r="X484" i="65"/>
  <c r="P477" i="65"/>
  <c r="S474" i="65"/>
  <c r="P474" i="65"/>
  <c r="V456" i="65"/>
  <c r="S477" i="65"/>
  <c r="W464" i="65"/>
  <c r="Y484" i="65"/>
  <c r="T477" i="65"/>
  <c r="R476" i="65"/>
  <c r="W462" i="65"/>
  <c r="Y442" i="65"/>
  <c r="P430" i="65"/>
  <c r="S421" i="65"/>
  <c r="P421" i="65"/>
  <c r="Q421" i="65"/>
  <c r="V421" i="65"/>
  <c r="X470" i="65"/>
  <c r="AD470" i="65" s="1"/>
  <c r="AP470" i="65" s="1"/>
  <c r="Z437" i="65"/>
  <c r="P437" i="65"/>
  <c r="Y430" i="65"/>
  <c r="W400" i="65"/>
  <c r="Y445" i="65"/>
  <c r="Z436" i="65"/>
  <c r="Z428" i="65"/>
  <c r="V434" i="65"/>
  <c r="V403" i="65"/>
  <c r="S434" i="65"/>
  <c r="V429" i="65"/>
  <c r="V425" i="65"/>
  <c r="S424" i="65"/>
  <c r="AE424" i="65" s="1"/>
  <c r="AQ424" i="65" s="1"/>
  <c r="R422" i="65"/>
  <c r="W397" i="65"/>
  <c r="Y394" i="65"/>
  <c r="T396" i="65"/>
  <c r="P391" i="65"/>
  <c r="Z390" i="65"/>
  <c r="R389" i="65"/>
  <c r="T386" i="65"/>
  <c r="V386" i="65"/>
  <c r="W456" i="65"/>
  <c r="S442" i="65"/>
  <c r="Z434" i="65"/>
  <c r="V430" i="65"/>
  <c r="Z421" i="65"/>
  <c r="W421" i="65"/>
  <c r="X464" i="65"/>
  <c r="X454" i="65"/>
  <c r="Y400" i="65"/>
  <c r="X437" i="65"/>
  <c r="AD437" i="65" s="1"/>
  <c r="AP437" i="65" s="1"/>
  <c r="Q433" i="65"/>
  <c r="S426" i="65"/>
  <c r="Q392" i="65"/>
  <c r="R392" i="65"/>
  <c r="Y397" i="65"/>
  <c r="Y403" i="65"/>
  <c r="R393" i="65"/>
  <c r="X391" i="65"/>
  <c r="T395" i="65"/>
  <c r="AF395" i="65" s="1"/>
  <c r="AR395" i="65" s="1"/>
  <c r="Z391" i="65"/>
  <c r="P387" i="65"/>
  <c r="W386" i="65"/>
  <c r="V384" i="65"/>
  <c r="R424" i="65"/>
  <c r="V446" i="65"/>
  <c r="V478" i="65"/>
  <c r="W442" i="65"/>
  <c r="Y421" i="65"/>
  <c r="X462" i="65"/>
  <c r="Y441" i="65"/>
  <c r="S430" i="65"/>
  <c r="Z464" i="65"/>
  <c r="T426" i="65"/>
  <c r="W391" i="65"/>
  <c r="P436" i="65"/>
  <c r="V462" i="65"/>
  <c r="S433" i="65"/>
  <c r="AE433" i="65" s="1"/>
  <c r="AQ433" i="65" s="1"/>
  <c r="Y385" i="65"/>
  <c r="T436" i="65"/>
  <c r="Z477" i="65"/>
  <c r="Y482" i="65"/>
  <c r="P466" i="65"/>
  <c r="X476" i="65"/>
  <c r="X474" i="65"/>
  <c r="AD474" i="65" s="1"/>
  <c r="AP474" i="65" s="1"/>
  <c r="T474" i="65"/>
  <c r="V466" i="65"/>
  <c r="X438" i="65"/>
  <c r="S478" i="65"/>
  <c r="AE478" i="65" s="1"/>
  <c r="AQ478" i="65" s="1"/>
  <c r="V474" i="65"/>
  <c r="V442" i="65"/>
  <c r="X421" i="65"/>
  <c r="W437" i="65"/>
  <c r="S432" i="65"/>
  <c r="X434" i="65"/>
  <c r="S425" i="65"/>
  <c r="W422" i="65"/>
  <c r="S392" i="65"/>
  <c r="V391" i="65"/>
  <c r="X384" i="65"/>
  <c r="X385" i="65"/>
  <c r="Y426" i="65"/>
  <c r="S437" i="65"/>
  <c r="S390" i="65"/>
  <c r="P434" i="65"/>
  <c r="P424" i="65"/>
  <c r="Y477" i="65"/>
  <c r="T464" i="65"/>
  <c r="Z442" i="65"/>
  <c r="P468" i="65"/>
  <c r="Z445" i="65"/>
  <c r="Z400" i="65"/>
  <c r="V443" i="65"/>
  <c r="R430" i="65"/>
  <c r="W433" i="65"/>
  <c r="S428" i="65"/>
  <c r="Z433" i="65"/>
  <c r="X426" i="65"/>
  <c r="V392" i="65"/>
  <c r="Z387" i="65"/>
  <c r="V394" i="65"/>
  <c r="Y390" i="65"/>
  <c r="R391" i="65"/>
  <c r="V385" i="65"/>
  <c r="AB385" i="65" s="1"/>
  <c r="AN385" i="65" s="1"/>
  <c r="T394" i="65"/>
  <c r="Y393" i="65"/>
  <c r="Z393" i="65"/>
  <c r="V387" i="65"/>
  <c r="P392" i="65"/>
  <c r="W403" i="65"/>
  <c r="S394" i="65"/>
  <c r="S393" i="65"/>
  <c r="T393" i="65"/>
  <c r="S389" i="65"/>
  <c r="X392" i="65"/>
  <c r="X395" i="65"/>
  <c r="P386" i="65"/>
  <c r="AB386" i="65" s="1"/>
  <c r="AN386" i="65" s="1"/>
  <c r="S387" i="65"/>
  <c r="S385" i="65"/>
  <c r="Z403" i="65"/>
  <c r="V397" i="65"/>
  <c r="T389" i="65"/>
  <c r="W389" i="65"/>
  <c r="P425" i="65"/>
  <c r="R438" i="65"/>
  <c r="Q438" i="65"/>
  <c r="X425" i="65"/>
  <c r="W438" i="65"/>
  <c r="Q432" i="65"/>
  <c r="W432" i="65"/>
  <c r="P432" i="65"/>
  <c r="Y396" i="65"/>
  <c r="V438" i="65"/>
  <c r="W476" i="65"/>
  <c r="Z476" i="65"/>
  <c r="Y452" i="65"/>
  <c r="S422" i="65"/>
  <c r="X422" i="65"/>
  <c r="S386" i="65"/>
  <c r="X450" i="65"/>
  <c r="Z399" i="65"/>
  <c r="Z404" i="65"/>
  <c r="T423" i="65"/>
  <c r="W423" i="65"/>
  <c r="V427" i="65"/>
  <c r="W427" i="65"/>
  <c r="V431" i="65"/>
  <c r="W431" i="65"/>
  <c r="T431" i="65"/>
  <c r="Y465" i="65"/>
  <c r="Z465" i="65"/>
  <c r="S465" i="65"/>
  <c r="Y440" i="65"/>
  <c r="S440" i="65"/>
  <c r="V444" i="65"/>
  <c r="Q479" i="65"/>
  <c r="X479" i="65"/>
  <c r="W479" i="65"/>
  <c r="X449" i="65"/>
  <c r="X475" i="65"/>
  <c r="T475" i="65"/>
  <c r="V388" i="65"/>
  <c r="R388" i="65"/>
  <c r="Y388" i="65"/>
  <c r="W395" i="65"/>
  <c r="Z407" i="65"/>
  <c r="Z411" i="65"/>
  <c r="X403" i="65"/>
  <c r="Y417" i="65"/>
  <c r="Q435" i="65"/>
  <c r="P435" i="65"/>
  <c r="X435" i="65"/>
  <c r="R439" i="65"/>
  <c r="Y439" i="65"/>
  <c r="Z481" i="65"/>
  <c r="W467" i="65"/>
  <c r="X448" i="65"/>
  <c r="W446" i="65"/>
  <c r="V389" i="65"/>
  <c r="P389" i="65"/>
  <c r="Y425" i="65"/>
  <c r="Z438" i="65"/>
  <c r="Z482" i="65"/>
  <c r="Z454" i="65"/>
  <c r="S438" i="65"/>
  <c r="P429" i="65"/>
  <c r="R429" i="65"/>
  <c r="Y429" i="65"/>
  <c r="Y432" i="65"/>
  <c r="Z432" i="65"/>
  <c r="Z425" i="65"/>
  <c r="X409" i="65"/>
  <c r="V400" i="65"/>
  <c r="Z484" i="65"/>
  <c r="W393" i="65"/>
  <c r="Q476" i="65"/>
  <c r="V441" i="65"/>
  <c r="Z422" i="65"/>
  <c r="Y422" i="65"/>
  <c r="Q422" i="65"/>
  <c r="W407" i="65"/>
  <c r="Y423" i="65"/>
  <c r="S423" i="65"/>
  <c r="V423" i="65"/>
  <c r="Z427" i="65"/>
  <c r="S427" i="65"/>
  <c r="Z431" i="65"/>
  <c r="S431" i="65"/>
  <c r="R440" i="65"/>
  <c r="Z440" i="65"/>
  <c r="W472" i="65"/>
  <c r="Z479" i="65"/>
  <c r="Y454" i="65"/>
  <c r="Q475" i="65"/>
  <c r="R475" i="65"/>
  <c r="X481" i="65"/>
  <c r="Z388" i="65"/>
  <c r="X388" i="65"/>
  <c r="W388" i="65"/>
  <c r="Y408" i="65"/>
  <c r="Y407" i="65"/>
  <c r="X405" i="65"/>
  <c r="Y411" i="65"/>
  <c r="X404" i="65"/>
  <c r="W409" i="65"/>
  <c r="V435" i="65"/>
  <c r="W435" i="65"/>
  <c r="T435" i="65"/>
  <c r="Y449" i="65"/>
  <c r="Q439" i="65"/>
  <c r="X439" i="65"/>
  <c r="W439" i="65"/>
  <c r="Y446" i="65"/>
  <c r="X463" i="65"/>
  <c r="Y399" i="65"/>
  <c r="V396" i="65"/>
  <c r="W425" i="65"/>
  <c r="W415" i="65"/>
  <c r="W445" i="65"/>
  <c r="T429" i="65"/>
  <c r="Y389" i="65"/>
  <c r="W413" i="65"/>
  <c r="T422" i="65"/>
  <c r="Y386" i="65"/>
  <c r="W399" i="65"/>
  <c r="Q423" i="65"/>
  <c r="Y427" i="65"/>
  <c r="T427" i="65"/>
  <c r="Y431" i="65"/>
  <c r="P465" i="65"/>
  <c r="V465" i="65"/>
  <c r="Q440" i="65"/>
  <c r="Y479" i="65"/>
  <c r="V484" i="65"/>
  <c r="Z475" i="65"/>
  <c r="Y406" i="65"/>
  <c r="Y413" i="65"/>
  <c r="R435" i="65"/>
  <c r="S439" i="65"/>
  <c r="Y472" i="65"/>
  <c r="X467" i="65"/>
  <c r="Z412" i="65"/>
  <c r="P463" i="65"/>
  <c r="Q463" i="65"/>
  <c r="R463" i="65"/>
  <c r="Y405" i="65"/>
  <c r="X407" i="65"/>
  <c r="Y416" i="65"/>
  <c r="S420" i="65"/>
  <c r="X420" i="65"/>
  <c r="X413" i="65"/>
  <c r="X411" i="65"/>
  <c r="X415" i="65"/>
  <c r="Z449" i="65"/>
  <c r="Y469" i="65"/>
  <c r="Z469" i="65"/>
  <c r="X469" i="65"/>
  <c r="X442" i="65"/>
  <c r="R386" i="65"/>
  <c r="P423" i="65"/>
  <c r="X427" i="65"/>
  <c r="X431" i="65"/>
  <c r="V440" i="65"/>
  <c r="V393" i="65"/>
  <c r="V405" i="65"/>
  <c r="Y409" i="65"/>
  <c r="S435" i="65"/>
  <c r="Z439" i="65"/>
  <c r="Y473" i="65"/>
  <c r="W396" i="65"/>
  <c r="Y463" i="65"/>
  <c r="V414" i="65"/>
  <c r="V399" i="65"/>
  <c r="V407" i="65"/>
  <c r="X416" i="65"/>
  <c r="T420" i="65"/>
  <c r="V411" i="65"/>
  <c r="V417" i="65"/>
  <c r="P469" i="65"/>
  <c r="Q469" i="65"/>
  <c r="W484" i="65"/>
  <c r="Q425" i="65"/>
  <c r="S429" i="65"/>
  <c r="X429" i="65"/>
  <c r="X398" i="65"/>
  <c r="X423" i="65"/>
  <c r="P431" i="65"/>
  <c r="AB431" i="65" s="1"/>
  <c r="AN431" i="65" s="1"/>
  <c r="W465" i="65"/>
  <c r="Z472" i="65"/>
  <c r="V475" i="65"/>
  <c r="Q388" i="65"/>
  <c r="S388" i="65"/>
  <c r="AE388" i="65" s="1"/>
  <c r="AQ388" i="65" s="1"/>
  <c r="Z408" i="65"/>
  <c r="Z413" i="65"/>
  <c r="Y435" i="65"/>
  <c r="T439" i="65"/>
  <c r="AF439" i="65" s="1"/>
  <c r="AR439" i="65" s="1"/>
  <c r="S463" i="65"/>
  <c r="W418" i="65"/>
  <c r="V404" i="65"/>
  <c r="Y410" i="65"/>
  <c r="Z420" i="65"/>
  <c r="Y420" i="65"/>
  <c r="X445" i="65"/>
  <c r="V450" i="65"/>
  <c r="W469" i="65"/>
  <c r="X472" i="65"/>
  <c r="V481" i="65"/>
  <c r="W417" i="65"/>
  <c r="Q389" i="65"/>
  <c r="R425" i="65"/>
  <c r="V395" i="65"/>
  <c r="X389" i="65"/>
  <c r="Z452" i="65"/>
  <c r="P476" i="65"/>
  <c r="X452" i="65"/>
  <c r="X396" i="65"/>
  <c r="Z423" i="65"/>
  <c r="Q427" i="65"/>
  <c r="AC427" i="65" s="1"/>
  <c r="AO427" i="65" s="1"/>
  <c r="R427" i="65"/>
  <c r="Q431" i="65"/>
  <c r="AC431" i="65" s="1"/>
  <c r="AO431" i="65" s="1"/>
  <c r="R431" i="65"/>
  <c r="W449" i="65"/>
  <c r="T465" i="65"/>
  <c r="AF465" i="65" s="1"/>
  <c r="AR465" i="65" s="1"/>
  <c r="Y481" i="65"/>
  <c r="W440" i="65"/>
  <c r="Y450" i="65"/>
  <c r="R479" i="65"/>
  <c r="W454" i="65"/>
  <c r="P475" i="65"/>
  <c r="S475" i="65"/>
  <c r="Z406" i="65"/>
  <c r="P388" i="65"/>
  <c r="W411" i="65"/>
  <c r="Z409" i="65"/>
  <c r="Z435" i="65"/>
  <c r="V439" i="65"/>
  <c r="V449" i="65"/>
  <c r="V467" i="65"/>
  <c r="V454" i="65"/>
  <c r="T463" i="65"/>
  <c r="V463" i="65"/>
  <c r="W463" i="65"/>
  <c r="X457" i="65"/>
  <c r="W384" i="65"/>
  <c r="X399" i="65"/>
  <c r="Q420" i="65"/>
  <c r="R420" i="65"/>
  <c r="V415" i="65"/>
  <c r="V409" i="65"/>
  <c r="S469" i="65"/>
  <c r="Z446" i="65"/>
  <c r="W405" i="65"/>
  <c r="T425" i="65"/>
  <c r="Z429" i="65"/>
  <c r="V432" i="65"/>
  <c r="AB432" i="65" s="1"/>
  <c r="AN432" i="65" s="1"/>
  <c r="W451" i="65"/>
  <c r="Z456" i="65"/>
  <c r="Y395" i="65"/>
  <c r="X456" i="65"/>
  <c r="R423" i="65"/>
  <c r="R465" i="65"/>
  <c r="T440" i="65"/>
  <c r="AF440" i="65" s="1"/>
  <c r="AR440" i="65" s="1"/>
  <c r="W444" i="65"/>
  <c r="W481" i="65"/>
  <c r="W475" i="65"/>
  <c r="Y475" i="65"/>
  <c r="T388" i="65"/>
  <c r="Y415" i="65"/>
  <c r="P439" i="65"/>
  <c r="Z450" i="65"/>
  <c r="Z463" i="65"/>
  <c r="Z457" i="65"/>
  <c r="X418" i="65"/>
  <c r="Z397" i="65"/>
  <c r="W416" i="65"/>
  <c r="V420" i="65"/>
  <c r="W420" i="65"/>
  <c r="P420" i="65"/>
  <c r="V413" i="65"/>
  <c r="Z415" i="65"/>
  <c r="W441" i="65"/>
  <c r="V445" i="65"/>
  <c r="R469" i="65"/>
  <c r="Z451" i="65"/>
  <c r="W394" i="65"/>
  <c r="X446" i="65"/>
  <c r="Z389" i="65"/>
  <c r="T438" i="65"/>
  <c r="R432" i="65"/>
  <c r="T476" i="65"/>
  <c r="AF476" i="65" s="1"/>
  <c r="AR476" i="65" s="1"/>
  <c r="X386" i="65"/>
  <c r="Z405" i="65"/>
  <c r="P427" i="65"/>
  <c r="Q465" i="65"/>
  <c r="X465" i="65"/>
  <c r="X440" i="65"/>
  <c r="S479" i="65"/>
  <c r="T479" i="65"/>
  <c r="W404" i="65"/>
  <c r="V472" i="65"/>
  <c r="W483" i="65"/>
  <c r="Y414" i="65"/>
  <c r="Z417" i="65"/>
  <c r="T469" i="65"/>
  <c r="V469" i="65"/>
  <c r="V461" i="65"/>
  <c r="V410" i="65"/>
  <c r="Y451" i="65"/>
  <c r="Z410" i="65"/>
  <c r="Y418" i="65"/>
  <c r="X414" i="65"/>
  <c r="V473" i="65"/>
  <c r="Y447" i="65"/>
  <c r="W447" i="65"/>
  <c r="X451" i="65"/>
  <c r="X480" i="65"/>
  <c r="V480" i="65"/>
  <c r="Y461" i="65"/>
  <c r="Y401" i="65"/>
  <c r="Z460" i="65"/>
  <c r="W460" i="65"/>
  <c r="V448" i="65"/>
  <c r="Z483" i="65"/>
  <c r="Z453" i="65"/>
  <c r="V483" i="65"/>
  <c r="Z444" i="65"/>
  <c r="W471" i="65"/>
  <c r="W453" i="65"/>
  <c r="X410" i="65"/>
  <c r="X412" i="65"/>
  <c r="Y471" i="65"/>
  <c r="W412" i="65"/>
  <c r="X471" i="65"/>
  <c r="W473" i="65"/>
  <c r="X461" i="65"/>
  <c r="X417" i="65"/>
  <c r="X408" i="65"/>
  <c r="Z398" i="65"/>
  <c r="Y402" i="65"/>
  <c r="W402" i="65"/>
  <c r="Z467" i="65"/>
  <c r="V412" i="65"/>
  <c r="Z473" i="65"/>
  <c r="Y457" i="65"/>
  <c r="Y444" i="65"/>
  <c r="W401" i="65"/>
  <c r="X460" i="65"/>
  <c r="Z416" i="65"/>
  <c r="Z402" i="65"/>
  <c r="W408" i="65"/>
  <c r="Y453" i="65"/>
  <c r="Y412" i="65"/>
  <c r="Y483" i="65"/>
  <c r="Y480" i="65"/>
  <c r="Z418" i="65"/>
  <c r="V418" i="65"/>
  <c r="X447" i="65"/>
  <c r="Z447" i="65"/>
  <c r="W480" i="65"/>
  <c r="W461" i="65"/>
  <c r="V398" i="65"/>
  <c r="Y398" i="65"/>
  <c r="V408" i="65"/>
  <c r="Z401" i="65"/>
  <c r="V401" i="65"/>
  <c r="Y460" i="65"/>
  <c r="X453" i="65"/>
  <c r="Z448" i="65"/>
  <c r="X406" i="65"/>
  <c r="X444" i="65"/>
  <c r="Y448" i="65"/>
  <c r="V471" i="65"/>
  <c r="V453" i="65"/>
  <c r="W410" i="65"/>
  <c r="V451" i="65"/>
  <c r="V416" i="65"/>
  <c r="X402" i="65"/>
  <c r="V447" i="65"/>
  <c r="Z480" i="65"/>
  <c r="W398" i="65"/>
  <c r="V479" i="65"/>
  <c r="V460" i="65"/>
  <c r="V402" i="65"/>
  <c r="W406" i="65"/>
  <c r="Z471" i="65"/>
  <c r="W457" i="65"/>
  <c r="W414" i="65"/>
  <c r="Y467" i="65"/>
  <c r="X401" i="65"/>
  <c r="Z414" i="65"/>
  <c r="X473" i="65"/>
  <c r="V406" i="65"/>
  <c r="X483" i="65"/>
  <c r="V457" i="65"/>
  <c r="W448" i="65"/>
  <c r="Z461" i="65"/>
  <c r="P462" i="65"/>
  <c r="P397" i="65"/>
  <c r="R397" i="65"/>
  <c r="T384" i="65"/>
  <c r="AF384" i="65" s="1"/>
  <c r="S443" i="65"/>
  <c r="R456" i="65"/>
  <c r="Q462" i="65"/>
  <c r="T482" i="65"/>
  <c r="Q452" i="65"/>
  <c r="S482" i="65"/>
  <c r="R462" i="65"/>
  <c r="S462" i="65"/>
  <c r="S452" i="65"/>
  <c r="P400" i="65"/>
  <c r="AB400" i="65" s="1"/>
  <c r="R443" i="65"/>
  <c r="S397" i="65"/>
  <c r="Q397" i="65"/>
  <c r="P452" i="65"/>
  <c r="P413" i="65"/>
  <c r="Q384" i="65"/>
  <c r="Q399" i="65"/>
  <c r="S472" i="65"/>
  <c r="T484" i="65"/>
  <c r="S456" i="65"/>
  <c r="T400" i="65"/>
  <c r="S409" i="65"/>
  <c r="S399" i="65"/>
  <c r="S384" i="65"/>
  <c r="AE384" i="65" s="1"/>
  <c r="T462" i="65"/>
  <c r="T452" i="65"/>
  <c r="R403" i="65"/>
  <c r="R409" i="65"/>
  <c r="P443" i="65"/>
  <c r="Q443" i="65"/>
  <c r="AC443" i="65" s="1"/>
  <c r="R400" i="65"/>
  <c r="P409" i="65"/>
  <c r="Q413" i="65"/>
  <c r="R482" i="65"/>
  <c r="P456" i="65"/>
  <c r="Q482" i="65"/>
  <c r="P482" i="65"/>
  <c r="S415" i="65"/>
  <c r="P384" i="65"/>
  <c r="P407" i="65"/>
  <c r="S403" i="65"/>
  <c r="R411" i="65"/>
  <c r="P395" i="65"/>
  <c r="P446" i="65"/>
  <c r="Q415" i="65"/>
  <c r="P445" i="65"/>
  <c r="Q407" i="65"/>
  <c r="Q417" i="65"/>
  <c r="Q400" i="65"/>
  <c r="P442" i="65"/>
  <c r="AB442" i="65" s="1"/>
  <c r="R484" i="65"/>
  <c r="T460" i="65"/>
  <c r="Q401" i="65"/>
  <c r="T456" i="65"/>
  <c r="AF456" i="65" s="1"/>
  <c r="R407" i="65"/>
  <c r="R472" i="65"/>
  <c r="Q481" i="65"/>
  <c r="P399" i="65"/>
  <c r="AB399" i="65" s="1"/>
  <c r="R399" i="65"/>
  <c r="AD399" i="65" s="1"/>
  <c r="P394" i="65"/>
  <c r="R408" i="65"/>
  <c r="T408" i="65"/>
  <c r="AF408" i="65" s="1"/>
  <c r="T405" i="65"/>
  <c r="R449" i="65"/>
  <c r="AD449" i="65" s="1"/>
  <c r="Q454" i="65"/>
  <c r="Q446" i="65"/>
  <c r="AC446" i="65" s="1"/>
  <c r="Q441" i="65"/>
  <c r="AC441" i="65" s="1"/>
  <c r="AO441" i="65" s="1"/>
  <c r="Q411" i="65"/>
  <c r="R481" i="65"/>
  <c r="R415" i="65"/>
  <c r="S445" i="65"/>
  <c r="S417" i="65"/>
  <c r="S449" i="65"/>
  <c r="AE449" i="65" s="1"/>
  <c r="Q403" i="65"/>
  <c r="AC403" i="65" s="1"/>
  <c r="P415" i="65"/>
  <c r="P472" i="65"/>
  <c r="R452" i="65"/>
  <c r="AD452" i="65" s="1"/>
  <c r="R417" i="65"/>
  <c r="R450" i="65"/>
  <c r="Q395" i="65"/>
  <c r="T449" i="65"/>
  <c r="P396" i="65"/>
  <c r="R384" i="65"/>
  <c r="S411" i="65"/>
  <c r="S407" i="65"/>
  <c r="R446" i="65"/>
  <c r="AD446" i="65" s="1"/>
  <c r="T445" i="65"/>
  <c r="S484" i="65"/>
  <c r="P460" i="65"/>
  <c r="T401" i="65"/>
  <c r="Q447" i="65"/>
  <c r="R405" i="65"/>
  <c r="Q450" i="65"/>
  <c r="R396" i="65"/>
  <c r="S396" i="65"/>
  <c r="S404" i="65"/>
  <c r="T467" i="65"/>
  <c r="P412" i="65"/>
  <c r="Q402" i="65"/>
  <c r="S481" i="65"/>
  <c r="P457" i="65"/>
  <c r="T404" i="65"/>
  <c r="AF404" i="65" s="1"/>
  <c r="T414" i="65"/>
  <c r="T418" i="65"/>
  <c r="R395" i="65"/>
  <c r="T416" i="65"/>
  <c r="P405" i="65"/>
  <c r="T417" i="65"/>
  <c r="AB419" i="65"/>
  <c r="S453" i="65"/>
  <c r="S450" i="65"/>
  <c r="Q472" i="65"/>
  <c r="AC472" i="65" s="1"/>
  <c r="P481" i="65"/>
  <c r="S483" i="65"/>
  <c r="R418" i="65"/>
  <c r="AD418" i="65" s="1"/>
  <c r="T409" i="65"/>
  <c r="S454" i="65"/>
  <c r="Q442" i="65"/>
  <c r="Q453" i="65"/>
  <c r="T446" i="65"/>
  <c r="T403" i="65"/>
  <c r="Q456" i="65"/>
  <c r="T481" i="65"/>
  <c r="AF419" i="65"/>
  <c r="T450" i="65"/>
  <c r="R454" i="65"/>
  <c r="AD454" i="65" s="1"/>
  <c r="S467" i="65"/>
  <c r="T412" i="65"/>
  <c r="S414" i="65"/>
  <c r="S416" i="65"/>
  <c r="T413" i="65"/>
  <c r="T415" i="65"/>
  <c r="P411" i="65"/>
  <c r="S446" i="65"/>
  <c r="S413" i="65"/>
  <c r="Q409" i="65"/>
  <c r="P484" i="65"/>
  <c r="S460" i="65"/>
  <c r="T444" i="65"/>
  <c r="P441" i="65"/>
  <c r="AB441" i="65" s="1"/>
  <c r="AH441" i="65" s="1"/>
  <c r="AN441" i="65" s="1"/>
  <c r="T406" i="65"/>
  <c r="P404" i="65"/>
  <c r="S408" i="65"/>
  <c r="R413" i="65"/>
  <c r="AD413" i="65" s="1"/>
  <c r="P448" i="65"/>
  <c r="R412" i="65"/>
  <c r="Q457" i="65"/>
  <c r="Q394" i="65"/>
  <c r="AC394" i="65" s="1"/>
  <c r="AO394" i="65" s="1"/>
  <c r="T397" i="65"/>
  <c r="S405" i="65"/>
  <c r="R404" i="65"/>
  <c r="P454" i="65"/>
  <c r="Q404" i="65"/>
  <c r="R442" i="65"/>
  <c r="P449" i="65"/>
  <c r="P403" i="65"/>
  <c r="AB403" i="65" s="1"/>
  <c r="P450" i="65"/>
  <c r="R398" i="65"/>
  <c r="R406" i="65"/>
  <c r="Q408" i="65"/>
  <c r="P408" i="65"/>
  <c r="T454" i="65"/>
  <c r="Q448" i="65"/>
  <c r="P414" i="65"/>
  <c r="AB414" i="65" s="1"/>
  <c r="Q445" i="65"/>
  <c r="T472" i="65"/>
  <c r="Q449" i="65"/>
  <c r="S400" i="65"/>
  <c r="P393" i="65"/>
  <c r="T399" i="65"/>
  <c r="Q396" i="65"/>
  <c r="P402" i="65"/>
  <c r="AB402" i="65" s="1"/>
  <c r="R457" i="65"/>
  <c r="P418" i="65"/>
  <c r="T407" i="65"/>
  <c r="P416" i="65"/>
  <c r="AB416" i="65" s="1"/>
  <c r="Q405" i="65"/>
  <c r="T411" i="65"/>
  <c r="AF411" i="65" s="1"/>
  <c r="R445" i="65"/>
  <c r="R453" i="65"/>
  <c r="AD453" i="65" s="1"/>
  <c r="Q484" i="65"/>
  <c r="AC484" i="65" s="1"/>
  <c r="P453" i="65"/>
  <c r="T447" i="65"/>
  <c r="Q410" i="65"/>
  <c r="T461" i="65"/>
  <c r="Q398" i="65"/>
  <c r="S412" i="65"/>
  <c r="P440" i="65"/>
  <c r="AB440" i="65" s="1"/>
  <c r="AN440" i="65" s="1"/>
  <c r="R401" i="65"/>
  <c r="AD401" i="65" s="1"/>
  <c r="Q406" i="65"/>
  <c r="AF455" i="65"/>
  <c r="R402" i="65"/>
  <c r="R473" i="65"/>
  <c r="P467" i="65"/>
  <c r="AB467" i="65" s="1"/>
  <c r="P406" i="65"/>
  <c r="S471" i="65"/>
  <c r="Q461" i="65"/>
  <c r="S448" i="65"/>
  <c r="AE448" i="65" s="1"/>
  <c r="R414" i="65"/>
  <c r="AD414" i="65" s="1"/>
  <c r="S473" i="65"/>
  <c r="AE473" i="65" s="1"/>
  <c r="R483" i="65"/>
  <c r="S457" i="65"/>
  <c r="S447" i="65"/>
  <c r="T480" i="65"/>
  <c r="S398" i="65"/>
  <c r="T457" i="65"/>
  <c r="T448" i="65"/>
  <c r="S401" i="65"/>
  <c r="R448" i="65"/>
  <c r="AD448" i="65" s="1"/>
  <c r="T483" i="65"/>
  <c r="T451" i="65"/>
  <c r="T453" i="65"/>
  <c r="S418" i="65"/>
  <c r="P447" i="65"/>
  <c r="P480" i="65"/>
  <c r="P471" i="65"/>
  <c r="Q471" i="65"/>
  <c r="Q467" i="65"/>
  <c r="P479" i="65"/>
  <c r="S444" i="65"/>
  <c r="AE444" i="65" s="1"/>
  <c r="T398" i="65"/>
  <c r="S480" i="65"/>
  <c r="AE480" i="65" s="1"/>
  <c r="S406" i="65"/>
  <c r="Q451" i="65"/>
  <c r="Q416" i="65"/>
  <c r="T402" i="65"/>
  <c r="T473" i="65"/>
  <c r="AF473" i="65" s="1"/>
  <c r="P451" i="65"/>
  <c r="Q412" i="65"/>
  <c r="R460" i="65"/>
  <c r="AD460" i="65" s="1"/>
  <c r="Q473" i="65"/>
  <c r="T471" i="65"/>
  <c r="P461" i="65"/>
  <c r="S402" i="65"/>
  <c r="AE402" i="65" s="1"/>
  <c r="R444" i="65"/>
  <c r="AD455" i="65"/>
  <c r="P473" i="65"/>
  <c r="T410" i="65"/>
  <c r="AF410" i="65" s="1"/>
  <c r="R451" i="65"/>
  <c r="AD451" i="65" s="1"/>
  <c r="Q418" i="65"/>
  <c r="Q414" i="65"/>
  <c r="AC414" i="65" s="1"/>
  <c r="Q460" i="65"/>
  <c r="AC460" i="65" s="1"/>
  <c r="R410" i="65"/>
  <c r="P401" i="65"/>
  <c r="R467" i="65"/>
  <c r="AD467" i="65" s="1"/>
  <c r="Q444" i="65"/>
  <c r="S461" i="65"/>
  <c r="AB455" i="65"/>
  <c r="R471" i="65"/>
  <c r="R480" i="65"/>
  <c r="S451" i="65"/>
  <c r="P410" i="65"/>
  <c r="AB410" i="65" s="1"/>
  <c r="R447" i="65"/>
  <c r="AD447" i="65" s="1"/>
  <c r="Q480" i="65"/>
  <c r="S410" i="65"/>
  <c r="P398" i="65"/>
  <c r="Q483" i="65"/>
  <c r="AC483" i="65" s="1"/>
  <c r="P417" i="65"/>
  <c r="P483" i="65"/>
  <c r="P444" i="65"/>
  <c r="AB444" i="65" s="1"/>
  <c r="R461" i="65"/>
  <c r="R416" i="65"/>
  <c r="P371" i="65"/>
  <c r="X327" i="65"/>
  <c r="T381" i="65"/>
  <c r="V333" i="65"/>
  <c r="R299" i="65"/>
  <c r="T275" i="65"/>
  <c r="X363" i="65"/>
  <c r="X299" i="65"/>
  <c r="Q299" i="65"/>
  <c r="V331" i="65"/>
  <c r="T365" i="65"/>
  <c r="W327" i="65"/>
  <c r="T327" i="65"/>
  <c r="P327" i="65"/>
  <c r="Q301" i="65"/>
  <c r="S301" i="65"/>
  <c r="T373" i="65"/>
  <c r="Z363" i="65"/>
  <c r="Q381" i="65"/>
  <c r="P381" i="65"/>
  <c r="W269" i="65"/>
  <c r="P269" i="65"/>
  <c r="T371" i="65"/>
  <c r="Y371" i="65"/>
  <c r="R371" i="65"/>
  <c r="S307" i="65"/>
  <c r="R307" i="65"/>
  <c r="R275" i="65"/>
  <c r="P333" i="65"/>
  <c r="Q371" i="65"/>
  <c r="X339" i="65"/>
  <c r="Y327" i="65"/>
  <c r="X301" i="65"/>
  <c r="T301" i="65"/>
  <c r="T299" i="65"/>
  <c r="X317" i="65"/>
  <c r="Q269" i="65"/>
  <c r="V269" i="65"/>
  <c r="R333" i="65"/>
  <c r="S371" i="65"/>
  <c r="X371" i="65"/>
  <c r="Z269" i="65"/>
  <c r="X381" i="65"/>
  <c r="V325" i="65"/>
  <c r="Y269" i="65"/>
  <c r="R269" i="65"/>
  <c r="Z371" i="65"/>
  <c r="Z307" i="65"/>
  <c r="S275" i="65"/>
  <c r="Q333" i="65"/>
  <c r="S274" i="65"/>
  <c r="S365" i="65"/>
  <c r="V327" i="65"/>
  <c r="Z301" i="65"/>
  <c r="X383" i="65"/>
  <c r="W381" i="65"/>
  <c r="Z381" i="65"/>
  <c r="S381" i="65"/>
  <c r="W371" i="65"/>
  <c r="Y307" i="65"/>
  <c r="V307" i="65"/>
  <c r="Y333" i="65"/>
  <c r="X333" i="65"/>
  <c r="V381" i="65"/>
  <c r="T363" i="65"/>
  <c r="Y299" i="65"/>
  <c r="Z333" i="65"/>
  <c r="X307" i="65"/>
  <c r="V276" i="65"/>
  <c r="S276" i="65"/>
  <c r="W363" i="65"/>
  <c r="P363" i="65"/>
  <c r="W299" i="65"/>
  <c r="P299" i="65"/>
  <c r="P331" i="65"/>
  <c r="R363" i="65"/>
  <c r="Z327" i="65"/>
  <c r="Y275" i="65"/>
  <c r="W333" i="65"/>
  <c r="Q307" i="65"/>
  <c r="Y301" i="65"/>
  <c r="W383" i="65"/>
  <c r="Y381" i="65"/>
  <c r="R327" i="65"/>
  <c r="W301" i="65"/>
  <c r="T276" i="65"/>
  <c r="X269" i="65"/>
  <c r="Z275" i="65"/>
  <c r="T307" i="65"/>
  <c r="S333" i="65"/>
  <c r="V301" i="65"/>
  <c r="S269" i="65"/>
  <c r="Z373" i="65"/>
  <c r="Z276" i="65"/>
  <c r="X276" i="65"/>
  <c r="V363" i="65"/>
  <c r="Y363" i="65"/>
  <c r="V299" i="65"/>
  <c r="Y365" i="65"/>
  <c r="Z365" i="65"/>
  <c r="S327" i="65"/>
  <c r="Q327" i="65"/>
  <c r="P301" i="65"/>
  <c r="AB301" i="65" s="1"/>
  <c r="AN301" i="65" s="1"/>
  <c r="W307" i="65"/>
  <c r="R381" i="65"/>
  <c r="T333" i="65"/>
  <c r="R301" i="65"/>
  <c r="T269" i="65"/>
  <c r="P307" i="65"/>
  <c r="AB307" i="65" s="1"/>
  <c r="AN307" i="65" s="1"/>
  <c r="X275" i="65"/>
  <c r="X373" i="65"/>
  <c r="Y276" i="65"/>
  <c r="S363" i="65"/>
  <c r="Q363" i="65"/>
  <c r="S299" i="65"/>
  <c r="Z299" i="65"/>
  <c r="T382" i="65"/>
  <c r="V371" i="65"/>
  <c r="V295" i="65"/>
  <c r="Q274" i="65"/>
  <c r="S336" i="65"/>
  <c r="X306" i="65"/>
  <c r="Z295" i="65"/>
  <c r="W359" i="65"/>
  <c r="X382" i="65"/>
  <c r="W293" i="65"/>
  <c r="Y339" i="65"/>
  <c r="Z383" i="65"/>
  <c r="W275" i="65"/>
  <c r="W285" i="65"/>
  <c r="V275" i="65"/>
  <c r="X293" i="65"/>
  <c r="Y285" i="65"/>
  <c r="V293" i="65"/>
  <c r="W306" i="65"/>
  <c r="Z325" i="65"/>
  <c r="W325" i="65"/>
  <c r="T336" i="65"/>
  <c r="Z336" i="65"/>
  <c r="Y293" i="65"/>
  <c r="X295" i="65"/>
  <c r="Y317" i="65"/>
  <c r="Y359" i="65"/>
  <c r="V336" i="65"/>
  <c r="Y295" i="65"/>
  <c r="X274" i="65"/>
  <c r="Q330" i="65"/>
  <c r="W292" i="65"/>
  <c r="P362" i="65"/>
  <c r="R362" i="65"/>
  <c r="T274" i="65"/>
  <c r="Z344" i="65"/>
  <c r="V370" i="65"/>
  <c r="R331" i="65"/>
  <c r="P382" i="65"/>
  <c r="W274" i="65"/>
  <c r="AC274" i="65" s="1"/>
  <c r="AO274" i="65" s="1"/>
  <c r="R382" i="65"/>
  <c r="AD382" i="65" s="1"/>
  <c r="AP382" i="65" s="1"/>
  <c r="R318" i="65"/>
  <c r="R370" i="65"/>
  <c r="Q382" i="65"/>
  <c r="V282" i="65"/>
  <c r="Y274" i="65"/>
  <c r="Z370" i="65"/>
  <c r="Y331" i="65"/>
  <c r="Q306" i="65"/>
  <c r="Z357" i="65"/>
  <c r="T305" i="65"/>
  <c r="V314" i="65"/>
  <c r="Q338" i="65"/>
  <c r="V354" i="65"/>
  <c r="Y357" i="65"/>
  <c r="Q305" i="65"/>
  <c r="W378" i="65"/>
  <c r="Z354" i="65"/>
  <c r="S305" i="65"/>
  <c r="Q362" i="65"/>
  <c r="W373" i="65"/>
  <c r="S370" i="65"/>
  <c r="X365" i="65"/>
  <c r="X285" i="65"/>
  <c r="V339" i="65"/>
  <c r="Y336" i="65"/>
  <c r="V285" i="65"/>
  <c r="Q336" i="65"/>
  <c r="Z359" i="65"/>
  <c r="P336" i="65"/>
  <c r="T362" i="65"/>
  <c r="Z362" i="65"/>
  <c r="T306" i="65"/>
  <c r="R330" i="65"/>
  <c r="Y318" i="65"/>
  <c r="X282" i="65"/>
  <c r="X318" i="65"/>
  <c r="W370" i="65"/>
  <c r="Z374" i="65"/>
  <c r="R336" i="65"/>
  <c r="S382" i="65"/>
  <c r="Z292" i="65"/>
  <c r="Y305" i="65"/>
  <c r="V365" i="65"/>
  <c r="X325" i="65"/>
  <c r="Y338" i="65"/>
  <c r="W336" i="65"/>
  <c r="W339" i="65"/>
  <c r="Z285" i="65"/>
  <c r="V383" i="65"/>
  <c r="Y292" i="65"/>
  <c r="P330" i="65"/>
  <c r="T331" i="65"/>
  <c r="W276" i="65"/>
  <c r="W354" i="65"/>
  <c r="Y325" i="65"/>
  <c r="V349" i="65"/>
  <c r="W349" i="65"/>
  <c r="T370" i="65"/>
  <c r="AF370" i="65" s="1"/>
  <c r="AR370" i="65" s="1"/>
  <c r="Z293" i="65"/>
  <c r="W317" i="65"/>
  <c r="Z338" i="65"/>
  <c r="W318" i="65"/>
  <c r="V359" i="65"/>
  <c r="W295" i="65"/>
  <c r="V373" i="65"/>
  <c r="Z339" i="65"/>
  <c r="Y373" i="65"/>
  <c r="V317" i="65"/>
  <c r="Y383" i="65"/>
  <c r="Z317" i="65"/>
  <c r="Z305" i="65"/>
  <c r="R338" i="65"/>
  <c r="X336" i="65"/>
  <c r="W365" i="65"/>
  <c r="X349" i="65"/>
  <c r="Z274" i="65"/>
  <c r="Z349" i="65"/>
  <c r="X359" i="65"/>
  <c r="Y349" i="65"/>
  <c r="T330" i="65"/>
  <c r="X362" i="65"/>
  <c r="T318" i="65"/>
  <c r="W282" i="65"/>
  <c r="Z318" i="65"/>
  <c r="V344" i="65"/>
  <c r="Y370" i="65"/>
  <c r="R306" i="65"/>
  <c r="X344" i="65"/>
  <c r="S306" i="65"/>
  <c r="Y382" i="65"/>
  <c r="W357" i="65"/>
  <c r="V338" i="65"/>
  <c r="X338" i="65"/>
  <c r="X354" i="65"/>
  <c r="P338" i="65"/>
  <c r="V357" i="65"/>
  <c r="X298" i="65"/>
  <c r="Z282" i="65"/>
  <c r="X292" i="65"/>
  <c r="P270" i="65"/>
  <c r="Z270" i="65"/>
  <c r="S270" i="65"/>
  <c r="Q329" i="65"/>
  <c r="X329" i="65"/>
  <c r="R329" i="65"/>
  <c r="X364" i="65"/>
  <c r="S372" i="65"/>
  <c r="X296" i="65"/>
  <c r="V308" i="65"/>
  <c r="S308" i="65"/>
  <c r="P308" i="65"/>
  <c r="Z380" i="65"/>
  <c r="P380" i="65"/>
  <c r="S380" i="65"/>
  <c r="X302" i="65"/>
  <c r="Y302" i="65"/>
  <c r="V302" i="65"/>
  <c r="X303" i="65"/>
  <c r="V303" i="65"/>
  <c r="T303" i="65"/>
  <c r="R328" i="65"/>
  <c r="Y328" i="65"/>
  <c r="V272" i="65"/>
  <c r="Y272" i="65"/>
  <c r="W272" i="65"/>
  <c r="X335" i="65"/>
  <c r="V335" i="65"/>
  <c r="W294" i="65"/>
  <c r="Z332" i="65"/>
  <c r="Y332" i="65"/>
  <c r="Q332" i="65"/>
  <c r="W334" i="65"/>
  <c r="Z334" i="65"/>
  <c r="S334" i="65"/>
  <c r="X337" i="65"/>
  <c r="R337" i="65"/>
  <c r="T337" i="65"/>
  <c r="Z326" i="65"/>
  <c r="W326" i="65"/>
  <c r="R326" i="65"/>
  <c r="Z300" i="65"/>
  <c r="Y300" i="65"/>
  <c r="T300" i="65"/>
  <c r="Z304" i="65"/>
  <c r="Q304" i="65"/>
  <c r="P304" i="65"/>
  <c r="Y271" i="65"/>
  <c r="V271" i="65"/>
  <c r="V268" i="65"/>
  <c r="X268" i="65"/>
  <c r="T268" i="65"/>
  <c r="X273" i="65"/>
  <c r="R273" i="65"/>
  <c r="P273" i="65"/>
  <c r="W308" i="65"/>
  <c r="Y321" i="65"/>
  <c r="V321" i="65"/>
  <c r="W380" i="65"/>
  <c r="W302" i="65"/>
  <c r="S303" i="65"/>
  <c r="P303" i="65"/>
  <c r="W328" i="65"/>
  <c r="S328" i="65"/>
  <c r="Y312" i="65"/>
  <c r="Q272" i="65"/>
  <c r="T272" i="65"/>
  <c r="S335" i="65"/>
  <c r="Y362" i="65"/>
  <c r="W330" i="65"/>
  <c r="W362" i="65"/>
  <c r="X331" i="65"/>
  <c r="V306" i="65"/>
  <c r="Z346" i="65"/>
  <c r="Q331" i="65"/>
  <c r="S318" i="65"/>
  <c r="Z331" i="65"/>
  <c r="Y306" i="65"/>
  <c r="Q318" i="65"/>
  <c r="AC318" i="65" s="1"/>
  <c r="AO318" i="65" s="1"/>
  <c r="Z306" i="65"/>
  <c r="W338" i="65"/>
  <c r="W305" i="65"/>
  <c r="Z277" i="65"/>
  <c r="Z314" i="65"/>
  <c r="X341" i="65"/>
  <c r="W320" i="65"/>
  <c r="T270" i="65"/>
  <c r="Q270" i="65"/>
  <c r="W329" i="65"/>
  <c r="P329" i="65"/>
  <c r="Y364" i="65"/>
  <c r="V288" i="65"/>
  <c r="W347" i="65"/>
  <c r="Y347" i="65"/>
  <c r="Z372" i="65"/>
  <c r="T372" i="65"/>
  <c r="V296" i="65"/>
  <c r="Z308" i="65"/>
  <c r="X308" i="65"/>
  <c r="V286" i="65"/>
  <c r="Q380" i="65"/>
  <c r="S302" i="65"/>
  <c r="Z272" i="65"/>
  <c r="Y330" i="65"/>
  <c r="X330" i="65"/>
  <c r="V362" i="65"/>
  <c r="S362" i="65"/>
  <c r="P370" i="65"/>
  <c r="W331" i="65"/>
  <c r="P306" i="65"/>
  <c r="P318" i="65"/>
  <c r="W346" i="65"/>
  <c r="Q370" i="65"/>
  <c r="S331" i="65"/>
  <c r="X357" i="65"/>
  <c r="T277" i="65"/>
  <c r="X305" i="65"/>
  <c r="Y314" i="65"/>
  <c r="S338" i="65"/>
  <c r="Y351" i="65"/>
  <c r="Y378" i="65"/>
  <c r="P305" i="65"/>
  <c r="X378" i="65"/>
  <c r="V305" i="65"/>
  <c r="Y346" i="65"/>
  <c r="Y344" i="65"/>
  <c r="Z330" i="65"/>
  <c r="X270" i="65"/>
  <c r="R270" i="65"/>
  <c r="Y329" i="65"/>
  <c r="Z329" i="65"/>
  <c r="Z364" i="65"/>
  <c r="S364" i="65"/>
  <c r="Z288" i="65"/>
  <c r="Y372" i="65"/>
  <c r="W372" i="65"/>
  <c r="Y308" i="65"/>
  <c r="T308" i="65"/>
  <c r="Z286" i="65"/>
  <c r="X321" i="65"/>
  <c r="R380" i="65"/>
  <c r="T380" i="65"/>
  <c r="P302" i="65"/>
  <c r="Z302" i="65"/>
  <c r="R302" i="65"/>
  <c r="V330" i="65"/>
  <c r="V292" i="65"/>
  <c r="V318" i="65"/>
  <c r="Z382" i="65"/>
  <c r="W344" i="65"/>
  <c r="W382" i="65"/>
  <c r="R274" i="65"/>
  <c r="X370" i="65"/>
  <c r="V382" i="65"/>
  <c r="Z378" i="65"/>
  <c r="V378" i="65"/>
  <c r="Y354" i="65"/>
  <c r="T338" i="65"/>
  <c r="AF338" i="65" s="1"/>
  <c r="AR338" i="65" s="1"/>
  <c r="W351" i="65"/>
  <c r="W314" i="65"/>
  <c r="R305" i="65"/>
  <c r="AD305" i="65" s="1"/>
  <c r="AP305" i="65" s="1"/>
  <c r="V351" i="65"/>
  <c r="Z298" i="65"/>
  <c r="Y282" i="65"/>
  <c r="S330" i="65"/>
  <c r="X284" i="65"/>
  <c r="Y284" i="65"/>
  <c r="Y320" i="65"/>
  <c r="W270" i="65"/>
  <c r="Y270" i="65"/>
  <c r="V270" i="65"/>
  <c r="V329" i="65"/>
  <c r="T329" i="65"/>
  <c r="S329" i="65"/>
  <c r="AE329" i="65" s="1"/>
  <c r="AQ329" i="65" s="1"/>
  <c r="R364" i="65"/>
  <c r="AD364" i="65" s="1"/>
  <c r="T364" i="65"/>
  <c r="X288" i="65"/>
  <c r="R372" i="65"/>
  <c r="X372" i="65"/>
  <c r="W296" i="65"/>
  <c r="R308" i="65"/>
  <c r="Q308" i="65"/>
  <c r="X286" i="65"/>
  <c r="Y286" i="65"/>
  <c r="W345" i="65"/>
  <c r="V380" i="65"/>
  <c r="X380" i="65"/>
  <c r="Y303" i="65"/>
  <c r="X328" i="65"/>
  <c r="R272" i="65"/>
  <c r="P335" i="65"/>
  <c r="V294" i="65"/>
  <c r="R332" i="65"/>
  <c r="S332" i="65"/>
  <c r="P334" i="65"/>
  <c r="V334" i="65"/>
  <c r="Y337" i="65"/>
  <c r="W337" i="65"/>
  <c r="V326" i="65"/>
  <c r="R300" i="65"/>
  <c r="S300" i="65"/>
  <c r="Y304" i="65"/>
  <c r="W342" i="65"/>
  <c r="X271" i="65"/>
  <c r="T271" i="65"/>
  <c r="W268" i="65"/>
  <c r="P268" i="65"/>
  <c r="Q273" i="65"/>
  <c r="P337" i="65"/>
  <c r="S326" i="65"/>
  <c r="V304" i="65"/>
  <c r="S304" i="65"/>
  <c r="V352" i="65"/>
  <c r="P271" i="65"/>
  <c r="R268" i="65"/>
  <c r="AD268" i="65" s="1"/>
  <c r="AP268" i="65" s="1"/>
  <c r="Z273" i="65"/>
  <c r="X304" i="65"/>
  <c r="S268" i="65"/>
  <c r="V367" i="65"/>
  <c r="W271" i="65"/>
  <c r="R271" i="65"/>
  <c r="Z268" i="65"/>
  <c r="Y273" i="65"/>
  <c r="Y380" i="65"/>
  <c r="T302" i="65"/>
  <c r="Q303" i="65"/>
  <c r="V340" i="65"/>
  <c r="T328" i="65"/>
  <c r="Z312" i="65"/>
  <c r="P272" i="65"/>
  <c r="W335" i="65"/>
  <c r="Z335" i="65"/>
  <c r="X332" i="65"/>
  <c r="T334" i="65"/>
  <c r="AF334" i="65" s="1"/>
  <c r="AR334" i="65" s="1"/>
  <c r="R334" i="65"/>
  <c r="Q337" i="65"/>
  <c r="X326" i="65"/>
  <c r="X300" i="65"/>
  <c r="S271" i="65"/>
  <c r="Q268" i="65"/>
  <c r="W273" i="65"/>
  <c r="W367" i="65"/>
  <c r="S273" i="65"/>
  <c r="AE273" i="65" s="1"/>
  <c r="AQ273" i="65" s="1"/>
  <c r="Z271" i="65"/>
  <c r="Y268" i="65"/>
  <c r="W303" i="65"/>
  <c r="R303" i="65"/>
  <c r="AD303" i="65" s="1"/>
  <c r="AP303" i="65" s="1"/>
  <c r="Z340" i="65"/>
  <c r="V328" i="65"/>
  <c r="Q328" i="65"/>
  <c r="S272" i="65"/>
  <c r="V366" i="65"/>
  <c r="Y335" i="65"/>
  <c r="T335" i="65"/>
  <c r="Y369" i="65"/>
  <c r="Y323" i="65"/>
  <c r="Z278" i="65"/>
  <c r="X294" i="65"/>
  <c r="Y294" i="65"/>
  <c r="V332" i="65"/>
  <c r="P332" i="65"/>
  <c r="Y334" i="65"/>
  <c r="Z337" i="65"/>
  <c r="S337" i="65"/>
  <c r="P326" i="65"/>
  <c r="Q326" i="65"/>
  <c r="V300" i="65"/>
  <c r="P300" i="65"/>
  <c r="T304" i="65"/>
  <c r="AF304" i="65" s="1"/>
  <c r="AR304" i="65" s="1"/>
  <c r="Q271" i="65"/>
  <c r="V273" i="65"/>
  <c r="T273" i="65"/>
  <c r="AF273" i="65" s="1"/>
  <c r="AR273" i="65" s="1"/>
  <c r="Q302" i="65"/>
  <c r="Z303" i="65"/>
  <c r="W340" i="65"/>
  <c r="Z328" i="65"/>
  <c r="P328" i="65"/>
  <c r="AB328" i="65" s="1"/>
  <c r="AN328" i="65" s="1"/>
  <c r="X272" i="65"/>
  <c r="Q335" i="65"/>
  <c r="AC335" i="65" s="1"/>
  <c r="AO335" i="65" s="1"/>
  <c r="R335" i="65"/>
  <c r="Z369" i="65"/>
  <c r="V311" i="65"/>
  <c r="Z279" i="65"/>
  <c r="W332" i="65"/>
  <c r="T332" i="65"/>
  <c r="X334" i="65"/>
  <c r="Q334" i="65"/>
  <c r="V337" i="65"/>
  <c r="T326" i="65"/>
  <c r="Y326" i="65"/>
  <c r="W300" i="65"/>
  <c r="Q300" i="65"/>
  <c r="W358" i="65"/>
  <c r="R304" i="65"/>
  <c r="W304" i="65"/>
  <c r="Y281" i="65"/>
  <c r="Z324" i="65"/>
  <c r="V313" i="65"/>
  <c r="X348" i="65"/>
  <c r="Y313" i="65"/>
  <c r="W284" i="65"/>
  <c r="V347" i="65"/>
  <c r="W343" i="65"/>
  <c r="Z284" i="65"/>
  <c r="V323" i="65"/>
  <c r="V283" i="65"/>
  <c r="Y296" i="65"/>
  <c r="V284" i="65"/>
  <c r="V287" i="65"/>
  <c r="X353" i="65"/>
  <c r="Y366" i="65"/>
  <c r="W374" i="65"/>
  <c r="V342" i="65"/>
  <c r="X366" i="65"/>
  <c r="W361" i="65"/>
  <c r="V353" i="65"/>
  <c r="Z342" i="65"/>
  <c r="Z311" i="65"/>
  <c r="W283" i="65"/>
  <c r="Z320" i="65"/>
  <c r="X342" i="65"/>
  <c r="W297" i="65"/>
  <c r="Z289" i="65"/>
  <c r="X313" i="65"/>
  <c r="X322" i="65"/>
  <c r="X312" i="65"/>
  <c r="W360" i="65"/>
  <c r="Y291" i="65"/>
  <c r="X291" i="65"/>
  <c r="Z309" i="65"/>
  <c r="X377" i="65"/>
  <c r="V377" i="65"/>
  <c r="Z281" i="65"/>
  <c r="V375" i="65"/>
  <c r="X278" i="65"/>
  <c r="Y348" i="65"/>
  <c r="Y316" i="65"/>
  <c r="Y360" i="65"/>
  <c r="Y279" i="65"/>
  <c r="X277" i="65"/>
  <c r="W368" i="65"/>
  <c r="Y358" i="65"/>
  <c r="X368" i="65"/>
  <c r="V298" i="65"/>
  <c r="Z310" i="65"/>
  <c r="V341" i="65"/>
  <c r="V356" i="65"/>
  <c r="V312" i="65"/>
  <c r="W310" i="65"/>
  <c r="W364" i="65"/>
  <c r="Y310" i="65"/>
  <c r="X319" i="65"/>
  <c r="Y298" i="65"/>
  <c r="W287" i="65"/>
  <c r="Y319" i="65"/>
  <c r="Y289" i="65"/>
  <c r="X351" i="65"/>
  <c r="Y311" i="65"/>
  <c r="W321" i="65"/>
  <c r="W356" i="65"/>
  <c r="Y374" i="65"/>
  <c r="V360" i="65"/>
  <c r="W375" i="65"/>
  <c r="W352" i="65"/>
  <c r="Y343" i="65"/>
  <c r="V364" i="65"/>
  <c r="X315" i="65"/>
  <c r="W323" i="65"/>
  <c r="Y340" i="65"/>
  <c r="V310" i="65"/>
  <c r="X355" i="65"/>
  <c r="Y290" i="65"/>
  <c r="Z375" i="65"/>
  <c r="Y350" i="65"/>
  <c r="Z296" i="65"/>
  <c r="Z355" i="65"/>
  <c r="Z358" i="65"/>
  <c r="X358" i="65"/>
  <c r="Z313" i="65"/>
  <c r="Y361" i="65"/>
  <c r="X290" i="65"/>
  <c r="Y288" i="65"/>
  <c r="Z290" i="65"/>
  <c r="W369" i="65"/>
  <c r="Y309" i="65"/>
  <c r="V291" i="65"/>
  <c r="Z348" i="65"/>
  <c r="W316" i="65"/>
  <c r="W309" i="65"/>
  <c r="X360" i="65"/>
  <c r="V277" i="65"/>
  <c r="W324" i="65"/>
  <c r="V324" i="65"/>
  <c r="Y377" i="65"/>
  <c r="X297" i="65"/>
  <c r="Z350" i="65"/>
  <c r="X347" i="65"/>
  <c r="W279" i="65"/>
  <c r="X369" i="65"/>
  <c r="X367" i="65"/>
  <c r="Z367" i="65"/>
  <c r="Y352" i="65"/>
  <c r="Y342" i="65"/>
  <c r="Y324" i="65"/>
  <c r="X320" i="65"/>
  <c r="V322" i="65"/>
  <c r="X361" i="65"/>
  <c r="V320" i="65"/>
  <c r="Z294" i="65"/>
  <c r="X345" i="65"/>
  <c r="W286" i="65"/>
  <c r="Z347" i="65"/>
  <c r="W298" i="65"/>
  <c r="W290" i="65"/>
  <c r="W348" i="65"/>
  <c r="Z283" i="65"/>
  <c r="W366" i="65"/>
  <c r="V290" i="65"/>
  <c r="X311" i="65"/>
  <c r="X283" i="65"/>
  <c r="V372" i="65"/>
  <c r="W315" i="65"/>
  <c r="V361" i="65"/>
  <c r="X350" i="65"/>
  <c r="Y353" i="65"/>
  <c r="Y297" i="65"/>
  <c r="Y322" i="65"/>
  <c r="Z291" i="65"/>
  <c r="V309" i="65"/>
  <c r="Z352" i="65"/>
  <c r="Z377" i="65"/>
  <c r="Y278" i="65"/>
  <c r="X316" i="65"/>
  <c r="V279" i="65"/>
  <c r="W355" i="65"/>
  <c r="V316" i="65"/>
  <c r="Z366" i="65"/>
  <c r="Y367" i="65"/>
  <c r="V348" i="65"/>
  <c r="V369" i="65"/>
  <c r="Y376" i="65"/>
  <c r="V274" i="65"/>
  <c r="W312" i="65"/>
  <c r="V376" i="65"/>
  <c r="Y280" i="65"/>
  <c r="X314" i="65"/>
  <c r="Z322" i="65"/>
  <c r="V346" i="65"/>
  <c r="Z353" i="65"/>
  <c r="Y283" i="65"/>
  <c r="V355" i="65"/>
  <c r="V281" i="65"/>
  <c r="X376" i="65"/>
  <c r="X323" i="65"/>
  <c r="W350" i="65"/>
  <c r="W288" i="65"/>
  <c r="Y355" i="65"/>
  <c r="W311" i="65"/>
  <c r="Z376" i="65"/>
  <c r="V297" i="65"/>
  <c r="W353" i="65"/>
  <c r="W313" i="65"/>
  <c r="W291" i="65"/>
  <c r="X309" i="65"/>
  <c r="X352" i="65"/>
  <c r="Y375" i="65"/>
  <c r="V278" i="65"/>
  <c r="W278" i="65"/>
  <c r="Z316" i="65"/>
  <c r="X279" i="65"/>
  <c r="W277" i="65"/>
  <c r="Y277" i="65"/>
  <c r="X324" i="65"/>
  <c r="V315" i="65"/>
  <c r="Z315" i="65"/>
  <c r="Y287" i="65"/>
  <c r="X356" i="65"/>
  <c r="W322" i="65"/>
  <c r="V374" i="65"/>
  <c r="Z351" i="65"/>
  <c r="Z345" i="65"/>
  <c r="V289" i="65"/>
  <c r="W280" i="65"/>
  <c r="Z368" i="65"/>
  <c r="V358" i="65"/>
  <c r="W281" i="65"/>
  <c r="Y315" i="65"/>
  <c r="W376" i="65"/>
  <c r="W289" i="65"/>
  <c r="V345" i="65"/>
  <c r="X346" i="65"/>
  <c r="Y341" i="65"/>
  <c r="Z280" i="65"/>
  <c r="X310" i="65"/>
  <c r="W319" i="65"/>
  <c r="Z356" i="65"/>
  <c r="W341" i="65"/>
  <c r="Y368" i="65"/>
  <c r="X375" i="65"/>
  <c r="W377" i="65"/>
  <c r="Z323" i="65"/>
  <c r="Z321" i="65"/>
  <c r="X289" i="65"/>
  <c r="Z341" i="65"/>
  <c r="X287" i="65"/>
  <c r="Z343" i="65"/>
  <c r="X343" i="65"/>
  <c r="Z287" i="65"/>
  <c r="Z297" i="65"/>
  <c r="X340" i="65"/>
  <c r="X281" i="65"/>
  <c r="Z360" i="65"/>
  <c r="V368" i="65"/>
  <c r="Z361" i="65"/>
  <c r="V319" i="65"/>
  <c r="Y356" i="65"/>
  <c r="Y345" i="65"/>
  <c r="V350" i="65"/>
  <c r="Z319" i="65"/>
  <c r="V343" i="65"/>
  <c r="X280" i="65"/>
  <c r="V280" i="65"/>
  <c r="X374" i="65"/>
  <c r="R276" i="65"/>
  <c r="P383" i="65"/>
  <c r="S325" i="65"/>
  <c r="S349" i="65"/>
  <c r="S285" i="65"/>
  <c r="T339" i="65"/>
  <c r="P276" i="65"/>
  <c r="S293" i="65"/>
  <c r="Q293" i="65"/>
  <c r="R285" i="65"/>
  <c r="R339" i="65"/>
  <c r="Q383" i="65"/>
  <c r="S292" i="65"/>
  <c r="P359" i="65"/>
  <c r="R354" i="65"/>
  <c r="P293" i="65"/>
  <c r="P282" i="65"/>
  <c r="Q378" i="65"/>
  <c r="Q319" i="65"/>
  <c r="Q373" i="65"/>
  <c r="S373" i="65"/>
  <c r="S295" i="65"/>
  <c r="R349" i="65"/>
  <c r="P285" i="65"/>
  <c r="T282" i="65"/>
  <c r="Q285" i="65"/>
  <c r="T293" i="65"/>
  <c r="S317" i="65"/>
  <c r="S339" i="65"/>
  <c r="R325" i="65"/>
  <c r="Q317" i="65"/>
  <c r="P325" i="65"/>
  <c r="T325" i="65"/>
  <c r="Q359" i="65"/>
  <c r="R365" i="65"/>
  <c r="Q354" i="65"/>
  <c r="T359" i="65"/>
  <c r="P378" i="65"/>
  <c r="T349" i="65"/>
  <c r="P275" i="65"/>
  <c r="P339" i="65"/>
  <c r="Q276" i="65"/>
  <c r="P365" i="65"/>
  <c r="P373" i="65"/>
  <c r="T383" i="65"/>
  <c r="Q344" i="65"/>
  <c r="R295" i="65"/>
  <c r="P317" i="65"/>
  <c r="T285" i="65"/>
  <c r="S359" i="65"/>
  <c r="Q339" i="65"/>
  <c r="Q325" i="65"/>
  <c r="Q295" i="65"/>
  <c r="Q349" i="65"/>
  <c r="P357" i="65"/>
  <c r="Q314" i="65"/>
  <c r="P351" i="65"/>
  <c r="Q365" i="65"/>
  <c r="S383" i="65"/>
  <c r="R373" i="65"/>
  <c r="R383" i="65"/>
  <c r="Q275" i="65"/>
  <c r="R314" i="65"/>
  <c r="P353" i="65"/>
  <c r="T317" i="65"/>
  <c r="R344" i="65"/>
  <c r="S354" i="65"/>
  <c r="P349" i="65"/>
  <c r="R317" i="65"/>
  <c r="P295" i="65"/>
  <c r="R293" i="65"/>
  <c r="R359" i="65"/>
  <c r="T295" i="65"/>
  <c r="S314" i="65"/>
  <c r="T354" i="65"/>
  <c r="P354" i="65"/>
  <c r="R292" i="65"/>
  <c r="S357" i="65"/>
  <c r="S378" i="65"/>
  <c r="S351" i="65"/>
  <c r="Q346" i="65"/>
  <c r="R282" i="65"/>
  <c r="T341" i="65"/>
  <c r="P288" i="65"/>
  <c r="R321" i="65"/>
  <c r="Q294" i="65"/>
  <c r="S361" i="65"/>
  <c r="P286" i="65"/>
  <c r="R357" i="65"/>
  <c r="Q357" i="65"/>
  <c r="P314" i="65"/>
  <c r="Q310" i="65"/>
  <c r="R378" i="65"/>
  <c r="R346" i="65"/>
  <c r="S282" i="65"/>
  <c r="P344" i="65"/>
  <c r="T292" i="65"/>
  <c r="R347" i="65"/>
  <c r="P296" i="65"/>
  <c r="S340" i="65"/>
  <c r="T344" i="65"/>
  <c r="S344" i="65"/>
  <c r="S289" i="65"/>
  <c r="S319" i="65"/>
  <c r="T314" i="65"/>
  <c r="Q282" i="65"/>
  <c r="P341" i="65"/>
  <c r="R296" i="65"/>
  <c r="Q296" i="65"/>
  <c r="T286" i="65"/>
  <c r="P292" i="65"/>
  <c r="Q289" i="65"/>
  <c r="T357" i="65"/>
  <c r="T378" i="65"/>
  <c r="T351" i="65"/>
  <c r="S346" i="65"/>
  <c r="Q292" i="65"/>
  <c r="S320" i="65"/>
  <c r="S347" i="65"/>
  <c r="Q347" i="65"/>
  <c r="T347" i="65"/>
  <c r="S296" i="65"/>
  <c r="T361" i="65"/>
  <c r="Q321" i="65"/>
  <c r="Q340" i="65"/>
  <c r="R311" i="65"/>
  <c r="R323" i="65"/>
  <c r="T352" i="65"/>
  <c r="Q342" i="65"/>
  <c r="P348" i="65"/>
  <c r="Q367" i="65"/>
  <c r="R352" i="65"/>
  <c r="S367" i="65"/>
  <c r="S369" i="65"/>
  <c r="P311" i="65"/>
  <c r="S294" i="65"/>
  <c r="T342" i="65"/>
  <c r="S342" i="65"/>
  <c r="R367" i="65"/>
  <c r="R312" i="65"/>
  <c r="S316" i="65"/>
  <c r="P358" i="65"/>
  <c r="Q352" i="65"/>
  <c r="S323" i="65"/>
  <c r="R278" i="65"/>
  <c r="T294" i="65"/>
  <c r="R294" i="65"/>
  <c r="R342" i="65"/>
  <c r="S350" i="65"/>
  <c r="Q355" i="65"/>
  <c r="S358" i="65"/>
  <c r="P278" i="65"/>
  <c r="R366" i="65"/>
  <c r="T367" i="65"/>
  <c r="P355" i="65"/>
  <c r="S279" i="65"/>
  <c r="T345" i="65"/>
  <c r="P361" i="65"/>
  <c r="P346" i="65"/>
  <c r="P283" i="65"/>
  <c r="S321" i="65"/>
  <c r="T320" i="65"/>
  <c r="T289" i="65"/>
  <c r="P374" i="65"/>
  <c r="S353" i="65"/>
  <c r="T353" i="65"/>
  <c r="Q281" i="65"/>
  <c r="R320" i="65"/>
  <c r="S286" i="65"/>
  <c r="P274" i="65"/>
  <c r="Q323" i="65"/>
  <c r="Q353" i="65"/>
  <c r="R309" i="65"/>
  <c r="P352" i="65"/>
  <c r="S360" i="65"/>
  <c r="S278" i="65"/>
  <c r="Q277" i="65"/>
  <c r="S324" i="65"/>
  <c r="T324" i="65"/>
  <c r="T360" i="65"/>
  <c r="S348" i="65"/>
  <c r="S315" i="65"/>
  <c r="S311" i="65"/>
  <c r="T350" i="65"/>
  <c r="Q345" i="65"/>
  <c r="T296" i="65"/>
  <c r="S341" i="65"/>
  <c r="R341" i="65"/>
  <c r="S366" i="65"/>
  <c r="R283" i="65"/>
  <c r="P321" i="65"/>
  <c r="R298" i="65"/>
  <c r="T321" i="65"/>
  <c r="P343" i="65"/>
  <c r="R350" i="65"/>
  <c r="S343" i="65"/>
  <c r="S368" i="65"/>
  <c r="P324" i="65"/>
  <c r="Q313" i="65"/>
  <c r="Q361" i="65"/>
  <c r="R279" i="65"/>
  <c r="T279" i="65"/>
  <c r="R369" i="65"/>
  <c r="P342" i="65"/>
  <c r="P377" i="65"/>
  <c r="P350" i="65"/>
  <c r="R277" i="65"/>
  <c r="R286" i="65"/>
  <c r="P320" i="65"/>
  <c r="P340" i="65"/>
  <c r="Q286" i="65"/>
  <c r="Q372" i="65"/>
  <c r="Q320" i="65"/>
  <c r="R351" i="65"/>
  <c r="Q290" i="65"/>
  <c r="P290" i="65"/>
  <c r="T366" i="65"/>
  <c r="P375" i="65"/>
  <c r="T358" i="65"/>
  <c r="Q322" i="65"/>
  <c r="T297" i="65"/>
  <c r="R376" i="65"/>
  <c r="Q298" i="65"/>
  <c r="R322" i="65"/>
  <c r="T322" i="65"/>
  <c r="R288" i="65"/>
  <c r="Q291" i="65"/>
  <c r="S291" i="65"/>
  <c r="T291" i="65"/>
  <c r="P309" i="65"/>
  <c r="R348" i="65"/>
  <c r="T377" i="65"/>
  <c r="S281" i="65"/>
  <c r="Q278" i="65"/>
  <c r="P281" i="65"/>
  <c r="Q316" i="65"/>
  <c r="Q279" i="65"/>
  <c r="P277" i="65"/>
  <c r="R360" i="65"/>
  <c r="S377" i="65"/>
  <c r="T284" i="65"/>
  <c r="R356" i="65"/>
  <c r="T287" i="65"/>
  <c r="T311" i="65"/>
  <c r="Q284" i="65"/>
  <c r="R374" i="65"/>
  <c r="Q375" i="65"/>
  <c r="T374" i="65"/>
  <c r="S375" i="65"/>
  <c r="R355" i="65"/>
  <c r="R319" i="65"/>
  <c r="R297" i="65"/>
  <c r="P294" i="65"/>
  <c r="S313" i="65"/>
  <c r="S374" i="65"/>
  <c r="T323" i="65"/>
  <c r="P372" i="65"/>
  <c r="R289" i="65"/>
  <c r="P322" i="65"/>
  <c r="S352" i="65"/>
  <c r="P360" i="65"/>
  <c r="P291" i="65"/>
  <c r="S309" i="65"/>
  <c r="T309" i="65"/>
  <c r="R375" i="65"/>
  <c r="R316" i="65"/>
  <c r="T278" i="65"/>
  <c r="T348" i="65"/>
  <c r="T316" i="65"/>
  <c r="P368" i="65"/>
  <c r="Q377" i="65"/>
  <c r="T313" i="65"/>
  <c r="Q350" i="65"/>
  <c r="Q358" i="65"/>
  <c r="P367" i="65"/>
  <c r="P347" i="65"/>
  <c r="R284" i="65"/>
  <c r="T376" i="65"/>
  <c r="S284" i="65"/>
  <c r="S280" i="65"/>
  <c r="P312" i="65"/>
  <c r="R368" i="65"/>
  <c r="R361" i="65"/>
  <c r="S288" i="65"/>
  <c r="P284" i="65"/>
  <c r="T319" i="65"/>
  <c r="S287" i="65"/>
  <c r="T355" i="65"/>
  <c r="Q374" i="65"/>
  <c r="P297" i="65"/>
  <c r="Q364" i="65"/>
  <c r="S298" i="65"/>
  <c r="R353" i="65"/>
  <c r="S355" i="65"/>
  <c r="T288" i="65"/>
  <c r="Q280" i="65"/>
  <c r="P279" i="65"/>
  <c r="Q360" i="65"/>
  <c r="R291" i="65"/>
  <c r="Q309" i="65"/>
  <c r="R377" i="65"/>
  <c r="R281" i="65"/>
  <c r="Q348" i="65"/>
  <c r="P316" i="65"/>
  <c r="T368" i="65"/>
  <c r="R358" i="65"/>
  <c r="T315" i="65"/>
  <c r="Q297" i="65"/>
  <c r="R340" i="65"/>
  <c r="Q288" i="65"/>
  <c r="Q315" i="65"/>
  <c r="T346" i="65"/>
  <c r="T310" i="65"/>
  <c r="T356" i="65"/>
  <c r="P369" i="65"/>
  <c r="Q312" i="65"/>
  <c r="AC312" i="65" s="1"/>
  <c r="S310" i="65"/>
  <c r="R315" i="65"/>
  <c r="R280" i="65"/>
  <c r="Q366" i="65"/>
  <c r="P323" i="65"/>
  <c r="S312" i="65"/>
  <c r="R310" i="65"/>
  <c r="AD310" i="65" s="1"/>
  <c r="T280" i="65"/>
  <c r="T340" i="65"/>
  <c r="AF340" i="65" s="1"/>
  <c r="S322" i="65"/>
  <c r="R290" i="65"/>
  <c r="P376" i="65"/>
  <c r="T369" i="65"/>
  <c r="Q283" i="65"/>
  <c r="P287" i="65"/>
  <c r="S277" i="65"/>
  <c r="Q324" i="65"/>
  <c r="P366" i="65"/>
  <c r="P364" i="65"/>
  <c r="Q341" i="65"/>
  <c r="Q287" i="65"/>
  <c r="P315" i="65"/>
  <c r="T283" i="65"/>
  <c r="S297" i="65"/>
  <c r="P310" i="65"/>
  <c r="T375" i="65"/>
  <c r="T281" i="65"/>
  <c r="T312" i="65"/>
  <c r="Q356" i="65"/>
  <c r="S290" i="65"/>
  <c r="Q343" i="65"/>
  <c r="T290" i="65"/>
  <c r="P345" i="65"/>
  <c r="T298" i="65"/>
  <c r="Q351" i="65"/>
  <c r="R313" i="65"/>
  <c r="S345" i="65"/>
  <c r="P319" i="65"/>
  <c r="P289" i="65"/>
  <c r="S376" i="65"/>
  <c r="P298" i="65"/>
  <c r="AB298" i="65" s="1"/>
  <c r="S356" i="65"/>
  <c r="R324" i="65"/>
  <c r="Q368" i="65"/>
  <c r="Q369" i="65"/>
  <c r="S283" i="65"/>
  <c r="P356" i="65"/>
  <c r="R287" i="65"/>
  <c r="T343" i="65"/>
  <c r="R345" i="65"/>
  <c r="Q311" i="65"/>
  <c r="Q376" i="65"/>
  <c r="R343" i="65"/>
  <c r="P280" i="65"/>
  <c r="P313" i="65"/>
  <c r="AF379" i="65"/>
  <c r="B481" i="40"/>
  <c r="B200" i="65"/>
  <c r="R192" i="65"/>
  <c r="P192" i="65"/>
  <c r="Q212" i="65"/>
  <c r="S165" i="65"/>
  <c r="P217" i="65"/>
  <c r="R217" i="65"/>
  <c r="Q156" i="65"/>
  <c r="P156" i="65"/>
  <c r="S168" i="65"/>
  <c r="Q188" i="65"/>
  <c r="P188" i="65"/>
  <c r="T228" i="65"/>
  <c r="P228" i="65"/>
  <c r="P153" i="65"/>
  <c r="Q153" i="65"/>
  <c r="T209" i="65"/>
  <c r="S209" i="65"/>
  <c r="R160" i="65"/>
  <c r="P154" i="65"/>
  <c r="Q158" i="65"/>
  <c r="Q192" i="65"/>
  <c r="S212" i="65"/>
  <c r="T165" i="65"/>
  <c r="R156" i="65"/>
  <c r="P208" i="65"/>
  <c r="Q228" i="65"/>
  <c r="T158" i="65"/>
  <c r="Q250" i="65"/>
  <c r="T192" i="65"/>
  <c r="P212" i="65"/>
  <c r="S232" i="65"/>
  <c r="Q232" i="65"/>
  <c r="T256" i="65"/>
  <c r="R165" i="65"/>
  <c r="T217" i="65"/>
  <c r="T233" i="65"/>
  <c r="Q253" i="65"/>
  <c r="S156" i="65"/>
  <c r="T168" i="65"/>
  <c r="R228" i="65"/>
  <c r="S228" i="65"/>
  <c r="R236" i="65"/>
  <c r="P209" i="65"/>
  <c r="P237" i="65"/>
  <c r="P241" i="65"/>
  <c r="T160" i="65"/>
  <c r="Q160" i="65"/>
  <c r="R154" i="65"/>
  <c r="T212" i="65"/>
  <c r="R256" i="65"/>
  <c r="P253" i="65"/>
  <c r="R158" i="65"/>
  <c r="S214" i="65"/>
  <c r="R250" i="65"/>
  <c r="S250" i="65"/>
  <c r="T254" i="65"/>
  <c r="R258" i="65"/>
  <c r="S258" i="65"/>
  <c r="R163" i="65"/>
  <c r="S231" i="65"/>
  <c r="R235" i="65"/>
  <c r="P229" i="65"/>
  <c r="R195" i="65"/>
  <c r="S161" i="65"/>
  <c r="Q194" i="65"/>
  <c r="S230" i="65"/>
  <c r="S195" i="65"/>
  <c r="Q241" i="65"/>
  <c r="R210" i="65"/>
  <c r="R218" i="65"/>
  <c r="T242" i="65"/>
  <c r="P250" i="65"/>
  <c r="Q254" i="65"/>
  <c r="T251" i="65"/>
  <c r="T240" i="65"/>
  <c r="T161" i="65"/>
  <c r="S193" i="65"/>
  <c r="R152" i="65"/>
  <c r="R212" i="65"/>
  <c r="T232" i="65"/>
  <c r="P165" i="65"/>
  <c r="S253" i="65"/>
  <c r="T156" i="65"/>
  <c r="P168" i="65"/>
  <c r="T237" i="65"/>
  <c r="S210" i="65"/>
  <c r="T214" i="65"/>
  <c r="S242" i="65"/>
  <c r="T250" i="65"/>
  <c r="P254" i="65"/>
  <c r="S254" i="65"/>
  <c r="P258" i="65"/>
  <c r="Q151" i="65"/>
  <c r="Q155" i="65"/>
  <c r="Q163" i="65"/>
  <c r="S163" i="65"/>
  <c r="R167" i="65"/>
  <c r="T167" i="65"/>
  <c r="T211" i="65"/>
  <c r="Q235" i="65"/>
  <c r="S235" i="65"/>
  <c r="R239" i="65"/>
  <c r="P243" i="65"/>
  <c r="Q243" i="65"/>
  <c r="R259" i="65"/>
  <c r="T229" i="65"/>
  <c r="T238" i="65"/>
  <c r="T195" i="65"/>
  <c r="Q195" i="65"/>
  <c r="R164" i="65"/>
  <c r="S192" i="65"/>
  <c r="S157" i="65"/>
  <c r="Q217" i="65"/>
  <c r="P158" i="65"/>
  <c r="P214" i="65"/>
  <c r="T218" i="65"/>
  <c r="T234" i="65"/>
  <c r="Q258" i="65"/>
  <c r="T155" i="65"/>
  <c r="P167" i="65"/>
  <c r="Q211" i="65"/>
  <c r="R219" i="65"/>
  <c r="Q231" i="65"/>
  <c r="T235" i="65"/>
  <c r="T239" i="65"/>
  <c r="R243" i="65"/>
  <c r="S243" i="65"/>
  <c r="P251" i="65"/>
  <c r="T255" i="65"/>
  <c r="P240" i="65"/>
  <c r="T193" i="65"/>
  <c r="R157" i="65"/>
  <c r="Q168" i="65"/>
  <c r="S236" i="65"/>
  <c r="Q248" i="65"/>
  <c r="R153" i="65"/>
  <c r="R209" i="65"/>
  <c r="R241" i="65"/>
  <c r="S158" i="65"/>
  <c r="Q214" i="65"/>
  <c r="Q234" i="65"/>
  <c r="P234" i="65"/>
  <c r="P242" i="65"/>
  <c r="R254" i="65"/>
  <c r="T258" i="65"/>
  <c r="R155" i="65"/>
  <c r="P163" i="65"/>
  <c r="Q167" i="65"/>
  <c r="R211" i="65"/>
  <c r="R227" i="65"/>
  <c r="P227" i="65"/>
  <c r="R231" i="65"/>
  <c r="P231" i="65"/>
  <c r="T231" i="65"/>
  <c r="P235" i="65"/>
  <c r="S239" i="65"/>
  <c r="P239" i="65"/>
  <c r="T243" i="65"/>
  <c r="Q251" i="65"/>
  <c r="T259" i="65"/>
  <c r="P259" i="65"/>
  <c r="R220" i="65"/>
  <c r="R240" i="65"/>
  <c r="S240" i="65"/>
  <c r="R229" i="65"/>
  <c r="T249" i="65"/>
  <c r="R230" i="65"/>
  <c r="R238" i="65"/>
  <c r="Q154" i="65"/>
  <c r="T163" i="65"/>
  <c r="S211" i="65"/>
  <c r="S227" i="65"/>
  <c r="S247" i="65"/>
  <c r="R251" i="65"/>
  <c r="S255" i="65"/>
  <c r="T220" i="65"/>
  <c r="P161" i="65"/>
  <c r="R193" i="65"/>
  <c r="Q249" i="65"/>
  <c r="P194" i="65"/>
  <c r="Q191" i="65"/>
  <c r="P195" i="65"/>
  <c r="Q238" i="65"/>
  <c r="S249" i="65"/>
  <c r="S166" i="65"/>
  <c r="T159" i="65"/>
  <c r="S238" i="65"/>
  <c r="P191" i="65"/>
  <c r="T215" i="65"/>
  <c r="T166" i="65"/>
  <c r="S215" i="65"/>
  <c r="Q229" i="65"/>
  <c r="P230" i="65"/>
  <c r="S159" i="65"/>
  <c r="R255" i="65"/>
  <c r="P162" i="65"/>
  <c r="P215" i="65"/>
  <c r="R159" i="65"/>
  <c r="Q213" i="65"/>
  <c r="R213" i="65"/>
  <c r="Q166" i="65"/>
  <c r="P219" i="65"/>
  <c r="P218" i="65"/>
  <c r="S256" i="65"/>
  <c r="S252" i="65"/>
  <c r="R252" i="65"/>
  <c r="T164" i="65"/>
  <c r="P164" i="65"/>
  <c r="S189" i="65"/>
  <c r="T191" i="65"/>
  <c r="P193" i="65"/>
  <c r="T210" i="65"/>
  <c r="T170" i="65"/>
  <c r="Q170" i="65"/>
  <c r="T154" i="65"/>
  <c r="S169" i="65"/>
  <c r="T257" i="65"/>
  <c r="Q190" i="65"/>
  <c r="T216" i="65"/>
  <c r="Q216" i="65"/>
  <c r="S194" i="65"/>
  <c r="R249" i="65"/>
  <c r="Q240" i="65"/>
  <c r="Q239" i="65"/>
  <c r="S219" i="65"/>
  <c r="S153" i="65"/>
  <c r="P248" i="65"/>
  <c r="P252" i="65"/>
  <c r="T241" i="65"/>
  <c r="S221" i="65"/>
  <c r="Q152" i="65"/>
  <c r="S237" i="65"/>
  <c r="T253" i="65"/>
  <c r="P256" i="65"/>
  <c r="R253" i="65"/>
  <c r="Q259" i="65"/>
  <c r="S234" i="65"/>
  <c r="P160" i="65"/>
  <c r="P236" i="65"/>
  <c r="R233" i="65"/>
  <c r="R232" i="65"/>
  <c r="P233" i="65"/>
  <c r="P157" i="65"/>
  <c r="R189" i="65"/>
  <c r="S257" i="65"/>
  <c r="Q267" i="65"/>
  <c r="T169" i="65"/>
  <c r="S191" i="65"/>
  <c r="R267" i="65"/>
  <c r="T248" i="65"/>
  <c r="S154" i="65"/>
  <c r="P232" i="65"/>
  <c r="T236" i="65"/>
  <c r="P152" i="65"/>
  <c r="P211" i="65"/>
  <c r="R162" i="65"/>
  <c r="S162" i="65"/>
  <c r="R190" i="65"/>
  <c r="P159" i="65"/>
  <c r="P213" i="65"/>
  <c r="T213" i="65"/>
  <c r="S170" i="65"/>
  <c r="T267" i="65"/>
  <c r="P210" i="65"/>
  <c r="Q233" i="65"/>
  <c r="Q252" i="65"/>
  <c r="S164" i="65"/>
  <c r="Q257" i="65"/>
  <c r="R191" i="65"/>
  <c r="Q255" i="65"/>
  <c r="Q247" i="65"/>
  <c r="Q218" i="65"/>
  <c r="Q210" i="65"/>
  <c r="P170" i="65"/>
  <c r="P189" i="65"/>
  <c r="P169" i="65"/>
  <c r="R214" i="65"/>
  <c r="S190" i="65"/>
  <c r="P150" i="65"/>
  <c r="P216" i="65"/>
  <c r="Q215" i="65"/>
  <c r="P166" i="65"/>
  <c r="Q193" i="65"/>
  <c r="P220" i="65"/>
  <c r="R215" i="65"/>
  <c r="P238" i="65"/>
  <c r="S229" i="65"/>
  <c r="Q161" i="65"/>
  <c r="S220" i="65"/>
  <c r="S259" i="65"/>
  <c r="P247" i="65"/>
  <c r="Q227" i="65"/>
  <c r="Q219" i="65"/>
  <c r="P187" i="65"/>
  <c r="S167" i="65"/>
  <c r="S155" i="65"/>
  <c r="R242" i="65"/>
  <c r="S218" i="65"/>
  <c r="S248" i="65"/>
  <c r="R168" i="65"/>
  <c r="S233" i="65"/>
  <c r="R221" i="65"/>
  <c r="Q157" i="65"/>
  <c r="Q256" i="65"/>
  <c r="Q236" i="65"/>
  <c r="S217" i="65"/>
  <c r="T157" i="65"/>
  <c r="Q230" i="65"/>
  <c r="Q209" i="65"/>
  <c r="R216" i="65"/>
  <c r="T230" i="65"/>
  <c r="S267" i="65"/>
  <c r="R194" i="65"/>
  <c r="P255" i="65"/>
  <c r="Q242" i="65"/>
  <c r="R234" i="65"/>
  <c r="R248" i="65"/>
  <c r="R237" i="65"/>
  <c r="T221" i="65"/>
  <c r="Q165" i="65"/>
  <c r="Q237" i="65"/>
  <c r="P249" i="65"/>
  <c r="T219" i="65"/>
  <c r="Q162" i="65"/>
  <c r="T162" i="65"/>
  <c r="Q159" i="65"/>
  <c r="P246" i="65"/>
  <c r="S213" i="65"/>
  <c r="Q220" i="65"/>
  <c r="P226" i="65"/>
  <c r="Q221" i="65"/>
  <c r="T252" i="65"/>
  <c r="Q164" i="65"/>
  <c r="Q189" i="65"/>
  <c r="P257" i="65"/>
  <c r="R257" i="65"/>
  <c r="T194" i="65"/>
  <c r="S251" i="65"/>
  <c r="R247" i="65"/>
  <c r="R170" i="65"/>
  <c r="R169" i="65"/>
  <c r="S241" i="65"/>
  <c r="P190" i="65"/>
  <c r="T190" i="65"/>
  <c r="S216" i="65"/>
  <c r="R166" i="65"/>
  <c r="P267" i="65"/>
  <c r="R161" i="65"/>
  <c r="P155" i="65"/>
  <c r="P151" i="65"/>
  <c r="Q169" i="65"/>
  <c r="S160" i="65"/>
  <c r="P221" i="65"/>
  <c r="P148" i="65"/>
  <c r="Q148" i="65"/>
  <c r="R148" i="65"/>
  <c r="V148" i="65"/>
  <c r="Z152" i="65"/>
  <c r="Z204" i="65"/>
  <c r="V204" i="65"/>
  <c r="S204" i="65"/>
  <c r="X212" i="65"/>
  <c r="X232" i="65"/>
  <c r="W232" i="65"/>
  <c r="R244" i="65"/>
  <c r="Z244" i="65"/>
  <c r="V244" i="65"/>
  <c r="Y145" i="65"/>
  <c r="Q145" i="65"/>
  <c r="Y165" i="65"/>
  <c r="V177" i="65"/>
  <c r="S177" i="65"/>
  <c r="Y177" i="65"/>
  <c r="Z205" i="65"/>
  <c r="S205" i="65"/>
  <c r="W205" i="65"/>
  <c r="Y205" i="65"/>
  <c r="T185" i="65"/>
  <c r="Z185" i="65"/>
  <c r="Y197" i="65"/>
  <c r="X197" i="65"/>
  <c r="Z197" i="65"/>
  <c r="W261" i="65"/>
  <c r="X261" i="65"/>
  <c r="Y265" i="65"/>
  <c r="T265" i="65"/>
  <c r="X265" i="65"/>
  <c r="T144" i="65"/>
  <c r="Y144" i="65"/>
  <c r="W168" i="65"/>
  <c r="Q180" i="65"/>
  <c r="W180" i="65"/>
  <c r="V188" i="65"/>
  <c r="X196" i="65"/>
  <c r="W196" i="65"/>
  <c r="Y196" i="65"/>
  <c r="Y208" i="65"/>
  <c r="W208" i="65"/>
  <c r="V228" i="65"/>
  <c r="X260" i="65"/>
  <c r="Q225" i="65"/>
  <c r="W245" i="65"/>
  <c r="V245" i="65"/>
  <c r="W160" i="65"/>
  <c r="X160" i="65"/>
  <c r="V172" i="65"/>
  <c r="P172" i="65"/>
  <c r="X172" i="65"/>
  <c r="S172" i="65"/>
  <c r="P176" i="65"/>
  <c r="S176" i="65"/>
  <c r="T176" i="65"/>
  <c r="Y176" i="65"/>
  <c r="W184" i="65"/>
  <c r="S184" i="65"/>
  <c r="P200" i="65"/>
  <c r="W224" i="65"/>
  <c r="Y224" i="65"/>
  <c r="Z149" i="65"/>
  <c r="R149" i="65"/>
  <c r="X149" i="65"/>
  <c r="T181" i="65"/>
  <c r="V181" i="65"/>
  <c r="V201" i="65"/>
  <c r="W201" i="65"/>
  <c r="Z150" i="65"/>
  <c r="R150" i="65"/>
  <c r="Q150" i="65"/>
  <c r="W154" i="65"/>
  <c r="W158" i="65"/>
  <c r="Y178" i="65"/>
  <c r="S186" i="65"/>
  <c r="Z186" i="65"/>
  <c r="T148" i="65"/>
  <c r="Y148" i="65"/>
  <c r="S148" i="65"/>
  <c r="T152" i="65"/>
  <c r="V192" i="65"/>
  <c r="Q204" i="65"/>
  <c r="W212" i="65"/>
  <c r="Q244" i="65"/>
  <c r="T244" i="65"/>
  <c r="AF244" i="65" s="1"/>
  <c r="AR244" i="65" s="1"/>
  <c r="P145" i="65"/>
  <c r="W145" i="65"/>
  <c r="S145" i="65"/>
  <c r="Z177" i="65"/>
  <c r="X177" i="65"/>
  <c r="P205" i="65"/>
  <c r="Y185" i="65"/>
  <c r="S185" i="65"/>
  <c r="V185" i="65"/>
  <c r="P197" i="65"/>
  <c r="R197" i="65"/>
  <c r="AD197" i="65" s="1"/>
  <c r="AP197" i="65" s="1"/>
  <c r="S261" i="65"/>
  <c r="V261" i="65"/>
  <c r="T261" i="65"/>
  <c r="S265" i="65"/>
  <c r="P144" i="65"/>
  <c r="W144" i="65"/>
  <c r="W156" i="65"/>
  <c r="V168" i="65"/>
  <c r="V180" i="65"/>
  <c r="T180" i="65"/>
  <c r="S180" i="65"/>
  <c r="X188" i="65"/>
  <c r="R188" i="65"/>
  <c r="Z196" i="65"/>
  <c r="S196" i="65"/>
  <c r="AE196" i="65" s="1"/>
  <c r="AQ196" i="65" s="1"/>
  <c r="Z228" i="65"/>
  <c r="S260" i="65"/>
  <c r="W260" i="65"/>
  <c r="T225" i="65"/>
  <c r="Y225" i="65"/>
  <c r="R225" i="65"/>
  <c r="X225" i="65"/>
  <c r="Q245" i="65"/>
  <c r="Z245" i="65"/>
  <c r="Y160" i="65"/>
  <c r="Z172" i="65"/>
  <c r="T172" i="65"/>
  <c r="Y172" i="65"/>
  <c r="V176" i="65"/>
  <c r="X176" i="65"/>
  <c r="T184" i="65"/>
  <c r="X184" i="65"/>
  <c r="V184" i="65"/>
  <c r="Q200" i="65"/>
  <c r="Z200" i="65"/>
  <c r="T200" i="65"/>
  <c r="X200" i="65"/>
  <c r="V224" i="65"/>
  <c r="T224" i="65"/>
  <c r="Q149" i="65"/>
  <c r="Y149" i="65"/>
  <c r="S181" i="65"/>
  <c r="Z181" i="65"/>
  <c r="Q181" i="65"/>
  <c r="T189" i="65"/>
  <c r="P201" i="65"/>
  <c r="R201" i="65"/>
  <c r="X201" i="65"/>
  <c r="S150" i="65"/>
  <c r="Z158" i="65"/>
  <c r="Q178" i="65"/>
  <c r="T178" i="65"/>
  <c r="R178" i="65"/>
  <c r="Q186" i="65"/>
  <c r="R186" i="65"/>
  <c r="T186" i="65"/>
  <c r="AF186" i="65" s="1"/>
  <c r="AR186" i="65" s="1"/>
  <c r="T198" i="65"/>
  <c r="R198" i="65"/>
  <c r="T206" i="65"/>
  <c r="Z206" i="65"/>
  <c r="W206" i="65"/>
  <c r="Q222" i="65"/>
  <c r="W222" i="65"/>
  <c r="V222" i="65"/>
  <c r="R222" i="65"/>
  <c r="R226" i="65"/>
  <c r="Z250" i="65"/>
  <c r="Y254" i="65"/>
  <c r="W262" i="65"/>
  <c r="T262" i="65"/>
  <c r="Q266" i="65"/>
  <c r="Z266" i="65"/>
  <c r="R266" i="65"/>
  <c r="Y147" i="65"/>
  <c r="S147" i="65"/>
  <c r="Z151" i="65"/>
  <c r="X163" i="65"/>
  <c r="Z163" i="65"/>
  <c r="Z171" i="65"/>
  <c r="Y171" i="65"/>
  <c r="W148" i="65"/>
  <c r="X148" i="65"/>
  <c r="V152" i="65"/>
  <c r="W192" i="65"/>
  <c r="W204" i="65"/>
  <c r="P204" i="65"/>
  <c r="Y204" i="65"/>
  <c r="X204" i="65"/>
  <c r="Y212" i="65"/>
  <c r="Z212" i="65"/>
  <c r="V232" i="65"/>
  <c r="Y244" i="65"/>
  <c r="S244" i="65"/>
  <c r="P244" i="65"/>
  <c r="AB244" i="65" s="1"/>
  <c r="AN244" i="65" s="1"/>
  <c r="W244" i="65"/>
  <c r="Y256" i="65"/>
  <c r="T145" i="65"/>
  <c r="V145" i="65"/>
  <c r="X145" i="65"/>
  <c r="Z165" i="65"/>
  <c r="W165" i="65"/>
  <c r="R177" i="65"/>
  <c r="AD177" i="65" s="1"/>
  <c r="AP177" i="65" s="1"/>
  <c r="T177" i="65"/>
  <c r="Q205" i="65"/>
  <c r="R205" i="65"/>
  <c r="V217" i="65"/>
  <c r="Z221" i="65"/>
  <c r="W233" i="65"/>
  <c r="Q185" i="65"/>
  <c r="P185" i="65"/>
  <c r="AB185" i="65" s="1"/>
  <c r="AN185" i="65" s="1"/>
  <c r="X185" i="65"/>
  <c r="W197" i="65"/>
  <c r="Q197" i="65"/>
  <c r="Z253" i="65"/>
  <c r="Z261" i="65"/>
  <c r="W265" i="65"/>
  <c r="R265" i="65"/>
  <c r="P265" i="65"/>
  <c r="R144" i="65"/>
  <c r="V144" i="65"/>
  <c r="S144" i="65"/>
  <c r="Z156" i="65"/>
  <c r="X156" i="65"/>
  <c r="Z168" i="65"/>
  <c r="X168" i="65"/>
  <c r="Z180" i="65"/>
  <c r="Y180" i="65"/>
  <c r="X180" i="65"/>
  <c r="T188" i="65"/>
  <c r="Y188" i="65"/>
  <c r="T196" i="65"/>
  <c r="Q196" i="65"/>
  <c r="R196" i="65"/>
  <c r="P196" i="65"/>
  <c r="T208" i="65"/>
  <c r="Z208" i="65"/>
  <c r="S208" i="65"/>
  <c r="V208" i="65"/>
  <c r="R260" i="65"/>
  <c r="AD260" i="65" s="1"/>
  <c r="AP260" i="65" s="1"/>
  <c r="Z260" i="65"/>
  <c r="V260" i="65"/>
  <c r="Q260" i="65"/>
  <c r="AC260" i="65" s="1"/>
  <c r="AO260" i="65" s="1"/>
  <c r="T153" i="65"/>
  <c r="W153" i="65"/>
  <c r="V209" i="65"/>
  <c r="V225" i="65"/>
  <c r="Z225" i="65"/>
  <c r="W225" i="65"/>
  <c r="V237" i="65"/>
  <c r="X241" i="65"/>
  <c r="Y245" i="65"/>
  <c r="T245" i="65"/>
  <c r="AF245" i="65" s="1"/>
  <c r="AR245" i="65" s="1"/>
  <c r="P245" i="65"/>
  <c r="R172" i="65"/>
  <c r="Z176" i="65"/>
  <c r="W176" i="65"/>
  <c r="R176" i="65"/>
  <c r="Z184" i="65"/>
  <c r="W200" i="65"/>
  <c r="V200" i="65"/>
  <c r="R224" i="65"/>
  <c r="X224" i="65"/>
  <c r="S224" i="65"/>
  <c r="P149" i="65"/>
  <c r="W149" i="65"/>
  <c r="S149" i="65"/>
  <c r="X181" i="65"/>
  <c r="Y181" i="65"/>
  <c r="Z189" i="65"/>
  <c r="AF189" i="65" s="1"/>
  <c r="AR189" i="65" s="1"/>
  <c r="S201" i="65"/>
  <c r="Q201" i="65"/>
  <c r="X150" i="65"/>
  <c r="Y150" i="65"/>
  <c r="Y154" i="65"/>
  <c r="V154" i="65"/>
  <c r="X158" i="65"/>
  <c r="V158" i="65"/>
  <c r="Y158" i="65"/>
  <c r="V178" i="65"/>
  <c r="S178" i="65"/>
  <c r="Y152" i="65"/>
  <c r="S152" i="65"/>
  <c r="Z192" i="65"/>
  <c r="T204" i="65"/>
  <c r="Y232" i="65"/>
  <c r="X244" i="65"/>
  <c r="Z145" i="65"/>
  <c r="V205" i="65"/>
  <c r="Z217" i="65"/>
  <c r="V221" i="65"/>
  <c r="X233" i="65"/>
  <c r="AD233" i="65" s="1"/>
  <c r="W185" i="65"/>
  <c r="P261" i="65"/>
  <c r="Q144" i="65"/>
  <c r="AC144" i="65" s="1"/>
  <c r="AO144" i="65" s="1"/>
  <c r="V156" i="65"/>
  <c r="Y260" i="65"/>
  <c r="T260" i="65"/>
  <c r="Y209" i="65"/>
  <c r="P225" i="65"/>
  <c r="W241" i="65"/>
  <c r="R245" i="65"/>
  <c r="W172" i="65"/>
  <c r="P184" i="65"/>
  <c r="Y200" i="65"/>
  <c r="Q224" i="65"/>
  <c r="Z224" i="65"/>
  <c r="P181" i="65"/>
  <c r="T150" i="65"/>
  <c r="X178" i="65"/>
  <c r="W186" i="65"/>
  <c r="Q198" i="65"/>
  <c r="V206" i="65"/>
  <c r="R206" i="65"/>
  <c r="Y206" i="65"/>
  <c r="Y214" i="65"/>
  <c r="S222" i="65"/>
  <c r="X222" i="65"/>
  <c r="T222" i="65"/>
  <c r="W226" i="65"/>
  <c r="Y226" i="65"/>
  <c r="V234" i="65"/>
  <c r="V242" i="65"/>
  <c r="X250" i="65"/>
  <c r="V254" i="65"/>
  <c r="S262" i="65"/>
  <c r="X262" i="65"/>
  <c r="T266" i="65"/>
  <c r="S151" i="65"/>
  <c r="Y163" i="65"/>
  <c r="X167" i="65"/>
  <c r="Q171" i="65"/>
  <c r="W171" i="65"/>
  <c r="Q179" i="65"/>
  <c r="S179" i="65"/>
  <c r="T179" i="65"/>
  <c r="P179" i="65"/>
  <c r="P183" i="65"/>
  <c r="V183" i="65"/>
  <c r="Q187" i="65"/>
  <c r="T187" i="65"/>
  <c r="V187" i="65"/>
  <c r="AB187" i="65" s="1"/>
  <c r="AN187" i="65" s="1"/>
  <c r="Q203" i="65"/>
  <c r="Y231" i="65"/>
  <c r="Y235" i="65"/>
  <c r="Z243" i="65"/>
  <c r="Y243" i="65"/>
  <c r="W263" i="65"/>
  <c r="R263" i="65"/>
  <c r="Q263" i="65"/>
  <c r="Y264" i="65"/>
  <c r="T264" i="65"/>
  <c r="V264" i="65"/>
  <c r="S173" i="65"/>
  <c r="Z173" i="65"/>
  <c r="V173" i="65"/>
  <c r="T146" i="65"/>
  <c r="R146" i="65"/>
  <c r="W146" i="65"/>
  <c r="V146" i="65"/>
  <c r="R174" i="65"/>
  <c r="T174" i="65"/>
  <c r="V174" i="65"/>
  <c r="Z182" i="65"/>
  <c r="Q202" i="65"/>
  <c r="W202" i="65"/>
  <c r="Z238" i="65"/>
  <c r="W246" i="65"/>
  <c r="R246" i="65"/>
  <c r="Z246" i="65"/>
  <c r="S175" i="65"/>
  <c r="X195" i="65"/>
  <c r="T199" i="65"/>
  <c r="Q199" i="65"/>
  <c r="W207" i="65"/>
  <c r="Y207" i="65"/>
  <c r="S207" i="65"/>
  <c r="X207" i="65"/>
  <c r="Q223" i="65"/>
  <c r="R223" i="65"/>
  <c r="V223" i="65"/>
  <c r="V263" i="65"/>
  <c r="X264" i="65"/>
  <c r="W173" i="65"/>
  <c r="X229" i="65"/>
  <c r="Z146" i="65"/>
  <c r="W174" i="65"/>
  <c r="S182" i="65"/>
  <c r="Y182" i="65"/>
  <c r="T202" i="65"/>
  <c r="R202" i="65"/>
  <c r="Y202" i="65"/>
  <c r="X202" i="65"/>
  <c r="X238" i="65"/>
  <c r="Y238" i="65"/>
  <c r="AE238" i="65" s="1"/>
  <c r="Q246" i="65"/>
  <c r="AC246" i="65" s="1"/>
  <c r="P175" i="65"/>
  <c r="V195" i="65"/>
  <c r="P199" i="65"/>
  <c r="S199" i="65"/>
  <c r="Q207" i="65"/>
  <c r="Y223" i="65"/>
  <c r="X223" i="65"/>
  <c r="W166" i="65"/>
  <c r="Z194" i="65"/>
  <c r="V238" i="65"/>
  <c r="Y246" i="65"/>
  <c r="R175" i="65"/>
  <c r="Z191" i="65"/>
  <c r="W195" i="65"/>
  <c r="R199" i="65"/>
  <c r="W199" i="65"/>
  <c r="T207" i="65"/>
  <c r="T223" i="65"/>
  <c r="Q265" i="65"/>
  <c r="W228" i="65"/>
  <c r="Z153" i="65"/>
  <c r="S225" i="65"/>
  <c r="W237" i="65"/>
  <c r="Z160" i="65"/>
  <c r="V149" i="65"/>
  <c r="Z201" i="65"/>
  <c r="Y201" i="65"/>
  <c r="W170" i="65"/>
  <c r="W178" i="65"/>
  <c r="V198" i="65"/>
  <c r="W234" i="65"/>
  <c r="P262" i="65"/>
  <c r="V266" i="65"/>
  <c r="Y151" i="65"/>
  <c r="V155" i="65"/>
  <c r="P203" i="65"/>
  <c r="V211" i="65"/>
  <c r="Y259" i="65"/>
  <c r="Y267" i="65"/>
  <c r="Z220" i="65"/>
  <c r="Q264" i="65"/>
  <c r="Z264" i="65"/>
  <c r="R173" i="65"/>
  <c r="T173" i="65"/>
  <c r="Y192" i="65"/>
  <c r="X157" i="65"/>
  <c r="W177" i="65"/>
  <c r="Y217" i="65"/>
  <c r="X221" i="65"/>
  <c r="Z233" i="65"/>
  <c r="V197" i="65"/>
  <c r="R261" i="65"/>
  <c r="AD261" i="65" s="1"/>
  <c r="AP261" i="65" s="1"/>
  <c r="V265" i="65"/>
  <c r="X144" i="65"/>
  <c r="R180" i="65"/>
  <c r="Z188" i="65"/>
  <c r="V196" i="65"/>
  <c r="X208" i="65"/>
  <c r="Y228" i="65"/>
  <c r="V248" i="65"/>
  <c r="V160" i="65"/>
  <c r="Q184" i="65"/>
  <c r="AC184" i="65" s="1"/>
  <c r="AO184" i="65" s="1"/>
  <c r="R184" i="65"/>
  <c r="S200" i="65"/>
  <c r="T149" i="65"/>
  <c r="R181" i="65"/>
  <c r="T201" i="65"/>
  <c r="Z178" i="65"/>
  <c r="Y186" i="65"/>
  <c r="V186" i="65"/>
  <c r="X198" i="65"/>
  <c r="Z198" i="65"/>
  <c r="W198" i="65"/>
  <c r="X214" i="65"/>
  <c r="V214" i="65"/>
  <c r="X218" i="65"/>
  <c r="P222" i="65"/>
  <c r="T226" i="65"/>
  <c r="Q226" i="65"/>
  <c r="Y234" i="65"/>
  <c r="X234" i="65"/>
  <c r="Y242" i="65"/>
  <c r="V250" i="65"/>
  <c r="W258" i="65"/>
  <c r="R262" i="65"/>
  <c r="Z262" i="65"/>
  <c r="Y266" i="65"/>
  <c r="P266" i="65"/>
  <c r="T147" i="65"/>
  <c r="P147" i="65"/>
  <c r="R151" i="65"/>
  <c r="X155" i="65"/>
  <c r="W163" i="65"/>
  <c r="P171" i="65"/>
  <c r="V179" i="65"/>
  <c r="Y179" i="65"/>
  <c r="S183" i="65"/>
  <c r="T183" i="65"/>
  <c r="R183" i="65"/>
  <c r="S187" i="65"/>
  <c r="W187" i="65"/>
  <c r="Y203" i="65"/>
  <c r="W203" i="65"/>
  <c r="S203" i="65"/>
  <c r="Y211" i="65"/>
  <c r="V227" i="65"/>
  <c r="W227" i="65"/>
  <c r="Z231" i="65"/>
  <c r="X231" i="65"/>
  <c r="V231" i="65"/>
  <c r="W235" i="65"/>
  <c r="Z239" i="65"/>
  <c r="W243" i="65"/>
  <c r="W259" i="65"/>
  <c r="Z263" i="65"/>
  <c r="T263" i="65"/>
  <c r="X263" i="65"/>
  <c r="S264" i="65"/>
  <c r="X173" i="65"/>
  <c r="Q146" i="65"/>
  <c r="Y174" i="65"/>
  <c r="Q174" i="65"/>
  <c r="T182" i="65"/>
  <c r="W194" i="65"/>
  <c r="V175" i="65"/>
  <c r="V199" i="65"/>
  <c r="V166" i="65"/>
  <c r="W230" i="65"/>
  <c r="T175" i="65"/>
  <c r="X191" i="65"/>
  <c r="V212" i="65"/>
  <c r="W252" i="65"/>
  <c r="V256" i="65"/>
  <c r="X165" i="65"/>
  <c r="Q177" i="65"/>
  <c r="P177" i="65"/>
  <c r="X205" i="65"/>
  <c r="W221" i="65"/>
  <c r="Y233" i="65"/>
  <c r="R185" i="65"/>
  <c r="T197" i="65"/>
  <c r="S197" i="65"/>
  <c r="Y261" i="65"/>
  <c r="Z265" i="65"/>
  <c r="P180" i="65"/>
  <c r="S188" i="65"/>
  <c r="P260" i="65"/>
  <c r="X209" i="65"/>
  <c r="R200" i="65"/>
  <c r="X206" i="65"/>
  <c r="P206" i="65"/>
  <c r="Z222" i="65"/>
  <c r="W242" i="65"/>
  <c r="Z254" i="65"/>
  <c r="X147" i="65"/>
  <c r="W179" i="65"/>
  <c r="Z183" i="65"/>
  <c r="R203" i="65"/>
  <c r="Z227" i="65"/>
  <c r="Y227" i="65"/>
  <c r="Y247" i="65"/>
  <c r="Z247" i="65"/>
  <c r="X259" i="65"/>
  <c r="X267" i="65"/>
  <c r="Y220" i="65"/>
  <c r="Z148" i="65"/>
  <c r="R204" i="65"/>
  <c r="R145" i="65"/>
  <c r="V165" i="65"/>
  <c r="T205" i="65"/>
  <c r="AF205" i="65" s="1"/>
  <c r="AR205" i="65" s="1"/>
  <c r="Y253" i="65"/>
  <c r="Q261" i="65"/>
  <c r="Z144" i="65"/>
  <c r="Y156" i="65"/>
  <c r="AE156" i="65" s="1"/>
  <c r="Q208" i="65"/>
  <c r="R208" i="65"/>
  <c r="X228" i="65"/>
  <c r="X237" i="65"/>
  <c r="S245" i="65"/>
  <c r="Q172" i="65"/>
  <c r="Q176" i="65"/>
  <c r="AC176" i="65" s="1"/>
  <c r="AO176" i="65" s="1"/>
  <c r="P224" i="65"/>
  <c r="W181" i="65"/>
  <c r="W150" i="65"/>
  <c r="Z154" i="65"/>
  <c r="P178" i="65"/>
  <c r="X186" i="65"/>
  <c r="S198" i="65"/>
  <c r="Y198" i="65"/>
  <c r="S206" i="65"/>
  <c r="W214" i="65"/>
  <c r="Z214" i="65"/>
  <c r="Z226" i="65"/>
  <c r="S226" i="65"/>
  <c r="X242" i="65"/>
  <c r="Y250" i="65"/>
  <c r="X254" i="65"/>
  <c r="W254" i="65"/>
  <c r="X258" i="65"/>
  <c r="Q262" i="65"/>
  <c r="V262" i="65"/>
  <c r="S266" i="65"/>
  <c r="X266" i="65"/>
  <c r="Z147" i="65"/>
  <c r="W147" i="65"/>
  <c r="V147" i="65"/>
  <c r="Q147" i="65"/>
  <c r="T151" i="65"/>
  <c r="X151" i="65"/>
  <c r="W151" i="65"/>
  <c r="Z155" i="65"/>
  <c r="V163" i="65"/>
  <c r="Y167" i="65"/>
  <c r="R171" i="65"/>
  <c r="V171" i="65"/>
  <c r="S171" i="65"/>
  <c r="Z179" i="65"/>
  <c r="X179" i="65"/>
  <c r="R179" i="65"/>
  <c r="X183" i="65"/>
  <c r="Y183" i="65"/>
  <c r="Q183" i="65"/>
  <c r="W183" i="65"/>
  <c r="Y187" i="65"/>
  <c r="R187" i="65"/>
  <c r="X187" i="65"/>
  <c r="Z187" i="65"/>
  <c r="Z203" i="65"/>
  <c r="V203" i="65"/>
  <c r="X203" i="65"/>
  <c r="AD203" i="65" s="1"/>
  <c r="AP203" i="65" s="1"/>
  <c r="X211" i="65"/>
  <c r="T227" i="65"/>
  <c r="Z235" i="65"/>
  <c r="X235" i="65"/>
  <c r="W239" i="65"/>
  <c r="V243" i="65"/>
  <c r="X243" i="65"/>
  <c r="T247" i="65"/>
  <c r="Z251" i="65"/>
  <c r="Z259" i="65"/>
  <c r="Y263" i="65"/>
  <c r="P263" i="65"/>
  <c r="AB263" i="65" s="1"/>
  <c r="AN263" i="65" s="1"/>
  <c r="V220" i="65"/>
  <c r="X240" i="65"/>
  <c r="W264" i="65"/>
  <c r="R264" i="65"/>
  <c r="P264" i="65"/>
  <c r="W161" i="65"/>
  <c r="V161" i="65"/>
  <c r="Z161" i="65"/>
  <c r="Y173" i="65"/>
  <c r="Q173" i="65"/>
  <c r="AC173" i="65" s="1"/>
  <c r="AO173" i="65" s="1"/>
  <c r="Y193" i="65"/>
  <c r="Z193" i="65"/>
  <c r="Y229" i="65"/>
  <c r="Z229" i="65"/>
  <c r="W249" i="65"/>
  <c r="X146" i="65"/>
  <c r="Y146" i="65"/>
  <c r="Z174" i="65"/>
  <c r="P182" i="65"/>
  <c r="Q182" i="65"/>
  <c r="Y194" i="65"/>
  <c r="Z202" i="65"/>
  <c r="V202" i="65"/>
  <c r="T246" i="65"/>
  <c r="AF246" i="65" s="1"/>
  <c r="AR246" i="65" s="1"/>
  <c r="Q175" i="65"/>
  <c r="Y195" i="65"/>
  <c r="X199" i="65"/>
  <c r="Z207" i="65"/>
  <c r="S223" i="65"/>
  <c r="Y168" i="65"/>
  <c r="Y236" i="65"/>
  <c r="Y153" i="65"/>
  <c r="X245" i="65"/>
  <c r="Y184" i="65"/>
  <c r="V169" i="65"/>
  <c r="P186" i="65"/>
  <c r="P198" i="65"/>
  <c r="Q206" i="65"/>
  <c r="Y222" i="65"/>
  <c r="X226" i="65"/>
  <c r="W250" i="65"/>
  <c r="Y262" i="65"/>
  <c r="W266" i="65"/>
  <c r="R147" i="65"/>
  <c r="X171" i="65"/>
  <c r="T171" i="65"/>
  <c r="AF171" i="65" s="1"/>
  <c r="AR171" i="65" s="1"/>
  <c r="T203" i="65"/>
  <c r="Y219" i="65"/>
  <c r="W231" i="65"/>
  <c r="V235" i="65"/>
  <c r="Y239" i="65"/>
  <c r="S263" i="65"/>
  <c r="Y240" i="65"/>
  <c r="P173" i="65"/>
  <c r="AB173" i="65" s="1"/>
  <c r="AN173" i="65" s="1"/>
  <c r="X166" i="65"/>
  <c r="S174" i="65"/>
  <c r="W182" i="65"/>
  <c r="X246" i="65"/>
  <c r="W175" i="65"/>
  <c r="X175" i="65"/>
  <c r="X215" i="65"/>
  <c r="P223" i="65"/>
  <c r="W223" i="65"/>
  <c r="Z175" i="65"/>
  <c r="Z195" i="65"/>
  <c r="V207" i="65"/>
  <c r="Y199" i="65"/>
  <c r="X213" i="65"/>
  <c r="W229" i="65"/>
  <c r="P174" i="65"/>
  <c r="V194" i="65"/>
  <c r="P202" i="65"/>
  <c r="V230" i="65"/>
  <c r="V191" i="65"/>
  <c r="AB191" i="65" s="1"/>
  <c r="P146" i="65"/>
  <c r="V229" i="65"/>
  <c r="X174" i="65"/>
  <c r="V182" i="65"/>
  <c r="X182" i="65"/>
  <c r="Z230" i="65"/>
  <c r="W238" i="65"/>
  <c r="S246" i="65"/>
  <c r="Y175" i="65"/>
  <c r="Z199" i="65"/>
  <c r="R207" i="65"/>
  <c r="Z223" i="65"/>
  <c r="S146" i="65"/>
  <c r="R182" i="65"/>
  <c r="S202" i="65"/>
  <c r="P207" i="65"/>
  <c r="Z169" i="65"/>
  <c r="X227" i="65"/>
  <c r="X162" i="65"/>
  <c r="X239" i="65"/>
  <c r="V159" i="65"/>
  <c r="W162" i="65"/>
  <c r="Y218" i="65"/>
  <c r="W255" i="65"/>
  <c r="V257" i="65"/>
  <c r="Z257" i="65"/>
  <c r="Z255" i="65"/>
  <c r="Y251" i="65"/>
  <c r="Z218" i="65"/>
  <c r="Y169" i="65"/>
  <c r="V219" i="65"/>
  <c r="V150" i="65"/>
  <c r="X230" i="65"/>
  <c r="X249" i="65"/>
  <c r="W240" i="65"/>
  <c r="X255" i="65"/>
  <c r="W191" i="65"/>
  <c r="X193" i="65"/>
  <c r="W267" i="65"/>
  <c r="X251" i="65"/>
  <c r="V167" i="65"/>
  <c r="Y155" i="65"/>
  <c r="Z258" i="65"/>
  <c r="Z242" i="65"/>
  <c r="Z234" i="65"/>
  <c r="AF234" i="65" s="1"/>
  <c r="V190" i="65"/>
  <c r="X248" i="65"/>
  <c r="W157" i="65"/>
  <c r="X154" i="65"/>
  <c r="Y237" i="65"/>
  <c r="V236" i="65"/>
  <c r="AB236" i="65" s="1"/>
  <c r="W188" i="65"/>
  <c r="V233" i="65"/>
  <c r="Z157" i="65"/>
  <c r="Z256" i="65"/>
  <c r="Z236" i="65"/>
  <c r="Y221" i="65"/>
  <c r="W256" i="65"/>
  <c r="Y248" i="65"/>
  <c r="W257" i="65"/>
  <c r="Y164" i="65"/>
  <c r="W217" i="65"/>
  <c r="V241" i="65"/>
  <c r="X194" i="65"/>
  <c r="Z240" i="65"/>
  <c r="Y159" i="65"/>
  <c r="V213" i="65"/>
  <c r="W152" i="65"/>
  <c r="V226" i="65"/>
  <c r="X252" i="65"/>
  <c r="V164" i="65"/>
  <c r="X189" i="65"/>
  <c r="V215" i="65"/>
  <c r="X219" i="65"/>
  <c r="Y170" i="65"/>
  <c r="Y190" i="65"/>
  <c r="X216" i="65"/>
  <c r="Y215" i="65"/>
  <c r="Y161" i="65"/>
  <c r="V249" i="65"/>
  <c r="Z219" i="65"/>
  <c r="W155" i="65"/>
  <c r="W253" i="65"/>
  <c r="V246" i="65"/>
  <c r="X247" i="65"/>
  <c r="Y191" i="65"/>
  <c r="V162" i="65"/>
  <c r="X159" i="65"/>
  <c r="Y213" i="65"/>
  <c r="Y255" i="65"/>
  <c r="Z252" i="65"/>
  <c r="X192" i="65"/>
  <c r="W164" i="65"/>
  <c r="V189" i="65"/>
  <c r="X257" i="65"/>
  <c r="Z232" i="65"/>
  <c r="X161" i="65"/>
  <c r="Z170" i="65"/>
  <c r="W169" i="65"/>
  <c r="W216" i="65"/>
  <c r="Y166" i="65"/>
  <c r="V258" i="65"/>
  <c r="Z248" i="65"/>
  <c r="Y216" i="65"/>
  <c r="Z237" i="65"/>
  <c r="Z241" i="65"/>
  <c r="Z209" i="65"/>
  <c r="W236" i="65"/>
  <c r="X152" i="65"/>
  <c r="W167" i="65"/>
  <c r="X153" i="65"/>
  <c r="Z267" i="65"/>
  <c r="Y162" i="65"/>
  <c r="W159" i="65"/>
  <c r="V259" i="65"/>
  <c r="W219" i="65"/>
  <c r="X190" i="65"/>
  <c r="V252" i="65"/>
  <c r="Y189" i="65"/>
  <c r="Z249" i="65"/>
  <c r="W218" i="65"/>
  <c r="X170" i="65"/>
  <c r="V240" i="65"/>
  <c r="Z211" i="65"/>
  <c r="Z167" i="65"/>
  <c r="X236" i="65"/>
  <c r="Y157" i="65"/>
  <c r="Z210" i="65"/>
  <c r="AF210" i="65" s="1"/>
  <c r="Z159" i="65"/>
  <c r="W213" i="65"/>
  <c r="V216" i="65"/>
  <c r="V267" i="65"/>
  <c r="V247" i="65"/>
  <c r="Z190" i="65"/>
  <c r="Y252" i="65"/>
  <c r="Z164" i="65"/>
  <c r="W189" i="65"/>
  <c r="X220" i="65"/>
  <c r="V218" i="65"/>
  <c r="W210" i="65"/>
  <c r="V170" i="65"/>
  <c r="X169" i="65"/>
  <c r="Z216" i="65"/>
  <c r="X253" i="65"/>
  <c r="Z215" i="65"/>
  <c r="W215" i="65"/>
  <c r="Y230" i="65"/>
  <c r="Z166" i="65"/>
  <c r="V193" i="65"/>
  <c r="W220" i="65"/>
  <c r="W247" i="65"/>
  <c r="W211" i="65"/>
  <c r="Y258" i="65"/>
  <c r="X210" i="65"/>
  <c r="W248" i="65"/>
  <c r="Y241" i="65"/>
  <c r="V253" i="65"/>
  <c r="W209" i="65"/>
  <c r="V251" i="65"/>
  <c r="Z162" i="65"/>
  <c r="Z213" i="65"/>
  <c r="V255" i="65"/>
  <c r="X217" i="65"/>
  <c r="X164" i="65"/>
  <c r="Y257" i="65"/>
  <c r="W251" i="65"/>
  <c r="V210" i="65"/>
  <c r="W190" i="65"/>
  <c r="Y249" i="65"/>
  <c r="W193" i="65"/>
  <c r="V239" i="65"/>
  <c r="V151" i="65"/>
  <c r="Y210" i="65"/>
  <c r="V157" i="65"/>
  <c r="V153" i="65"/>
  <c r="X256"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P115" i="66" s="1"/>
  <c r="L44" i="37"/>
  <c r="N54" i="66"/>
  <c r="J51" i="37"/>
  <c r="M187" i="50"/>
  <c r="P187" i="50" s="1"/>
  <c r="M194" i="50"/>
  <c r="P194" i="50" s="1"/>
  <c r="J50" i="66"/>
  <c r="J28" i="25"/>
  <c r="N195" i="50"/>
  <c r="Q195" i="50" s="1"/>
  <c r="S195" i="50" s="1"/>
  <c r="N188" i="50"/>
  <c r="Q188" i="50" s="1"/>
  <c r="S188" i="50" s="1"/>
  <c r="L50" i="42"/>
  <c r="O55" i="66"/>
  <c r="M54" i="24"/>
  <c r="N54" i="24" s="1"/>
  <c r="L51" i="66"/>
  <c r="P74" i="65"/>
  <c r="Q74" i="65"/>
  <c r="R115" i="65"/>
  <c r="R116" i="65"/>
  <c r="P59" i="65"/>
  <c r="T83" i="65"/>
  <c r="P118" i="65"/>
  <c r="S78" i="65"/>
  <c r="P78" i="65"/>
  <c r="Q80" i="65"/>
  <c r="P63" i="65"/>
  <c r="R72" i="65"/>
  <c r="S80" i="65"/>
  <c r="P131" i="65"/>
  <c r="Q131" i="65"/>
  <c r="R63" i="65"/>
  <c r="Q78" i="65"/>
  <c r="S117" i="65"/>
  <c r="Q65" i="65"/>
  <c r="Q68" i="65"/>
  <c r="T66" i="65"/>
  <c r="S76" i="65"/>
  <c r="T118" i="65"/>
  <c r="P133" i="65"/>
  <c r="S141" i="65"/>
  <c r="S127" i="65"/>
  <c r="Q76" i="65"/>
  <c r="T82" i="65"/>
  <c r="S68" i="65"/>
  <c r="Q115" i="65"/>
  <c r="P111" i="65"/>
  <c r="P115" i="65"/>
  <c r="R118" i="65"/>
  <c r="P76" i="65"/>
  <c r="P109" i="65"/>
  <c r="Q61" i="65"/>
  <c r="R66" i="65"/>
  <c r="Q63" i="65"/>
  <c r="R76" i="65"/>
  <c r="P83" i="65"/>
  <c r="Q67" i="65"/>
  <c r="Q82" i="65"/>
  <c r="R67" i="65"/>
  <c r="R71" i="65"/>
  <c r="T74" i="65"/>
  <c r="T63" i="65"/>
  <c r="P71" i="65"/>
  <c r="T71" i="65"/>
  <c r="S63" i="65"/>
  <c r="Q71" i="65"/>
  <c r="P67" i="65"/>
  <c r="S79" i="65"/>
  <c r="R141" i="65"/>
  <c r="T81" i="65"/>
  <c r="S72" i="65"/>
  <c r="S112" i="65"/>
  <c r="T111" i="65"/>
  <c r="T119" i="65"/>
  <c r="S125" i="65"/>
  <c r="Q141" i="65"/>
  <c r="R82" i="65"/>
  <c r="R68" i="65"/>
  <c r="Q85" i="65"/>
  <c r="S119" i="65"/>
  <c r="R133" i="65"/>
  <c r="T68" i="65"/>
  <c r="Q81" i="65"/>
  <c r="P85" i="65"/>
  <c r="Q118" i="65"/>
  <c r="R113" i="65"/>
  <c r="R117" i="65"/>
  <c r="S66" i="65"/>
  <c r="Q111" i="65"/>
  <c r="T79" i="65"/>
  <c r="R78" i="65"/>
  <c r="S111" i="65"/>
  <c r="P65" i="65"/>
  <c r="R119" i="65"/>
  <c r="R85" i="65"/>
  <c r="T72" i="65"/>
  <c r="P125" i="65"/>
  <c r="T80" i="65"/>
  <c r="R70" i="65"/>
  <c r="P80" i="65"/>
  <c r="T77" i="65"/>
  <c r="S77" i="65"/>
  <c r="Q79" i="65"/>
  <c r="T125" i="65"/>
  <c r="T127" i="65"/>
  <c r="Q77" i="65"/>
  <c r="R77" i="65"/>
  <c r="Q72" i="65"/>
  <c r="S71" i="65"/>
  <c r="T115" i="65"/>
  <c r="Q125" i="65"/>
  <c r="P68" i="65"/>
  <c r="P113" i="65"/>
  <c r="Q119" i="65"/>
  <c r="S113" i="65"/>
  <c r="S82" i="65"/>
  <c r="R110" i="65"/>
  <c r="T112" i="65"/>
  <c r="T117" i="65"/>
  <c r="Q110" i="65"/>
  <c r="P61" i="65"/>
  <c r="T70" i="65"/>
  <c r="P70" i="65"/>
  <c r="S83" i="65"/>
  <c r="P116" i="65"/>
  <c r="R112" i="65"/>
  <c r="Q66" i="65"/>
  <c r="T78" i="65"/>
  <c r="Q117" i="65"/>
  <c r="T65" i="65"/>
  <c r="P72" i="65"/>
  <c r="Q116" i="65"/>
  <c r="Q133" i="65"/>
  <c r="P127" i="65"/>
  <c r="P117" i="65"/>
  <c r="P119" i="65"/>
  <c r="Q113" i="65"/>
  <c r="S81" i="65"/>
  <c r="S118" i="65"/>
  <c r="S110" i="65"/>
  <c r="T113" i="65"/>
  <c r="P112" i="65"/>
  <c r="S74" i="65"/>
  <c r="R74" i="65"/>
  <c r="T131" i="65"/>
  <c r="Q84" i="65"/>
  <c r="S70" i="65"/>
  <c r="R65" i="65"/>
  <c r="P84" i="65"/>
  <c r="R79" i="65"/>
  <c r="S65" i="65"/>
  <c r="P79" i="65"/>
  <c r="P110" i="65"/>
  <c r="S67" i="65"/>
  <c r="T76" i="65"/>
  <c r="P81" i="65"/>
  <c r="T85" i="65"/>
  <c r="S116" i="65"/>
  <c r="S133" i="65"/>
  <c r="Q127" i="65"/>
  <c r="R114" i="65"/>
  <c r="R131" i="65"/>
  <c r="P77" i="65"/>
  <c r="R81" i="65"/>
  <c r="Q114" i="65"/>
  <c r="R111" i="65"/>
  <c r="R80" i="65"/>
  <c r="P114" i="65"/>
  <c r="R127" i="65"/>
  <c r="T133" i="65"/>
  <c r="T84" i="65"/>
  <c r="S84" i="65"/>
  <c r="Q83" i="65"/>
  <c r="R83" i="65"/>
  <c r="S131" i="65"/>
  <c r="P141" i="65"/>
  <c r="S115" i="65"/>
  <c r="P66" i="65"/>
  <c r="S85" i="65"/>
  <c r="R125" i="65"/>
  <c r="Q108" i="65"/>
  <c r="Q112" i="65"/>
  <c r="T114" i="65"/>
  <c r="R84" i="65"/>
  <c r="S114" i="65"/>
  <c r="R61" i="65"/>
  <c r="T67" i="65"/>
  <c r="P82" i="65"/>
  <c r="T116" i="65"/>
  <c r="P107" i="65"/>
  <c r="Q130" i="65"/>
  <c r="Q70" i="65"/>
  <c r="P108" i="65"/>
  <c r="Q142" i="65"/>
  <c r="T142" i="65"/>
  <c r="R142" i="65"/>
  <c r="R132" i="65"/>
  <c r="Q64" i="65"/>
  <c r="Q75" i="65"/>
  <c r="R69" i="65"/>
  <c r="P69" i="65"/>
  <c r="S64" i="65"/>
  <c r="T128" i="65"/>
  <c r="T124" i="65"/>
  <c r="Q69" i="65"/>
  <c r="R130" i="65"/>
  <c r="R128" i="65"/>
  <c r="T69" i="65"/>
  <c r="R109" i="65"/>
  <c r="S142" i="65"/>
  <c r="R62" i="65"/>
  <c r="P75" i="65"/>
  <c r="S62" i="65"/>
  <c r="Q128" i="65"/>
  <c r="P64" i="65"/>
  <c r="T132" i="65"/>
  <c r="Q73" i="65"/>
  <c r="S128" i="65"/>
  <c r="R124" i="65"/>
  <c r="P60" i="65"/>
  <c r="T73" i="65"/>
  <c r="Q124" i="65"/>
  <c r="Q109" i="65"/>
  <c r="S132" i="65"/>
  <c r="Q62" i="65"/>
  <c r="R73" i="65"/>
  <c r="Q60" i="65"/>
  <c r="P124" i="65"/>
  <c r="P62" i="65"/>
  <c r="T75" i="65"/>
  <c r="T64" i="65"/>
  <c r="T130" i="65"/>
  <c r="P73" i="65"/>
  <c r="S75" i="65"/>
  <c r="S69" i="65"/>
  <c r="P142" i="65"/>
  <c r="P128" i="65"/>
  <c r="P132" i="65"/>
  <c r="S73" i="65"/>
  <c r="R64" i="65"/>
  <c r="P130" i="65"/>
  <c r="Q132" i="65"/>
  <c r="S124" i="65"/>
  <c r="S130" i="65"/>
  <c r="R75" i="65"/>
  <c r="P98" i="65"/>
  <c r="Z89" i="65"/>
  <c r="Q121" i="65"/>
  <c r="S122" i="65"/>
  <c r="T95" i="65"/>
  <c r="X95" i="65"/>
  <c r="V137" i="65"/>
  <c r="S129" i="65"/>
  <c r="P129" i="65"/>
  <c r="Q129" i="65"/>
  <c r="X135" i="65"/>
  <c r="T135" i="65"/>
  <c r="V135" i="65"/>
  <c r="Y122" i="65"/>
  <c r="T120" i="65"/>
  <c r="W120" i="65"/>
  <c r="Q123" i="65"/>
  <c r="P121" i="65"/>
  <c r="R100" i="65"/>
  <c r="W91" i="65"/>
  <c r="X91" i="65"/>
  <c r="V91" i="65"/>
  <c r="W123" i="65"/>
  <c r="Z98" i="65"/>
  <c r="W93" i="65"/>
  <c r="X93" i="65"/>
  <c r="V93" i="65"/>
  <c r="P96" i="65"/>
  <c r="S96" i="65"/>
  <c r="W96" i="65"/>
  <c r="R87" i="65"/>
  <c r="S87" i="65"/>
  <c r="T87" i="65"/>
  <c r="Y89" i="65"/>
  <c r="Y61" i="65"/>
  <c r="S55" i="65"/>
  <c r="P55" i="65"/>
  <c r="Q55" i="65"/>
  <c r="Q95" i="65"/>
  <c r="W98" i="65"/>
  <c r="W135" i="65"/>
  <c r="T98" i="65"/>
  <c r="S123" i="65"/>
  <c r="Z100" i="65"/>
  <c r="Y98" i="65"/>
  <c r="R55" i="65"/>
  <c r="X137" i="65"/>
  <c r="Y137" i="65"/>
  <c r="T129" i="65"/>
  <c r="Z129" i="65"/>
  <c r="X143" i="65"/>
  <c r="P135" i="65"/>
  <c r="Z135" i="65"/>
  <c r="Z141" i="65"/>
  <c r="R135" i="65"/>
  <c r="R122" i="65"/>
  <c r="Z121" i="65"/>
  <c r="R120" i="65"/>
  <c r="Y100" i="65"/>
  <c r="T91" i="65"/>
  <c r="W103" i="65"/>
  <c r="R123" i="65"/>
  <c r="V106" i="65"/>
  <c r="S98" i="65"/>
  <c r="Q98" i="65"/>
  <c r="R93" i="65"/>
  <c r="Y93" i="65"/>
  <c r="T96" i="65"/>
  <c r="X87" i="65"/>
  <c r="P87" i="65"/>
  <c r="Y106" i="65"/>
  <c r="P89" i="65"/>
  <c r="Y95" i="65"/>
  <c r="X57" i="65"/>
  <c r="T57" i="65"/>
  <c r="V57" i="65"/>
  <c r="T61" i="65"/>
  <c r="P95" i="65"/>
  <c r="V95" i="65"/>
  <c r="X129" i="65"/>
  <c r="Y129" i="65"/>
  <c r="P143" i="65"/>
  <c r="S135" i="65"/>
  <c r="Y135" i="65"/>
  <c r="R143" i="65"/>
  <c r="T141" i="65"/>
  <c r="AF141" i="65" s="1"/>
  <c r="P122" i="65"/>
  <c r="W122" i="65"/>
  <c r="P120" i="65"/>
  <c r="X96" i="65"/>
  <c r="Z123" i="65"/>
  <c r="T121" i="65"/>
  <c r="Z120" i="65"/>
  <c r="X123" i="65"/>
  <c r="X120" i="65"/>
  <c r="Q100" i="65"/>
  <c r="S91" i="65"/>
  <c r="P91" i="65"/>
  <c r="AB91" i="65" s="1"/>
  <c r="Q91" i="65"/>
  <c r="P123" i="65"/>
  <c r="V123" i="65"/>
  <c r="Z110" i="65"/>
  <c r="T137" i="65"/>
  <c r="V129" i="65"/>
  <c r="Q143" i="65"/>
  <c r="W137" i="65"/>
  <c r="R121" i="65"/>
  <c r="S100" i="65"/>
  <c r="P100" i="65"/>
  <c r="Y123" i="65"/>
  <c r="Q122" i="65"/>
  <c r="Z91" i="65"/>
  <c r="X98" i="65"/>
  <c r="S93" i="65"/>
  <c r="P93" i="65"/>
  <c r="AB93" i="65" s="1"/>
  <c r="Y96" i="65"/>
  <c r="Q96" i="65"/>
  <c r="W87" i="65"/>
  <c r="Q87" i="65"/>
  <c r="W95" i="65"/>
  <c r="W74" i="65"/>
  <c r="Q57" i="65"/>
  <c r="V55" i="65"/>
  <c r="Z95" i="65"/>
  <c r="V96" i="65"/>
  <c r="Z87" i="65"/>
  <c r="Q93" i="65"/>
  <c r="S120" i="65"/>
  <c r="Z104" i="65"/>
  <c r="W106" i="65"/>
  <c r="T106" i="65"/>
  <c r="R96" i="65"/>
  <c r="V143" i="65"/>
  <c r="Q135" i="65"/>
  <c r="T122" i="65"/>
  <c r="Y120" i="65"/>
  <c r="Z107" i="65"/>
  <c r="W121" i="65"/>
  <c r="X121" i="65"/>
  <c r="X100" i="65"/>
  <c r="V100" i="65"/>
  <c r="X103" i="65"/>
  <c r="V121" i="65"/>
  <c r="V119" i="65"/>
  <c r="X99" i="65"/>
  <c r="V87" i="65"/>
  <c r="R106" i="65"/>
  <c r="R98" i="65"/>
  <c r="R89" i="65"/>
  <c r="S89" i="65"/>
  <c r="AE89" i="65" s="1"/>
  <c r="T89" i="65"/>
  <c r="S95" i="65"/>
  <c r="P57" i="65"/>
  <c r="Z57" i="65"/>
  <c r="W57" i="65"/>
  <c r="T55" i="65"/>
  <c r="Z55" i="65"/>
  <c r="Z93" i="65"/>
  <c r="Q89" i="65"/>
  <c r="S121" i="65"/>
  <c r="Z61" i="65"/>
  <c r="R129" i="65"/>
  <c r="Z137" i="65"/>
  <c r="S143" i="65"/>
  <c r="W129" i="65"/>
  <c r="X107" i="65"/>
  <c r="Q120" i="65"/>
  <c r="X122" i="65"/>
  <c r="R91" i="65"/>
  <c r="AD91" i="65" s="1"/>
  <c r="Q103" i="65"/>
  <c r="T103" i="65"/>
  <c r="T110" i="65"/>
  <c r="V99" i="65"/>
  <c r="X106" i="65"/>
  <c r="Z97" i="65"/>
  <c r="Z96" i="65"/>
  <c r="Y87" i="65"/>
  <c r="Y102" i="65"/>
  <c r="W89" i="65"/>
  <c r="X89" i="65"/>
  <c r="V89" i="65"/>
  <c r="V74" i="65"/>
  <c r="S57" i="65"/>
  <c r="Y57" i="65"/>
  <c r="S61" i="65"/>
  <c r="X55" i="65"/>
  <c r="Y55" i="65"/>
  <c r="T100" i="65"/>
  <c r="AF100" i="65" s="1"/>
  <c r="T143" i="65"/>
  <c r="Y121" i="65"/>
  <c r="W100" i="65"/>
  <c r="Y91" i="65"/>
  <c r="V103" i="65"/>
  <c r="P103" i="65"/>
  <c r="T123" i="65"/>
  <c r="Z122" i="65"/>
  <c r="V122" i="65"/>
  <c r="V120" i="65"/>
  <c r="Z99" i="65"/>
  <c r="V98" i="65"/>
  <c r="T93" i="65"/>
  <c r="X97" i="65"/>
  <c r="R95" i="65"/>
  <c r="R57" i="65"/>
  <c r="X76" i="65"/>
  <c r="Y141" i="65"/>
  <c r="X102" i="65"/>
  <c r="Z108" i="65"/>
  <c r="W77" i="65"/>
  <c r="S99" i="65"/>
  <c r="W78" i="65"/>
  <c r="Z139" i="65"/>
  <c r="R103" i="65"/>
  <c r="Z106" i="65"/>
  <c r="Q106" i="65"/>
  <c r="W55" i="65"/>
  <c r="Q53" i="65"/>
  <c r="W104" i="65"/>
  <c r="Q97" i="65"/>
  <c r="P104" i="65"/>
  <c r="R102" i="65"/>
  <c r="R108" i="65"/>
  <c r="V114" i="65"/>
  <c r="V116" i="65"/>
  <c r="X139" i="65"/>
  <c r="Z53" i="65"/>
  <c r="Q104" i="65"/>
  <c r="T53" i="65"/>
  <c r="P139" i="65"/>
  <c r="X141" i="65"/>
  <c r="X80" i="65"/>
  <c r="Y59" i="65"/>
  <c r="S59" i="65"/>
  <c r="Y84" i="65"/>
  <c r="W83" i="65"/>
  <c r="X84" i="65"/>
  <c r="Y114" i="65"/>
  <c r="R97" i="65"/>
  <c r="AD97" i="65" s="1"/>
  <c r="W79" i="65"/>
  <c r="V111" i="65"/>
  <c r="R53" i="65"/>
  <c r="W115" i="65"/>
  <c r="V79" i="65"/>
  <c r="V59" i="65"/>
  <c r="V83" i="65"/>
  <c r="Z79" i="65"/>
  <c r="X116" i="65"/>
  <c r="X125" i="65"/>
  <c r="Y131" i="65"/>
  <c r="Y58" i="65"/>
  <c r="V140" i="65"/>
  <c r="W140" i="65"/>
  <c r="X140" i="65"/>
  <c r="T140" i="65"/>
  <c r="Z62" i="65"/>
  <c r="Z72" i="65"/>
  <c r="W66" i="65"/>
  <c r="Y86" i="65"/>
  <c r="Z86" i="65"/>
  <c r="W86" i="65"/>
  <c r="Y94" i="65"/>
  <c r="Z94" i="65"/>
  <c r="Z77" i="65"/>
  <c r="W110" i="65"/>
  <c r="X113" i="65"/>
  <c r="X117" i="65"/>
  <c r="T126" i="65"/>
  <c r="T134" i="65"/>
  <c r="T88" i="65"/>
  <c r="V88" i="65"/>
  <c r="W114" i="65"/>
  <c r="Y125" i="65"/>
  <c r="S101" i="65"/>
  <c r="T101" i="65"/>
  <c r="Q54" i="65"/>
  <c r="R54" i="65"/>
  <c r="S54" i="65"/>
  <c r="T54" i="65"/>
  <c r="T92" i="65"/>
  <c r="V92" i="65"/>
  <c r="T90" i="65"/>
  <c r="V90" i="65"/>
  <c r="V113" i="65"/>
  <c r="Q105" i="65"/>
  <c r="R105" i="65"/>
  <c r="Y105" i="65"/>
  <c r="Z119" i="65"/>
  <c r="V136" i="65"/>
  <c r="W136" i="65"/>
  <c r="X136" i="65"/>
  <c r="Z113" i="65"/>
  <c r="V82" i="65"/>
  <c r="Z56" i="65"/>
  <c r="T56" i="65"/>
  <c r="R60" i="65"/>
  <c r="X60" i="65"/>
  <c r="S60" i="65"/>
  <c r="V67" i="65"/>
  <c r="X72" i="65"/>
  <c r="Z127" i="65"/>
  <c r="P102" i="65"/>
  <c r="W133" i="65"/>
  <c r="Q107" i="65"/>
  <c r="Z78" i="65"/>
  <c r="Z103" i="65"/>
  <c r="Y81" i="65"/>
  <c r="Y143" i="65"/>
  <c r="X53" i="65"/>
  <c r="P106" i="65"/>
  <c r="S53" i="65"/>
  <c r="S97" i="65"/>
  <c r="Y78" i="65"/>
  <c r="S102" i="65"/>
  <c r="P53" i="65"/>
  <c r="Y74" i="65"/>
  <c r="S108" i="65"/>
  <c r="Q137" i="65"/>
  <c r="Y104" i="65"/>
  <c r="X127" i="65"/>
  <c r="V115" i="65"/>
  <c r="V80" i="65"/>
  <c r="X85" i="65"/>
  <c r="Z84" i="65"/>
  <c r="W85" i="65"/>
  <c r="V84" i="65"/>
  <c r="Z131" i="65"/>
  <c r="P99" i="65"/>
  <c r="Y99" i="65"/>
  <c r="Y115" i="65"/>
  <c r="R139" i="65"/>
  <c r="Z125" i="65"/>
  <c r="X65" i="65"/>
  <c r="X71" i="65"/>
  <c r="W119" i="65"/>
  <c r="X131" i="65"/>
  <c r="W59" i="65"/>
  <c r="Q58" i="65"/>
  <c r="R58" i="65"/>
  <c r="S58" i="65"/>
  <c r="P58" i="65"/>
  <c r="Q140" i="65"/>
  <c r="Z65" i="65"/>
  <c r="T62" i="65"/>
  <c r="AF62" i="65" s="1"/>
  <c r="Y67" i="65"/>
  <c r="X68" i="65"/>
  <c r="Y71" i="65"/>
  <c r="Z82" i="65"/>
  <c r="S86" i="65"/>
  <c r="T94" i="65"/>
  <c r="S94" i="65"/>
  <c r="R94" i="65"/>
  <c r="Z116" i="65"/>
  <c r="Z126" i="65"/>
  <c r="W126" i="65"/>
  <c r="X126" i="65"/>
  <c r="Y126" i="65"/>
  <c r="S88" i="65"/>
  <c r="X88" i="65"/>
  <c r="V101" i="65"/>
  <c r="X101" i="65"/>
  <c r="V54" i="65"/>
  <c r="Q92" i="65"/>
  <c r="S90" i="65"/>
  <c r="X90" i="65"/>
  <c r="V105" i="65"/>
  <c r="T105" i="65"/>
  <c r="S136" i="65"/>
  <c r="Y110" i="65"/>
  <c r="Y113" i="65"/>
  <c r="W117" i="65"/>
  <c r="W76" i="65"/>
  <c r="V81" i="65"/>
  <c r="Y60" i="65"/>
  <c r="X67" i="65"/>
  <c r="W84" i="65"/>
  <c r="Z114" i="65"/>
  <c r="Q138" i="65"/>
  <c r="R138" i="65"/>
  <c r="S138" i="65"/>
  <c r="T138" i="65"/>
  <c r="V110" i="65"/>
  <c r="Z111" i="65"/>
  <c r="Y133" i="65"/>
  <c r="W102" i="65"/>
  <c r="T108" i="65"/>
  <c r="T107" i="65"/>
  <c r="W143" i="65"/>
  <c r="S106" i="65"/>
  <c r="Z143" i="65"/>
  <c r="Y82" i="65"/>
  <c r="X104" i="65"/>
  <c r="V97" i="65"/>
  <c r="T97" i="65"/>
  <c r="Y97" i="65"/>
  <c r="Q102" i="65"/>
  <c r="P137" i="65"/>
  <c r="X108" i="65"/>
  <c r="Q99" i="65"/>
  <c r="W113" i="65"/>
  <c r="Z74" i="65"/>
  <c r="V78" i="65"/>
  <c r="V102" i="65"/>
  <c r="W53" i="65"/>
  <c r="W107" i="65"/>
  <c r="V141" i="65"/>
  <c r="R104" i="65"/>
  <c r="Q139" i="65"/>
  <c r="V104" i="65"/>
  <c r="X59" i="65"/>
  <c r="X133" i="65"/>
  <c r="T59" i="65"/>
  <c r="X63" i="65"/>
  <c r="Y85" i="65"/>
  <c r="X118" i="65"/>
  <c r="V118" i="65"/>
  <c r="V133" i="65"/>
  <c r="W125" i="65"/>
  <c r="Q59" i="65"/>
  <c r="V58" i="65"/>
  <c r="S140" i="65"/>
  <c r="P140" i="65"/>
  <c r="Y65" i="65"/>
  <c r="T86" i="65"/>
  <c r="W94" i="65"/>
  <c r="Z112" i="65"/>
  <c r="V126" i="65"/>
  <c r="P126" i="65"/>
  <c r="Z134" i="65"/>
  <c r="Y88" i="65"/>
  <c r="Q101" i="65"/>
  <c r="X54" i="65"/>
  <c r="Z92" i="65"/>
  <c r="W92" i="65"/>
  <c r="P90" i="65"/>
  <c r="AB90" i="65" s="1"/>
  <c r="Z90" i="65"/>
  <c r="V117" i="65"/>
  <c r="P105" i="65"/>
  <c r="AB105" i="65" s="1"/>
  <c r="T136" i="65"/>
  <c r="Y111" i="65"/>
  <c r="Y117" i="65"/>
  <c r="W141" i="65"/>
  <c r="Z109" i="65"/>
  <c r="T109" i="65"/>
  <c r="W61" i="65"/>
  <c r="X81" i="65"/>
  <c r="W63" i="65"/>
  <c r="V68" i="65"/>
  <c r="V66" i="65"/>
  <c r="X115" i="65"/>
  <c r="W138" i="65"/>
  <c r="Y127" i="65"/>
  <c r="Y63" i="65"/>
  <c r="T102" i="65"/>
  <c r="S107" i="65"/>
  <c r="Y103" i="65"/>
  <c r="Z68" i="65"/>
  <c r="Y139" i="65"/>
  <c r="S104" i="65"/>
  <c r="AE104" i="65" s="1"/>
  <c r="AQ104" i="65" s="1"/>
  <c r="V139" i="65"/>
  <c r="S139" i="65"/>
  <c r="T104" i="65"/>
  <c r="AF104" i="65" s="1"/>
  <c r="AR104" i="65" s="1"/>
  <c r="Z80" i="65"/>
  <c r="Y70" i="65"/>
  <c r="R59" i="65"/>
  <c r="W80" i="65"/>
  <c r="X114" i="65"/>
  <c r="V112" i="65"/>
  <c r="X79" i="65"/>
  <c r="W111" i="65"/>
  <c r="Z58" i="65"/>
  <c r="R140" i="65"/>
  <c r="V71" i="65"/>
  <c r="Z81" i="65"/>
  <c r="Q94" i="65"/>
  <c r="R88" i="65"/>
  <c r="W118" i="65"/>
  <c r="Y66" i="65"/>
  <c r="Z101" i="65"/>
  <c r="Y101" i="65"/>
  <c r="P101" i="65"/>
  <c r="W54" i="65"/>
  <c r="P54" i="65"/>
  <c r="P92" i="65"/>
  <c r="R92" i="65"/>
  <c r="Y90" i="65"/>
  <c r="X105" i="65"/>
  <c r="R136" i="65"/>
  <c r="Y136" i="65"/>
  <c r="Y112" i="65"/>
  <c r="Y109" i="65"/>
  <c r="Z76" i="65"/>
  <c r="X82" i="65"/>
  <c r="R56" i="65"/>
  <c r="S56" i="65"/>
  <c r="P56" i="65"/>
  <c r="Z63" i="65"/>
  <c r="T60" i="65"/>
  <c r="Y72" i="65"/>
  <c r="V138" i="65"/>
  <c r="V63" i="65"/>
  <c r="Y107" i="65"/>
  <c r="V70" i="65"/>
  <c r="W131" i="65"/>
  <c r="R107" i="65"/>
  <c r="T139" i="65"/>
  <c r="Y53" i="65"/>
  <c r="V53" i="65"/>
  <c r="W68" i="65"/>
  <c r="Y77" i="65"/>
  <c r="Z83" i="65"/>
  <c r="X83" i="65"/>
  <c r="V85" i="65"/>
  <c r="P97" i="65"/>
  <c r="T99" i="65"/>
  <c r="X112" i="65"/>
  <c r="W139" i="65"/>
  <c r="Y119" i="65"/>
  <c r="V77" i="65"/>
  <c r="W127" i="65"/>
  <c r="Z59" i="65"/>
  <c r="X58" i="65"/>
  <c r="T58" i="65"/>
  <c r="Z117" i="65"/>
  <c r="V65" i="65"/>
  <c r="V72" i="65"/>
  <c r="Q86" i="65"/>
  <c r="R86" i="65"/>
  <c r="V94" i="65"/>
  <c r="S126" i="65"/>
  <c r="Q134" i="65"/>
  <c r="R134" i="65"/>
  <c r="S134" i="65"/>
  <c r="Y134" i="65"/>
  <c r="Q88" i="65"/>
  <c r="W88" i="65"/>
  <c r="W82" i="65"/>
  <c r="W101" i="65"/>
  <c r="Y68" i="65"/>
  <c r="Y92" i="65"/>
  <c r="S92" i="65"/>
  <c r="X92" i="65"/>
  <c r="R90" i="65"/>
  <c r="Z115" i="65"/>
  <c r="Q136" i="65"/>
  <c r="P136" i="65"/>
  <c r="Y79" i="65"/>
  <c r="Z66" i="65"/>
  <c r="Q56" i="65"/>
  <c r="W56" i="65"/>
  <c r="X56" i="65"/>
  <c r="Z60" i="65"/>
  <c r="Z71" i="65"/>
  <c r="Y83" i="65"/>
  <c r="W108" i="65"/>
  <c r="Z118" i="65"/>
  <c r="Z138" i="65"/>
  <c r="Y138" i="65"/>
  <c r="W116" i="65"/>
  <c r="V125" i="65"/>
  <c r="Y108" i="65"/>
  <c r="R99" i="65"/>
  <c r="S103" i="65"/>
  <c r="S137" i="65"/>
  <c r="X78" i="65"/>
  <c r="Z102" i="65"/>
  <c r="X74" i="65"/>
  <c r="V131" i="65"/>
  <c r="W70" i="65"/>
  <c r="X61" i="65"/>
  <c r="Y80" i="65"/>
  <c r="W97" i="65"/>
  <c r="AC97" i="65" s="1"/>
  <c r="W99" i="65"/>
  <c r="Y118" i="65"/>
  <c r="W65" i="65"/>
  <c r="V127" i="65"/>
  <c r="W58" i="65"/>
  <c r="W72" i="65"/>
  <c r="P94" i="65"/>
  <c r="X77" i="65"/>
  <c r="X134" i="65"/>
  <c r="Z88" i="65"/>
  <c r="R101" i="65"/>
  <c r="Y54" i="65"/>
  <c r="Q90" i="65"/>
  <c r="Y76" i="65"/>
  <c r="Y56" i="65"/>
  <c r="W71" i="65"/>
  <c r="X138" i="65"/>
  <c r="Z133" i="65"/>
  <c r="Y140" i="65"/>
  <c r="V86" i="65"/>
  <c r="X86" i="65"/>
  <c r="X94" i="65"/>
  <c r="W134" i="65"/>
  <c r="X110" i="65"/>
  <c r="S109" i="65"/>
  <c r="V56" i="65"/>
  <c r="V107" i="65"/>
  <c r="Z67" i="65"/>
  <c r="X111" i="65"/>
  <c r="V76" i="65"/>
  <c r="X66" i="65"/>
  <c r="R126" i="65"/>
  <c r="P88" i="65"/>
  <c r="Z54" i="65"/>
  <c r="W81" i="65"/>
  <c r="Z85" i="65"/>
  <c r="S105" i="65"/>
  <c r="W105" i="65"/>
  <c r="Z136" i="65"/>
  <c r="Y116" i="65"/>
  <c r="W112" i="65"/>
  <c r="V61" i="65"/>
  <c r="R137" i="65"/>
  <c r="Z140" i="65"/>
  <c r="W67" i="65"/>
  <c r="P86" i="65"/>
  <c r="Q126" i="65"/>
  <c r="AC126" i="65" s="1"/>
  <c r="V134" i="65"/>
  <c r="P134" i="65"/>
  <c r="W90" i="65"/>
  <c r="Z105" i="65"/>
  <c r="X119" i="65"/>
  <c r="P138" i="65"/>
  <c r="Z142" i="65"/>
  <c r="X64" i="65"/>
  <c r="W69" i="65"/>
  <c r="Z130" i="65"/>
  <c r="X130" i="65"/>
  <c r="W109" i="65"/>
  <c r="X124" i="65"/>
  <c r="Z64" i="65"/>
  <c r="Y75" i="65"/>
  <c r="X70" i="65"/>
  <c r="V108" i="65"/>
  <c r="V109" i="65"/>
  <c r="V64" i="65"/>
  <c r="X142" i="65"/>
  <c r="W60" i="65"/>
  <c r="V142" i="65"/>
  <c r="Y130" i="65"/>
  <c r="Y132" i="65"/>
  <c r="Y128" i="65"/>
  <c r="Y62" i="65"/>
  <c r="W130" i="65"/>
  <c r="X73" i="65"/>
  <c r="W128" i="65"/>
  <c r="W124" i="65"/>
  <c r="W75" i="65"/>
  <c r="X109" i="65"/>
  <c r="V75" i="65"/>
  <c r="V128" i="65"/>
  <c r="V62" i="65"/>
  <c r="Z70" i="65"/>
  <c r="Y64" i="65"/>
  <c r="W142" i="65"/>
  <c r="V60" i="65"/>
  <c r="V132" i="65"/>
  <c r="V73" i="65"/>
  <c r="V130" i="65"/>
  <c r="W73" i="65"/>
  <c r="X128" i="65"/>
  <c r="Z75" i="65"/>
  <c r="V124" i="65"/>
  <c r="Z69" i="65"/>
  <c r="X132" i="65"/>
  <c r="X62" i="65"/>
  <c r="Z132" i="65"/>
  <c r="W64" i="65"/>
  <c r="Y142" i="65"/>
  <c r="Z124" i="65"/>
  <c r="Z73" i="65"/>
  <c r="Z128" i="65"/>
  <c r="W132" i="65"/>
  <c r="V69" i="65"/>
  <c r="Y73" i="65"/>
  <c r="Y69" i="65"/>
  <c r="Y124" i="65"/>
  <c r="W62" i="65"/>
  <c r="X75" i="65"/>
  <c r="X69" i="65"/>
  <c r="N52" i="65"/>
  <c r="W52" i="65" s="1"/>
  <c r="N43" i="42"/>
  <c r="M44" i="50"/>
  <c r="L43" i="50"/>
  <c r="O40" i="24"/>
  <c r="K42" i="37" s="1"/>
  <c r="N52" i="42"/>
  <c r="M31" i="25"/>
  <c r="J48" i="42"/>
  <c r="O57" i="24"/>
  <c r="K49" i="42"/>
  <c r="M51" i="42"/>
  <c r="M55" i="24"/>
  <c r="I47" i="42"/>
  <c r="Q59" i="24"/>
  <c r="N56" i="24"/>
  <c r="J50" i="37" s="1"/>
  <c r="K53" i="24"/>
  <c r="K28" i="25" s="1"/>
  <c r="K41" i="50"/>
  <c r="O39" i="24"/>
  <c r="K41" i="37" s="1"/>
  <c r="Q42" i="24"/>
  <c r="I42" i="65"/>
  <c r="P58" i="24"/>
  <c r="L52" i="37" s="1"/>
  <c r="L52" i="50"/>
  <c r="K51" i="50"/>
  <c r="J52" i="24"/>
  <c r="J27" i="25" s="1"/>
  <c r="J38" i="42"/>
  <c r="J39" i="42"/>
  <c r="K40" i="42"/>
  <c r="M18" i="25"/>
  <c r="P22" i="25"/>
  <c r="O21" i="25"/>
  <c r="N19" i="25"/>
  <c r="L30" i="25"/>
  <c r="Q35" i="25"/>
  <c r="N32" i="25"/>
  <c r="I49" i="50"/>
  <c r="N54" i="50"/>
  <c r="M53" i="50"/>
  <c r="L45" i="65"/>
  <c r="K44" i="65"/>
  <c r="P41" i="24"/>
  <c r="J43" i="65"/>
  <c r="J50" i="50"/>
  <c r="I38" i="42"/>
  <c r="K39" i="42"/>
  <c r="L41" i="42"/>
  <c r="M42" i="42"/>
  <c r="L18" i="25"/>
  <c r="Q23" i="25"/>
  <c r="N20" i="25"/>
  <c r="M19" i="25"/>
  <c r="P34" i="25"/>
  <c r="O33" i="25"/>
  <c r="I40" i="50"/>
  <c r="N45" i="50"/>
  <c r="K42" i="50"/>
  <c r="J41" i="50"/>
  <c r="I21" i="32"/>
  <c r="J21" i="32"/>
  <c r="I22" i="32"/>
  <c r="J22" i="32"/>
  <c r="I23" i="32"/>
  <c r="J23" i="32"/>
  <c r="I24" i="32"/>
  <c r="J24" i="32"/>
  <c r="I25" i="32"/>
  <c r="J25" i="32"/>
  <c r="I26" i="32"/>
  <c r="J26" i="32"/>
  <c r="I29" i="32"/>
  <c r="J29" i="32"/>
  <c r="I34" i="32"/>
  <c r="J34" i="32"/>
  <c r="E1209" i="40"/>
  <c r="CE237" i="53"/>
  <c r="CF237" i="53"/>
  <c r="CG237" i="53"/>
  <c r="CH237" i="53"/>
  <c r="CD237" i="53"/>
  <c r="CC13" i="40" s="1"/>
  <c r="AF450" i="65" l="1"/>
  <c r="AC415" i="65"/>
  <c r="AC418" i="65"/>
  <c r="AF409" i="65"/>
  <c r="AD405" i="65"/>
  <c r="AD472" i="65"/>
  <c r="AB446" i="65"/>
  <c r="AC473" i="65"/>
  <c r="AF407" i="65"/>
  <c r="AF413" i="65"/>
  <c r="AE450" i="65"/>
  <c r="AD484" i="65"/>
  <c r="AF484" i="65"/>
  <c r="AE513" i="65"/>
  <c r="AB398" i="65"/>
  <c r="AB479" i="65"/>
  <c r="AN479" i="65" s="1"/>
  <c r="AD509" i="65"/>
  <c r="AP509" i="65" s="1"/>
  <c r="AB389" i="65"/>
  <c r="AN389" i="65" s="1"/>
  <c r="AD462" i="65"/>
  <c r="AB388" i="65"/>
  <c r="AN388" i="65" s="1"/>
  <c r="AF392" i="65"/>
  <c r="AR392" i="65" s="1"/>
  <c r="AD428" i="65"/>
  <c r="AP428" i="65" s="1"/>
  <c r="AF430" i="65"/>
  <c r="AR430" i="65" s="1"/>
  <c r="AC466" i="65"/>
  <c r="AO466" i="65" s="1"/>
  <c r="AD390" i="65"/>
  <c r="AP390" i="65" s="1"/>
  <c r="AB426" i="65"/>
  <c r="AN426" i="65" s="1"/>
  <c r="AC512" i="65"/>
  <c r="AF444" i="65"/>
  <c r="AE398" i="65"/>
  <c r="AB448" i="65"/>
  <c r="AH448" i="65" s="1"/>
  <c r="AN448" i="65" s="1"/>
  <c r="AE414" i="65"/>
  <c r="AB422" i="65"/>
  <c r="AN422" i="65" s="1"/>
  <c r="AD423" i="65"/>
  <c r="AP423" i="65" s="1"/>
  <c r="AC476" i="65"/>
  <c r="AO476" i="65" s="1"/>
  <c r="AC479" i="65"/>
  <c r="AO479" i="65" s="1"/>
  <c r="AE465" i="65"/>
  <c r="AQ465" i="65" s="1"/>
  <c r="AE393" i="65"/>
  <c r="AQ393" i="65" s="1"/>
  <c r="AD469" i="65"/>
  <c r="AP469" i="65" s="1"/>
  <c r="AF388" i="65"/>
  <c r="AR388" i="65" s="1"/>
  <c r="AD427" i="65"/>
  <c r="AP427" i="65" s="1"/>
  <c r="AF422" i="65"/>
  <c r="AR422" i="65" s="1"/>
  <c r="AB475" i="65"/>
  <c r="AN475" i="65" s="1"/>
  <c r="AD463" i="65"/>
  <c r="AP463" i="65" s="1"/>
  <c r="AC432" i="65"/>
  <c r="AO432" i="65" s="1"/>
  <c r="AC453" i="65"/>
  <c r="AB415" i="65"/>
  <c r="AH415" i="65" s="1"/>
  <c r="AI415" i="65" s="1"/>
  <c r="AO415" i="65" s="1"/>
  <c r="AB450" i="65"/>
  <c r="AH450" i="65" s="1"/>
  <c r="AF432" i="65"/>
  <c r="AR432" i="65" s="1"/>
  <c r="AD394" i="65"/>
  <c r="AP394" i="65" s="1"/>
  <c r="AC478" i="65"/>
  <c r="AO478" i="65" s="1"/>
  <c r="AD510" i="65"/>
  <c r="AP510" i="65" s="1"/>
  <c r="AC510" i="65"/>
  <c r="AO510" i="65" s="1"/>
  <c r="AE344" i="65"/>
  <c r="AE314" i="65"/>
  <c r="AC349" i="65"/>
  <c r="AE451" i="65"/>
  <c r="AE406" i="65"/>
  <c r="AF451" i="65"/>
  <c r="AB406" i="65"/>
  <c r="AH406" i="65" s="1"/>
  <c r="AN406" i="65" s="1"/>
  <c r="AD384" i="65"/>
  <c r="AE445" i="65"/>
  <c r="AB384" i="65"/>
  <c r="AH384" i="65" s="1"/>
  <c r="AD400" i="65"/>
  <c r="AD443" i="65"/>
  <c r="AC404" i="65"/>
  <c r="AF425" i="65"/>
  <c r="AR425" i="65" s="1"/>
  <c r="AD425" i="65"/>
  <c r="AP425" i="65" s="1"/>
  <c r="AF515" i="65"/>
  <c r="AE511" i="65"/>
  <c r="AD519" i="65"/>
  <c r="AC384" i="65"/>
  <c r="AD284" i="65"/>
  <c r="AC320" i="65"/>
  <c r="AE367" i="65"/>
  <c r="AE416" i="65"/>
  <c r="AC442" i="65"/>
  <c r="AE453" i="65"/>
  <c r="AF416" i="65"/>
  <c r="AF401" i="65"/>
  <c r="AB396" i="65"/>
  <c r="AH396" i="65" s="1"/>
  <c r="AN396" i="65" s="1"/>
  <c r="AD417" i="65"/>
  <c r="AD456" i="65"/>
  <c r="AB510" i="65"/>
  <c r="AN510" i="65" s="1"/>
  <c r="AE288" i="65"/>
  <c r="AB473" i="65"/>
  <c r="AB393" i="65"/>
  <c r="AN393" i="65" s="1"/>
  <c r="AD395" i="65"/>
  <c r="AP395" i="65" s="1"/>
  <c r="AE443" i="65"/>
  <c r="AQ443" i="65" s="1"/>
  <c r="AE417" i="65"/>
  <c r="AF431" i="65"/>
  <c r="AR431" i="65" s="1"/>
  <c r="AD438" i="65"/>
  <c r="AP438" i="65" s="1"/>
  <c r="AD385" i="65"/>
  <c r="AP385" i="65" s="1"/>
  <c r="AD436" i="65"/>
  <c r="AP436" i="65" s="1"/>
  <c r="AD464" i="65"/>
  <c r="AP464" i="65" s="1"/>
  <c r="AB476" i="65"/>
  <c r="AN476" i="65" s="1"/>
  <c r="AC424" i="65"/>
  <c r="AO424" i="65" s="1"/>
  <c r="AD477" i="65"/>
  <c r="AP477" i="65" s="1"/>
  <c r="AF390" i="65"/>
  <c r="AR390" i="65" s="1"/>
  <c r="AC426" i="65"/>
  <c r="AO426" i="65" s="1"/>
  <c r="AD434" i="65"/>
  <c r="AP434" i="65" s="1"/>
  <c r="AF434" i="65"/>
  <c r="AR434" i="65" s="1"/>
  <c r="AD466" i="65"/>
  <c r="AP466" i="65" s="1"/>
  <c r="AC430" i="65"/>
  <c r="AO430" i="65" s="1"/>
  <c r="AB511" i="65"/>
  <c r="AF511" i="65"/>
  <c r="AE468" i="65"/>
  <c r="AQ468" i="65" s="1"/>
  <c r="AB356" i="65"/>
  <c r="AC351" i="65"/>
  <c r="AB292" i="65"/>
  <c r="AH292" i="65" s="1"/>
  <c r="AD365" i="65"/>
  <c r="AD339" i="65"/>
  <c r="AD471" i="65"/>
  <c r="AC455" i="65"/>
  <c r="AF457" i="65"/>
  <c r="AE457" i="65"/>
  <c r="AC398" i="65"/>
  <c r="AE419" i="65"/>
  <c r="AC419" i="65"/>
  <c r="AC450" i="65"/>
  <c r="AF449" i="65"/>
  <c r="AC481" i="65"/>
  <c r="AE415" i="65"/>
  <c r="AF452" i="65"/>
  <c r="AE409" i="65"/>
  <c r="AB452" i="65"/>
  <c r="AH452" i="65" s="1"/>
  <c r="AB397" i="65"/>
  <c r="AH397" i="65" s="1"/>
  <c r="AN397" i="65" s="1"/>
  <c r="AB480" i="65"/>
  <c r="AD420" i="65"/>
  <c r="AP420" i="65" s="1"/>
  <c r="AB465" i="65"/>
  <c r="AN465" i="65" s="1"/>
  <c r="AD429" i="65"/>
  <c r="AP429" i="65" s="1"/>
  <c r="AB435" i="65"/>
  <c r="AN435" i="65" s="1"/>
  <c r="AE428" i="65"/>
  <c r="AQ428" i="65" s="1"/>
  <c r="AF464" i="65"/>
  <c r="AR464" i="65" s="1"/>
  <c r="AD424" i="65"/>
  <c r="AP424" i="65" s="1"/>
  <c r="AE470" i="65"/>
  <c r="AQ470" i="65" s="1"/>
  <c r="AB512" i="65"/>
  <c r="AD516" i="65"/>
  <c r="AH513" i="65"/>
  <c r="AI513" i="65" s="1"/>
  <c r="AC515" i="65"/>
  <c r="AF512" i="65"/>
  <c r="AE519" i="65"/>
  <c r="AF509" i="65"/>
  <c r="AR509" i="65" s="1"/>
  <c r="AD518" i="65"/>
  <c r="AP518" i="65" s="1"/>
  <c r="AD508" i="65"/>
  <c r="AP508" i="65" s="1"/>
  <c r="AC518" i="65"/>
  <c r="AO518" i="65" s="1"/>
  <c r="AF518" i="65"/>
  <c r="AR518" i="65" s="1"/>
  <c r="AB417" i="65"/>
  <c r="AH417" i="65" s="1"/>
  <c r="AN417" i="65" s="1"/>
  <c r="AF475" i="65"/>
  <c r="AR475" i="65" s="1"/>
  <c r="AB315" i="65"/>
  <c r="AH315" i="65" s="1"/>
  <c r="AD315" i="65"/>
  <c r="AB297" i="65"/>
  <c r="AF376" i="65"/>
  <c r="AB340" i="65"/>
  <c r="AH340" i="65" s="1"/>
  <c r="AB350" i="65"/>
  <c r="AH350" i="65" s="1"/>
  <c r="AF279" i="65"/>
  <c r="AB361" i="65"/>
  <c r="AH361" i="65" s="1"/>
  <c r="AC355" i="65"/>
  <c r="AE342" i="65"/>
  <c r="AB348" i="65"/>
  <c r="AH348" i="65" s="1"/>
  <c r="AD311" i="65"/>
  <c r="AC344" i="65"/>
  <c r="AE418" i="65"/>
  <c r="AC461" i="65"/>
  <c r="AD473" i="65"/>
  <c r="AE455" i="65"/>
  <c r="AB418" i="65"/>
  <c r="AH418" i="65" s="1"/>
  <c r="AI418" i="65" s="1"/>
  <c r="AF399" i="65"/>
  <c r="AF472" i="65"/>
  <c r="AF454" i="65"/>
  <c r="AD398" i="65"/>
  <c r="AD442" i="65"/>
  <c r="AP442" i="65" s="1"/>
  <c r="AD404" i="65"/>
  <c r="AE408" i="65"/>
  <c r="AF415" i="65"/>
  <c r="AF412" i="65"/>
  <c r="AF446" i="65"/>
  <c r="AF417" i="65"/>
  <c r="AF418" i="65"/>
  <c r="AE484" i="65"/>
  <c r="AB394" i="65"/>
  <c r="AH394" i="65" s="1"/>
  <c r="AN394" i="65" s="1"/>
  <c r="AF460" i="65"/>
  <c r="AC417" i="65"/>
  <c r="AE403" i="65"/>
  <c r="AB482" i="65"/>
  <c r="AH482" i="65" s="1"/>
  <c r="AC413" i="65"/>
  <c r="AB443" i="65"/>
  <c r="AH443" i="65" s="1"/>
  <c r="AI443" i="65" s="1"/>
  <c r="AB462" i="65"/>
  <c r="AC457" i="65"/>
  <c r="AB445" i="65"/>
  <c r="AH445" i="65" s="1"/>
  <c r="AB420" i="65"/>
  <c r="AN420" i="65" s="1"/>
  <c r="AC388" i="65"/>
  <c r="AO388" i="65" s="1"/>
  <c r="AD411" i="65"/>
  <c r="AC463" i="65"/>
  <c r="AO463" i="65" s="1"/>
  <c r="AE437" i="65"/>
  <c r="AQ437" i="65" s="1"/>
  <c r="AD392" i="65"/>
  <c r="AP392" i="65" s="1"/>
  <c r="AE442" i="65"/>
  <c r="AQ442" i="65" s="1"/>
  <c r="AB434" i="65"/>
  <c r="AN434" i="65" s="1"/>
  <c r="AE421" i="65"/>
  <c r="AQ421" i="65" s="1"/>
  <c r="AD476" i="65"/>
  <c r="AP476" i="65" s="1"/>
  <c r="AE477" i="65"/>
  <c r="AQ477" i="65" s="1"/>
  <c r="AB477" i="65"/>
  <c r="AN477" i="65" s="1"/>
  <c r="AD441" i="65"/>
  <c r="AP441" i="65" s="1"/>
  <c r="AC385" i="65"/>
  <c r="AO385" i="65" s="1"/>
  <c r="AB428" i="65"/>
  <c r="AN428" i="65" s="1"/>
  <c r="AF519" i="65"/>
  <c r="AB520" i="65"/>
  <c r="AD515" i="65"/>
  <c r="AE515" i="65"/>
  <c r="AH515" i="65"/>
  <c r="AF516" i="65"/>
  <c r="AD511" i="65"/>
  <c r="AF520" i="65"/>
  <c r="AF510" i="65"/>
  <c r="AR510" i="65" s="1"/>
  <c r="AB509" i="65"/>
  <c r="AN509" i="65" s="1"/>
  <c r="AC508" i="65"/>
  <c r="AO508" i="65" s="1"/>
  <c r="AE310" i="65"/>
  <c r="AD377" i="65"/>
  <c r="AB483" i="65"/>
  <c r="AH483" i="65" s="1"/>
  <c r="AI483" i="65" s="1"/>
  <c r="AO483" i="65" s="1"/>
  <c r="AE461" i="65"/>
  <c r="AD410" i="65"/>
  <c r="AB451" i="65"/>
  <c r="AH451" i="65" s="1"/>
  <c r="AN451" i="65" s="1"/>
  <c r="AD457" i="65"/>
  <c r="AC445" i="65"/>
  <c r="AE405" i="65"/>
  <c r="AB405" i="65"/>
  <c r="AH405" i="65" s="1"/>
  <c r="AD419" i="65"/>
  <c r="AC482" i="65"/>
  <c r="AE397" i="65"/>
  <c r="AE462" i="65"/>
  <c r="AF482" i="65"/>
  <c r="AB453" i="65"/>
  <c r="AH453" i="65" s="1"/>
  <c r="AI453" i="65" s="1"/>
  <c r="AJ453" i="65" s="1"/>
  <c r="AK453" i="65" s="1"/>
  <c r="AE483" i="65"/>
  <c r="AF469" i="65"/>
  <c r="AR469" i="65" s="1"/>
  <c r="AB472" i="65"/>
  <c r="AH472" i="65" s="1"/>
  <c r="AI472" i="65" s="1"/>
  <c r="AJ472" i="65" s="1"/>
  <c r="AP472" i="65" s="1"/>
  <c r="AF438" i="65"/>
  <c r="AR438" i="65" s="1"/>
  <c r="AC425" i="65"/>
  <c r="AO425" i="65" s="1"/>
  <c r="AB469" i="65"/>
  <c r="AN469" i="65" s="1"/>
  <c r="AE435" i="65"/>
  <c r="AQ435" i="65" s="1"/>
  <c r="AB463" i="65"/>
  <c r="AN463" i="65" s="1"/>
  <c r="AE439" i="65"/>
  <c r="AQ439" i="65" s="1"/>
  <c r="AC440" i="65"/>
  <c r="AO440" i="65" s="1"/>
  <c r="AF429" i="65"/>
  <c r="AR429" i="65" s="1"/>
  <c r="AF435" i="65"/>
  <c r="AR435" i="65" s="1"/>
  <c r="AC409" i="65"/>
  <c r="AC407" i="65"/>
  <c r="AE387" i="65"/>
  <c r="AQ387" i="65" s="1"/>
  <c r="AE390" i="65"/>
  <c r="AQ390" i="65" s="1"/>
  <c r="AB424" i="65"/>
  <c r="AN424" i="65" s="1"/>
  <c r="AE392" i="65"/>
  <c r="AQ392" i="65" s="1"/>
  <c r="AE432" i="65"/>
  <c r="AQ432" i="65" s="1"/>
  <c r="AF474" i="65"/>
  <c r="AR474" i="65" s="1"/>
  <c r="AF426" i="65"/>
  <c r="AR426" i="65" s="1"/>
  <c r="AD393" i="65"/>
  <c r="AP393" i="65" s="1"/>
  <c r="AC392" i="65"/>
  <c r="AO392" i="65" s="1"/>
  <c r="AB429" i="65"/>
  <c r="AN429" i="65" s="1"/>
  <c r="AB430" i="65"/>
  <c r="AN430" i="65" s="1"/>
  <c r="AB438" i="65"/>
  <c r="AN438" i="65" s="1"/>
  <c r="AF385" i="65"/>
  <c r="AR385" i="65" s="1"/>
  <c r="AC429" i="65"/>
  <c r="AO429" i="65" s="1"/>
  <c r="AE476" i="65"/>
  <c r="AQ476" i="65" s="1"/>
  <c r="AC468" i="65"/>
  <c r="AO468" i="65" s="1"/>
  <c r="AD433" i="65"/>
  <c r="AP433" i="65" s="1"/>
  <c r="AB519" i="65"/>
  <c r="AH516" i="65"/>
  <c r="AI516" i="65" s="1"/>
  <c r="AD513" i="65"/>
  <c r="AE512" i="65"/>
  <c r="AC519" i="65"/>
  <c r="AE510" i="65"/>
  <c r="AQ510" i="65" s="1"/>
  <c r="AB508" i="65"/>
  <c r="AN508" i="65" s="1"/>
  <c r="AB518" i="65"/>
  <c r="AN518" i="65" s="1"/>
  <c r="AC509" i="65"/>
  <c r="AO509" i="65" s="1"/>
  <c r="AE509" i="65"/>
  <c r="AQ509" i="65" s="1"/>
  <c r="AH444" i="65"/>
  <c r="AN444" i="65" s="1"/>
  <c r="AH398" i="65"/>
  <c r="AH410" i="65"/>
  <c r="AN410" i="65" s="1"/>
  <c r="AH455" i="65"/>
  <c r="AN455" i="65" s="1"/>
  <c r="AH419" i="65"/>
  <c r="AI419" i="65" s="1"/>
  <c r="AJ419" i="65" s="1"/>
  <c r="AP419" i="65" s="1"/>
  <c r="AH399" i="65"/>
  <c r="AN399" i="65" s="1"/>
  <c r="AH446" i="65"/>
  <c r="AI446" i="65" s="1"/>
  <c r="AJ446" i="65" s="1"/>
  <c r="AP446" i="65" s="1"/>
  <c r="AB457" i="65"/>
  <c r="AC410" i="65"/>
  <c r="AH480" i="65"/>
  <c r="AN480" i="65" s="1"/>
  <c r="AB413" i="65"/>
  <c r="AC451" i="65"/>
  <c r="AF463" i="65"/>
  <c r="AR463" i="65" s="1"/>
  <c r="AD440" i="65"/>
  <c r="AP440" i="65" s="1"/>
  <c r="AD389" i="65"/>
  <c r="AP389" i="65" s="1"/>
  <c r="AB425" i="65"/>
  <c r="AN425" i="65" s="1"/>
  <c r="AF387" i="65"/>
  <c r="AR387" i="65" s="1"/>
  <c r="AC386" i="65"/>
  <c r="AO386" i="65" s="1"/>
  <c r="AC390" i="65"/>
  <c r="AO390" i="65" s="1"/>
  <c r="AE321" i="65"/>
  <c r="AF345" i="65"/>
  <c r="AE316" i="65"/>
  <c r="AF342" i="65"/>
  <c r="AC295" i="65"/>
  <c r="AF285" i="65"/>
  <c r="AB339" i="65"/>
  <c r="AH339" i="65" s="1"/>
  <c r="AF359" i="65"/>
  <c r="AE285" i="65"/>
  <c r="AE410" i="65"/>
  <c r="AH473" i="65"/>
  <c r="AF453" i="65"/>
  <c r="AH467" i="65"/>
  <c r="AC405" i="65"/>
  <c r="AB408" i="65"/>
  <c r="AE481" i="65"/>
  <c r="AE404" i="65"/>
  <c r="AB460" i="65"/>
  <c r="AE407" i="65"/>
  <c r="AC454" i="65"/>
  <c r="AE472" i="65"/>
  <c r="AH400" i="65"/>
  <c r="AN400" i="65" s="1"/>
  <c r="AE482" i="65"/>
  <c r="AH462" i="65"/>
  <c r="AN462" i="65" s="1"/>
  <c r="AB401" i="65"/>
  <c r="AF447" i="65"/>
  <c r="AF467" i="65"/>
  <c r="AD408" i="65"/>
  <c r="AC471" i="65"/>
  <c r="AD479" i="65"/>
  <c r="AP479" i="65" s="1"/>
  <c r="AB407" i="65"/>
  <c r="AF427" i="65"/>
  <c r="AR427" i="65" s="1"/>
  <c r="AE399" i="65"/>
  <c r="AD481" i="65"/>
  <c r="AE431" i="65"/>
  <c r="AQ431" i="65" s="1"/>
  <c r="AD403" i="65"/>
  <c r="AE386" i="65"/>
  <c r="AQ386" i="65" s="1"/>
  <c r="AE385" i="65"/>
  <c r="AQ385" i="65" s="1"/>
  <c r="AE394" i="65"/>
  <c r="AQ394" i="65" s="1"/>
  <c r="AD391" i="65"/>
  <c r="AP391" i="65" s="1"/>
  <c r="AC422" i="65"/>
  <c r="AO422" i="65" s="1"/>
  <c r="AB387" i="65"/>
  <c r="AN387" i="65" s="1"/>
  <c r="AF477" i="65"/>
  <c r="AR477" i="65" s="1"/>
  <c r="AD432" i="65"/>
  <c r="AP432" i="65" s="1"/>
  <c r="AC393" i="65"/>
  <c r="AO393" i="65" s="1"/>
  <c r="AD468" i="65"/>
  <c r="AP468" i="65" s="1"/>
  <c r="AC470" i="65"/>
  <c r="AO470" i="65" s="1"/>
  <c r="AF428" i="65"/>
  <c r="AR428" i="65" s="1"/>
  <c r="AE441" i="65"/>
  <c r="AQ441" i="65" s="1"/>
  <c r="AF468" i="65"/>
  <c r="AR468" i="65" s="1"/>
  <c r="AB478" i="65"/>
  <c r="AN478" i="65" s="1"/>
  <c r="AF443" i="65"/>
  <c r="AR443" i="65" s="1"/>
  <c r="AD313" i="65"/>
  <c r="AE298" i="65"/>
  <c r="AD322" i="65"/>
  <c r="AB342" i="65"/>
  <c r="AH342" i="65" s="1"/>
  <c r="AD341" i="65"/>
  <c r="AF360" i="65"/>
  <c r="AC353" i="65"/>
  <c r="AB288" i="65"/>
  <c r="AH288" i="65" s="1"/>
  <c r="AE351" i="65"/>
  <c r="AD416" i="65"/>
  <c r="AC480" i="65"/>
  <c r="AD480" i="65"/>
  <c r="AC444" i="65"/>
  <c r="AB461" i="65"/>
  <c r="AF402" i="65"/>
  <c r="AC467" i="65"/>
  <c r="AE401" i="65"/>
  <c r="AD483" i="65"/>
  <c r="AH416" i="65"/>
  <c r="AN416" i="65" s="1"/>
  <c r="AH402" i="65"/>
  <c r="AN402" i="65" s="1"/>
  <c r="AE400" i="65"/>
  <c r="AH414" i="65"/>
  <c r="AI414" i="65" s="1"/>
  <c r="AJ414" i="65" s="1"/>
  <c r="AK414" i="65" s="1"/>
  <c r="AC408" i="65"/>
  <c r="AB404" i="65"/>
  <c r="AE413" i="65"/>
  <c r="AC456" i="65"/>
  <c r="AF414" i="65"/>
  <c r="AE396" i="65"/>
  <c r="AQ396" i="65" s="1"/>
  <c r="AC395" i="65"/>
  <c r="AH442" i="65"/>
  <c r="AN442" i="65" s="1"/>
  <c r="AB395" i="65"/>
  <c r="AB456" i="65"/>
  <c r="AF462" i="65"/>
  <c r="AF400" i="65"/>
  <c r="AC399" i="65"/>
  <c r="AC397" i="65"/>
  <c r="AE452" i="65"/>
  <c r="AF461" i="65"/>
  <c r="AC406" i="65"/>
  <c r="AB471" i="65"/>
  <c r="AF448" i="65"/>
  <c r="AE412" i="65"/>
  <c r="AC402" i="65"/>
  <c r="AD412" i="65"/>
  <c r="AF479" i="65"/>
  <c r="AR479" i="65" s="1"/>
  <c r="AC465" i="65"/>
  <c r="AO465" i="65" s="1"/>
  <c r="AB439" i="65"/>
  <c r="AN439" i="65" s="1"/>
  <c r="AD465" i="65"/>
  <c r="AP465" i="65" s="1"/>
  <c r="AE469" i="65"/>
  <c r="AQ469" i="65" s="1"/>
  <c r="AC420" i="65"/>
  <c r="AO420" i="65" s="1"/>
  <c r="AE475" i="65"/>
  <c r="AQ475" i="65" s="1"/>
  <c r="AC449" i="65"/>
  <c r="AB411" i="65"/>
  <c r="AD435" i="65"/>
  <c r="AP435" i="65" s="1"/>
  <c r="AC439" i="65"/>
  <c r="AO439" i="65" s="1"/>
  <c r="AE411" i="65"/>
  <c r="AD475" i="65"/>
  <c r="AP475" i="65" s="1"/>
  <c r="AE423" i="65"/>
  <c r="AQ423" i="65" s="1"/>
  <c r="AC435" i="65"/>
  <c r="AO435" i="65" s="1"/>
  <c r="AD388" i="65"/>
  <c r="AP388" i="65" s="1"/>
  <c r="AF423" i="65"/>
  <c r="AR423" i="65" s="1"/>
  <c r="AC438" i="65"/>
  <c r="AO438" i="65" s="1"/>
  <c r="AF389" i="65"/>
  <c r="AR389" i="65" s="1"/>
  <c r="AE389" i="65"/>
  <c r="AQ389" i="65" s="1"/>
  <c r="AD426" i="65"/>
  <c r="AP426" i="65" s="1"/>
  <c r="AD430" i="65"/>
  <c r="AP430" i="65" s="1"/>
  <c r="AB468" i="65"/>
  <c r="AN468" i="65" s="1"/>
  <c r="AE425" i="65"/>
  <c r="AQ425" i="65" s="1"/>
  <c r="AE426" i="65"/>
  <c r="AQ426" i="65" s="1"/>
  <c r="AB391" i="65"/>
  <c r="AN391" i="65" s="1"/>
  <c r="AD422" i="65"/>
  <c r="AP422" i="65" s="1"/>
  <c r="AE434" i="65"/>
  <c r="AQ434" i="65" s="1"/>
  <c r="AF436" i="65"/>
  <c r="AR436" i="65" s="1"/>
  <c r="AB437" i="65"/>
  <c r="AN437" i="65" s="1"/>
  <c r="AC421" i="65"/>
  <c r="AO421" i="65" s="1"/>
  <c r="AB474" i="65"/>
  <c r="AN474" i="65" s="1"/>
  <c r="AE436" i="65"/>
  <c r="AQ436" i="65" s="1"/>
  <c r="AF421" i="65"/>
  <c r="AR421" i="65" s="1"/>
  <c r="AF391" i="65"/>
  <c r="AR391" i="65" s="1"/>
  <c r="AC437" i="65"/>
  <c r="AO437" i="65" s="1"/>
  <c r="AB464" i="65"/>
  <c r="AN464" i="65" s="1"/>
  <c r="AD387" i="65"/>
  <c r="AP387" i="65" s="1"/>
  <c r="AE464" i="65"/>
  <c r="AQ464" i="65" s="1"/>
  <c r="AD421" i="65"/>
  <c r="AP421" i="65" s="1"/>
  <c r="AF470" i="65"/>
  <c r="AR470" i="65" s="1"/>
  <c r="AF478" i="65"/>
  <c r="AR478" i="65" s="1"/>
  <c r="AC477" i="65"/>
  <c r="AO477" i="65" s="1"/>
  <c r="AC474" i="65"/>
  <c r="AO474" i="65" s="1"/>
  <c r="AF283" i="65"/>
  <c r="AD280" i="65"/>
  <c r="AD291" i="65"/>
  <c r="AE309" i="65"/>
  <c r="AC298" i="65"/>
  <c r="AF358" i="65"/>
  <c r="AE361" i="65"/>
  <c r="AD461" i="65"/>
  <c r="AD444" i="65"/>
  <c r="AF471" i="65"/>
  <c r="AC412" i="65"/>
  <c r="AC416" i="65"/>
  <c r="AF398" i="65"/>
  <c r="AB447" i="65"/>
  <c r="AF483" i="65"/>
  <c r="AE447" i="65"/>
  <c r="AE471" i="65"/>
  <c r="AD402" i="65"/>
  <c r="AD445" i="65"/>
  <c r="AC396" i="65"/>
  <c r="AD406" i="65"/>
  <c r="AH403" i="65"/>
  <c r="AI403" i="65" s="1"/>
  <c r="AB454" i="65"/>
  <c r="AF397" i="65"/>
  <c r="AR397" i="65" s="1"/>
  <c r="AF406" i="65"/>
  <c r="AE460" i="65"/>
  <c r="AE467" i="65"/>
  <c r="AF481" i="65"/>
  <c r="AF403" i="65"/>
  <c r="AE454" i="65"/>
  <c r="AB481" i="65"/>
  <c r="AB412" i="65"/>
  <c r="AD396" i="65"/>
  <c r="AF445" i="65"/>
  <c r="AD450" i="65"/>
  <c r="AF405" i="65"/>
  <c r="AD407" i="65"/>
  <c r="AC401" i="65"/>
  <c r="AC400" i="65"/>
  <c r="AD482" i="65"/>
  <c r="AD409" i="65"/>
  <c r="AE456" i="65"/>
  <c r="AC452" i="65"/>
  <c r="AD397" i="65"/>
  <c r="AC448" i="65"/>
  <c r="AF480" i="65"/>
  <c r="AC447" i="65"/>
  <c r="AE479" i="65"/>
  <c r="AQ479" i="65" s="1"/>
  <c r="AB427" i="65"/>
  <c r="AN427" i="65" s="1"/>
  <c r="AD386" i="65"/>
  <c r="AP386" i="65" s="1"/>
  <c r="AB409" i="65"/>
  <c r="AB449" i="65"/>
  <c r="AC411" i="65"/>
  <c r="AD431" i="65"/>
  <c r="AP431" i="65" s="1"/>
  <c r="AC389" i="65"/>
  <c r="AO389" i="65" s="1"/>
  <c r="AE463" i="65"/>
  <c r="AQ463" i="65" s="1"/>
  <c r="AE429" i="65"/>
  <c r="AQ429" i="65" s="1"/>
  <c r="AC469" i="65"/>
  <c r="AO469" i="65" s="1"/>
  <c r="AF420" i="65"/>
  <c r="AR420" i="65" s="1"/>
  <c r="AB423" i="65"/>
  <c r="AN423" i="65" s="1"/>
  <c r="AD415" i="65"/>
  <c r="AE420" i="65"/>
  <c r="AQ420" i="65" s="1"/>
  <c r="AB484" i="65"/>
  <c r="AC423" i="65"/>
  <c r="AO423" i="65" s="1"/>
  <c r="AE446" i="65"/>
  <c r="AC475" i="65"/>
  <c r="AO475" i="65" s="1"/>
  <c r="AE427" i="65"/>
  <c r="AQ427" i="65" s="1"/>
  <c r="AE438" i="65"/>
  <c r="AQ438" i="65" s="1"/>
  <c r="AD439" i="65"/>
  <c r="AP439" i="65" s="1"/>
  <c r="AE440" i="65"/>
  <c r="AQ440" i="65" s="1"/>
  <c r="AE422" i="65"/>
  <c r="AQ422" i="65" s="1"/>
  <c r="AF393" i="65"/>
  <c r="AR393" i="65" s="1"/>
  <c r="AB392" i="65"/>
  <c r="AN392" i="65" s="1"/>
  <c r="AF394" i="65"/>
  <c r="AR394" i="65" s="1"/>
  <c r="AF433" i="65"/>
  <c r="AR433" i="65" s="1"/>
  <c r="AB466" i="65"/>
  <c r="AN466" i="65" s="1"/>
  <c r="AE430" i="65"/>
  <c r="AQ430" i="65" s="1"/>
  <c r="AC433" i="65"/>
  <c r="AO433" i="65" s="1"/>
  <c r="AF386" i="65"/>
  <c r="AR386" i="65" s="1"/>
  <c r="AF396" i="65"/>
  <c r="AR396" i="65" s="1"/>
  <c r="AB421" i="65"/>
  <c r="AN421" i="65" s="1"/>
  <c r="AC462" i="65"/>
  <c r="AE474" i="65"/>
  <c r="AQ474" i="65" s="1"/>
  <c r="AC391" i="65"/>
  <c r="AO391" i="65" s="1"/>
  <c r="AE391" i="65"/>
  <c r="AQ391" i="65" s="1"/>
  <c r="AF441" i="65"/>
  <c r="AR441" i="65" s="1"/>
  <c r="AB470" i="65"/>
  <c r="AN470" i="65" s="1"/>
  <c r="AC464" i="65"/>
  <c r="AO464" i="65" s="1"/>
  <c r="AC436" i="65"/>
  <c r="AO436" i="65" s="1"/>
  <c r="AB436" i="65"/>
  <c r="AN436" i="65" s="1"/>
  <c r="AC387" i="65"/>
  <c r="AO387" i="65" s="1"/>
  <c r="AE395" i="65"/>
  <c r="AQ395" i="65" s="1"/>
  <c r="AC434" i="65"/>
  <c r="AO434" i="65" s="1"/>
  <c r="AF437" i="65"/>
  <c r="AR437" i="65" s="1"/>
  <c r="AE466" i="65"/>
  <c r="AQ466" i="65" s="1"/>
  <c r="AF442" i="65"/>
  <c r="AR442" i="65" s="1"/>
  <c r="AF466" i="65"/>
  <c r="AR466" i="65" s="1"/>
  <c r="AF424" i="65"/>
  <c r="AR424" i="65" s="1"/>
  <c r="AE352" i="65"/>
  <c r="J52" i="32"/>
  <c r="I52" i="32"/>
  <c r="AF312" i="65"/>
  <c r="AF278" i="65"/>
  <c r="AC347" i="65"/>
  <c r="AD296" i="65"/>
  <c r="AC325" i="65"/>
  <c r="AD345" i="65"/>
  <c r="AF281" i="65"/>
  <c r="AC358" i="65"/>
  <c r="AD288" i="65"/>
  <c r="AB352" i="65"/>
  <c r="AH352" i="65" s="1"/>
  <c r="AB296" i="65"/>
  <c r="AH296" i="65" s="1"/>
  <c r="AC317" i="65"/>
  <c r="AC345" i="65"/>
  <c r="AD344" i="65"/>
  <c r="AC378" i="65"/>
  <c r="AB287" i="65"/>
  <c r="AH287" i="65" s="1"/>
  <c r="AC284" i="65"/>
  <c r="AC368" i="65"/>
  <c r="AE297" i="65"/>
  <c r="AF369" i="65"/>
  <c r="AB323" i="65"/>
  <c r="AH323" i="65" s="1"/>
  <c r="AD358" i="65"/>
  <c r="AC375" i="65"/>
  <c r="AF324" i="65"/>
  <c r="AC383" i="65"/>
  <c r="AF269" i="65"/>
  <c r="AR269" i="65" s="1"/>
  <c r="AD327" i="65"/>
  <c r="AP327" i="65" s="1"/>
  <c r="AE269" i="65"/>
  <c r="AQ269" i="65" s="1"/>
  <c r="AC334" i="65"/>
  <c r="AO334" i="65" s="1"/>
  <c r="AE272" i="65"/>
  <c r="AQ272" i="65" s="1"/>
  <c r="AD301" i="65"/>
  <c r="AP301" i="65" s="1"/>
  <c r="AE336" i="65"/>
  <c r="AQ336" i="65" s="1"/>
  <c r="AB371" i="65"/>
  <c r="AN371" i="65" s="1"/>
  <c r="S66" i="42"/>
  <c r="AF343" i="65"/>
  <c r="AC369" i="65"/>
  <c r="AF298" i="65"/>
  <c r="AE366" i="65"/>
  <c r="AE296" i="65"/>
  <c r="AF286" i="65"/>
  <c r="AE357" i="65"/>
  <c r="AF339" i="65"/>
  <c r="AC287" i="65"/>
  <c r="AC283" i="65"/>
  <c r="AF374" i="65"/>
  <c r="AC316" i="65"/>
  <c r="AE343" i="65"/>
  <c r="AC342" i="65"/>
  <c r="AC340" i="65"/>
  <c r="AD357" i="65"/>
  <c r="AD383" i="65"/>
  <c r="AE339" i="65"/>
  <c r="AE292" i="65"/>
  <c r="AE284" i="65"/>
  <c r="AD348" i="65"/>
  <c r="AD350" i="65"/>
  <c r="AD373" i="65"/>
  <c r="AB275" i="65"/>
  <c r="AH275" i="65" s="1"/>
  <c r="AI275" i="65" s="1"/>
  <c r="AJ275" i="65" s="1"/>
  <c r="AC354" i="65"/>
  <c r="AB285" i="65"/>
  <c r="AH285" i="65" s="1"/>
  <c r="AN285" i="65" s="1"/>
  <c r="AE318" i="65"/>
  <c r="AQ318" i="65" s="1"/>
  <c r="AD363" i="65"/>
  <c r="AP363" i="65" s="1"/>
  <c r="AF380" i="65"/>
  <c r="AR380" i="65" s="1"/>
  <c r="AB278" i="65"/>
  <c r="AH278" i="65" s="1"/>
  <c r="AE328" i="65"/>
  <c r="AQ328" i="65" s="1"/>
  <c r="AE355" i="65"/>
  <c r="AC290" i="65"/>
  <c r="AD342" i="65"/>
  <c r="AC289" i="65"/>
  <c r="AD324" i="65"/>
  <c r="AF280" i="65"/>
  <c r="AB343" i="65"/>
  <c r="AH343" i="65" s="1"/>
  <c r="AF353" i="65"/>
  <c r="AE378" i="65"/>
  <c r="AE354" i="65"/>
  <c r="AE356" i="65"/>
  <c r="AC315" i="65"/>
  <c r="AD304" i="65"/>
  <c r="AP304" i="65" s="1"/>
  <c r="AB271" i="65"/>
  <c r="AN271" i="65" s="1"/>
  <c r="AB306" i="65"/>
  <c r="AN306" i="65" s="1"/>
  <c r="AC277" i="65"/>
  <c r="AC328" i="65"/>
  <c r="AO328" i="65" s="1"/>
  <c r="AE274" i="65"/>
  <c r="AQ274" i="65" s="1"/>
  <c r="AF350" i="65"/>
  <c r="AD278" i="65"/>
  <c r="AF326" i="65"/>
  <c r="AR326" i="65" s="1"/>
  <c r="AE300" i="65"/>
  <c r="AQ300" i="65" s="1"/>
  <c r="AD308" i="65"/>
  <c r="AP308" i="65" s="1"/>
  <c r="AB331" i="65"/>
  <c r="AN331" i="65" s="1"/>
  <c r="AE362" i="65"/>
  <c r="AQ362" i="65" s="1"/>
  <c r="AF318" i="65"/>
  <c r="AR318" i="65" s="1"/>
  <c r="AF378" i="65"/>
  <c r="AD378" i="65"/>
  <c r="AE299" i="65"/>
  <c r="AQ299" i="65" s="1"/>
  <c r="AB295" i="65"/>
  <c r="AH295" i="65" s="1"/>
  <c r="AE295" i="65"/>
  <c r="AF295" i="65"/>
  <c r="AE294" i="65"/>
  <c r="AF277" i="65"/>
  <c r="AD276" i="65"/>
  <c r="AC361" i="65"/>
  <c r="AF355" i="65"/>
  <c r="AF347" i="65"/>
  <c r="AB364" i="65"/>
  <c r="AH364" i="65" s="1"/>
  <c r="AI364" i="65" s="1"/>
  <c r="AJ364" i="65" s="1"/>
  <c r="AK364" i="65" s="1"/>
  <c r="AL364" i="65" s="1"/>
  <c r="AE277" i="65"/>
  <c r="AB376" i="65"/>
  <c r="AH376" i="65" s="1"/>
  <c r="AN376" i="65" s="1"/>
  <c r="AF368" i="65"/>
  <c r="AC374" i="65"/>
  <c r="AD368" i="65"/>
  <c r="AD316" i="65"/>
  <c r="AD289" i="65"/>
  <c r="AE313" i="65"/>
  <c r="AC278" i="65"/>
  <c r="AB324" i="65"/>
  <c r="AH324" i="65" s="1"/>
  <c r="AE282" i="65"/>
  <c r="AB314" i="65"/>
  <c r="AH314" i="65" s="1"/>
  <c r="AD293" i="65"/>
  <c r="AC339" i="65"/>
  <c r="AE271" i="65"/>
  <c r="AQ271" i="65" s="1"/>
  <c r="AC336" i="65"/>
  <c r="AO336" i="65" s="1"/>
  <c r="AD343" i="65"/>
  <c r="AB319" i="65"/>
  <c r="AH319" i="65" s="1"/>
  <c r="AF375" i="65"/>
  <c r="AB366" i="65"/>
  <c r="AH366" i="65" s="1"/>
  <c r="AD290" i="65"/>
  <c r="AC309" i="65"/>
  <c r="AB284" i="65"/>
  <c r="AH284" i="65" s="1"/>
  <c r="AB360" i="65"/>
  <c r="AH360" i="65" s="1"/>
  <c r="AB294" i="65"/>
  <c r="AH294" i="65" s="1"/>
  <c r="AE281" i="65"/>
  <c r="AE348" i="65"/>
  <c r="AE353" i="65"/>
  <c r="AF320" i="65"/>
  <c r="AF367" i="65"/>
  <c r="AF294" i="65"/>
  <c r="AE320" i="65"/>
  <c r="AC282" i="65"/>
  <c r="AD347" i="65"/>
  <c r="AD282" i="65"/>
  <c r="AC359" i="65"/>
  <c r="AB359" i="65"/>
  <c r="AH359" i="65" s="1"/>
  <c r="AD285" i="65"/>
  <c r="AB272" i="65"/>
  <c r="AN272" i="65" s="1"/>
  <c r="AB330" i="65"/>
  <c r="AN330" i="65" s="1"/>
  <c r="AB310" i="65"/>
  <c r="AH310" i="65" s="1"/>
  <c r="AF356" i="65"/>
  <c r="AC288" i="65"/>
  <c r="AC372" i="65"/>
  <c r="AD320" i="65"/>
  <c r="AC292" i="65"/>
  <c r="AC296" i="65"/>
  <c r="AF314" i="65"/>
  <c r="AD321" i="65"/>
  <c r="AD292" i="65"/>
  <c r="AD317" i="65"/>
  <c r="AF325" i="65"/>
  <c r="AC302" i="65"/>
  <c r="AO302" i="65" s="1"/>
  <c r="AF302" i="65"/>
  <c r="AR302" i="65" s="1"/>
  <c r="AE327" i="65"/>
  <c r="AQ327" i="65" s="1"/>
  <c r="AF381" i="65"/>
  <c r="AR381" i="65" s="1"/>
  <c r="AB313" i="65"/>
  <c r="AH313" i="65" s="1"/>
  <c r="AF310" i="65"/>
  <c r="AC286" i="65"/>
  <c r="AD369" i="65"/>
  <c r="AC313" i="65"/>
  <c r="AB321" i="65"/>
  <c r="AH321" i="65" s="1"/>
  <c r="AE360" i="65"/>
  <c r="AC323" i="65"/>
  <c r="AC281" i="65"/>
  <c r="AB283" i="65"/>
  <c r="AH283" i="65" s="1"/>
  <c r="AB344" i="65"/>
  <c r="AH344" i="65" s="1"/>
  <c r="AB354" i="65"/>
  <c r="AH354" i="65" s="1"/>
  <c r="AB373" i="65"/>
  <c r="AH373" i="65" s="1"/>
  <c r="AE317" i="65"/>
  <c r="AD274" i="65"/>
  <c r="AP274" i="65" s="1"/>
  <c r="AD306" i="65"/>
  <c r="AP306" i="65" s="1"/>
  <c r="AF307" i="65"/>
  <c r="AR307" i="65" s="1"/>
  <c r="AE283" i="65"/>
  <c r="AB289" i="65"/>
  <c r="AH289" i="65" s="1"/>
  <c r="AF346" i="65"/>
  <c r="AC297" i="65"/>
  <c r="AD353" i="65"/>
  <c r="AB368" i="65"/>
  <c r="AH368" i="65" s="1"/>
  <c r="AB277" i="65"/>
  <c r="AH277" i="65" s="1"/>
  <c r="AB375" i="65"/>
  <c r="AH375" i="65" s="1"/>
  <c r="AF296" i="65"/>
  <c r="AD294" i="65"/>
  <c r="AB311" i="65"/>
  <c r="AH311" i="65" s="1"/>
  <c r="AC367" i="65"/>
  <c r="AE347" i="65"/>
  <c r="AF354" i="65"/>
  <c r="AD314" i="65"/>
  <c r="AE383" i="65"/>
  <c r="AF349" i="65"/>
  <c r="AB268" i="65"/>
  <c r="AN268" i="65" s="1"/>
  <c r="AB302" i="65"/>
  <c r="AN302" i="65" s="1"/>
  <c r="AE338" i="65"/>
  <c r="AQ338" i="65" s="1"/>
  <c r="AE370" i="65"/>
  <c r="AQ370" i="65" s="1"/>
  <c r="AC327" i="65"/>
  <c r="AO327" i="65" s="1"/>
  <c r="AC348" i="65"/>
  <c r="AF288" i="65"/>
  <c r="AB347" i="65"/>
  <c r="AH347" i="65" s="1"/>
  <c r="AF313" i="65"/>
  <c r="AF348" i="65"/>
  <c r="AF309" i="65"/>
  <c r="AF323" i="65"/>
  <c r="AF377" i="65"/>
  <c r="AD298" i="65"/>
  <c r="AD366" i="65"/>
  <c r="AF357" i="65"/>
  <c r="AF292" i="65"/>
  <c r="AB351" i="65"/>
  <c r="AH351" i="65" s="1"/>
  <c r="AI351" i="65" s="1"/>
  <c r="AC293" i="65"/>
  <c r="AF332" i="65"/>
  <c r="AR332" i="65" s="1"/>
  <c r="AC379" i="65"/>
  <c r="AE379" i="65"/>
  <c r="AD379" i="65"/>
  <c r="AF247" i="65"/>
  <c r="AR247" i="65" s="1"/>
  <c r="AD297" i="65"/>
  <c r="AE377" i="65"/>
  <c r="AE291" i="65"/>
  <c r="AB290" i="65"/>
  <c r="AH290" i="65" s="1"/>
  <c r="AE286" i="65"/>
  <c r="AE369" i="65"/>
  <c r="AE325" i="65"/>
  <c r="AF321" i="65"/>
  <c r="AF306" i="65"/>
  <c r="AR306" i="65" s="1"/>
  <c r="AC332" i="65"/>
  <c r="AO332" i="65" s="1"/>
  <c r="AB338" i="65"/>
  <c r="AN338" i="65" s="1"/>
  <c r="AC366" i="65"/>
  <c r="AC360" i="65"/>
  <c r="AB367" i="65"/>
  <c r="AH367" i="65" s="1"/>
  <c r="AC294" i="65"/>
  <c r="AC275" i="65"/>
  <c r="AC350" i="65"/>
  <c r="AC271" i="65"/>
  <c r="AO271" i="65" s="1"/>
  <c r="AF330" i="65"/>
  <c r="AR330" i="65" s="1"/>
  <c r="AF382" i="65"/>
  <c r="AR382" i="65" s="1"/>
  <c r="AF58" i="65"/>
  <c r="AD126" i="65"/>
  <c r="AF86" i="65"/>
  <c r="AR86" i="65" s="1"/>
  <c r="AF123" i="65"/>
  <c r="AD287" i="65"/>
  <c r="AE345" i="65"/>
  <c r="AB291" i="65"/>
  <c r="AH291" i="65" s="1"/>
  <c r="AD355" i="65"/>
  <c r="AE279" i="65"/>
  <c r="AE323" i="65"/>
  <c r="AD271" i="65"/>
  <c r="AP271" i="65" s="1"/>
  <c r="AB337" i="65"/>
  <c r="AN337" i="65" s="1"/>
  <c r="AF329" i="65"/>
  <c r="AR329" i="65" s="1"/>
  <c r="AF308" i="65"/>
  <c r="AR308" i="65" s="1"/>
  <c r="AE331" i="65"/>
  <c r="AQ331" i="65" s="1"/>
  <c r="AE302" i="65"/>
  <c r="AQ302" i="65" s="1"/>
  <c r="AB329" i="65"/>
  <c r="AN329" i="65" s="1"/>
  <c r="AC272" i="65"/>
  <c r="AO272" i="65" s="1"/>
  <c r="AD273" i="65"/>
  <c r="AP273" i="65" s="1"/>
  <c r="AD329" i="65"/>
  <c r="AP329" i="65" s="1"/>
  <c r="AF333" i="65"/>
  <c r="AR333" i="65" s="1"/>
  <c r="AD196" i="65"/>
  <c r="AP196" i="65" s="1"/>
  <c r="AD295" i="65"/>
  <c r="AB334" i="65"/>
  <c r="AN334" i="65" s="1"/>
  <c r="AC329" i="65"/>
  <c r="AO329" i="65" s="1"/>
  <c r="AB222" i="65"/>
  <c r="AN222" i="65" s="1"/>
  <c r="AC233" i="65"/>
  <c r="AD361" i="65"/>
  <c r="AB322" i="65"/>
  <c r="AH322" i="65" s="1"/>
  <c r="AB281" i="65"/>
  <c r="AH281" i="65" s="1"/>
  <c r="AE341" i="65"/>
  <c r="AE278" i="65"/>
  <c r="AC326" i="65"/>
  <c r="AO326" i="65" s="1"/>
  <c r="AF335" i="65"/>
  <c r="AR335" i="65" s="1"/>
  <c r="AE332" i="65"/>
  <c r="AQ332" i="65" s="1"/>
  <c r="AC308" i="65"/>
  <c r="AO308" i="65" s="1"/>
  <c r="AF270" i="65"/>
  <c r="AR270" i="65" s="1"/>
  <c r="AC331" i="65"/>
  <c r="AO331" i="65" s="1"/>
  <c r="AE380" i="65"/>
  <c r="AQ380" i="65" s="1"/>
  <c r="AF362" i="65"/>
  <c r="AR362" i="65" s="1"/>
  <c r="AF274" i="65"/>
  <c r="AR274" i="65" s="1"/>
  <c r="AB369" i="65"/>
  <c r="AH369" i="65" s="1"/>
  <c r="AI369" i="65" s="1"/>
  <c r="AD376" i="65"/>
  <c r="AF352" i="65"/>
  <c r="AE346" i="65"/>
  <c r="AC346" i="65"/>
  <c r="AF383" i="65"/>
  <c r="AE373" i="65"/>
  <c r="AB326" i="65"/>
  <c r="AN326" i="65" s="1"/>
  <c r="AF271" i="65"/>
  <c r="AR271" i="65" s="1"/>
  <c r="AB305" i="65"/>
  <c r="AN305" i="65" s="1"/>
  <c r="AB303" i="65"/>
  <c r="AN303" i="65" s="1"/>
  <c r="AB336" i="65"/>
  <c r="AN336" i="65" s="1"/>
  <c r="AF336" i="65"/>
  <c r="AR336" i="65" s="1"/>
  <c r="AC363" i="65"/>
  <c r="AO363" i="65" s="1"/>
  <c r="AF363" i="65"/>
  <c r="AR363" i="65" s="1"/>
  <c r="AC177" i="65"/>
  <c r="AO177" i="65" s="1"/>
  <c r="AB349" i="65"/>
  <c r="AH349" i="65" s="1"/>
  <c r="AI349" i="65" s="1"/>
  <c r="AC314" i="65"/>
  <c r="AB325" i="65"/>
  <c r="AH325" i="65" s="1"/>
  <c r="AC373" i="65"/>
  <c r="AE293" i="65"/>
  <c r="AE363" i="65"/>
  <c r="AQ363" i="65" s="1"/>
  <c r="AD99" i="65"/>
  <c r="AB280" i="65"/>
  <c r="AH280" i="65" s="1"/>
  <c r="AN280" i="65" s="1"/>
  <c r="AF290" i="65"/>
  <c r="AC364" i="65"/>
  <c r="AD286" i="65"/>
  <c r="AD309" i="65"/>
  <c r="AB365" i="65"/>
  <c r="AH365" i="65" s="1"/>
  <c r="AB276" i="65"/>
  <c r="AH276" i="65" s="1"/>
  <c r="AN276" i="65" s="1"/>
  <c r="AB341" i="65"/>
  <c r="AH341" i="65" s="1"/>
  <c r="AN341" i="65" s="1"/>
  <c r="AF289" i="65"/>
  <c r="AB335" i="65"/>
  <c r="AN335" i="65" s="1"/>
  <c r="AB370" i="65"/>
  <c r="AN370" i="65" s="1"/>
  <c r="AF372" i="65"/>
  <c r="AE371" i="65"/>
  <c r="AQ371" i="65" s="1"/>
  <c r="AC343" i="65"/>
  <c r="AD281" i="65"/>
  <c r="AC357" i="65"/>
  <c r="AD325" i="65"/>
  <c r="AF322" i="65"/>
  <c r="AC362" i="65"/>
  <c r="AO362" i="65" s="1"/>
  <c r="AE308" i="65"/>
  <c r="AQ308" i="65" s="1"/>
  <c r="AC376" i="65"/>
  <c r="AE290" i="65"/>
  <c r="AB309" i="65"/>
  <c r="AH309" i="65" s="1"/>
  <c r="AF344" i="65"/>
  <c r="AE319" i="65"/>
  <c r="AB332" i="65"/>
  <c r="AN332" i="65" s="1"/>
  <c r="AE330" i="65"/>
  <c r="AQ330" i="65" s="1"/>
  <c r="AD318" i="65"/>
  <c r="AP318" i="65" s="1"/>
  <c r="AB327" i="65"/>
  <c r="AN327" i="65" s="1"/>
  <c r="AD93" i="65"/>
  <c r="AD173" i="65"/>
  <c r="AP173" i="65" s="1"/>
  <c r="AE376" i="65"/>
  <c r="AE312" i="65"/>
  <c r="AB379" i="65"/>
  <c r="AH379" i="65" s="1"/>
  <c r="AF284" i="65"/>
  <c r="AB286" i="65"/>
  <c r="AH286" i="65" s="1"/>
  <c r="AE349" i="65"/>
  <c r="AC269" i="65"/>
  <c r="AO269" i="65" s="1"/>
  <c r="AD340" i="65"/>
  <c r="AC319" i="65"/>
  <c r="AD346" i="65"/>
  <c r="AB374" i="65"/>
  <c r="AC291" i="65"/>
  <c r="AD360" i="65"/>
  <c r="AE350" i="65"/>
  <c r="AE374" i="65"/>
  <c r="AD351" i="65"/>
  <c r="AD334" i="65"/>
  <c r="AP334" i="65" s="1"/>
  <c r="AB378" i="65"/>
  <c r="AC270" i="65"/>
  <c r="AO270" i="65" s="1"/>
  <c r="AE335" i="65"/>
  <c r="AQ335" i="65" s="1"/>
  <c r="AF268" i="65"/>
  <c r="AR268" i="65" s="1"/>
  <c r="AF300" i="65"/>
  <c r="AR300" i="65" s="1"/>
  <c r="AB308" i="65"/>
  <c r="AN308" i="65" s="1"/>
  <c r="AE372" i="65"/>
  <c r="AD349" i="65"/>
  <c r="AF293" i="65"/>
  <c r="AD336" i="65"/>
  <c r="AP336" i="65" s="1"/>
  <c r="AC305" i="65"/>
  <c r="AO305" i="65" s="1"/>
  <c r="AC382" i="65"/>
  <c r="AO382" i="65" s="1"/>
  <c r="AC307" i="65"/>
  <c r="AO307" i="65" s="1"/>
  <c r="AB363" i="65"/>
  <c r="AN363" i="65" s="1"/>
  <c r="AE365" i="65"/>
  <c r="AD275" i="65"/>
  <c r="AB381" i="65"/>
  <c r="AN381" i="65" s="1"/>
  <c r="AE301" i="65"/>
  <c r="AQ301" i="65" s="1"/>
  <c r="AH297" i="65"/>
  <c r="AC322" i="65"/>
  <c r="AD283" i="65"/>
  <c r="AC356" i="65"/>
  <c r="AE289" i="65"/>
  <c r="AD319" i="65"/>
  <c r="AD312" i="65"/>
  <c r="AF311" i="65"/>
  <c r="AC303" i="65"/>
  <c r="AO303" i="65" s="1"/>
  <c r="AE268" i="65"/>
  <c r="AQ268" i="65" s="1"/>
  <c r="AE326" i="65"/>
  <c r="AQ326" i="65" s="1"/>
  <c r="AD272" i="65"/>
  <c r="AP272" i="65" s="1"/>
  <c r="AD372" i="65"/>
  <c r="AB318" i="65"/>
  <c r="AN318" i="65" s="1"/>
  <c r="AF272" i="65"/>
  <c r="AR272" i="65" s="1"/>
  <c r="AB273" i="65"/>
  <c r="AN273" i="65" s="1"/>
  <c r="AB304" i="65"/>
  <c r="AN304" i="65" s="1"/>
  <c r="AE334" i="65"/>
  <c r="AQ334" i="65" s="1"/>
  <c r="AE270" i="65"/>
  <c r="AQ270" i="65" s="1"/>
  <c r="AF282" i="65"/>
  <c r="AD354" i="65"/>
  <c r="AD359" i="65"/>
  <c r="AC365" i="65"/>
  <c r="AF317" i="65"/>
  <c r="AE305" i="65"/>
  <c r="AQ305" i="65" s="1"/>
  <c r="AF305" i="65"/>
  <c r="AR305" i="65" s="1"/>
  <c r="AD370" i="65"/>
  <c r="AP370" i="65" s="1"/>
  <c r="AB382" i="65"/>
  <c r="AN382" i="65" s="1"/>
  <c r="AC330" i="65"/>
  <c r="AO330" i="65" s="1"/>
  <c r="AE359" i="65"/>
  <c r="AD333" i="65"/>
  <c r="AP333" i="65" s="1"/>
  <c r="AF299" i="65"/>
  <c r="AR299" i="65" s="1"/>
  <c r="AD307" i="65"/>
  <c r="AP307" i="65" s="1"/>
  <c r="AF371" i="65"/>
  <c r="AR371" i="65" s="1"/>
  <c r="AC381" i="65"/>
  <c r="AO381" i="65" s="1"/>
  <c r="AC301" i="65"/>
  <c r="AO301" i="65" s="1"/>
  <c r="AF365" i="65"/>
  <c r="AH298" i="65"/>
  <c r="AF287" i="65"/>
  <c r="AF341" i="65"/>
  <c r="AC377" i="65"/>
  <c r="AC341" i="65"/>
  <c r="AB358" i="65"/>
  <c r="AD356" i="65"/>
  <c r="AD352" i="65"/>
  <c r="AC324" i="65"/>
  <c r="AC321" i="65"/>
  <c r="AB312" i="65"/>
  <c r="AD332" i="65"/>
  <c r="AP332" i="65" s="1"/>
  <c r="AC304" i="65"/>
  <c r="AO304" i="65" s="1"/>
  <c r="AF337" i="65"/>
  <c r="AR337" i="65" s="1"/>
  <c r="AD328" i="65"/>
  <c r="AP328" i="65" s="1"/>
  <c r="AB380" i="65"/>
  <c r="AN380" i="65" s="1"/>
  <c r="AE306" i="65"/>
  <c r="AQ306" i="65" s="1"/>
  <c r="AC276" i="65"/>
  <c r="AB383" i="65"/>
  <c r="AD331" i="65"/>
  <c r="AP331" i="65" s="1"/>
  <c r="AD362" i="65"/>
  <c r="AP362" i="65" s="1"/>
  <c r="AB293" i="65"/>
  <c r="AC285" i="65"/>
  <c r="AF276" i="65"/>
  <c r="AB299" i="65"/>
  <c r="AN299" i="65" s="1"/>
  <c r="AE276" i="65"/>
  <c r="AE333" i="65"/>
  <c r="AQ333" i="65" s="1"/>
  <c r="AE381" i="65"/>
  <c r="AQ381" i="65" s="1"/>
  <c r="AC333" i="65"/>
  <c r="AO333" i="65" s="1"/>
  <c r="AD269" i="65"/>
  <c r="AP269" i="65" s="1"/>
  <c r="AF301" i="65"/>
  <c r="AR301" i="65" s="1"/>
  <c r="AC371" i="65"/>
  <c r="AO371" i="65" s="1"/>
  <c r="AE307" i="65"/>
  <c r="AQ307" i="65" s="1"/>
  <c r="AB269" i="65"/>
  <c r="AN269" i="65" s="1"/>
  <c r="AF275" i="65"/>
  <c r="AC311" i="65"/>
  <c r="AH356" i="65"/>
  <c r="AB345" i="65"/>
  <c r="AE322" i="65"/>
  <c r="AF315" i="65"/>
  <c r="AB316" i="65"/>
  <c r="AC280" i="65"/>
  <c r="AF316" i="65"/>
  <c r="AB372" i="65"/>
  <c r="AE375" i="65"/>
  <c r="AC279" i="65"/>
  <c r="AF291" i="65"/>
  <c r="AF297" i="65"/>
  <c r="AF366" i="65"/>
  <c r="AB320" i="65"/>
  <c r="AD279" i="65"/>
  <c r="AE368" i="65"/>
  <c r="AE315" i="65"/>
  <c r="AE324" i="65"/>
  <c r="AB274" i="65"/>
  <c r="AN274" i="65" s="1"/>
  <c r="AB346" i="65"/>
  <c r="AB355" i="65"/>
  <c r="AE358" i="65"/>
  <c r="AC352" i="65"/>
  <c r="AD367" i="65"/>
  <c r="AD323" i="65"/>
  <c r="AF361" i="65"/>
  <c r="AE340" i="65"/>
  <c r="AC310" i="65"/>
  <c r="AD374" i="65"/>
  <c r="AF319" i="65"/>
  <c r="AD375" i="65"/>
  <c r="AF351" i="65"/>
  <c r="AE287" i="65"/>
  <c r="AE280" i="65"/>
  <c r="AB279" i="65"/>
  <c r="AE311" i="65"/>
  <c r="AD277" i="65"/>
  <c r="AB377" i="65"/>
  <c r="AB353" i="65"/>
  <c r="AC300" i="65"/>
  <c r="AO300" i="65" s="1"/>
  <c r="AD335" i="65"/>
  <c r="AP335" i="65" s="1"/>
  <c r="AB300" i="65"/>
  <c r="AN300" i="65" s="1"/>
  <c r="AE337" i="65"/>
  <c r="AQ337" i="65" s="1"/>
  <c r="AC268" i="65"/>
  <c r="AO268" i="65" s="1"/>
  <c r="AC337" i="65"/>
  <c r="AO337" i="65" s="1"/>
  <c r="AF328" i="65"/>
  <c r="AR328" i="65" s="1"/>
  <c r="AE304" i="65"/>
  <c r="AQ304" i="65" s="1"/>
  <c r="AC273" i="65"/>
  <c r="AO273" i="65" s="1"/>
  <c r="AD300" i="65"/>
  <c r="AP300" i="65" s="1"/>
  <c r="AF364" i="65"/>
  <c r="AD302" i="65"/>
  <c r="AP302" i="65" s="1"/>
  <c r="AD380" i="65"/>
  <c r="AP380" i="65" s="1"/>
  <c r="AE364" i="65"/>
  <c r="AD270" i="65"/>
  <c r="AP270" i="65" s="1"/>
  <c r="AC370" i="65"/>
  <c r="AO370" i="65" s="1"/>
  <c r="AD330" i="65"/>
  <c r="AP330" i="65" s="1"/>
  <c r="AC380" i="65"/>
  <c r="AO380" i="65" s="1"/>
  <c r="AE303" i="65"/>
  <c r="AQ303" i="65" s="1"/>
  <c r="AD326" i="65"/>
  <c r="AP326" i="65" s="1"/>
  <c r="AD337" i="65"/>
  <c r="AP337" i="65" s="1"/>
  <c r="AF303" i="65"/>
  <c r="AR303" i="65" s="1"/>
  <c r="AB270" i="65"/>
  <c r="AN270" i="65" s="1"/>
  <c r="AB357" i="65"/>
  <c r="AD338" i="65"/>
  <c r="AP338" i="65" s="1"/>
  <c r="AB317" i="65"/>
  <c r="AF331" i="65"/>
  <c r="AR331" i="65" s="1"/>
  <c r="AE382" i="65"/>
  <c r="AQ382" i="65" s="1"/>
  <c r="AC338" i="65"/>
  <c r="AO338" i="65" s="1"/>
  <c r="AC306" i="65"/>
  <c r="AO306" i="65" s="1"/>
  <c r="AB282" i="65"/>
  <c r="AB362" i="65"/>
  <c r="AN362" i="65" s="1"/>
  <c r="AD381" i="65"/>
  <c r="AP381" i="65" s="1"/>
  <c r="AE275" i="65"/>
  <c r="AB333" i="65"/>
  <c r="AN333" i="65" s="1"/>
  <c r="AD371" i="65"/>
  <c r="AP371" i="65" s="1"/>
  <c r="AF373" i="65"/>
  <c r="AF327" i="65"/>
  <c r="AR327" i="65" s="1"/>
  <c r="AC299" i="65"/>
  <c r="AO299" i="65" s="1"/>
  <c r="AD299" i="65"/>
  <c r="AP299" i="65" s="1"/>
  <c r="AE215" i="65"/>
  <c r="AF157" i="65"/>
  <c r="AB189" i="65"/>
  <c r="AH189" i="65" s="1"/>
  <c r="AB190" i="65"/>
  <c r="AH190" i="65" s="1"/>
  <c r="AE211" i="65"/>
  <c r="AB188" i="65"/>
  <c r="AH188" i="65" s="1"/>
  <c r="AN188" i="65" s="1"/>
  <c r="AC261" i="65"/>
  <c r="AO261" i="65" s="1"/>
  <c r="AB177" i="65"/>
  <c r="AN177" i="65" s="1"/>
  <c r="AE265" i="65"/>
  <c r="AQ265" i="65" s="1"/>
  <c r="AF149" i="65"/>
  <c r="AR149" i="65" s="1"/>
  <c r="AB226" i="65"/>
  <c r="AN226" i="65" s="1"/>
  <c r="AE236" i="65"/>
  <c r="AB180" i="65"/>
  <c r="AN180" i="65" s="1"/>
  <c r="AF150" i="65"/>
  <c r="AR150" i="65" s="1"/>
  <c r="AB144" i="65"/>
  <c r="AN144" i="65" s="1"/>
  <c r="AF152" i="65"/>
  <c r="AR152" i="65" s="1"/>
  <c r="AD160" i="65"/>
  <c r="AB151" i="65"/>
  <c r="AH151" i="65" s="1"/>
  <c r="AN151" i="65" s="1"/>
  <c r="AC206" i="65"/>
  <c r="AO206" i="65" s="1"/>
  <c r="AC262" i="65"/>
  <c r="AO262" i="65" s="1"/>
  <c r="AF198" i="65"/>
  <c r="AR198" i="65" s="1"/>
  <c r="AF188" i="65"/>
  <c r="AR188" i="65" s="1"/>
  <c r="AC170" i="65"/>
  <c r="AB184" i="65"/>
  <c r="AN184" i="65" s="1"/>
  <c r="AE224" i="65"/>
  <c r="AQ224" i="65" s="1"/>
  <c r="AF177" i="65"/>
  <c r="AR177" i="65" s="1"/>
  <c r="AC245" i="65"/>
  <c r="AO245" i="65" s="1"/>
  <c r="AC208" i="65"/>
  <c r="AO208" i="65" s="1"/>
  <c r="AF204" i="65"/>
  <c r="AR204" i="65" s="1"/>
  <c r="AD188" i="65"/>
  <c r="AP188" i="65" s="1"/>
  <c r="AB148" i="65"/>
  <c r="AN148" i="65" s="1"/>
  <c r="AD262" i="65"/>
  <c r="AP262" i="65" s="1"/>
  <c r="AE178" i="65"/>
  <c r="AQ178" i="65" s="1"/>
  <c r="AC196" i="65"/>
  <c r="AO196" i="65" s="1"/>
  <c r="AC202" i="65"/>
  <c r="AO202" i="65" s="1"/>
  <c r="AE203" i="65"/>
  <c r="AQ203" i="65" s="1"/>
  <c r="AD119" i="65"/>
  <c r="AB112" i="65"/>
  <c r="AH112" i="65" s="1"/>
  <c r="AN112" i="65" s="1"/>
  <c r="AB198" i="65"/>
  <c r="AN198" i="65" s="1"/>
  <c r="AE223" i="65"/>
  <c r="AQ223" i="65" s="1"/>
  <c r="AD179" i="65"/>
  <c r="AP179" i="65" s="1"/>
  <c r="AB260" i="65"/>
  <c r="AN260" i="65" s="1"/>
  <c r="AF201" i="65"/>
  <c r="AR201" i="65" s="1"/>
  <c r="AE152" i="65"/>
  <c r="AQ152" i="65" s="1"/>
  <c r="AE149" i="65"/>
  <c r="AQ149" i="65" s="1"/>
  <c r="AD224" i="65"/>
  <c r="AP224" i="65" s="1"/>
  <c r="AB172" i="65"/>
  <c r="AN172" i="65" s="1"/>
  <c r="AF185" i="65"/>
  <c r="AR185" i="65" s="1"/>
  <c r="AC210" i="65"/>
  <c r="AE216" i="65"/>
  <c r="AE246" i="65"/>
  <c r="AQ246" i="65" s="1"/>
  <c r="AB174" i="65"/>
  <c r="AN174" i="65" s="1"/>
  <c r="AF227" i="65"/>
  <c r="AR227" i="65" s="1"/>
  <c r="AF151" i="65"/>
  <c r="AR151" i="65" s="1"/>
  <c r="AC172" i="65"/>
  <c r="AO172" i="65" s="1"/>
  <c r="AC146" i="65"/>
  <c r="AO146" i="65" s="1"/>
  <c r="AF263" i="65"/>
  <c r="AR263" i="65" s="1"/>
  <c r="AB266" i="65"/>
  <c r="AN266" i="65" s="1"/>
  <c r="AE234" i="65"/>
  <c r="AE200" i="65"/>
  <c r="AQ200" i="65" s="1"/>
  <c r="AF173" i="65"/>
  <c r="AR173" i="65" s="1"/>
  <c r="AB262" i="65"/>
  <c r="AN262" i="65" s="1"/>
  <c r="AC166" i="65"/>
  <c r="AE182" i="65"/>
  <c r="AQ182" i="65" s="1"/>
  <c r="AF264" i="65"/>
  <c r="AR264" i="65" s="1"/>
  <c r="AC187" i="65"/>
  <c r="AO187" i="65" s="1"/>
  <c r="AC171" i="65"/>
  <c r="AO171" i="65" s="1"/>
  <c r="AF266" i="65"/>
  <c r="AR266" i="65" s="1"/>
  <c r="AC198" i="65"/>
  <c r="AO198" i="65" s="1"/>
  <c r="AB181" i="65"/>
  <c r="AN181" i="65" s="1"/>
  <c r="AC201" i="65"/>
  <c r="AO201" i="65" s="1"/>
  <c r="AF208" i="65"/>
  <c r="AR208" i="65" s="1"/>
  <c r="AF196" i="65"/>
  <c r="AR196" i="65" s="1"/>
  <c r="AE147" i="65"/>
  <c r="AQ147" i="65" s="1"/>
  <c r="AD201" i="65"/>
  <c r="AP201" i="65" s="1"/>
  <c r="AF172" i="65"/>
  <c r="AR172" i="65" s="1"/>
  <c r="AE148" i="65"/>
  <c r="AQ148" i="65" s="1"/>
  <c r="AE177" i="65"/>
  <c r="AQ177" i="65" s="1"/>
  <c r="AE160" i="65"/>
  <c r="AC175" i="65"/>
  <c r="AO175" i="65" s="1"/>
  <c r="AB264" i="65"/>
  <c r="AN264" i="65" s="1"/>
  <c r="AF187" i="65"/>
  <c r="AR187" i="65" s="1"/>
  <c r="AC147" i="65"/>
  <c r="AO147" i="65" s="1"/>
  <c r="AB206" i="65"/>
  <c r="AN206" i="65" s="1"/>
  <c r="AD180" i="65"/>
  <c r="AP180" i="65" s="1"/>
  <c r="AC234" i="65"/>
  <c r="AC265" i="65"/>
  <c r="AO265" i="65" s="1"/>
  <c r="AD202" i="65"/>
  <c r="AP202" i="65" s="1"/>
  <c r="AE176" i="65"/>
  <c r="AQ176" i="65" s="1"/>
  <c r="AE205" i="65"/>
  <c r="AQ205" i="65" s="1"/>
  <c r="AD182" i="65"/>
  <c r="AP182" i="65" s="1"/>
  <c r="AB202" i="65"/>
  <c r="AN202" i="65" s="1"/>
  <c r="AE174" i="65"/>
  <c r="AQ174" i="65" s="1"/>
  <c r="AE263" i="65"/>
  <c r="AQ263" i="65" s="1"/>
  <c r="AD264" i="65"/>
  <c r="AP264" i="65" s="1"/>
  <c r="AC151" i="65"/>
  <c r="AO151" i="65" s="1"/>
  <c r="AE226" i="65"/>
  <c r="AQ226" i="65" s="1"/>
  <c r="AE206" i="65"/>
  <c r="AQ206" i="65" s="1"/>
  <c r="AB224" i="65"/>
  <c r="AN224" i="65" s="1"/>
  <c r="AE188" i="65"/>
  <c r="AQ188" i="65" s="1"/>
  <c r="AE264" i="65"/>
  <c r="AQ264" i="65" s="1"/>
  <c r="AE225" i="65"/>
  <c r="AQ225" i="65" s="1"/>
  <c r="AC224" i="65"/>
  <c r="AO224" i="65" s="1"/>
  <c r="AB261" i="65"/>
  <c r="AN261" i="65" s="1"/>
  <c r="AD176" i="65"/>
  <c r="AP176" i="65" s="1"/>
  <c r="AB245" i="65"/>
  <c r="AN245" i="65" s="1"/>
  <c r="AE208" i="65"/>
  <c r="AQ208" i="65" s="1"/>
  <c r="AE144" i="65"/>
  <c r="AQ144" i="65" s="1"/>
  <c r="AD265" i="65"/>
  <c r="AP265" i="65" s="1"/>
  <c r="B482" i="40"/>
  <c r="B201" i="65"/>
  <c r="AD175" i="65"/>
  <c r="AP175" i="65" s="1"/>
  <c r="AE199" i="65"/>
  <c r="AQ199" i="65" s="1"/>
  <c r="AB146" i="65"/>
  <c r="AN146" i="65" s="1"/>
  <c r="AF179" i="65"/>
  <c r="AR179" i="65" s="1"/>
  <c r="AF153" i="65"/>
  <c r="AR153" i="65" s="1"/>
  <c r="AC266" i="65"/>
  <c r="AO266" i="65" s="1"/>
  <c r="AD186" i="65"/>
  <c r="AP186" i="65" s="1"/>
  <c r="AC178" i="65"/>
  <c r="AO178" i="65" s="1"/>
  <c r="AF224" i="65"/>
  <c r="AR224" i="65" s="1"/>
  <c r="AE186" i="65"/>
  <c r="AQ186" i="65" s="1"/>
  <c r="AB200" i="65"/>
  <c r="AN200" i="65" s="1"/>
  <c r="AF144" i="65"/>
  <c r="AR144" i="65" s="1"/>
  <c r="AD161" i="65"/>
  <c r="AF190" i="65"/>
  <c r="AD170" i="65"/>
  <c r="AD257" i="65"/>
  <c r="AF252" i="65"/>
  <c r="AE213" i="65"/>
  <c r="AC165" i="65"/>
  <c r="AD234" i="65"/>
  <c r="AE267" i="65"/>
  <c r="AC256" i="65"/>
  <c r="AC227" i="65"/>
  <c r="AB220" i="65"/>
  <c r="AH220" i="65" s="1"/>
  <c r="AB216" i="65"/>
  <c r="AB169" i="65"/>
  <c r="AH169" i="65" s="1"/>
  <c r="AN169" i="65" s="1"/>
  <c r="AC218" i="65"/>
  <c r="AB210" i="65"/>
  <c r="AB213" i="65"/>
  <c r="AH213" i="65" s="1"/>
  <c r="AD162" i="65"/>
  <c r="AE191" i="65"/>
  <c r="AC259" i="65"/>
  <c r="AE237" i="65"/>
  <c r="AB252" i="65"/>
  <c r="AC239" i="65"/>
  <c r="AE169" i="65"/>
  <c r="AB164" i="65"/>
  <c r="AH164" i="65" s="1"/>
  <c r="AN164" i="65" s="1"/>
  <c r="AE256" i="65"/>
  <c r="AB162" i="65"/>
  <c r="AH162" i="65" s="1"/>
  <c r="AN162" i="65" s="1"/>
  <c r="AC229" i="65"/>
  <c r="AE249" i="65"/>
  <c r="AD238" i="65"/>
  <c r="AE240" i="65"/>
  <c r="AE239" i="65"/>
  <c r="AD231" i="65"/>
  <c r="AC167" i="65"/>
  <c r="AD254" i="65"/>
  <c r="AC214" i="65"/>
  <c r="AD153" i="65"/>
  <c r="AD157" i="65"/>
  <c r="AB251" i="65"/>
  <c r="AH251" i="65" s="1"/>
  <c r="AN251" i="65" s="1"/>
  <c r="AF235" i="65"/>
  <c r="AB167" i="65"/>
  <c r="AH167" i="65" s="1"/>
  <c r="AF218" i="65"/>
  <c r="AE157" i="65"/>
  <c r="AF195" i="65"/>
  <c r="AC243" i="65"/>
  <c r="AC235" i="65"/>
  <c r="AE163" i="65"/>
  <c r="AB258" i="65"/>
  <c r="AH258" i="65" s="1"/>
  <c r="AB168" i="65"/>
  <c r="AH168" i="65" s="1"/>
  <c r="AN168" i="65" s="1"/>
  <c r="AF161" i="65"/>
  <c r="AB250" i="65"/>
  <c r="AH250" i="65" s="1"/>
  <c r="AC241" i="65"/>
  <c r="AE161" i="65"/>
  <c r="AF254" i="65"/>
  <c r="AD158" i="65"/>
  <c r="AB237" i="65"/>
  <c r="AH237" i="65" s="1"/>
  <c r="AD228" i="65"/>
  <c r="AF233" i="65"/>
  <c r="AC250" i="65"/>
  <c r="AC158" i="65"/>
  <c r="AF209" i="65"/>
  <c r="AF228" i="65"/>
  <c r="AR228" i="65" s="1"/>
  <c r="AE165" i="65"/>
  <c r="AD147" i="65"/>
  <c r="AP147" i="65" s="1"/>
  <c r="AD151" i="65"/>
  <c r="AP151" i="65" s="1"/>
  <c r="AB199" i="65"/>
  <c r="AN199" i="65" s="1"/>
  <c r="AC204" i="65"/>
  <c r="AO204" i="65" s="1"/>
  <c r="AF146" i="65"/>
  <c r="AR146" i="65" s="1"/>
  <c r="AH191" i="65"/>
  <c r="AN191" i="65" s="1"/>
  <c r="AB207" i="65"/>
  <c r="AN207" i="65" s="1"/>
  <c r="AD145" i="65"/>
  <c r="AP145" i="65" s="1"/>
  <c r="AC150" i="65"/>
  <c r="AO150" i="65" s="1"/>
  <c r="AH216" i="65"/>
  <c r="AH252" i="65"/>
  <c r="AN252" i="65" s="1"/>
  <c r="AC216" i="65"/>
  <c r="AE227" i="65"/>
  <c r="AQ227" i="65" s="1"/>
  <c r="AF259" i="65"/>
  <c r="AE231" i="65"/>
  <c r="AH236" i="65"/>
  <c r="AN236" i="65" s="1"/>
  <c r="AE202" i="65"/>
  <c r="AQ202" i="65" s="1"/>
  <c r="AE245" i="65"/>
  <c r="AQ245" i="65" s="1"/>
  <c r="AF182" i="65"/>
  <c r="AR182" i="65" s="1"/>
  <c r="AD183" i="65"/>
  <c r="AP183" i="65" s="1"/>
  <c r="AC226" i="65"/>
  <c r="AO226" i="65" s="1"/>
  <c r="AB197" i="65"/>
  <c r="AN197" i="65" s="1"/>
  <c r="AD199" i="65"/>
  <c r="AP199" i="65" s="1"/>
  <c r="AD223" i="65"/>
  <c r="AP223" i="65" s="1"/>
  <c r="AC223" i="65"/>
  <c r="AO223" i="65" s="1"/>
  <c r="AE175" i="65"/>
  <c r="AQ175" i="65" s="1"/>
  <c r="AC203" i="65"/>
  <c r="AO203" i="65" s="1"/>
  <c r="AE179" i="65"/>
  <c r="AQ179" i="65" s="1"/>
  <c r="AF222" i="65"/>
  <c r="AR222" i="65" s="1"/>
  <c r="AE201" i="65"/>
  <c r="AQ201" i="65" s="1"/>
  <c r="AF184" i="65"/>
  <c r="AR184" i="65" s="1"/>
  <c r="AD172" i="65"/>
  <c r="AP172" i="65" s="1"/>
  <c r="AB225" i="65"/>
  <c r="AN225" i="65" s="1"/>
  <c r="AB196" i="65"/>
  <c r="AN196" i="65" s="1"/>
  <c r="AB265" i="65"/>
  <c r="AN265" i="65" s="1"/>
  <c r="AB204" i="65"/>
  <c r="AN204" i="65" s="1"/>
  <c r="AD148" i="65"/>
  <c r="AP148" i="65" s="1"/>
  <c r="AF262" i="65"/>
  <c r="AR262" i="65" s="1"/>
  <c r="AD226" i="65"/>
  <c r="AP226" i="65" s="1"/>
  <c r="AC222" i="65"/>
  <c r="AO222" i="65" s="1"/>
  <c r="AD198" i="65"/>
  <c r="AP198" i="65" s="1"/>
  <c r="AC186" i="65"/>
  <c r="AO186" i="65" s="1"/>
  <c r="AB201" i="65"/>
  <c r="AN201" i="65" s="1"/>
  <c r="AE181" i="65"/>
  <c r="AQ181" i="65" s="1"/>
  <c r="AC200" i="65"/>
  <c r="AO200" i="65" s="1"/>
  <c r="AF180" i="65"/>
  <c r="AR180" i="65" s="1"/>
  <c r="AB145" i="65"/>
  <c r="AN145" i="65" s="1"/>
  <c r="AD150" i="65"/>
  <c r="AP150" i="65" s="1"/>
  <c r="AE184" i="65"/>
  <c r="AQ184" i="65" s="1"/>
  <c r="AC180" i="65"/>
  <c r="AO180" i="65" s="1"/>
  <c r="AC148" i="65"/>
  <c r="AO148" i="65" s="1"/>
  <c r="AC169" i="65"/>
  <c r="AB267" i="65"/>
  <c r="AD247" i="65"/>
  <c r="AB257" i="65"/>
  <c r="AC221" i="65"/>
  <c r="AB246" i="65"/>
  <c r="AF219" i="65"/>
  <c r="AF221" i="65"/>
  <c r="AC242" i="65"/>
  <c r="AF230" i="65"/>
  <c r="AC157" i="65"/>
  <c r="AE248" i="65"/>
  <c r="AE167" i="65"/>
  <c r="AB247" i="65"/>
  <c r="AE229" i="65"/>
  <c r="AC193" i="65"/>
  <c r="AB150" i="65"/>
  <c r="AN150" i="65" s="1"/>
  <c r="AC247" i="65"/>
  <c r="AE164" i="65"/>
  <c r="AF267" i="65"/>
  <c r="AB159" i="65"/>
  <c r="AB211" i="65"/>
  <c r="AE154" i="65"/>
  <c r="AF169" i="65"/>
  <c r="AB157" i="65"/>
  <c r="AD253" i="65"/>
  <c r="AC152" i="65"/>
  <c r="AB248" i="65"/>
  <c r="AC240" i="65"/>
  <c r="AF216" i="65"/>
  <c r="AF154" i="65"/>
  <c r="AR154" i="65" s="1"/>
  <c r="AB193" i="65"/>
  <c r="AF164" i="65"/>
  <c r="AB218" i="65"/>
  <c r="AC213" i="65"/>
  <c r="AD255" i="65"/>
  <c r="AC238" i="65"/>
  <c r="AC249" i="65"/>
  <c r="AE255" i="65"/>
  <c r="AD230" i="65"/>
  <c r="AD240" i="65"/>
  <c r="AC251" i="65"/>
  <c r="AB235" i="65"/>
  <c r="AB227" i="65"/>
  <c r="AB163" i="65"/>
  <c r="AB242" i="65"/>
  <c r="AE158" i="65"/>
  <c r="AC248" i="65"/>
  <c r="AF193" i="65"/>
  <c r="AE243" i="65"/>
  <c r="AC231" i="65"/>
  <c r="AF155" i="65"/>
  <c r="AB214" i="65"/>
  <c r="AE192" i="65"/>
  <c r="AF238" i="65"/>
  <c r="AB243" i="65"/>
  <c r="AF211" i="65"/>
  <c r="AC163" i="65"/>
  <c r="AE254" i="65"/>
  <c r="AF214" i="65"/>
  <c r="AF156" i="65"/>
  <c r="AD212" i="65"/>
  <c r="AF240" i="65"/>
  <c r="AF242" i="65"/>
  <c r="AE195" i="65"/>
  <c r="AD195" i="65"/>
  <c r="AD163" i="65"/>
  <c r="AE250" i="65"/>
  <c r="AB253" i="65"/>
  <c r="AC160" i="65"/>
  <c r="AB209" i="65"/>
  <c r="AF168" i="65"/>
  <c r="AF217" i="65"/>
  <c r="AE232" i="65"/>
  <c r="AF158" i="65"/>
  <c r="AF165" i="65"/>
  <c r="AB154" i="65"/>
  <c r="AC153" i="65"/>
  <c r="AC156" i="65"/>
  <c r="AC212" i="65"/>
  <c r="AE187" i="65"/>
  <c r="AQ187" i="65" s="1"/>
  <c r="AD185" i="65"/>
  <c r="AP185" i="65" s="1"/>
  <c r="AE180" i="65"/>
  <c r="AQ180" i="65" s="1"/>
  <c r="AB156" i="65"/>
  <c r="AB60" i="65"/>
  <c r="AH60" i="65" s="1"/>
  <c r="AE66" i="65"/>
  <c r="AD71" i="65"/>
  <c r="AE155" i="65"/>
  <c r="AC162" i="65"/>
  <c r="AD213" i="65"/>
  <c r="AC182" i="65"/>
  <c r="AO182" i="65" s="1"/>
  <c r="AD187" i="65"/>
  <c r="AP187" i="65" s="1"/>
  <c r="AC183" i="65"/>
  <c r="AO183" i="65" s="1"/>
  <c r="AD171" i="65"/>
  <c r="AP171" i="65" s="1"/>
  <c r="AE266" i="65"/>
  <c r="AQ266" i="65" s="1"/>
  <c r="AB178" i="65"/>
  <c r="AN178" i="65" s="1"/>
  <c r="AE197" i="65"/>
  <c r="AQ197" i="65" s="1"/>
  <c r="AC174" i="65"/>
  <c r="AO174" i="65" s="1"/>
  <c r="AF183" i="65"/>
  <c r="AR183" i="65" s="1"/>
  <c r="AB171" i="65"/>
  <c r="AN171" i="65" s="1"/>
  <c r="AB147" i="65"/>
  <c r="AN147" i="65" s="1"/>
  <c r="AE242" i="65"/>
  <c r="AF226" i="65"/>
  <c r="AR226" i="65" s="1"/>
  <c r="AB186" i="65"/>
  <c r="AN186" i="65" s="1"/>
  <c r="AD181" i="65"/>
  <c r="AP181" i="65" s="1"/>
  <c r="AD208" i="65"/>
  <c r="AP208" i="65" s="1"/>
  <c r="AD144" i="65"/>
  <c r="AP144" i="65" s="1"/>
  <c r="AF223" i="65"/>
  <c r="AR223" i="65" s="1"/>
  <c r="AF202" i="65"/>
  <c r="AR202" i="65" s="1"/>
  <c r="AD207" i="65"/>
  <c r="AP207" i="65" s="1"/>
  <c r="AC199" i="65"/>
  <c r="AO199" i="65" s="1"/>
  <c r="AF174" i="65"/>
  <c r="AR174" i="65" s="1"/>
  <c r="AD146" i="65"/>
  <c r="AP146" i="65" s="1"/>
  <c r="AE173" i="65"/>
  <c r="AQ173" i="65" s="1"/>
  <c r="AC263" i="65"/>
  <c r="AO263" i="65" s="1"/>
  <c r="AB183" i="65"/>
  <c r="AN183" i="65" s="1"/>
  <c r="AC179" i="65"/>
  <c r="AO179" i="65" s="1"/>
  <c r="AE262" i="65"/>
  <c r="AQ262" i="65" s="1"/>
  <c r="AD206" i="65"/>
  <c r="AP206" i="65" s="1"/>
  <c r="AD245" i="65"/>
  <c r="AP245" i="65" s="1"/>
  <c r="AF260" i="65"/>
  <c r="AR260" i="65" s="1"/>
  <c r="AD168" i="65"/>
  <c r="AC197" i="65"/>
  <c r="AO197" i="65" s="1"/>
  <c r="AC185" i="65"/>
  <c r="AO185" i="65" s="1"/>
  <c r="AD205" i="65"/>
  <c r="AP205" i="65" s="1"/>
  <c r="AF145" i="65"/>
  <c r="AR145" i="65" s="1"/>
  <c r="AE244" i="65"/>
  <c r="AQ244" i="65" s="1"/>
  <c r="AD266" i="65"/>
  <c r="AP266" i="65" s="1"/>
  <c r="AD222" i="65"/>
  <c r="AP222" i="65" s="1"/>
  <c r="AD178" i="65"/>
  <c r="AP178" i="65" s="1"/>
  <c r="AE150" i="65"/>
  <c r="AQ150" i="65" s="1"/>
  <c r="AD200" i="65"/>
  <c r="AP200" i="65" s="1"/>
  <c r="AD225" i="65"/>
  <c r="AP225" i="65" s="1"/>
  <c r="AE260" i="65"/>
  <c r="AQ260" i="65" s="1"/>
  <c r="AE261" i="65"/>
  <c r="AQ261" i="65" s="1"/>
  <c r="AE185" i="65"/>
  <c r="AQ185" i="65" s="1"/>
  <c r="AF148" i="65"/>
  <c r="AR148" i="65" s="1"/>
  <c r="AF181" i="65"/>
  <c r="AR181" i="65" s="1"/>
  <c r="AB176" i="65"/>
  <c r="AN176" i="65" s="1"/>
  <c r="AF265" i="65"/>
  <c r="AR265" i="65" s="1"/>
  <c r="AF197" i="65"/>
  <c r="AR197" i="65" s="1"/>
  <c r="AD166" i="65"/>
  <c r="AE241" i="65"/>
  <c r="AE251" i="65"/>
  <c r="AC189" i="65"/>
  <c r="AC159" i="65"/>
  <c r="AB249" i="65"/>
  <c r="AD237" i="65"/>
  <c r="AB255" i="65"/>
  <c r="AD216" i="65"/>
  <c r="AE217" i="65"/>
  <c r="AD221" i="65"/>
  <c r="AE218" i="65"/>
  <c r="AE259" i="65"/>
  <c r="AB238" i="65"/>
  <c r="AB166" i="65"/>
  <c r="AE190" i="65"/>
  <c r="AB170" i="65"/>
  <c r="AC255" i="65"/>
  <c r="AC252" i="65"/>
  <c r="AE170" i="65"/>
  <c r="AD190" i="65"/>
  <c r="AB152" i="65"/>
  <c r="AF248" i="65"/>
  <c r="AC267" i="65"/>
  <c r="AB233" i="65"/>
  <c r="AB160" i="65"/>
  <c r="AB256" i="65"/>
  <c r="AE221" i="65"/>
  <c r="AE153" i="65"/>
  <c r="AQ153" i="65" s="1"/>
  <c r="AD249" i="65"/>
  <c r="AC190" i="65"/>
  <c r="AF191" i="65"/>
  <c r="AD252" i="65"/>
  <c r="AB219" i="65"/>
  <c r="AD159" i="65"/>
  <c r="AE159" i="65"/>
  <c r="AF166" i="65"/>
  <c r="AF159" i="65"/>
  <c r="AB195" i="65"/>
  <c r="AD193" i="65"/>
  <c r="AD251" i="65"/>
  <c r="AF163" i="65"/>
  <c r="AF249" i="65"/>
  <c r="AD220" i="65"/>
  <c r="AF243" i="65"/>
  <c r="AF231" i="65"/>
  <c r="AD227" i="65"/>
  <c r="AD155" i="65"/>
  <c r="AB234" i="65"/>
  <c r="AD241" i="65"/>
  <c r="AB240" i="65"/>
  <c r="AD243" i="65"/>
  <c r="AD219" i="65"/>
  <c r="AC258" i="65"/>
  <c r="AB158" i="65"/>
  <c r="AD164" i="65"/>
  <c r="AF229" i="65"/>
  <c r="AD239" i="65"/>
  <c r="AF167" i="65"/>
  <c r="AC155" i="65"/>
  <c r="AB254" i="65"/>
  <c r="AE210" i="65"/>
  <c r="AE253" i="65"/>
  <c r="AD152" i="65"/>
  <c r="AP152" i="65" s="1"/>
  <c r="AF251" i="65"/>
  <c r="AD218" i="65"/>
  <c r="AE230" i="65"/>
  <c r="AB229" i="65"/>
  <c r="AE258" i="65"/>
  <c r="AD250" i="65"/>
  <c r="AD256" i="65"/>
  <c r="AF160" i="65"/>
  <c r="AD236" i="65"/>
  <c r="AD165" i="65"/>
  <c r="AB212" i="65"/>
  <c r="AC228" i="65"/>
  <c r="AE212" i="65"/>
  <c r="AB153" i="65"/>
  <c r="AC188" i="65"/>
  <c r="AO188" i="65" s="1"/>
  <c r="AD217" i="65"/>
  <c r="AB192" i="65"/>
  <c r="AF225" i="65"/>
  <c r="AR225" i="65" s="1"/>
  <c r="AF261" i="65"/>
  <c r="AR261" i="65" s="1"/>
  <c r="AF176" i="65"/>
  <c r="AR176" i="65" s="1"/>
  <c r="AC230" i="65"/>
  <c r="AC161" i="65"/>
  <c r="AC257" i="65"/>
  <c r="AB232" i="65"/>
  <c r="AD189" i="65"/>
  <c r="AF220" i="65"/>
  <c r="AF232" i="65"/>
  <c r="AC232" i="65"/>
  <c r="AD156" i="65"/>
  <c r="AD154" i="65"/>
  <c r="AE146" i="65"/>
  <c r="AQ146" i="65" s="1"/>
  <c r="AB194" i="65"/>
  <c r="AF203" i="65"/>
  <c r="AR203" i="65" s="1"/>
  <c r="AB182" i="65"/>
  <c r="AN182" i="65" s="1"/>
  <c r="AB203" i="65"/>
  <c r="AN203" i="65" s="1"/>
  <c r="AE198" i="65"/>
  <c r="AQ198" i="65" s="1"/>
  <c r="AF175" i="65"/>
  <c r="AR175" i="65" s="1"/>
  <c r="AE183" i="65"/>
  <c r="AQ183" i="65" s="1"/>
  <c r="AF147" i="65"/>
  <c r="AR147" i="65" s="1"/>
  <c r="AC264" i="65"/>
  <c r="AO264" i="65" s="1"/>
  <c r="AF207" i="65"/>
  <c r="AR207" i="65" s="1"/>
  <c r="AC207" i="65"/>
  <c r="AO207" i="65" s="1"/>
  <c r="AB175" i="65"/>
  <c r="AN175" i="65" s="1"/>
  <c r="AB223" i="65"/>
  <c r="AN223" i="65" s="1"/>
  <c r="AE207" i="65"/>
  <c r="AQ207" i="65" s="1"/>
  <c r="AF199" i="65"/>
  <c r="AR199" i="65" s="1"/>
  <c r="AD246" i="65"/>
  <c r="AD174" i="65"/>
  <c r="AP174" i="65" s="1"/>
  <c r="AD263" i="65"/>
  <c r="AP263" i="65" s="1"/>
  <c r="AB179" i="65"/>
  <c r="AN179" i="65" s="1"/>
  <c r="AE151" i="65"/>
  <c r="AQ151" i="65" s="1"/>
  <c r="AE222" i="65"/>
  <c r="AQ222" i="65" s="1"/>
  <c r="AB205" i="65"/>
  <c r="AN205" i="65" s="1"/>
  <c r="AB149" i="65"/>
  <c r="AN149" i="65" s="1"/>
  <c r="AC205" i="65"/>
  <c r="AO205" i="65" s="1"/>
  <c r="AD204" i="65"/>
  <c r="AP204" i="65" s="1"/>
  <c r="AE171" i="65"/>
  <c r="AQ171" i="65" s="1"/>
  <c r="AF206" i="65"/>
  <c r="AR206" i="65" s="1"/>
  <c r="AF178" i="65"/>
  <c r="AR178" i="65" s="1"/>
  <c r="AC181" i="65"/>
  <c r="AO181" i="65" s="1"/>
  <c r="AC149" i="65"/>
  <c r="AO149" i="65" s="1"/>
  <c r="AF200" i="65"/>
  <c r="AR200" i="65" s="1"/>
  <c r="AD184" i="65"/>
  <c r="AP184" i="65" s="1"/>
  <c r="AE145" i="65"/>
  <c r="AQ145" i="65" s="1"/>
  <c r="AC244" i="65"/>
  <c r="AO244" i="65" s="1"/>
  <c r="AD149" i="65"/>
  <c r="AP149" i="65" s="1"/>
  <c r="AE172" i="65"/>
  <c r="AQ172" i="65" s="1"/>
  <c r="AC225" i="65"/>
  <c r="AO225" i="65" s="1"/>
  <c r="AC145" i="65"/>
  <c r="AO145" i="65" s="1"/>
  <c r="AD244" i="65"/>
  <c r="AP244" i="65" s="1"/>
  <c r="AE204" i="65"/>
  <c r="AQ204" i="65" s="1"/>
  <c r="AB221" i="65"/>
  <c r="AB155" i="65"/>
  <c r="AD169" i="65"/>
  <c r="AF194" i="65"/>
  <c r="AC164" i="65"/>
  <c r="AC220" i="65"/>
  <c r="AF162" i="65"/>
  <c r="AC237" i="65"/>
  <c r="AD248" i="65"/>
  <c r="AD194" i="65"/>
  <c r="AC209" i="65"/>
  <c r="AC236" i="65"/>
  <c r="AE233" i="65"/>
  <c r="AD242" i="65"/>
  <c r="AC219" i="65"/>
  <c r="AE220" i="65"/>
  <c r="AD215" i="65"/>
  <c r="AC215" i="65"/>
  <c r="AD214" i="65"/>
  <c r="AD191" i="65"/>
  <c r="AF213" i="65"/>
  <c r="AE162" i="65"/>
  <c r="AF236" i="65"/>
  <c r="AD267" i="65"/>
  <c r="AE257" i="65"/>
  <c r="AD232" i="65"/>
  <c r="AF253" i="65"/>
  <c r="AF241" i="65"/>
  <c r="AE219" i="65"/>
  <c r="AE194" i="65"/>
  <c r="AF257" i="65"/>
  <c r="AF170" i="65"/>
  <c r="AE189" i="65"/>
  <c r="AQ189" i="65" s="1"/>
  <c r="AE252" i="65"/>
  <c r="AB215" i="65"/>
  <c r="AB230" i="65"/>
  <c r="AF215" i="65"/>
  <c r="AE166" i="65"/>
  <c r="AC191" i="65"/>
  <c r="AB161" i="65"/>
  <c r="AE247" i="65"/>
  <c r="AC154" i="65"/>
  <c r="AD229" i="65"/>
  <c r="AB259" i="65"/>
  <c r="AB239" i="65"/>
  <c r="AB231" i="65"/>
  <c r="AD211" i="65"/>
  <c r="AF258" i="65"/>
  <c r="AD209" i="65"/>
  <c r="AC168" i="65"/>
  <c r="AF255" i="65"/>
  <c r="AF239" i="65"/>
  <c r="AC211" i="65"/>
  <c r="AC217" i="65"/>
  <c r="AC195" i="65"/>
  <c r="AD259" i="65"/>
  <c r="AE235" i="65"/>
  <c r="AD167" i="65"/>
  <c r="AF250" i="65"/>
  <c r="AF237" i="65"/>
  <c r="AB165" i="65"/>
  <c r="AE193" i="65"/>
  <c r="AC254" i="65"/>
  <c r="AD210" i="65"/>
  <c r="AC194" i="65"/>
  <c r="AD235" i="65"/>
  <c r="AD258" i="65"/>
  <c r="AE214" i="65"/>
  <c r="AF212" i="65"/>
  <c r="AB241" i="65"/>
  <c r="AE228" i="65"/>
  <c r="AC253" i="65"/>
  <c r="AF256" i="65"/>
  <c r="AF192" i="65"/>
  <c r="AB208" i="65"/>
  <c r="AN208" i="65" s="1"/>
  <c r="AC192" i="65"/>
  <c r="AE209" i="65"/>
  <c r="AB228" i="65"/>
  <c r="AE168" i="65"/>
  <c r="AB217" i="65"/>
  <c r="AD192" i="65"/>
  <c r="AB125" i="65"/>
  <c r="AH125" i="65" s="1"/>
  <c r="AN125" i="65" s="1"/>
  <c r="AB108" i="65"/>
  <c r="AH108" i="65" s="1"/>
  <c r="AF73" i="65"/>
  <c r="AB65" i="65"/>
  <c r="AH65" i="65" s="1"/>
  <c r="O54" i="66"/>
  <c r="K51" i="37"/>
  <c r="M52" i="66"/>
  <c r="I49" i="37"/>
  <c r="Q44" i="66"/>
  <c r="M44" i="37"/>
  <c r="P60" i="42"/>
  <c r="P43" i="66"/>
  <c r="L43" i="37"/>
  <c r="Q34" i="25"/>
  <c r="M53" i="37"/>
  <c r="AE69" i="65"/>
  <c r="AC130" i="65"/>
  <c r="AD115" i="65"/>
  <c r="AH105" i="65"/>
  <c r="AH93" i="65"/>
  <c r="AH90" i="65"/>
  <c r="AN90" i="65" s="1"/>
  <c r="AH91" i="65"/>
  <c r="AN91" i="65" s="1"/>
  <c r="AD135" i="65"/>
  <c r="AB61" i="65"/>
  <c r="AH61" i="65" s="1"/>
  <c r="AN61" i="65" s="1"/>
  <c r="AC111" i="65"/>
  <c r="L51" i="50"/>
  <c r="AC80" i="65"/>
  <c r="AF133" i="65"/>
  <c r="AC142" i="65"/>
  <c r="AC124" i="65"/>
  <c r="AD107" i="65"/>
  <c r="AP107" i="65" s="1"/>
  <c r="AB137" i="65"/>
  <c r="AE106" i="65"/>
  <c r="AB59" i="65"/>
  <c r="N51" i="66"/>
  <c r="N86" i="66" s="1"/>
  <c r="P88" i="66" s="1"/>
  <c r="N29" i="25"/>
  <c r="N53" i="50"/>
  <c r="Q175" i="50"/>
  <c r="Q169" i="50"/>
  <c r="N187" i="50"/>
  <c r="Q187" i="50" s="1"/>
  <c r="S187" i="50" s="1"/>
  <c r="N194" i="50"/>
  <c r="Q194" i="50" s="1"/>
  <c r="S194" i="50" s="1"/>
  <c r="Q181" i="50"/>
  <c r="Q163" i="50"/>
  <c r="M51" i="66"/>
  <c r="M86" i="66" s="1"/>
  <c r="O88" i="66" s="1"/>
  <c r="M29" i="25"/>
  <c r="AB88" i="65"/>
  <c r="AB136" i="65"/>
  <c r="AE126" i="65"/>
  <c r="AF139" i="65"/>
  <c r="AF108" i="65"/>
  <c r="AC137" i="65"/>
  <c r="AE105" i="65"/>
  <c r="AF94" i="65"/>
  <c r="AE102" i="65"/>
  <c r="AD103" i="65"/>
  <c r="AF93" i="65"/>
  <c r="AC96" i="65"/>
  <c r="AD57" i="65"/>
  <c r="O32" i="25"/>
  <c r="J49" i="50"/>
  <c r="M30" i="25"/>
  <c r="M104" i="25" s="1"/>
  <c r="K50" i="50"/>
  <c r="N51" i="42"/>
  <c r="Q56" i="66"/>
  <c r="M50" i="42"/>
  <c r="P55" i="66"/>
  <c r="K48" i="42"/>
  <c r="N53" i="66"/>
  <c r="O56" i="24"/>
  <c r="K52" i="24"/>
  <c r="J49" i="66"/>
  <c r="L53" i="24"/>
  <c r="K50" i="66"/>
  <c r="AB86" i="65"/>
  <c r="AD56" i="65"/>
  <c r="AB140" i="65"/>
  <c r="AF97" i="65"/>
  <c r="AD102" i="65"/>
  <c r="AE61" i="65"/>
  <c r="AD143" i="65"/>
  <c r="AF129" i="65"/>
  <c r="AR129" i="65" s="1"/>
  <c r="AB138" i="65"/>
  <c r="AB134" i="65"/>
  <c r="AE92" i="65"/>
  <c r="AB101" i="65"/>
  <c r="AC107" i="65"/>
  <c r="AO107" i="65" s="1"/>
  <c r="AC95" i="65"/>
  <c r="AE100" i="65"/>
  <c r="AD137" i="65"/>
  <c r="AB107" i="65"/>
  <c r="AN107" i="65" s="1"/>
  <c r="AF83" i="65"/>
  <c r="AF79" i="65"/>
  <c r="AF60" i="65"/>
  <c r="AC138" i="65"/>
  <c r="AD105" i="65"/>
  <c r="AF90" i="65"/>
  <c r="AB120" i="65"/>
  <c r="AN120" i="65" s="1"/>
  <c r="AB55" i="65"/>
  <c r="AF87" i="65"/>
  <c r="AR87" i="65" s="1"/>
  <c r="AC123" i="65"/>
  <c r="AE109" i="65"/>
  <c r="AC99" i="65"/>
  <c r="AE86" i="65"/>
  <c r="AQ86" i="65" s="1"/>
  <c r="AF53" i="65"/>
  <c r="AF110" i="65"/>
  <c r="AR110" i="65" s="1"/>
  <c r="AE121" i="65"/>
  <c r="AQ121" i="65" s="1"/>
  <c r="AD96" i="65"/>
  <c r="AD136" i="65"/>
  <c r="AD88" i="65"/>
  <c r="AF109" i="65"/>
  <c r="AB126" i="65"/>
  <c r="AE58" i="65"/>
  <c r="AC104" i="65"/>
  <c r="AO104" i="65" s="1"/>
  <c r="AC106" i="65"/>
  <c r="AD95" i="65"/>
  <c r="AF89" i="65"/>
  <c r="AD106" i="65"/>
  <c r="AC87" i="65"/>
  <c r="AE140" i="65"/>
  <c r="AB58" i="65"/>
  <c r="AD54" i="65"/>
  <c r="AE143" i="65"/>
  <c r="AC100" i="65"/>
  <c r="AD129" i="65"/>
  <c r="AP129" i="65" s="1"/>
  <c r="AE55" i="65"/>
  <c r="AB97" i="65"/>
  <c r="AC140" i="65"/>
  <c r="AC58" i="65"/>
  <c r="AE54" i="65"/>
  <c r="AE101" i="65"/>
  <c r="AD53" i="65"/>
  <c r="AE59" i="65"/>
  <c r="AB139" i="65"/>
  <c r="AB57" i="65"/>
  <c r="AD89" i="65"/>
  <c r="AC143" i="65"/>
  <c r="AE91" i="65"/>
  <c r="AC98" i="65"/>
  <c r="AE96" i="65"/>
  <c r="AB129" i="65"/>
  <c r="AN129" i="65" s="1"/>
  <c r="AF95" i="65"/>
  <c r="AB98" i="65"/>
  <c r="AD64" i="65"/>
  <c r="AB142" i="65"/>
  <c r="AH142" i="65" s="1"/>
  <c r="AF130" i="65"/>
  <c r="AB124" i="65"/>
  <c r="AH124" i="65" s="1"/>
  <c r="AE132" i="65"/>
  <c r="AF132" i="65"/>
  <c r="AB75" i="65"/>
  <c r="AH75" i="65" s="1"/>
  <c r="AN75" i="65" s="1"/>
  <c r="AF124" i="65"/>
  <c r="AD142" i="65"/>
  <c r="AB82" i="65"/>
  <c r="AH82" i="65" s="1"/>
  <c r="AN82" i="65" s="1"/>
  <c r="AD84" i="65"/>
  <c r="AD125" i="65"/>
  <c r="AE84" i="65"/>
  <c r="AC127" i="65"/>
  <c r="AB81" i="65"/>
  <c r="AH81" i="65" s="1"/>
  <c r="AN81" i="65" s="1"/>
  <c r="AB79" i="65"/>
  <c r="AH79" i="65" s="1"/>
  <c r="AD65" i="65"/>
  <c r="AE110" i="65"/>
  <c r="AQ110" i="65" s="1"/>
  <c r="AB119" i="65"/>
  <c r="AH119" i="65" s="1"/>
  <c r="AN119" i="65" s="1"/>
  <c r="AC116" i="65"/>
  <c r="AF78" i="65"/>
  <c r="AE82" i="65"/>
  <c r="AB68" i="65"/>
  <c r="AH68" i="65" s="1"/>
  <c r="AF125" i="65"/>
  <c r="AE111" i="65"/>
  <c r="AB85" i="65"/>
  <c r="AH85" i="65" s="1"/>
  <c r="AE79" i="65"/>
  <c r="AF71" i="65"/>
  <c r="AC61" i="65"/>
  <c r="AB115" i="65"/>
  <c r="AH115" i="65" s="1"/>
  <c r="AN115" i="65" s="1"/>
  <c r="AF82" i="65"/>
  <c r="AB133" i="65"/>
  <c r="AH133" i="65" s="1"/>
  <c r="AC68" i="65"/>
  <c r="AD63" i="65"/>
  <c r="AD72" i="65"/>
  <c r="AE78" i="65"/>
  <c r="AE124" i="65"/>
  <c r="AC60" i="65"/>
  <c r="AD124" i="65"/>
  <c r="AD62" i="65"/>
  <c r="AD128" i="65"/>
  <c r="AF67" i="65"/>
  <c r="AF84" i="65"/>
  <c r="AD80" i="65"/>
  <c r="AB77" i="65"/>
  <c r="AH77" i="65" s="1"/>
  <c r="AN77" i="65" s="1"/>
  <c r="AE133" i="65"/>
  <c r="AF76" i="65"/>
  <c r="AE65" i="65"/>
  <c r="AE70" i="65"/>
  <c r="AB70" i="65"/>
  <c r="AH70" i="65" s="1"/>
  <c r="AF117" i="65"/>
  <c r="AD77" i="65"/>
  <c r="AC79" i="65"/>
  <c r="AD70" i="65"/>
  <c r="AD117" i="65"/>
  <c r="AC81" i="65"/>
  <c r="AE72" i="65"/>
  <c r="AB67" i="65"/>
  <c r="AH67" i="65" s="1"/>
  <c r="AC76" i="65"/>
  <c r="AF118" i="65"/>
  <c r="AC65" i="65"/>
  <c r="AC131" i="65"/>
  <c r="AE97" i="65"/>
  <c r="AF106" i="65"/>
  <c r="AF57" i="65"/>
  <c r="AE123" i="65"/>
  <c r="AF102" i="65"/>
  <c r="AF88" i="65"/>
  <c r="AR88" i="65" s="1"/>
  <c r="AB100" i="65"/>
  <c r="AF69" i="65"/>
  <c r="AB141" i="65"/>
  <c r="AC72" i="65"/>
  <c r="AC141" i="65"/>
  <c r="AB83" i="65"/>
  <c r="AC70" i="65"/>
  <c r="AE139" i="65"/>
  <c r="AE108" i="65"/>
  <c r="AC110" i="65"/>
  <c r="AB104" i="65"/>
  <c r="AN104" i="65" s="1"/>
  <c r="AF55" i="65"/>
  <c r="AD98" i="65"/>
  <c r="AE120" i="65"/>
  <c r="AQ120" i="65" s="1"/>
  <c r="AB123" i="65"/>
  <c r="AE98" i="65"/>
  <c r="AB135" i="65"/>
  <c r="AE87" i="65"/>
  <c r="AQ87" i="65" s="1"/>
  <c r="AF135" i="65"/>
  <c r="AR135" i="65" s="1"/>
  <c r="AE73" i="65"/>
  <c r="AF64" i="65"/>
  <c r="AF142" i="65"/>
  <c r="AF114" i="65"/>
  <c r="AE131" i="65"/>
  <c r="AB72" i="65"/>
  <c r="AC125" i="65"/>
  <c r="AD78" i="65"/>
  <c r="AC85" i="65"/>
  <c r="AE137" i="65"/>
  <c r="AB56" i="65"/>
  <c r="AB92" i="65"/>
  <c r="AF59" i="65"/>
  <c r="AB99" i="65"/>
  <c r="AD60" i="65"/>
  <c r="AF92" i="65"/>
  <c r="AC54" i="65"/>
  <c r="AF126" i="65"/>
  <c r="AD116" i="65"/>
  <c r="AB114" i="65"/>
  <c r="AE57" i="65"/>
  <c r="AF103" i="65"/>
  <c r="AC120" i="65"/>
  <c r="AO120" i="65" s="1"/>
  <c r="AC89" i="65"/>
  <c r="AF122" i="65"/>
  <c r="AR122" i="65" s="1"/>
  <c r="AC93" i="65"/>
  <c r="AC122" i="65"/>
  <c r="AD121" i="65"/>
  <c r="AP121" i="65" s="1"/>
  <c r="AF137" i="65"/>
  <c r="AC91" i="65"/>
  <c r="AB122" i="65"/>
  <c r="AE135" i="65"/>
  <c r="AQ135" i="65" s="1"/>
  <c r="AB106" i="65"/>
  <c r="AE88" i="65"/>
  <c r="AQ88" i="65" s="1"/>
  <c r="AE60" i="65"/>
  <c r="AF143" i="65"/>
  <c r="AF61" i="65"/>
  <c r="AE130" i="65"/>
  <c r="AD69" i="65"/>
  <c r="AD81" i="65"/>
  <c r="AE83" i="65"/>
  <c r="AB80" i="65"/>
  <c r="AE119" i="65"/>
  <c r="AE112" i="65"/>
  <c r="AC90" i="65"/>
  <c r="AC56" i="65"/>
  <c r="AC136" i="65"/>
  <c r="AE134" i="65"/>
  <c r="AQ134" i="65" s="1"/>
  <c r="AD92" i="65"/>
  <c r="AD59" i="65"/>
  <c r="AF138" i="65"/>
  <c r="AC105" i="65"/>
  <c r="AF134" i="65"/>
  <c r="AR134" i="65" s="1"/>
  <c r="AF72" i="65"/>
  <c r="AE95" i="65"/>
  <c r="AF121" i="65"/>
  <c r="AR121" i="65" s="1"/>
  <c r="AB89" i="65"/>
  <c r="AF96" i="65"/>
  <c r="AF91" i="65"/>
  <c r="AD122" i="65"/>
  <c r="AB96" i="65"/>
  <c r="AE129" i="65"/>
  <c r="AQ129" i="65" s="1"/>
  <c r="AB64" i="65"/>
  <c r="AF128" i="65"/>
  <c r="AC75" i="65"/>
  <c r="AE85" i="65"/>
  <c r="AE118" i="65"/>
  <c r="AB117" i="65"/>
  <c r="AC66" i="65"/>
  <c r="AE113" i="65"/>
  <c r="AE125" i="65"/>
  <c r="AB71" i="65"/>
  <c r="AD76" i="65"/>
  <c r="AB109" i="65"/>
  <c r="AB111" i="65"/>
  <c r="AB63" i="65"/>
  <c r="AD134" i="65"/>
  <c r="AP134" i="65" s="1"/>
  <c r="AD86" i="65"/>
  <c r="AP86" i="65" s="1"/>
  <c r="AD140" i="65"/>
  <c r="AB118" i="65"/>
  <c r="AH118" i="65" s="1"/>
  <c r="AN118" i="65" s="1"/>
  <c r="AC139" i="65"/>
  <c r="AC53" i="65"/>
  <c r="AC102" i="65"/>
  <c r="AE138" i="65"/>
  <c r="AE136" i="65"/>
  <c r="AE90" i="65"/>
  <c r="AD94" i="65"/>
  <c r="AE74" i="65"/>
  <c r="AC109" i="65"/>
  <c r="AD101" i="65"/>
  <c r="AB94" i="65"/>
  <c r="AD74" i="65"/>
  <c r="AE103" i="65"/>
  <c r="AD90" i="65"/>
  <c r="AC88" i="65"/>
  <c r="AC134" i="65"/>
  <c r="AC86" i="65"/>
  <c r="AO86" i="65" s="1"/>
  <c r="AF99" i="65"/>
  <c r="AE56" i="65"/>
  <c r="AB54" i="65"/>
  <c r="AC94" i="65"/>
  <c r="AE107" i="65"/>
  <c r="AQ107" i="65" s="1"/>
  <c r="AF136" i="65"/>
  <c r="AR136" i="65" s="1"/>
  <c r="AC101" i="65"/>
  <c r="AC59" i="65"/>
  <c r="AD104" i="65"/>
  <c r="AP104" i="65" s="1"/>
  <c r="AB102" i="65"/>
  <c r="AD87" i="65"/>
  <c r="AP87" i="65" s="1"/>
  <c r="AD100" i="65"/>
  <c r="AF120" i="65"/>
  <c r="AR120" i="65" s="1"/>
  <c r="AC132" i="65"/>
  <c r="AB132" i="65"/>
  <c r="AE75" i="65"/>
  <c r="AF75" i="65"/>
  <c r="AD73" i="65"/>
  <c r="AE128" i="65"/>
  <c r="AC128" i="65"/>
  <c r="AE142" i="65"/>
  <c r="AD130" i="65"/>
  <c r="AE64" i="65"/>
  <c r="AC64" i="65"/>
  <c r="AD61" i="65"/>
  <c r="AC112" i="65"/>
  <c r="AB66" i="65"/>
  <c r="AD83" i="65"/>
  <c r="AD111" i="65"/>
  <c r="AD131" i="65"/>
  <c r="AE116" i="65"/>
  <c r="AE67" i="65"/>
  <c r="AD79" i="65"/>
  <c r="AC84" i="65"/>
  <c r="AE81" i="65"/>
  <c r="AB127" i="65"/>
  <c r="AF65" i="65"/>
  <c r="AD112" i="65"/>
  <c r="AF70" i="65"/>
  <c r="AF112" i="65"/>
  <c r="AC119" i="65"/>
  <c r="AF115" i="65"/>
  <c r="AC77" i="65"/>
  <c r="AE77" i="65"/>
  <c r="AF80" i="65"/>
  <c r="AD113" i="65"/>
  <c r="AF68" i="65"/>
  <c r="AD68" i="65"/>
  <c r="AF119" i="65"/>
  <c r="AF81" i="65"/>
  <c r="AC71" i="65"/>
  <c r="AF63" i="65"/>
  <c r="AC82" i="65"/>
  <c r="AC63" i="65"/>
  <c r="AB76" i="65"/>
  <c r="AC115" i="65"/>
  <c r="AE127" i="65"/>
  <c r="AE76" i="65"/>
  <c r="AE117" i="65"/>
  <c r="AB131" i="65"/>
  <c r="AC74" i="65"/>
  <c r="AF107" i="65"/>
  <c r="AR107" i="65" s="1"/>
  <c r="AD138" i="65"/>
  <c r="AD67" i="65"/>
  <c r="AF105" i="65"/>
  <c r="AC92" i="65"/>
  <c r="AE94" i="65"/>
  <c r="AD58" i="65"/>
  <c r="AD139" i="65"/>
  <c r="AD85" i="65"/>
  <c r="AB53" i="65"/>
  <c r="AE53" i="65"/>
  <c r="AF56" i="65"/>
  <c r="AF54" i="65"/>
  <c r="AF101" i="65"/>
  <c r="AF140" i="65"/>
  <c r="AD108" i="65"/>
  <c r="AE99" i="65"/>
  <c r="AB103" i="65"/>
  <c r="AC103" i="65"/>
  <c r="AC121" i="65"/>
  <c r="AO121" i="65" s="1"/>
  <c r="AC135" i="65"/>
  <c r="AC57" i="65"/>
  <c r="AE93" i="65"/>
  <c r="AB143" i="65"/>
  <c r="AB95" i="65"/>
  <c r="AB87" i="65"/>
  <c r="AD123" i="65"/>
  <c r="AD120" i="65"/>
  <c r="AP120" i="65" s="1"/>
  <c r="AD55" i="65"/>
  <c r="AF98" i="65"/>
  <c r="AC55" i="65"/>
  <c r="AB121" i="65"/>
  <c r="AN121" i="65" s="1"/>
  <c r="AE122" i="65"/>
  <c r="AQ122" i="65" s="1"/>
  <c r="AC129" i="65"/>
  <c r="AO129" i="65" s="1"/>
  <c r="AD75" i="65"/>
  <c r="AB130" i="65"/>
  <c r="AB128" i="65"/>
  <c r="AH128" i="65" s="1"/>
  <c r="AB73" i="65"/>
  <c r="AB62" i="65"/>
  <c r="AC62" i="65"/>
  <c r="AC73" i="65"/>
  <c r="AE62" i="65"/>
  <c r="AD109" i="65"/>
  <c r="AC69" i="65"/>
  <c r="AB69" i="65"/>
  <c r="AD132" i="65"/>
  <c r="AF116" i="65"/>
  <c r="AE114" i="65"/>
  <c r="AC108" i="65"/>
  <c r="AE115" i="65"/>
  <c r="AC83" i="65"/>
  <c r="AD127" i="65"/>
  <c r="AC114" i="65"/>
  <c r="AD114" i="65"/>
  <c r="AF85" i="65"/>
  <c r="AB110" i="65"/>
  <c r="AB84" i="65"/>
  <c r="AF131" i="65"/>
  <c r="AF113" i="65"/>
  <c r="AC113" i="65"/>
  <c r="AC133" i="65"/>
  <c r="AC117" i="65"/>
  <c r="AB116" i="65"/>
  <c r="AD110" i="65"/>
  <c r="AB113" i="65"/>
  <c r="AE71" i="65"/>
  <c r="AF127" i="65"/>
  <c r="AF77" i="65"/>
  <c r="AC118" i="65"/>
  <c r="AD133" i="65"/>
  <c r="AD82" i="65"/>
  <c r="AF111" i="65"/>
  <c r="AD141" i="65"/>
  <c r="AE63" i="65"/>
  <c r="AF74" i="65"/>
  <c r="AC67" i="65"/>
  <c r="AD66" i="65"/>
  <c r="AD118" i="65"/>
  <c r="AE68" i="65"/>
  <c r="AE141" i="65"/>
  <c r="AF66" i="65"/>
  <c r="AC78" i="65"/>
  <c r="AE80" i="65"/>
  <c r="AB78" i="65"/>
  <c r="AB74" i="65"/>
  <c r="L42" i="50"/>
  <c r="P40" i="24"/>
  <c r="O42" i="66"/>
  <c r="L40" i="42"/>
  <c r="O20" i="25"/>
  <c r="J42" i="65"/>
  <c r="L39" i="42"/>
  <c r="O41" i="66"/>
  <c r="Q155" i="50"/>
  <c r="Q145" i="50"/>
  <c r="Q139" i="50"/>
  <c r="Q152" i="50"/>
  <c r="Q157" i="50"/>
  <c r="Q148" i="50"/>
  <c r="Q153" i="50"/>
  <c r="Q149" i="50"/>
  <c r="Q156" i="50"/>
  <c r="Q138" i="50"/>
  <c r="Q140" i="50"/>
  <c r="Q151" i="50"/>
  <c r="Q150" i="50"/>
  <c r="Q154" i="50"/>
  <c r="Q158" i="50"/>
  <c r="Q146" i="50"/>
  <c r="Q144" i="50"/>
  <c r="Q147" i="50"/>
  <c r="P52" i="65"/>
  <c r="Z52" i="65"/>
  <c r="S52" i="65"/>
  <c r="R52" i="65"/>
  <c r="V52" i="65"/>
  <c r="T52" i="65"/>
  <c r="Q52" i="65"/>
  <c r="Y52" i="65"/>
  <c r="X52" i="65"/>
  <c r="P39" i="24"/>
  <c r="L41" i="50"/>
  <c r="N31" i="25"/>
  <c r="O19" i="25"/>
  <c r="N55" i="24"/>
  <c r="J47" i="42"/>
  <c r="P57" i="24"/>
  <c r="L49" i="42"/>
  <c r="O54" i="24"/>
  <c r="Q41" i="24"/>
  <c r="K43" i="65"/>
  <c r="M43" i="50"/>
  <c r="P21" i="25"/>
  <c r="M41" i="42"/>
  <c r="Q58" i="24"/>
  <c r="M52" i="50"/>
  <c r="P33" i="25"/>
  <c r="K40" i="50"/>
  <c r="N18" i="25"/>
  <c r="K38" i="42"/>
  <c r="L44" i="65"/>
  <c r="N44" i="50"/>
  <c r="Q22" i="25"/>
  <c r="N42" i="42"/>
  <c r="AI298" i="65" l="1"/>
  <c r="AI473" i="65"/>
  <c r="AJ473" i="65" s="1"/>
  <c r="AK473" i="65" s="1"/>
  <c r="AL473" i="65" s="1"/>
  <c r="AR473" i="65" s="1"/>
  <c r="AI368" i="65"/>
  <c r="AI295" i="65"/>
  <c r="AJ295" i="65" s="1"/>
  <c r="AK295" i="65" s="1"/>
  <c r="AL295" i="65" s="1"/>
  <c r="AR295" i="65" s="1"/>
  <c r="AI398" i="65"/>
  <c r="AI450" i="65"/>
  <c r="AO450" i="65" s="1"/>
  <c r="AI445" i="65"/>
  <c r="AO445" i="65" s="1"/>
  <c r="AI384" i="65"/>
  <c r="AJ384" i="65" s="1"/>
  <c r="AK384" i="65" s="1"/>
  <c r="AI344" i="65"/>
  <c r="AJ344" i="65" s="1"/>
  <c r="AK344" i="65" s="1"/>
  <c r="AI482" i="65"/>
  <c r="AO482" i="65" s="1"/>
  <c r="AL414" i="65"/>
  <c r="AR414" i="65" s="1"/>
  <c r="AI515" i="65"/>
  <c r="AJ515" i="65" s="1"/>
  <c r="AN446" i="65"/>
  <c r="AL453" i="65"/>
  <c r="AR453" i="65" s="1"/>
  <c r="AH511" i="65"/>
  <c r="AI511" i="65" s="1"/>
  <c r="AO511" i="65" s="1"/>
  <c r="AJ516" i="65"/>
  <c r="AK516" i="65" s="1"/>
  <c r="AL516" i="65" s="1"/>
  <c r="AR516" i="65" s="1"/>
  <c r="AI405" i="65"/>
  <c r="AJ405" i="65" s="1"/>
  <c r="AK405" i="65" s="1"/>
  <c r="AQ405" i="65" s="1"/>
  <c r="AI442" i="65"/>
  <c r="AO442" i="65" s="1"/>
  <c r="AJ443" i="65"/>
  <c r="AP443" i="65" s="1"/>
  <c r="AJ398" i="65"/>
  <c r="AK398" i="65" s="1"/>
  <c r="AQ398" i="65" s="1"/>
  <c r="AO419" i="65"/>
  <c r="AJ418" i="65"/>
  <c r="AO418" i="65"/>
  <c r="AQ453" i="65"/>
  <c r="AJ403" i="65"/>
  <c r="AK403" i="65" s="1"/>
  <c r="AL403" i="65" s="1"/>
  <c r="AR403" i="65" s="1"/>
  <c r="AN405" i="65"/>
  <c r="AI467" i="65"/>
  <c r="AJ467" i="65" s="1"/>
  <c r="AP467" i="65" s="1"/>
  <c r="AN473" i="65"/>
  <c r="AK419" i="65"/>
  <c r="AL419" i="65" s="1"/>
  <c r="AR419" i="65" s="1"/>
  <c r="AI455" i="65"/>
  <c r="AJ513" i="65"/>
  <c r="AK513" i="65" s="1"/>
  <c r="AH512" i="65"/>
  <c r="AI512" i="65" s="1"/>
  <c r="AO513" i="65"/>
  <c r="AP453" i="65"/>
  <c r="AN452" i="65"/>
  <c r="AH519" i="65"/>
  <c r="AI519" i="65" s="1"/>
  <c r="AJ519" i="65" s="1"/>
  <c r="AH520" i="65"/>
  <c r="AI520" i="65" s="1"/>
  <c r="AO516" i="65"/>
  <c r="AN513" i="65"/>
  <c r="AQ516" i="65"/>
  <c r="AN384" i="65"/>
  <c r="AO398" i="65"/>
  <c r="AI417" i="65"/>
  <c r="AJ417" i="65" s="1"/>
  <c r="AK417" i="65" s="1"/>
  <c r="AL417" i="65" s="1"/>
  <c r="AR417" i="65" s="1"/>
  <c r="AN453" i="65"/>
  <c r="AN516" i="65"/>
  <c r="AN515" i="65"/>
  <c r="AH481" i="65"/>
  <c r="AI481" i="65" s="1"/>
  <c r="AI448" i="65"/>
  <c r="AJ448" i="65" s="1"/>
  <c r="AN403" i="65"/>
  <c r="AH471" i="65"/>
  <c r="AI471" i="65" s="1"/>
  <c r="AJ471" i="65" s="1"/>
  <c r="AH456" i="65"/>
  <c r="AI456" i="65" s="1"/>
  <c r="AJ456" i="65" s="1"/>
  <c r="AL405" i="65"/>
  <c r="AR405" i="65" s="1"/>
  <c r="AN414" i="65"/>
  <c r="AI402" i="65"/>
  <c r="AJ402" i="65" s="1"/>
  <c r="AK402" i="65" s="1"/>
  <c r="AI452" i="65"/>
  <c r="AJ452" i="65" s="1"/>
  <c r="AN443" i="65"/>
  <c r="AH460" i="65"/>
  <c r="AI460" i="65" s="1"/>
  <c r="AQ414" i="65"/>
  <c r="AN467" i="65"/>
  <c r="AN483" i="65"/>
  <c r="AN482" i="65"/>
  <c r="AK446" i="65"/>
  <c r="AL446" i="65" s="1"/>
  <c r="AR446" i="65" s="1"/>
  <c r="AO446" i="65"/>
  <c r="AN419" i="65"/>
  <c r="AN418" i="65"/>
  <c r="AI406" i="65"/>
  <c r="AJ406" i="65" s="1"/>
  <c r="AK406" i="65" s="1"/>
  <c r="AN398" i="65"/>
  <c r="AH484" i="65"/>
  <c r="AI484" i="65" s="1"/>
  <c r="AH449" i="65"/>
  <c r="AI449" i="65" s="1"/>
  <c r="AJ449" i="65" s="1"/>
  <c r="AP406" i="65"/>
  <c r="AH404" i="65"/>
  <c r="AI404" i="65" s="1"/>
  <c r="AP405" i="65"/>
  <c r="AH408" i="65"/>
  <c r="AI408" i="65" s="1"/>
  <c r="AJ408" i="65" s="1"/>
  <c r="AK408" i="65" s="1"/>
  <c r="AJ483" i="65"/>
  <c r="AK483" i="65" s="1"/>
  <c r="AO384" i="65"/>
  <c r="AH413" i="65"/>
  <c r="AI413" i="65" s="1"/>
  <c r="AI480" i="65"/>
  <c r="AJ480" i="65" s="1"/>
  <c r="AK480" i="65" s="1"/>
  <c r="AH457" i="65"/>
  <c r="AI457" i="65" s="1"/>
  <c r="AO443" i="65"/>
  <c r="AJ482" i="65"/>
  <c r="AK482" i="65" s="1"/>
  <c r="AL482" i="65" s="1"/>
  <c r="AR482" i="65" s="1"/>
  <c r="AO403" i="65"/>
  <c r="AO472" i="65"/>
  <c r="AO473" i="65"/>
  <c r="AH409" i="65"/>
  <c r="AI409" i="65" s="1"/>
  <c r="AH412" i="65"/>
  <c r="AI412" i="65" s="1"/>
  <c r="AJ412" i="65" s="1"/>
  <c r="AK412" i="65" s="1"/>
  <c r="AL412" i="65" s="1"/>
  <c r="AR412" i="65" s="1"/>
  <c r="AH454" i="65"/>
  <c r="AI454" i="65" s="1"/>
  <c r="AJ454" i="65" s="1"/>
  <c r="AH411" i="65"/>
  <c r="AI411" i="65" s="1"/>
  <c r="AJ411" i="65" s="1"/>
  <c r="AI416" i="65"/>
  <c r="AJ416" i="65" s="1"/>
  <c r="AK416" i="65" s="1"/>
  <c r="AH461" i="65"/>
  <c r="AI461" i="65" s="1"/>
  <c r="AH407" i="65"/>
  <c r="AI407" i="65" s="1"/>
  <c r="AN445" i="65"/>
  <c r="AH401" i="65"/>
  <c r="AI401" i="65" s="1"/>
  <c r="AJ401" i="65" s="1"/>
  <c r="AI462" i="65"/>
  <c r="AJ462" i="65" s="1"/>
  <c r="AI400" i="65"/>
  <c r="AJ400" i="65" s="1"/>
  <c r="AN450" i="65"/>
  <c r="AN415" i="65"/>
  <c r="AN472" i="65"/>
  <c r="AO453" i="65"/>
  <c r="AP414" i="65"/>
  <c r="AH447" i="65"/>
  <c r="AI447" i="65" s="1"/>
  <c r="AJ447" i="65" s="1"/>
  <c r="AH395" i="65"/>
  <c r="AI395" i="65" s="1"/>
  <c r="AO395" i="65" s="1"/>
  <c r="AJ450" i="65"/>
  <c r="AK450" i="65" s="1"/>
  <c r="AJ415" i="65"/>
  <c r="AK415" i="65" s="1"/>
  <c r="AK472" i="65"/>
  <c r="AL472" i="65" s="1"/>
  <c r="AR472" i="65" s="1"/>
  <c r="AI397" i="65"/>
  <c r="AJ397" i="65" s="1"/>
  <c r="AK397" i="65" s="1"/>
  <c r="AI399" i="65"/>
  <c r="AJ399" i="65" s="1"/>
  <c r="AI396" i="65"/>
  <c r="AJ396" i="65" s="1"/>
  <c r="AP396" i="65" s="1"/>
  <c r="AI451" i="65"/>
  <c r="AJ451" i="65" s="1"/>
  <c r="AO414" i="65"/>
  <c r="AI410" i="65"/>
  <c r="AJ410" i="65" s="1"/>
  <c r="AI444" i="65"/>
  <c r="AJ444" i="65" s="1"/>
  <c r="AK444" i="65" s="1"/>
  <c r="AI325" i="65"/>
  <c r="AJ325" i="65" s="1"/>
  <c r="AI288" i="65"/>
  <c r="AJ288" i="65" s="1"/>
  <c r="AK288" i="65" s="1"/>
  <c r="AL288" i="65" s="1"/>
  <c r="AR288" i="65" s="1"/>
  <c r="AI347" i="65"/>
  <c r="AJ347" i="65" s="1"/>
  <c r="AK347" i="65" s="1"/>
  <c r="AQ347" i="65" s="1"/>
  <c r="AI323" i="65"/>
  <c r="AO323" i="65" s="1"/>
  <c r="AI284" i="65"/>
  <c r="AJ284" i="65" s="1"/>
  <c r="AK284" i="65" s="1"/>
  <c r="AL284" i="65" s="1"/>
  <c r="AR284" i="65" s="1"/>
  <c r="AI375" i="65"/>
  <c r="AO375" i="65" s="1"/>
  <c r="AI379" i="65"/>
  <c r="AJ379" i="65" s="1"/>
  <c r="AK379" i="65" s="1"/>
  <c r="AL379" i="65" s="1"/>
  <c r="AR379" i="65" s="1"/>
  <c r="AI283" i="65"/>
  <c r="AO283" i="65" s="1"/>
  <c r="M52" i="37"/>
  <c r="AI342" i="65"/>
  <c r="AJ342" i="65" s="1"/>
  <c r="AK342" i="65" s="1"/>
  <c r="AL342" i="65" s="1"/>
  <c r="AR342" i="65" s="1"/>
  <c r="AI290" i="65"/>
  <c r="AJ290" i="65" s="1"/>
  <c r="AK290" i="65" s="1"/>
  <c r="AL290" i="65" s="1"/>
  <c r="AR290" i="65" s="1"/>
  <c r="AI354" i="65"/>
  <c r="AO354" i="65" s="1"/>
  <c r="AI340" i="65"/>
  <c r="AO340" i="65" s="1"/>
  <c r="AI287" i="65"/>
  <c r="AO287" i="65" s="1"/>
  <c r="AI339" i="65"/>
  <c r="AJ339" i="65" s="1"/>
  <c r="AK339" i="65" s="1"/>
  <c r="AL339" i="65" s="1"/>
  <c r="AR339" i="65" s="1"/>
  <c r="AI292" i="65"/>
  <c r="AJ292" i="65" s="1"/>
  <c r="AK292" i="65" s="1"/>
  <c r="AL292" i="65" s="1"/>
  <c r="AR292" i="65" s="1"/>
  <c r="AI309" i="65"/>
  <c r="AJ309" i="65" s="1"/>
  <c r="AK309" i="65" s="1"/>
  <c r="AL309" i="65" s="1"/>
  <c r="AR309" i="65" s="1"/>
  <c r="AI315" i="65"/>
  <c r="AJ315" i="65" s="1"/>
  <c r="AK315" i="65" s="1"/>
  <c r="AL315" i="65" s="1"/>
  <c r="AR315" i="65" s="1"/>
  <c r="AI281" i="65"/>
  <c r="AJ281" i="65" s="1"/>
  <c r="AK281" i="65" s="1"/>
  <c r="AL281" i="65" s="1"/>
  <c r="AR281" i="65" s="1"/>
  <c r="AI277" i="65"/>
  <c r="AJ277" i="65" s="1"/>
  <c r="AK277" i="65" s="1"/>
  <c r="AL277" i="65" s="1"/>
  <c r="AR277" i="65" s="1"/>
  <c r="AI289" i="65"/>
  <c r="AJ289" i="65" s="1"/>
  <c r="AP289" i="65" s="1"/>
  <c r="AI366" i="65"/>
  <c r="AJ366" i="65" s="1"/>
  <c r="AK366" i="65" s="1"/>
  <c r="AQ366" i="65" s="1"/>
  <c r="AI314" i="65"/>
  <c r="AJ314" i="65" s="1"/>
  <c r="AK314" i="65" s="1"/>
  <c r="AL314" i="65" s="1"/>
  <c r="AR314" i="65" s="1"/>
  <c r="AJ298" i="65"/>
  <c r="AK298" i="65" s="1"/>
  <c r="AL298" i="65" s="1"/>
  <c r="AR298" i="65" s="1"/>
  <c r="AJ369" i="65"/>
  <c r="AK369" i="65" s="1"/>
  <c r="AL369" i="65" s="1"/>
  <c r="AR369" i="65" s="1"/>
  <c r="AI278" i="65"/>
  <c r="AJ278" i="65" s="1"/>
  <c r="AK278" i="65" s="1"/>
  <c r="AQ278" i="65" s="1"/>
  <c r="AI359" i="65"/>
  <c r="AJ359" i="65" s="1"/>
  <c r="AK359" i="65" s="1"/>
  <c r="AL359" i="65" s="1"/>
  <c r="AR359" i="65" s="1"/>
  <c r="AI313" i="65"/>
  <c r="AJ313" i="65" s="1"/>
  <c r="AK313" i="65" s="1"/>
  <c r="AL313" i="65" s="1"/>
  <c r="AR313" i="65" s="1"/>
  <c r="AI294" i="65"/>
  <c r="AJ294" i="65" s="1"/>
  <c r="AK294" i="65" s="1"/>
  <c r="AI367" i="65"/>
  <c r="AO367" i="65" s="1"/>
  <c r="AI361" i="65"/>
  <c r="AO361" i="65" s="1"/>
  <c r="AR364" i="65"/>
  <c r="AJ368" i="65"/>
  <c r="AK368" i="65" s="1"/>
  <c r="AL368" i="65" s="1"/>
  <c r="AR368" i="65" s="1"/>
  <c r="AI297" i="65"/>
  <c r="AJ297" i="65" s="1"/>
  <c r="AK297" i="65" s="1"/>
  <c r="AQ297" i="65" s="1"/>
  <c r="AN373" i="65"/>
  <c r="AI343" i="65"/>
  <c r="AJ343" i="65" s="1"/>
  <c r="AL344" i="65"/>
  <c r="AR344" i="65" s="1"/>
  <c r="AQ364" i="65"/>
  <c r="AI286" i="65"/>
  <c r="AJ286" i="65" s="1"/>
  <c r="AK286" i="65" s="1"/>
  <c r="AL286" i="65" s="1"/>
  <c r="AR286" i="65" s="1"/>
  <c r="AI360" i="65"/>
  <c r="AJ360" i="65" s="1"/>
  <c r="AK360" i="65" s="1"/>
  <c r="AI296" i="65"/>
  <c r="AJ296" i="65" s="1"/>
  <c r="AK296" i="65" s="1"/>
  <c r="AL296" i="65" s="1"/>
  <c r="AR296" i="65" s="1"/>
  <c r="AI350" i="65"/>
  <c r="AJ350" i="65" s="1"/>
  <c r="AK350" i="65" s="1"/>
  <c r="AL350" i="65" s="1"/>
  <c r="AR350" i="65" s="1"/>
  <c r="AI319" i="65"/>
  <c r="AJ319" i="65" s="1"/>
  <c r="AK319" i="65" s="1"/>
  <c r="AN365" i="65"/>
  <c r="AI356" i="65"/>
  <c r="AJ356" i="65" s="1"/>
  <c r="AK356" i="65" s="1"/>
  <c r="AL356" i="65" s="1"/>
  <c r="AR356" i="65" s="1"/>
  <c r="AI348" i="65"/>
  <c r="AJ348" i="65" s="1"/>
  <c r="AK348" i="65" s="1"/>
  <c r="AL348" i="65" s="1"/>
  <c r="AR348" i="65" s="1"/>
  <c r="AO347" i="65"/>
  <c r="AI291" i="65"/>
  <c r="AJ291" i="65" s="1"/>
  <c r="AK291" i="65" s="1"/>
  <c r="AL291" i="65" s="1"/>
  <c r="AR291" i="65" s="1"/>
  <c r="AN321" i="65"/>
  <c r="AO368" i="65"/>
  <c r="AP347" i="65"/>
  <c r="AN275" i="65"/>
  <c r="AN354" i="65"/>
  <c r="AN375" i="65"/>
  <c r="AN344" i="65"/>
  <c r="AN284" i="65"/>
  <c r="AN313" i="65"/>
  <c r="AN351" i="65"/>
  <c r="AN295" i="65"/>
  <c r="AN281" i="65"/>
  <c r="AI376" i="65"/>
  <c r="AJ376" i="65" s="1"/>
  <c r="AI324" i="65"/>
  <c r="AJ324" i="65" s="1"/>
  <c r="AK324" i="65" s="1"/>
  <c r="AL324" i="65" s="1"/>
  <c r="AR324" i="65" s="1"/>
  <c r="AI310" i="65"/>
  <c r="AJ310" i="65" s="1"/>
  <c r="AK310" i="65" s="1"/>
  <c r="AL310" i="65" s="1"/>
  <c r="AR310" i="65" s="1"/>
  <c r="AI373" i="65"/>
  <c r="AJ373" i="65" s="1"/>
  <c r="AK373" i="65" s="1"/>
  <c r="AL373" i="65" s="1"/>
  <c r="AR373" i="65" s="1"/>
  <c r="AN350" i="65"/>
  <c r="AN291" i="65"/>
  <c r="AN296" i="65"/>
  <c r="AN349" i="65"/>
  <c r="AN379" i="65"/>
  <c r="AN340" i="65"/>
  <c r="AN367" i="65"/>
  <c r="AP275" i="65"/>
  <c r="AI311" i="65"/>
  <c r="AJ311" i="65" s="1"/>
  <c r="AP311" i="65" s="1"/>
  <c r="AN360" i="65"/>
  <c r="AN283" i="65"/>
  <c r="AN369" i="65"/>
  <c r="AO275" i="65"/>
  <c r="AN361" i="65"/>
  <c r="AN309" i="65"/>
  <c r="AJ351" i="65"/>
  <c r="AK351" i="65" s="1"/>
  <c r="AO351" i="65"/>
  <c r="AH346" i="65"/>
  <c r="AI346" i="65" s="1"/>
  <c r="AI352" i="65"/>
  <c r="AJ352" i="65" s="1"/>
  <c r="AK352" i="65" s="1"/>
  <c r="AH383" i="65"/>
  <c r="AI383" i="65" s="1"/>
  <c r="AH312" i="65"/>
  <c r="AI312" i="65" s="1"/>
  <c r="AI322" i="65"/>
  <c r="AJ322" i="65" s="1"/>
  <c r="AH374" i="65"/>
  <c r="AI374" i="65" s="1"/>
  <c r="AO364" i="65"/>
  <c r="AN323" i="65"/>
  <c r="AH357" i="65"/>
  <c r="AI357" i="65" s="1"/>
  <c r="AH353" i="65"/>
  <c r="AI353" i="65" s="1"/>
  <c r="AH279" i="65"/>
  <c r="AI279" i="65" s="1"/>
  <c r="AJ279" i="65" s="1"/>
  <c r="AK279" i="65" s="1"/>
  <c r="AI285" i="65"/>
  <c r="AJ285" i="65" s="1"/>
  <c r="AN286" i="65"/>
  <c r="AN311" i="65"/>
  <c r="AN294" i="65"/>
  <c r="AN310" i="65"/>
  <c r="AH293" i="65"/>
  <c r="AI293" i="65" s="1"/>
  <c r="AN278" i="65"/>
  <c r="AN324" i="65"/>
  <c r="AN366" i="65"/>
  <c r="AN298" i="65"/>
  <c r="AP344" i="65"/>
  <c r="AN364" i="65"/>
  <c r="AH378" i="65"/>
  <c r="AI378" i="65" s="1"/>
  <c r="AI365" i="65"/>
  <c r="AJ365" i="65" s="1"/>
  <c r="AN347" i="65"/>
  <c r="AO288" i="65"/>
  <c r="AN289" i="65"/>
  <c r="AH358" i="65"/>
  <c r="AI358" i="65" s="1"/>
  <c r="AO344" i="65"/>
  <c r="AO298" i="65"/>
  <c r="AO369" i="65"/>
  <c r="AP364" i="65"/>
  <c r="AI341" i="65"/>
  <c r="AJ341" i="65" s="1"/>
  <c r="AH282" i="65"/>
  <c r="AI282" i="65" s="1"/>
  <c r="AH377" i="65"/>
  <c r="AI377" i="65" s="1"/>
  <c r="AJ377" i="65" s="1"/>
  <c r="AH316" i="65"/>
  <c r="AI316" i="65" s="1"/>
  <c r="AH317" i="65"/>
  <c r="AI317" i="65" s="1"/>
  <c r="AN325" i="65"/>
  <c r="AK275" i="65"/>
  <c r="AL275" i="65" s="1"/>
  <c r="AR275" i="65" s="1"/>
  <c r="AJ349" i="65"/>
  <c r="AK349" i="65" s="1"/>
  <c r="AN288" i="65"/>
  <c r="AN292" i="65"/>
  <c r="AH355" i="65"/>
  <c r="AI355" i="65" s="1"/>
  <c r="AN352" i="65"/>
  <c r="AH320" i="65"/>
  <c r="AI320" i="65" s="1"/>
  <c r="AH372" i="65"/>
  <c r="AI372" i="65" s="1"/>
  <c r="AH345" i="65"/>
  <c r="AI345" i="65" s="1"/>
  <c r="AN356" i="65"/>
  <c r="AN339" i="65"/>
  <c r="AN343" i="65"/>
  <c r="AN277" i="65"/>
  <c r="AN368" i="65"/>
  <c r="AN287" i="65"/>
  <c r="AN315" i="65"/>
  <c r="AN359" i="65"/>
  <c r="AO349" i="65"/>
  <c r="AQ344" i="65"/>
  <c r="AI321" i="65"/>
  <c r="AJ321" i="65" s="1"/>
  <c r="AN322" i="65"/>
  <c r="AN297" i="65"/>
  <c r="AN319" i="65"/>
  <c r="AI276" i="65"/>
  <c r="AJ276" i="65" s="1"/>
  <c r="AN314" i="65"/>
  <c r="AN348" i="65"/>
  <c r="AN342" i="65"/>
  <c r="AN290" i="65"/>
  <c r="AI280" i="65"/>
  <c r="AJ280" i="65" s="1"/>
  <c r="AI250" i="65"/>
  <c r="AO250" i="65" s="1"/>
  <c r="AN60" i="65"/>
  <c r="AI167" i="65"/>
  <c r="AO167" i="65" s="1"/>
  <c r="AI213" i="65"/>
  <c r="AO213" i="65" s="1"/>
  <c r="AH246" i="65"/>
  <c r="AI246" i="65" s="1"/>
  <c r="AN250" i="65"/>
  <c r="AN213" i="65"/>
  <c r="AI189" i="65"/>
  <c r="AO189" i="65" s="1"/>
  <c r="AN258" i="65"/>
  <c r="AN220" i="65"/>
  <c r="S60" i="42"/>
  <c r="U60" i="42" s="1"/>
  <c r="AH210" i="65"/>
  <c r="AI210" i="65" s="1"/>
  <c r="AO210" i="65" s="1"/>
  <c r="AI169" i="65"/>
  <c r="AJ169" i="65" s="1"/>
  <c r="AK169" i="65" s="1"/>
  <c r="B483" i="40"/>
  <c r="B202" i="65"/>
  <c r="AI216" i="65"/>
  <c r="AJ216" i="65" s="1"/>
  <c r="AK216" i="65" s="1"/>
  <c r="AI190" i="65"/>
  <c r="AJ190" i="65" s="1"/>
  <c r="AK190" i="65" s="1"/>
  <c r="AL190" i="65" s="1"/>
  <c r="AR190" i="65" s="1"/>
  <c r="AN189" i="65"/>
  <c r="AN216" i="65"/>
  <c r="AH230" i="65"/>
  <c r="AI230" i="65" s="1"/>
  <c r="AJ230" i="65" s="1"/>
  <c r="AK230" i="65" s="1"/>
  <c r="AL230" i="65" s="1"/>
  <c r="AR230" i="65" s="1"/>
  <c r="AH254" i="65"/>
  <c r="AI254" i="65" s="1"/>
  <c r="AJ254" i="65" s="1"/>
  <c r="AH170" i="65"/>
  <c r="AI170" i="65" s="1"/>
  <c r="AH247" i="65"/>
  <c r="AI247" i="65" s="1"/>
  <c r="AJ247" i="65" s="1"/>
  <c r="AI237" i="65"/>
  <c r="AJ237" i="65" s="1"/>
  <c r="AK237" i="65" s="1"/>
  <c r="AH215" i="65"/>
  <c r="AI215" i="65" s="1"/>
  <c r="AJ215" i="65" s="1"/>
  <c r="AK215" i="65" s="1"/>
  <c r="AH232" i="65"/>
  <c r="AI232" i="65" s="1"/>
  <c r="AJ232" i="65" s="1"/>
  <c r="AK232" i="65" s="1"/>
  <c r="AL232" i="65" s="1"/>
  <c r="AR232" i="65" s="1"/>
  <c r="AH229" i="65"/>
  <c r="AI229" i="65" s="1"/>
  <c r="AH255" i="65"/>
  <c r="AI255" i="65" s="1"/>
  <c r="AJ255" i="65" s="1"/>
  <c r="AK255" i="65" s="1"/>
  <c r="AL255" i="65" s="1"/>
  <c r="AR255" i="65" s="1"/>
  <c r="AN190" i="65"/>
  <c r="AH154" i="65"/>
  <c r="AI154" i="65" s="1"/>
  <c r="AJ154" i="65" s="1"/>
  <c r="AK154" i="65" s="1"/>
  <c r="AQ154" i="65" s="1"/>
  <c r="AH253" i="65"/>
  <c r="AI253" i="65" s="1"/>
  <c r="AJ253" i="65" s="1"/>
  <c r="AK253" i="65" s="1"/>
  <c r="AL253" i="65" s="1"/>
  <c r="AR253" i="65" s="1"/>
  <c r="AH214" i="65"/>
  <c r="AI214" i="65" s="1"/>
  <c r="AH163" i="65"/>
  <c r="AI163" i="65" s="1"/>
  <c r="AJ163" i="65" s="1"/>
  <c r="AK163" i="65" s="1"/>
  <c r="AH157" i="65"/>
  <c r="AI157" i="65" s="1"/>
  <c r="AJ157" i="65" s="1"/>
  <c r="AH159" i="65"/>
  <c r="AI159" i="65" s="1"/>
  <c r="AJ159" i="65" s="1"/>
  <c r="AK159" i="65" s="1"/>
  <c r="AL159" i="65" s="1"/>
  <c r="AR159" i="65" s="1"/>
  <c r="AN237" i="65"/>
  <c r="AI168" i="65"/>
  <c r="AJ168" i="65" s="1"/>
  <c r="AK168" i="65" s="1"/>
  <c r="AL168" i="65" s="1"/>
  <c r="AR168" i="65" s="1"/>
  <c r="AN167" i="65"/>
  <c r="AH161" i="65"/>
  <c r="AI161" i="65" s="1"/>
  <c r="AJ161" i="65" s="1"/>
  <c r="AH156" i="65"/>
  <c r="AI156" i="65" s="1"/>
  <c r="AJ156" i="65" s="1"/>
  <c r="AK156" i="65" s="1"/>
  <c r="AH267" i="65"/>
  <c r="AI267" i="65" s="1"/>
  <c r="AJ267" i="65" s="1"/>
  <c r="AK267" i="65" s="1"/>
  <c r="AH228" i="65"/>
  <c r="AI228" i="65" s="1"/>
  <c r="AJ228" i="65" s="1"/>
  <c r="AH241" i="65"/>
  <c r="AI241" i="65" s="1"/>
  <c r="AH231" i="65"/>
  <c r="AI231" i="65" s="1"/>
  <c r="AJ231" i="65" s="1"/>
  <c r="AH155" i="65"/>
  <c r="AI155" i="65" s="1"/>
  <c r="AJ155" i="65" s="1"/>
  <c r="AK155" i="65" s="1"/>
  <c r="AL155" i="65" s="1"/>
  <c r="AR155" i="65" s="1"/>
  <c r="AH212" i="65"/>
  <c r="AI212" i="65" s="1"/>
  <c r="AJ212" i="65" s="1"/>
  <c r="AK212" i="65" s="1"/>
  <c r="AL212" i="65" s="1"/>
  <c r="AR212" i="65" s="1"/>
  <c r="AH158" i="65"/>
  <c r="AI158" i="65" s="1"/>
  <c r="AH240" i="65"/>
  <c r="AI240" i="65" s="1"/>
  <c r="AJ240" i="65" s="1"/>
  <c r="AK240" i="65" s="1"/>
  <c r="AH195" i="65"/>
  <c r="AI195" i="65" s="1"/>
  <c r="AJ195" i="65" s="1"/>
  <c r="AK195" i="65" s="1"/>
  <c r="AL195" i="65" s="1"/>
  <c r="AR195" i="65" s="1"/>
  <c r="AH256" i="65"/>
  <c r="AI256" i="65" s="1"/>
  <c r="AH166" i="65"/>
  <c r="AI166" i="65" s="1"/>
  <c r="AH243" i="65"/>
  <c r="AI243" i="65" s="1"/>
  <c r="AH227" i="65"/>
  <c r="AI227" i="65" s="1"/>
  <c r="AH193" i="65"/>
  <c r="AI193" i="65" s="1"/>
  <c r="AJ193" i="65" s="1"/>
  <c r="AK193" i="65" s="1"/>
  <c r="AL193" i="65" s="1"/>
  <c r="AR193" i="65" s="1"/>
  <c r="AH248" i="65"/>
  <c r="AI248" i="65" s="1"/>
  <c r="AJ248" i="65" s="1"/>
  <c r="AK248" i="65" s="1"/>
  <c r="AH257" i="65"/>
  <c r="AI257" i="65" s="1"/>
  <c r="AJ257" i="65" s="1"/>
  <c r="AI236" i="65"/>
  <c r="AJ236" i="65" s="1"/>
  <c r="AK236" i="65" s="1"/>
  <c r="AI251" i="65"/>
  <c r="AJ251" i="65" s="1"/>
  <c r="AK251" i="65" s="1"/>
  <c r="AL251" i="65" s="1"/>
  <c r="AR251" i="65" s="1"/>
  <c r="AI162" i="65"/>
  <c r="AJ162" i="65" s="1"/>
  <c r="AI252" i="65"/>
  <c r="AJ252" i="65" s="1"/>
  <c r="AK252" i="65" s="1"/>
  <c r="AL252" i="65" s="1"/>
  <c r="AR252" i="65" s="1"/>
  <c r="AH217" i="65"/>
  <c r="AI217" i="65" s="1"/>
  <c r="AJ217" i="65" s="1"/>
  <c r="AK217" i="65" s="1"/>
  <c r="AL217" i="65" s="1"/>
  <c r="AR217" i="65" s="1"/>
  <c r="AH259" i="65"/>
  <c r="AI259" i="65" s="1"/>
  <c r="AH192" i="65"/>
  <c r="AI192" i="65" s="1"/>
  <c r="AJ192" i="65" s="1"/>
  <c r="AK192" i="65" s="1"/>
  <c r="AL192" i="65" s="1"/>
  <c r="AR192" i="65" s="1"/>
  <c r="AH234" i="65"/>
  <c r="AI234" i="65" s="1"/>
  <c r="AH233" i="65"/>
  <c r="AI233" i="65" s="1"/>
  <c r="AH242" i="65"/>
  <c r="AI242" i="65" s="1"/>
  <c r="AJ242" i="65" s="1"/>
  <c r="AK242" i="65" s="1"/>
  <c r="AL242" i="65" s="1"/>
  <c r="AR242" i="65" s="1"/>
  <c r="AH218" i="65"/>
  <c r="AI218" i="65" s="1"/>
  <c r="AH211" i="65"/>
  <c r="AI211" i="65" s="1"/>
  <c r="AJ211" i="65" s="1"/>
  <c r="AK211" i="65" s="1"/>
  <c r="AH165" i="65"/>
  <c r="AI165" i="65" s="1"/>
  <c r="AH239" i="65"/>
  <c r="AI239" i="65" s="1"/>
  <c r="AH221" i="65"/>
  <c r="AI221" i="65" s="1"/>
  <c r="AJ221" i="65" s="1"/>
  <c r="AK221" i="65" s="1"/>
  <c r="AL221" i="65" s="1"/>
  <c r="AR221" i="65" s="1"/>
  <c r="AH194" i="65"/>
  <c r="AI194" i="65" s="1"/>
  <c r="AJ194" i="65" s="1"/>
  <c r="AK194" i="65" s="1"/>
  <c r="AL194" i="65" s="1"/>
  <c r="AR194" i="65" s="1"/>
  <c r="AI164" i="65"/>
  <c r="AJ164" i="65" s="1"/>
  <c r="AK164" i="65" s="1"/>
  <c r="AL164" i="65" s="1"/>
  <c r="AR164" i="65" s="1"/>
  <c r="AI220" i="65"/>
  <c r="AJ220" i="65" s="1"/>
  <c r="AK220" i="65" s="1"/>
  <c r="AL220" i="65" s="1"/>
  <c r="AR220" i="65" s="1"/>
  <c r="AH153" i="65"/>
  <c r="AI153" i="65" s="1"/>
  <c r="AJ153" i="65" s="1"/>
  <c r="AP153" i="65" s="1"/>
  <c r="AH219" i="65"/>
  <c r="AI219" i="65" s="1"/>
  <c r="AJ219" i="65" s="1"/>
  <c r="AK219" i="65" s="1"/>
  <c r="AL219" i="65" s="1"/>
  <c r="AR219" i="65" s="1"/>
  <c r="AH160" i="65"/>
  <c r="AI160" i="65" s="1"/>
  <c r="AJ160" i="65" s="1"/>
  <c r="AH152" i="65"/>
  <c r="AI152" i="65" s="1"/>
  <c r="AH238" i="65"/>
  <c r="AI238" i="65" s="1"/>
  <c r="AJ238" i="65" s="1"/>
  <c r="AH249" i="65"/>
  <c r="AI249" i="65" s="1"/>
  <c r="AO249" i="65" s="1"/>
  <c r="AH209" i="65"/>
  <c r="AI209" i="65" s="1"/>
  <c r="AJ209" i="65" s="1"/>
  <c r="AK209" i="65" s="1"/>
  <c r="AL209" i="65" s="1"/>
  <c r="AR209" i="65" s="1"/>
  <c r="AH235" i="65"/>
  <c r="AI235" i="65" s="1"/>
  <c r="AI258" i="65"/>
  <c r="AJ258" i="65" s="1"/>
  <c r="AK258" i="65" s="1"/>
  <c r="AL258" i="65" s="1"/>
  <c r="AR258" i="65" s="1"/>
  <c r="AI191" i="65"/>
  <c r="AJ191" i="65" s="1"/>
  <c r="AK191" i="65" s="1"/>
  <c r="AN108" i="65"/>
  <c r="AI65" i="65"/>
  <c r="AJ65" i="65" s="1"/>
  <c r="AK65" i="65" s="1"/>
  <c r="AQ65" i="65" s="1"/>
  <c r="P54" i="66"/>
  <c r="L51" i="37"/>
  <c r="P42" i="66"/>
  <c r="L42" i="37"/>
  <c r="L50" i="50"/>
  <c r="K50" i="37"/>
  <c r="Q43" i="66"/>
  <c r="M43" i="37"/>
  <c r="N52" i="66"/>
  <c r="J49" i="37"/>
  <c r="P41" i="66"/>
  <c r="L41" i="37"/>
  <c r="AH122" i="65"/>
  <c r="AI122" i="65" s="1"/>
  <c r="AJ122" i="65" s="1"/>
  <c r="AP122" i="65" s="1"/>
  <c r="AH123" i="65"/>
  <c r="AI123" i="65" s="1"/>
  <c r="AJ123" i="65" s="1"/>
  <c r="AK123" i="65" s="1"/>
  <c r="AL123" i="65" s="1"/>
  <c r="AR123" i="65" s="1"/>
  <c r="AH134" i="65"/>
  <c r="AI134" i="65" s="1"/>
  <c r="AO134" i="65" s="1"/>
  <c r="AI105" i="65"/>
  <c r="AJ105" i="65" s="1"/>
  <c r="AK105" i="65" s="1"/>
  <c r="AL105" i="65" s="1"/>
  <c r="AR105" i="65" s="1"/>
  <c r="AN105" i="65"/>
  <c r="AH106" i="65"/>
  <c r="AI106" i="65" s="1"/>
  <c r="AJ106" i="65" s="1"/>
  <c r="AK106" i="65" s="1"/>
  <c r="AL106" i="65" s="1"/>
  <c r="AR106" i="65" s="1"/>
  <c r="AH135" i="65"/>
  <c r="AI135" i="65" s="1"/>
  <c r="AJ135" i="65" s="1"/>
  <c r="AP135" i="65" s="1"/>
  <c r="AH103" i="65"/>
  <c r="AI103" i="65" s="1"/>
  <c r="AJ103" i="65" s="1"/>
  <c r="AK103" i="65" s="1"/>
  <c r="AL103" i="65" s="1"/>
  <c r="AR103" i="65" s="1"/>
  <c r="AH53" i="65"/>
  <c r="AI53" i="65" s="1"/>
  <c r="AJ53" i="65" s="1"/>
  <c r="AK53" i="65" s="1"/>
  <c r="AL53" i="65" s="1"/>
  <c r="AR53" i="65" s="1"/>
  <c r="AH143" i="65"/>
  <c r="AI143" i="65" s="1"/>
  <c r="AJ143" i="65" s="1"/>
  <c r="AK143" i="65" s="1"/>
  <c r="AL143" i="65" s="1"/>
  <c r="AR143" i="65" s="1"/>
  <c r="AH92" i="65"/>
  <c r="AI92" i="65" s="1"/>
  <c r="AJ92" i="65" s="1"/>
  <c r="AK92" i="65" s="1"/>
  <c r="AL92" i="65" s="1"/>
  <c r="AR92" i="65" s="1"/>
  <c r="AH126" i="65"/>
  <c r="AH137" i="65"/>
  <c r="AI137" i="65" s="1"/>
  <c r="AJ137" i="65" s="1"/>
  <c r="AK137" i="65" s="1"/>
  <c r="AL137" i="65" s="1"/>
  <c r="AR137" i="65" s="1"/>
  <c r="AI93" i="65"/>
  <c r="AJ93" i="65" s="1"/>
  <c r="AH87" i="65"/>
  <c r="AI87" i="65" s="1"/>
  <c r="AO87" i="65" s="1"/>
  <c r="AH99" i="65"/>
  <c r="AI99" i="65" s="1"/>
  <c r="AJ99" i="65" s="1"/>
  <c r="AH56" i="65"/>
  <c r="AI56" i="65" s="1"/>
  <c r="AJ56" i="65" s="1"/>
  <c r="AK56" i="65" s="1"/>
  <c r="AL56" i="65" s="1"/>
  <c r="AR56" i="65" s="1"/>
  <c r="AH98" i="65"/>
  <c r="AI98" i="65" s="1"/>
  <c r="AJ98" i="65" s="1"/>
  <c r="AK98" i="65" s="1"/>
  <c r="AL98" i="65" s="1"/>
  <c r="AR98" i="65" s="1"/>
  <c r="AH57" i="65"/>
  <c r="AI57" i="65" s="1"/>
  <c r="AJ57" i="65" s="1"/>
  <c r="AK57" i="65" s="1"/>
  <c r="AL57" i="65" s="1"/>
  <c r="AR57" i="65" s="1"/>
  <c r="AH97" i="65"/>
  <c r="AI97" i="65" s="1"/>
  <c r="AH55" i="65"/>
  <c r="AI55" i="65" s="1"/>
  <c r="AJ55" i="65" s="1"/>
  <c r="AK55" i="65" s="1"/>
  <c r="AL55" i="65" s="1"/>
  <c r="AR55" i="65" s="1"/>
  <c r="AH138" i="65"/>
  <c r="AI138" i="65" s="1"/>
  <c r="AJ138" i="65" s="1"/>
  <c r="AH86" i="65"/>
  <c r="AN86" i="65" s="1"/>
  <c r="AH136" i="65"/>
  <c r="AN93" i="65"/>
  <c r="AH96" i="65"/>
  <c r="AI96" i="65" s="1"/>
  <c r="AJ96" i="65" s="1"/>
  <c r="AK96" i="65" s="1"/>
  <c r="AL96" i="65" s="1"/>
  <c r="AR96" i="65" s="1"/>
  <c r="AH89" i="65"/>
  <c r="AI89" i="65" s="1"/>
  <c r="AJ89" i="65" s="1"/>
  <c r="AK89" i="65" s="1"/>
  <c r="AH139" i="65"/>
  <c r="AI139" i="65" s="1"/>
  <c r="AJ139" i="65" s="1"/>
  <c r="AK139" i="65" s="1"/>
  <c r="AL139" i="65" s="1"/>
  <c r="AR139" i="65" s="1"/>
  <c r="AH101" i="65"/>
  <c r="AI101" i="65" s="1"/>
  <c r="AJ101" i="65" s="1"/>
  <c r="AK101" i="65" s="1"/>
  <c r="AL101" i="65" s="1"/>
  <c r="AR101" i="65" s="1"/>
  <c r="AH88" i="65"/>
  <c r="AI88" i="65" s="1"/>
  <c r="AJ88" i="65" s="1"/>
  <c r="AP88" i="65" s="1"/>
  <c r="AH59" i="65"/>
  <c r="AI59" i="65" s="1"/>
  <c r="AJ59" i="65" s="1"/>
  <c r="AK59" i="65" s="1"/>
  <c r="AL59" i="65" s="1"/>
  <c r="AR59" i="65" s="1"/>
  <c r="AH54" i="65"/>
  <c r="AI54" i="65" s="1"/>
  <c r="AJ54" i="65" s="1"/>
  <c r="AK54" i="65" s="1"/>
  <c r="AL54" i="65" s="1"/>
  <c r="AR54" i="65" s="1"/>
  <c r="AH95" i="65"/>
  <c r="AI95" i="65" s="1"/>
  <c r="AJ95" i="65" s="1"/>
  <c r="AK95" i="65" s="1"/>
  <c r="AH102" i="65"/>
  <c r="AI102" i="65" s="1"/>
  <c r="AJ102" i="65" s="1"/>
  <c r="AK102" i="65" s="1"/>
  <c r="AL102" i="65" s="1"/>
  <c r="AR102" i="65" s="1"/>
  <c r="AH94" i="65"/>
  <c r="AI94" i="65" s="1"/>
  <c r="AJ94" i="65" s="1"/>
  <c r="AK94" i="65" s="1"/>
  <c r="AL94" i="65" s="1"/>
  <c r="AR94" i="65" s="1"/>
  <c r="AH100" i="65"/>
  <c r="AI100" i="65" s="1"/>
  <c r="AJ100" i="65" s="1"/>
  <c r="AK100" i="65" s="1"/>
  <c r="AL100" i="65" s="1"/>
  <c r="AR100" i="65" s="1"/>
  <c r="AH58" i="65"/>
  <c r="AI58" i="65" s="1"/>
  <c r="AJ58" i="65" s="1"/>
  <c r="AK58" i="65" s="1"/>
  <c r="AL58" i="65" s="1"/>
  <c r="AR58" i="65" s="1"/>
  <c r="AH140" i="65"/>
  <c r="AI140" i="65" s="1"/>
  <c r="AJ140" i="65" s="1"/>
  <c r="AK140" i="65" s="1"/>
  <c r="AL140" i="65" s="1"/>
  <c r="AR140" i="65" s="1"/>
  <c r="AI108" i="65"/>
  <c r="AJ108" i="65" s="1"/>
  <c r="AK108" i="65" s="1"/>
  <c r="AL108" i="65" s="1"/>
  <c r="AR108" i="65" s="1"/>
  <c r="AI60" i="65"/>
  <c r="AJ60" i="65" s="1"/>
  <c r="AK60" i="65" s="1"/>
  <c r="AL60" i="65" s="1"/>
  <c r="AR60" i="65" s="1"/>
  <c r="AI91" i="65"/>
  <c r="AJ91" i="65" s="1"/>
  <c r="AI90" i="65"/>
  <c r="AJ90" i="65" s="1"/>
  <c r="AK90" i="65" s="1"/>
  <c r="AL90" i="65" s="1"/>
  <c r="AR90" i="65" s="1"/>
  <c r="AI142" i="65"/>
  <c r="AO142" i="65" s="1"/>
  <c r="AI124" i="65"/>
  <c r="AJ124" i="65" s="1"/>
  <c r="AP124" i="65" s="1"/>
  <c r="K49" i="66"/>
  <c r="K27" i="25"/>
  <c r="O51" i="66"/>
  <c r="O86" i="66" s="1"/>
  <c r="Q88" i="66" s="1"/>
  <c r="O29" i="25"/>
  <c r="L50" i="66"/>
  <c r="L28" i="25"/>
  <c r="AZ140" i="50"/>
  <c r="M42" i="50"/>
  <c r="P56" i="24"/>
  <c r="O31" i="25"/>
  <c r="M53" i="24"/>
  <c r="N50" i="42"/>
  <c r="Q55" i="66"/>
  <c r="M40" i="42"/>
  <c r="K42" i="65"/>
  <c r="L48" i="42"/>
  <c r="O53" i="66"/>
  <c r="P20" i="25"/>
  <c r="Q40" i="24"/>
  <c r="M39" i="42"/>
  <c r="AI61" i="65"/>
  <c r="AI85" i="65"/>
  <c r="AJ85" i="65" s="1"/>
  <c r="AI79" i="65"/>
  <c r="AO79" i="65" s="1"/>
  <c r="AI68" i="65"/>
  <c r="AO68" i="65" s="1"/>
  <c r="AI70" i="65"/>
  <c r="AJ70" i="65" s="1"/>
  <c r="AI81" i="65"/>
  <c r="AO81" i="65" s="1"/>
  <c r="AI67" i="65"/>
  <c r="AO67" i="65" s="1"/>
  <c r="AN142" i="65"/>
  <c r="AN70" i="65"/>
  <c r="AI112" i="65"/>
  <c r="AJ112" i="65" s="1"/>
  <c r="AK112" i="65" s="1"/>
  <c r="AL112" i="65" s="1"/>
  <c r="AR112" i="65" s="1"/>
  <c r="AI133" i="65"/>
  <c r="AJ133" i="65" s="1"/>
  <c r="AK133" i="65" s="1"/>
  <c r="AN65" i="65"/>
  <c r="AH116" i="65"/>
  <c r="AI116" i="65" s="1"/>
  <c r="AH62" i="65"/>
  <c r="AI62" i="65" s="1"/>
  <c r="AJ62" i="65" s="1"/>
  <c r="AH131" i="65"/>
  <c r="AI131" i="65" s="1"/>
  <c r="AH127" i="65"/>
  <c r="AH63" i="65"/>
  <c r="AI63" i="65" s="1"/>
  <c r="AJ63" i="65" s="1"/>
  <c r="AH109" i="65"/>
  <c r="AI109" i="65" s="1"/>
  <c r="AH114" i="65"/>
  <c r="AI114" i="65" s="1"/>
  <c r="AJ114" i="65" s="1"/>
  <c r="AK114" i="65" s="1"/>
  <c r="AL114" i="65" s="1"/>
  <c r="AR114" i="65" s="1"/>
  <c r="AH73" i="65"/>
  <c r="AI73" i="65" s="1"/>
  <c r="AH76" i="65"/>
  <c r="AI76" i="65" s="1"/>
  <c r="AH66" i="65"/>
  <c r="AI66" i="65" s="1"/>
  <c r="AJ66" i="65" s="1"/>
  <c r="AK66" i="65" s="1"/>
  <c r="AH132" i="65"/>
  <c r="AI132" i="65" s="1"/>
  <c r="AJ132" i="65" s="1"/>
  <c r="AK132" i="65" s="1"/>
  <c r="AH117" i="65"/>
  <c r="AI117" i="65" s="1"/>
  <c r="AJ117" i="65" s="1"/>
  <c r="AH64" i="65"/>
  <c r="AI64" i="65" s="1"/>
  <c r="AJ64" i="65" s="1"/>
  <c r="AH80" i="65"/>
  <c r="AI80" i="65" s="1"/>
  <c r="AI77" i="65"/>
  <c r="AJ77" i="65" s="1"/>
  <c r="AH74" i="65"/>
  <c r="AI74" i="65" s="1"/>
  <c r="AJ74" i="65" s="1"/>
  <c r="AK74" i="65" s="1"/>
  <c r="AL74" i="65" s="1"/>
  <c r="AR74" i="65" s="1"/>
  <c r="AI118" i="65"/>
  <c r="AJ118" i="65" s="1"/>
  <c r="AK118" i="65" s="1"/>
  <c r="AL118" i="65" s="1"/>
  <c r="AR118" i="65" s="1"/>
  <c r="AH113" i="65"/>
  <c r="AI113" i="65" s="1"/>
  <c r="AJ113" i="65" s="1"/>
  <c r="AK113" i="65" s="1"/>
  <c r="AL113" i="65" s="1"/>
  <c r="AR113" i="65" s="1"/>
  <c r="AH84" i="65"/>
  <c r="AI84" i="65" s="1"/>
  <c r="AJ84" i="65" s="1"/>
  <c r="AH69" i="65"/>
  <c r="AI69" i="65" s="1"/>
  <c r="AJ69" i="65" s="1"/>
  <c r="AK69" i="65" s="1"/>
  <c r="AN128" i="65"/>
  <c r="AI128" i="65"/>
  <c r="AJ128" i="65" s="1"/>
  <c r="AI125" i="65"/>
  <c r="AJ125" i="65" s="1"/>
  <c r="AH71" i="65"/>
  <c r="AI71" i="65" s="1"/>
  <c r="AJ71" i="65" s="1"/>
  <c r="AN68" i="65"/>
  <c r="AI75" i="65"/>
  <c r="AJ75" i="65" s="1"/>
  <c r="AK75" i="65" s="1"/>
  <c r="AL75" i="65" s="1"/>
  <c r="AR75" i="65" s="1"/>
  <c r="AH72" i="65"/>
  <c r="AI72" i="65" s="1"/>
  <c r="AJ72" i="65" s="1"/>
  <c r="AI115" i="65"/>
  <c r="AJ115" i="65" s="1"/>
  <c r="AH141" i="65"/>
  <c r="AI141" i="65" s="1"/>
  <c r="AJ141" i="65" s="1"/>
  <c r="AN124" i="65"/>
  <c r="AH78" i="65"/>
  <c r="AI78" i="65" s="1"/>
  <c r="AJ78" i="65" s="1"/>
  <c r="AK78" i="65" s="1"/>
  <c r="AH110" i="65"/>
  <c r="AI110" i="65" s="1"/>
  <c r="AJ110" i="65" s="1"/>
  <c r="AP110" i="65" s="1"/>
  <c r="AH130" i="65"/>
  <c r="AI130" i="65" s="1"/>
  <c r="AH111" i="65"/>
  <c r="AI111" i="65" s="1"/>
  <c r="AN67" i="65"/>
  <c r="AN85" i="65"/>
  <c r="AI119" i="65"/>
  <c r="AJ119" i="65" s="1"/>
  <c r="AI82" i="65"/>
  <c r="AJ82" i="65" s="1"/>
  <c r="AK82" i="65" s="1"/>
  <c r="AN133" i="65"/>
  <c r="AH83" i="65"/>
  <c r="AI83" i="65" s="1"/>
  <c r="AJ83" i="65" s="1"/>
  <c r="AK83" i="65" s="1"/>
  <c r="AL83" i="65" s="1"/>
  <c r="AR83" i="65" s="1"/>
  <c r="AN79" i="65"/>
  <c r="P19" i="25"/>
  <c r="Q39" i="24"/>
  <c r="M41" i="50"/>
  <c r="AZ139" i="50"/>
  <c r="AB52" i="65"/>
  <c r="AH52" i="65" s="1"/>
  <c r="O55" i="24"/>
  <c r="K47" i="42"/>
  <c r="N30" i="25"/>
  <c r="N104" i="25" s="1"/>
  <c r="K49" i="50"/>
  <c r="M49" i="42"/>
  <c r="P32" i="25"/>
  <c r="Q57" i="24"/>
  <c r="M51" i="50"/>
  <c r="L40" i="50"/>
  <c r="O18" i="25"/>
  <c r="L38" i="42"/>
  <c r="N52" i="50"/>
  <c r="Q33" i="25"/>
  <c r="P54" i="24"/>
  <c r="Q56" i="24"/>
  <c r="L52" i="24"/>
  <c r="N53" i="24"/>
  <c r="L43" i="65"/>
  <c r="N41" i="42"/>
  <c r="N43" i="50"/>
  <c r="Q21" i="25"/>
  <c r="AP516" i="65" l="1"/>
  <c r="AO295" i="65"/>
  <c r="AJ511" i="65"/>
  <c r="AK511" i="65" s="1"/>
  <c r="AJ445" i="65"/>
  <c r="AK445" i="65" s="1"/>
  <c r="AL445" i="65" s="1"/>
  <c r="AR445" i="65" s="1"/>
  <c r="AQ473" i="65"/>
  <c r="AP473" i="65"/>
  <c r="AP480" i="65"/>
  <c r="AO412" i="65"/>
  <c r="AP417" i="65"/>
  <c r="AQ412" i="65"/>
  <c r="AP513" i="65"/>
  <c r="AP515" i="65"/>
  <c r="AK515" i="65"/>
  <c r="AL515" i="65" s="1"/>
  <c r="AR515" i="65" s="1"/>
  <c r="AO515" i="65"/>
  <c r="AN520" i="65"/>
  <c r="AO405" i="65"/>
  <c r="AN519" i="65"/>
  <c r="AP384" i="65"/>
  <c r="AN447" i="65"/>
  <c r="AQ403" i="65"/>
  <c r="AP408" i="65"/>
  <c r="AP403" i="65"/>
  <c r="AQ446" i="65"/>
  <c r="H530" i="65"/>
  <c r="AQ288" i="65"/>
  <c r="AO402" i="65"/>
  <c r="AP511" i="65"/>
  <c r="AO456" i="65"/>
  <c r="AN512" i="65"/>
  <c r="AP398" i="65"/>
  <c r="I530" i="65"/>
  <c r="AP284" i="65"/>
  <c r="AQ397" i="65"/>
  <c r="AO399" i="65"/>
  <c r="AP402" i="65"/>
  <c r="AL398" i="65"/>
  <c r="AR398" i="65" s="1"/>
  <c r="AO519" i="65"/>
  <c r="AL384" i="65"/>
  <c r="AR384" i="65" s="1"/>
  <c r="AQ384" i="65"/>
  <c r="AN511" i="65"/>
  <c r="AQ419" i="65"/>
  <c r="AJ512" i="65"/>
  <c r="AO512" i="65"/>
  <c r="AJ455" i="65"/>
  <c r="AO455" i="65"/>
  <c r="AO325" i="65"/>
  <c r="AO408" i="65"/>
  <c r="AO417" i="65"/>
  <c r="AQ417" i="65"/>
  <c r="AN408" i="65"/>
  <c r="AO406" i="65"/>
  <c r="AL513" i="65"/>
  <c r="AR513" i="65" s="1"/>
  <c r="AQ513" i="65"/>
  <c r="AO471" i="65"/>
  <c r="AO467" i="65"/>
  <c r="AK467" i="65"/>
  <c r="AL467" i="65" s="1"/>
  <c r="AR467" i="65" s="1"/>
  <c r="AO416" i="65"/>
  <c r="AO452" i="65"/>
  <c r="AN413" i="65"/>
  <c r="AN484" i="65"/>
  <c r="AN471" i="65"/>
  <c r="AN481" i="65"/>
  <c r="AL511" i="65"/>
  <c r="AR511" i="65" s="1"/>
  <c r="AQ511" i="65"/>
  <c r="AJ520" i="65"/>
  <c r="AO520" i="65"/>
  <c r="AK519" i="65"/>
  <c r="AP519" i="65"/>
  <c r="AK418" i="65"/>
  <c r="AP418" i="65"/>
  <c r="AK410" i="65"/>
  <c r="AP410" i="65"/>
  <c r="AK400" i="65"/>
  <c r="AP400" i="65"/>
  <c r="AK454" i="65"/>
  <c r="AP454" i="65"/>
  <c r="AJ409" i="65"/>
  <c r="AO409" i="65"/>
  <c r="AL483" i="65"/>
  <c r="AR483" i="65" s="1"/>
  <c r="AQ483" i="65"/>
  <c r="AO401" i="65"/>
  <c r="AK449" i="65"/>
  <c r="AP449" i="65"/>
  <c r="AO451" i="65"/>
  <c r="AJ460" i="65"/>
  <c r="AO460" i="65"/>
  <c r="AQ482" i="65"/>
  <c r="AL402" i="65"/>
  <c r="AR402" i="65" s="1"/>
  <c r="AQ402" i="65"/>
  <c r="AK456" i="65"/>
  <c r="AP456" i="65"/>
  <c r="AP412" i="65"/>
  <c r="AK448" i="65"/>
  <c r="AP448" i="65"/>
  <c r="AO400" i="65"/>
  <c r="AK399" i="65"/>
  <c r="AP399" i="65"/>
  <c r="AL415" i="65"/>
  <c r="AR415" i="65" s="1"/>
  <c r="AQ415" i="65"/>
  <c r="AN395" i="65"/>
  <c r="AK447" i="65"/>
  <c r="AP447" i="65"/>
  <c r="AP415" i="65"/>
  <c r="AK462" i="65"/>
  <c r="AP462" i="65"/>
  <c r="AO444" i="65"/>
  <c r="AL416" i="65"/>
  <c r="AR416" i="65" s="1"/>
  <c r="AQ416" i="65"/>
  <c r="AN411" i="65"/>
  <c r="AN412" i="65"/>
  <c r="AN457" i="65"/>
  <c r="AJ413" i="65"/>
  <c r="AO413" i="65"/>
  <c r="AN404" i="65"/>
  <c r="AP482" i="65"/>
  <c r="AN449" i="65"/>
  <c r="AL406" i="65"/>
  <c r="AR406" i="65" s="1"/>
  <c r="AQ406" i="65"/>
  <c r="AO454" i="65"/>
  <c r="AO449" i="65"/>
  <c r="AO448" i="65"/>
  <c r="AK451" i="65"/>
  <c r="AP451" i="65"/>
  <c r="AL450" i="65"/>
  <c r="AR450" i="65" s="1"/>
  <c r="AQ450" i="65"/>
  <c r="AN401" i="65"/>
  <c r="AN407" i="65"/>
  <c r="AN461" i="65"/>
  <c r="AK411" i="65"/>
  <c r="AP411" i="65"/>
  <c r="AO396" i="65"/>
  <c r="AO447" i="65"/>
  <c r="AJ457" i="65"/>
  <c r="AO457" i="65"/>
  <c r="AL408" i="65"/>
  <c r="AR408" i="65" s="1"/>
  <c r="AQ408" i="65"/>
  <c r="AJ404" i="65"/>
  <c r="AO404" i="65"/>
  <c r="AP444" i="65"/>
  <c r="AJ484" i="65"/>
  <c r="AO484" i="65"/>
  <c r="AO480" i="65"/>
  <c r="AO411" i="65"/>
  <c r="AL444" i="65"/>
  <c r="AR444" i="65" s="1"/>
  <c r="AQ444" i="65"/>
  <c r="AO410" i="65"/>
  <c r="AQ472" i="65"/>
  <c r="AK401" i="65"/>
  <c r="AP401" i="65"/>
  <c r="AJ407" i="65"/>
  <c r="AO407" i="65"/>
  <c r="AJ461" i="65"/>
  <c r="AO461" i="65"/>
  <c r="AO397" i="65"/>
  <c r="AN454" i="65"/>
  <c r="AP450" i="65"/>
  <c r="AN409" i="65"/>
  <c r="AL480" i="65"/>
  <c r="AR480" i="65" s="1"/>
  <c r="AQ480" i="65"/>
  <c r="AP416" i="65"/>
  <c r="AP397" i="65"/>
  <c r="AN460" i="65"/>
  <c r="AK452" i="65"/>
  <c r="AP452" i="65"/>
  <c r="AP483" i="65"/>
  <c r="AN456" i="65"/>
  <c r="AK471" i="65"/>
  <c r="AP471" i="65"/>
  <c r="AJ481" i="65"/>
  <c r="AO481" i="65"/>
  <c r="AO462" i="65"/>
  <c r="AJ323" i="65"/>
  <c r="AK323" i="65" s="1"/>
  <c r="AL323" i="65" s="1"/>
  <c r="AR323" i="65" s="1"/>
  <c r="AP288" i="65"/>
  <c r="AL278" i="65"/>
  <c r="AR278" i="65" s="1"/>
  <c r="AL347" i="65"/>
  <c r="AR347" i="65" s="1"/>
  <c r="AO379" i="65"/>
  <c r="AJ375" i="65"/>
  <c r="AK375" i="65" s="1"/>
  <c r="AL375" i="65" s="1"/>
  <c r="AR375" i="65" s="1"/>
  <c r="AO284" i="65"/>
  <c r="AP315" i="65"/>
  <c r="AO290" i="65"/>
  <c r="AJ283" i="65"/>
  <c r="AK283" i="65" s="1"/>
  <c r="AL283" i="65" s="1"/>
  <c r="AR283" i="65" s="1"/>
  <c r="AO313" i="65"/>
  <c r="AO309" i="65"/>
  <c r="AP366" i="65"/>
  <c r="AO339" i="65"/>
  <c r="AO342" i="65"/>
  <c r="AJ354" i="65"/>
  <c r="AK354" i="65" s="1"/>
  <c r="AL354" i="65" s="1"/>
  <c r="AR354" i="65" s="1"/>
  <c r="AO292" i="65"/>
  <c r="AQ292" i="65"/>
  <c r="AO281" i="65"/>
  <c r="M50" i="37"/>
  <c r="AJ287" i="65"/>
  <c r="AK287" i="65" s="1"/>
  <c r="AL287" i="65" s="1"/>
  <c r="AR287" i="65" s="1"/>
  <c r="AJ340" i="65"/>
  <c r="AP340" i="65" s="1"/>
  <c r="AO315" i="65"/>
  <c r="AP292" i="65"/>
  <c r="AQ339" i="65"/>
  <c r="AQ284" i="65"/>
  <c r="AO359" i="65"/>
  <c r="AP339" i="65"/>
  <c r="AP286" i="65"/>
  <c r="AP342" i="65"/>
  <c r="AQ342" i="65"/>
  <c r="AQ286" i="65"/>
  <c r="AL366" i="65"/>
  <c r="AR366" i="65" s="1"/>
  <c r="AQ369" i="65"/>
  <c r="AP369" i="65"/>
  <c r="AO366" i="65"/>
  <c r="AO278" i="65"/>
  <c r="AO277" i="65"/>
  <c r="AP278" i="65"/>
  <c r="AP314" i="65"/>
  <c r="AO294" i="65"/>
  <c r="AO289" i="65"/>
  <c r="AO356" i="65"/>
  <c r="AQ356" i="65"/>
  <c r="AQ281" i="65"/>
  <c r="AO103" i="65"/>
  <c r="AK289" i="65"/>
  <c r="AL289" i="65" s="1"/>
  <c r="AR289" i="65" s="1"/>
  <c r="AP356" i="65"/>
  <c r="AP281" i="65"/>
  <c r="AL294" i="65"/>
  <c r="AR294" i="65" s="1"/>
  <c r="AQ294" i="65"/>
  <c r="AO314" i="65"/>
  <c r="AQ314" i="65"/>
  <c r="AJ367" i="65"/>
  <c r="AK367" i="65" s="1"/>
  <c r="AL367" i="65" s="1"/>
  <c r="AR367" i="65" s="1"/>
  <c r="AP368" i="65"/>
  <c r="AO319" i="65"/>
  <c r="AQ296" i="65"/>
  <c r="AP309" i="65"/>
  <c r="AQ298" i="65"/>
  <c r="AQ309" i="65"/>
  <c r="AP298" i="65"/>
  <c r="AP343" i="65"/>
  <c r="AK343" i="65"/>
  <c r="AL343" i="65" s="1"/>
  <c r="AR343" i="65" s="1"/>
  <c r="AO297" i="65"/>
  <c r="AJ361" i="65"/>
  <c r="AO286" i="65"/>
  <c r="AO343" i="65"/>
  <c r="AQ313" i="65"/>
  <c r="AP348" i="65"/>
  <c r="AQ348" i="65"/>
  <c r="AQ350" i="65"/>
  <c r="AP313" i="65"/>
  <c r="AP350" i="65"/>
  <c r="AO324" i="65"/>
  <c r="AP290" i="65"/>
  <c r="AO350" i="65"/>
  <c r="AQ291" i="65"/>
  <c r="AQ295" i="65"/>
  <c r="AO348" i="65"/>
  <c r="AO360" i="65"/>
  <c r="AQ290" i="65"/>
  <c r="AP359" i="65"/>
  <c r="AP297" i="65"/>
  <c r="AL297" i="65"/>
  <c r="AR297" i="65" s="1"/>
  <c r="AO291" i="65"/>
  <c r="AQ359" i="65"/>
  <c r="AO296" i="65"/>
  <c r="AP296" i="65"/>
  <c r="AP291" i="65"/>
  <c r="AP295" i="65"/>
  <c r="AP294" i="65"/>
  <c r="AP360" i="65"/>
  <c r="AP319" i="65"/>
  <c r="AP277" i="65"/>
  <c r="AQ277" i="65"/>
  <c r="AQ310" i="65"/>
  <c r="AO310" i="65"/>
  <c r="AP379" i="65"/>
  <c r="AO341" i="65"/>
  <c r="AP310" i="65"/>
  <c r="AP352" i="65"/>
  <c r="AN355" i="65"/>
  <c r="AO373" i="65"/>
  <c r="AQ315" i="65"/>
  <c r="AO279" i="65"/>
  <c r="AP373" i="65"/>
  <c r="AQ373" i="65"/>
  <c r="AQ379" i="65"/>
  <c r="AN317" i="65"/>
  <c r="AN357" i="65"/>
  <c r="AP279" i="65"/>
  <c r="AN374" i="65"/>
  <c r="AN312" i="65"/>
  <c r="AQ324" i="65"/>
  <c r="AK311" i="65"/>
  <c r="AL311" i="65" s="1"/>
  <c r="AR311" i="65" s="1"/>
  <c r="AO352" i="65"/>
  <c r="AP324" i="65"/>
  <c r="AN293" i="65"/>
  <c r="AO322" i="65"/>
  <c r="AL319" i="65"/>
  <c r="AR319" i="65" s="1"/>
  <c r="AQ319" i="65"/>
  <c r="AK376" i="65"/>
  <c r="AP376" i="65"/>
  <c r="AQ368" i="65"/>
  <c r="AP351" i="65"/>
  <c r="AO365" i="65"/>
  <c r="AO311" i="65"/>
  <c r="AO376" i="65"/>
  <c r="AO321" i="65"/>
  <c r="AN279" i="65"/>
  <c r="AK280" i="65"/>
  <c r="AP280" i="65"/>
  <c r="AJ372" i="65"/>
  <c r="AO372" i="65"/>
  <c r="AJ320" i="65"/>
  <c r="AO320" i="65"/>
  <c r="AN316" i="65"/>
  <c r="AN282" i="65"/>
  <c r="AJ358" i="65"/>
  <c r="AO358" i="65"/>
  <c r="AK365" i="65"/>
  <c r="AP365" i="65"/>
  <c r="AJ378" i="65"/>
  <c r="AO378" i="65"/>
  <c r="AO276" i="65"/>
  <c r="AK285" i="65"/>
  <c r="AP285" i="65"/>
  <c r="AN353" i="65"/>
  <c r="AO377" i="65"/>
  <c r="AN383" i="65"/>
  <c r="AO280" i="65"/>
  <c r="AJ346" i="65"/>
  <c r="AO346" i="65"/>
  <c r="AK276" i="65"/>
  <c r="AP276" i="65"/>
  <c r="AN345" i="65"/>
  <c r="AL349" i="65"/>
  <c r="AR349" i="65" s="1"/>
  <c r="AQ349" i="65"/>
  <c r="AJ316" i="65"/>
  <c r="AO316" i="65"/>
  <c r="AJ282" i="65"/>
  <c r="AO282" i="65"/>
  <c r="AJ353" i="65"/>
  <c r="AO353" i="65"/>
  <c r="AJ383" i="65"/>
  <c r="AO383" i="65"/>
  <c r="AL351" i="65"/>
  <c r="AR351" i="65" s="1"/>
  <c r="AQ351" i="65"/>
  <c r="AJ345" i="65"/>
  <c r="AO345" i="65"/>
  <c r="AJ317" i="65"/>
  <c r="AO317" i="65"/>
  <c r="AN377" i="65"/>
  <c r="AK341" i="65"/>
  <c r="AP341" i="65"/>
  <c r="AJ293" i="65"/>
  <c r="AO293" i="65"/>
  <c r="AP349" i="65"/>
  <c r="AO285" i="65"/>
  <c r="AL352" i="65"/>
  <c r="AR352" i="65" s="1"/>
  <c r="AQ352" i="65"/>
  <c r="M123" i="66"/>
  <c r="O125" i="66" s="1"/>
  <c r="AK321" i="65"/>
  <c r="AP321" i="65"/>
  <c r="AN372" i="65"/>
  <c r="AN320" i="65"/>
  <c r="AJ355" i="65"/>
  <c r="AO355" i="65"/>
  <c r="AQ275" i="65"/>
  <c r="AK377" i="65"/>
  <c r="AP377" i="65"/>
  <c r="AN358" i="65"/>
  <c r="AN378" i="65"/>
  <c r="AL279" i="65"/>
  <c r="AR279" i="65" s="1"/>
  <c r="AQ279" i="65"/>
  <c r="AJ357" i="65"/>
  <c r="AO357" i="65"/>
  <c r="AJ374" i="65"/>
  <c r="AO374" i="65"/>
  <c r="AK322" i="65"/>
  <c r="AP322" i="65"/>
  <c r="AJ312" i="65"/>
  <c r="AO312" i="65"/>
  <c r="AN346" i="65"/>
  <c r="AL360" i="65"/>
  <c r="AR360" i="65" s="1"/>
  <c r="AQ360" i="65"/>
  <c r="AK325" i="65"/>
  <c r="AP325" i="65"/>
  <c r="AO231" i="65"/>
  <c r="AO156" i="65"/>
  <c r="AP232" i="65"/>
  <c r="AO254" i="65"/>
  <c r="AJ250" i="65"/>
  <c r="AK250" i="65" s="1"/>
  <c r="AL250" i="65" s="1"/>
  <c r="AR250" i="65" s="1"/>
  <c r="AO190" i="65"/>
  <c r="AO157" i="65"/>
  <c r="AJ167" i="65"/>
  <c r="AK167" i="65" s="1"/>
  <c r="AL167" i="65" s="1"/>
  <c r="AR167" i="65" s="1"/>
  <c r="AJ213" i="65"/>
  <c r="AK213" i="65" s="1"/>
  <c r="AQ213" i="65" s="1"/>
  <c r="AO215" i="65"/>
  <c r="AO257" i="65"/>
  <c r="AP215" i="65"/>
  <c r="AJ189" i="65"/>
  <c r="AP189" i="65" s="1"/>
  <c r="AQ255" i="65"/>
  <c r="AO255" i="65"/>
  <c r="AO247" i="65"/>
  <c r="AO216" i="65"/>
  <c r="AP255" i="65"/>
  <c r="AO232" i="65"/>
  <c r="AO154" i="65"/>
  <c r="AO163" i="65"/>
  <c r="AQ155" i="65"/>
  <c r="AQ232" i="65"/>
  <c r="AP253" i="65"/>
  <c r="AQ164" i="65"/>
  <c r="AP248" i="65"/>
  <c r="AQ219" i="65"/>
  <c r="AJ246" i="65"/>
  <c r="AP246" i="65" s="1"/>
  <c r="AO246" i="65"/>
  <c r="AQ248" i="65"/>
  <c r="AL248" i="65"/>
  <c r="AR248" i="65" s="1"/>
  <c r="AN232" i="65"/>
  <c r="AN246" i="65"/>
  <c r="AP247" i="65"/>
  <c r="AK247" i="65"/>
  <c r="AQ247" i="65" s="1"/>
  <c r="AO194" i="65"/>
  <c r="AN209" i="65"/>
  <c r="AO169" i="65"/>
  <c r="AO152" i="65"/>
  <c r="AP195" i="65"/>
  <c r="AN214" i="65"/>
  <c r="AN229" i="65"/>
  <c r="AN254" i="65"/>
  <c r="AP190" i="65"/>
  <c r="AN228" i="65"/>
  <c r="AJ210" i="65"/>
  <c r="AK210" i="65" s="1"/>
  <c r="AL210" i="65" s="1"/>
  <c r="AR210" i="65" s="1"/>
  <c r="AP163" i="65"/>
  <c r="AN219" i="65"/>
  <c r="AN165" i="65"/>
  <c r="AN163" i="65"/>
  <c r="B484" i="40"/>
  <c r="B203" i="65"/>
  <c r="AN210" i="65"/>
  <c r="AQ251" i="65"/>
  <c r="AO155" i="65"/>
  <c r="AN160" i="65"/>
  <c r="AN221" i="65"/>
  <c r="AN243" i="65"/>
  <c r="AP221" i="65"/>
  <c r="AN255" i="65"/>
  <c r="AP169" i="65"/>
  <c r="AN170" i="65"/>
  <c r="AQ212" i="65"/>
  <c r="AN235" i="65"/>
  <c r="AJ249" i="65"/>
  <c r="AK249" i="65" s="1"/>
  <c r="AL249" i="65" s="1"/>
  <c r="AR249" i="65" s="1"/>
  <c r="AP209" i="65"/>
  <c r="AQ209" i="65"/>
  <c r="AO153" i="65"/>
  <c r="AN233" i="65"/>
  <c r="AN259" i="65"/>
  <c r="AN212" i="65"/>
  <c r="AO220" i="65"/>
  <c r="AN241" i="65"/>
  <c r="AN267" i="65"/>
  <c r="AO240" i="65"/>
  <c r="AO267" i="65"/>
  <c r="AP219" i="65"/>
  <c r="AN249" i="65"/>
  <c r="AN152" i="65"/>
  <c r="AN153" i="65"/>
  <c r="AN194" i="65"/>
  <c r="AP192" i="65"/>
  <c r="AQ192" i="65"/>
  <c r="AP216" i="65"/>
  <c r="AP251" i="65"/>
  <c r="AN192" i="65"/>
  <c r="AN257" i="65"/>
  <c r="AO212" i="65"/>
  <c r="AN166" i="65"/>
  <c r="AO168" i="65"/>
  <c r="AN156" i="65"/>
  <c r="AP220" i="65"/>
  <c r="AP217" i="65"/>
  <c r="AO160" i="65"/>
  <c r="AL191" i="65"/>
  <c r="AR191" i="65" s="1"/>
  <c r="AQ191" i="65"/>
  <c r="AL211" i="65"/>
  <c r="AR211" i="65" s="1"/>
  <c r="AQ211" i="65"/>
  <c r="AP191" i="65"/>
  <c r="AL216" i="65"/>
  <c r="AR216" i="65" s="1"/>
  <c r="AQ216" i="65"/>
  <c r="AL237" i="65"/>
  <c r="AR237" i="65" s="1"/>
  <c r="AQ237" i="65"/>
  <c r="AJ235" i="65"/>
  <c r="AO235" i="65"/>
  <c r="AN238" i="65"/>
  <c r="AK160" i="65"/>
  <c r="AP160" i="65"/>
  <c r="AO258" i="65"/>
  <c r="AO211" i="65"/>
  <c r="AN211" i="65"/>
  <c r="AN242" i="65"/>
  <c r="AJ259" i="65"/>
  <c r="AO259" i="65"/>
  <c r="AO253" i="65"/>
  <c r="AK257" i="65"/>
  <c r="AP257" i="65"/>
  <c r="AN248" i="65"/>
  <c r="AP230" i="65"/>
  <c r="AJ243" i="65"/>
  <c r="AO243" i="65"/>
  <c r="AO162" i="65"/>
  <c r="AJ166" i="65"/>
  <c r="AO166" i="65"/>
  <c r="AN256" i="65"/>
  <c r="AN195" i="65"/>
  <c r="AN158" i="65"/>
  <c r="AP194" i="65"/>
  <c r="AO217" i="65"/>
  <c r="AJ241" i="65"/>
  <c r="AO241" i="65"/>
  <c r="AL267" i="65"/>
  <c r="AR267" i="65" s="1"/>
  <c r="AQ267" i="65"/>
  <c r="AO251" i="65"/>
  <c r="AL156" i="65"/>
  <c r="AR156" i="65" s="1"/>
  <c r="AQ156" i="65"/>
  <c r="AP168" i="65"/>
  <c r="AO221" i="65"/>
  <c r="AN159" i="65"/>
  <c r="AO238" i="65"/>
  <c r="AJ214" i="65"/>
  <c r="AO214" i="65"/>
  <c r="AN253" i="65"/>
  <c r="AQ221" i="65"/>
  <c r="AP155" i="65"/>
  <c r="AJ229" i="65"/>
  <c r="AO229" i="65"/>
  <c r="AO161" i="65"/>
  <c r="AJ170" i="65"/>
  <c r="AO170" i="65"/>
  <c r="AK254" i="65"/>
  <c r="AP254" i="65"/>
  <c r="AP156" i="65"/>
  <c r="AN230" i="65"/>
  <c r="AK238" i="65"/>
  <c r="AP238" i="65"/>
  <c r="AL236" i="65"/>
  <c r="AR236" i="65" s="1"/>
  <c r="AQ236" i="65"/>
  <c r="AO248" i="65"/>
  <c r="AJ158" i="65"/>
  <c r="AO158" i="65"/>
  <c r="AO191" i="65"/>
  <c r="AJ239" i="65"/>
  <c r="AO239" i="65"/>
  <c r="AJ218" i="65"/>
  <c r="AO218" i="65"/>
  <c r="AO234" i="65"/>
  <c r="AJ234" i="65"/>
  <c r="AP236" i="65"/>
  <c r="AO237" i="65"/>
  <c r="AK162" i="65"/>
  <c r="AP162" i="65"/>
  <c r="AJ227" i="65"/>
  <c r="AP227" i="65" s="1"/>
  <c r="AO227" i="65"/>
  <c r="AL240" i="65"/>
  <c r="AR240" i="65" s="1"/>
  <c r="AQ240" i="65"/>
  <c r="AQ253" i="65"/>
  <c r="AP242" i="65"/>
  <c r="AQ194" i="65"/>
  <c r="AK231" i="65"/>
  <c r="AP231" i="65"/>
  <c r="AK161" i="65"/>
  <c r="AP161" i="65"/>
  <c r="AO242" i="65"/>
  <c r="AK157" i="65"/>
  <c r="AP157" i="65"/>
  <c r="AP240" i="65"/>
  <c r="AQ190" i="65"/>
  <c r="AQ159" i="65"/>
  <c r="AL169" i="65"/>
  <c r="AR169" i="65" s="1"/>
  <c r="AQ169" i="65"/>
  <c r="AO209" i="65"/>
  <c r="AL215" i="65"/>
  <c r="AR215" i="65" s="1"/>
  <c r="AQ215" i="65"/>
  <c r="AP211" i="65"/>
  <c r="AP258" i="65"/>
  <c r="AN247" i="65"/>
  <c r="AO236" i="65"/>
  <c r="AJ256" i="65"/>
  <c r="AO256" i="65"/>
  <c r="AQ242" i="65"/>
  <c r="AQ217" i="65"/>
  <c r="AO164" i="65"/>
  <c r="AN239" i="65"/>
  <c r="AJ165" i="65"/>
  <c r="AO165" i="65"/>
  <c r="AN218" i="65"/>
  <c r="AO159" i="65"/>
  <c r="AJ233" i="65"/>
  <c r="AO233" i="65"/>
  <c r="AN234" i="65"/>
  <c r="AQ220" i="65"/>
  <c r="AN217" i="65"/>
  <c r="AO193" i="65"/>
  <c r="AN193" i="65"/>
  <c r="AN227" i="65"/>
  <c r="AP237" i="65"/>
  <c r="AO252" i="65"/>
  <c r="AP159" i="65"/>
  <c r="AN240" i="65"/>
  <c r="AQ230" i="65"/>
  <c r="AO230" i="65"/>
  <c r="AN155" i="65"/>
  <c r="AQ252" i="65"/>
  <c r="AN231" i="65"/>
  <c r="AQ193" i="65"/>
  <c r="AK228" i="65"/>
  <c r="AQ228" i="65" s="1"/>
  <c r="AP228" i="65"/>
  <c r="AP212" i="65"/>
  <c r="AN161" i="65"/>
  <c r="AN157" i="65"/>
  <c r="AL163" i="65"/>
  <c r="AR163" i="65" s="1"/>
  <c r="AQ163" i="65"/>
  <c r="AQ195" i="65"/>
  <c r="AN154" i="65"/>
  <c r="AP193" i="65"/>
  <c r="AP164" i="65"/>
  <c r="AO228" i="65"/>
  <c r="AP154" i="65"/>
  <c r="AO219" i="65"/>
  <c r="AN215" i="65"/>
  <c r="AO195" i="65"/>
  <c r="AQ168" i="65"/>
  <c r="AP252" i="65"/>
  <c r="AQ258" i="65"/>
  <c r="AP267" i="65"/>
  <c r="AO192" i="65"/>
  <c r="AP65" i="65"/>
  <c r="AO65" i="65"/>
  <c r="AO89" i="65"/>
  <c r="Q41" i="66"/>
  <c r="M41" i="37"/>
  <c r="O52" i="66"/>
  <c r="K49" i="37"/>
  <c r="Q54" i="66"/>
  <c r="M51" i="37"/>
  <c r="Q42" i="66"/>
  <c r="M42" i="37"/>
  <c r="P53" i="66"/>
  <c r="L50" i="37"/>
  <c r="AI126" i="65"/>
  <c r="AO126" i="65" s="1"/>
  <c r="AQ103" i="65"/>
  <c r="AQ56" i="65"/>
  <c r="AP103" i="65"/>
  <c r="AO137" i="65"/>
  <c r="AQ92" i="65"/>
  <c r="AP92" i="65"/>
  <c r="AO92" i="65"/>
  <c r="AQ143" i="65"/>
  <c r="AN137" i="65"/>
  <c r="AP143" i="65"/>
  <c r="AO143" i="65"/>
  <c r="AP98" i="65"/>
  <c r="AQ105" i="65"/>
  <c r="AN122" i="65"/>
  <c r="AQ106" i="65"/>
  <c r="AQ123" i="65"/>
  <c r="AQ139" i="65"/>
  <c r="AQ95" i="65"/>
  <c r="AL95" i="65"/>
  <c r="AR95" i="65" s="1"/>
  <c r="AN55" i="65"/>
  <c r="AN126" i="65"/>
  <c r="AN123" i="65"/>
  <c r="AO105" i="65"/>
  <c r="AO102" i="65"/>
  <c r="AN102" i="65"/>
  <c r="AP55" i="65"/>
  <c r="AQ57" i="65"/>
  <c r="AQ53" i="65"/>
  <c r="AP137" i="65"/>
  <c r="AN135" i="65"/>
  <c r="AN106" i="65"/>
  <c r="AP123" i="65"/>
  <c r="AN134" i="65"/>
  <c r="AO122" i="65"/>
  <c r="AO123" i="65"/>
  <c r="AQ55" i="65"/>
  <c r="AN136" i="65"/>
  <c r="AI136" i="65"/>
  <c r="AP138" i="65"/>
  <c r="AK138" i="65"/>
  <c r="AP106" i="65"/>
  <c r="AQ137" i="65"/>
  <c r="AO106" i="65"/>
  <c r="AP105" i="65"/>
  <c r="AO135" i="65"/>
  <c r="AN140" i="65"/>
  <c r="AP94" i="65"/>
  <c r="AO98" i="65"/>
  <c r="AP53" i="65"/>
  <c r="AN143" i="65"/>
  <c r="AO96" i="65"/>
  <c r="AQ98" i="65"/>
  <c r="AP140" i="65"/>
  <c r="AN94" i="65"/>
  <c r="AP57" i="65"/>
  <c r="AO90" i="65"/>
  <c r="AN97" i="65"/>
  <c r="AN98" i="65"/>
  <c r="AO93" i="65"/>
  <c r="AO53" i="65"/>
  <c r="AN53" i="65"/>
  <c r="AN58" i="65"/>
  <c r="AO60" i="65"/>
  <c r="AO108" i="65"/>
  <c r="AN88" i="65"/>
  <c r="AQ54" i="65"/>
  <c r="AO54" i="65"/>
  <c r="AN96" i="65"/>
  <c r="AN138" i="65"/>
  <c r="AO99" i="65"/>
  <c r="AJ97" i="65"/>
  <c r="AO97" i="65"/>
  <c r="AN57" i="65"/>
  <c r="AN99" i="65"/>
  <c r="AO91" i="65"/>
  <c r="AO139" i="65"/>
  <c r="AP100" i="65"/>
  <c r="AN87" i="65"/>
  <c r="AO140" i="65"/>
  <c r="AQ60" i="65"/>
  <c r="AQ90" i="65"/>
  <c r="AP141" i="65"/>
  <c r="AK141" i="65"/>
  <c r="AP62" i="65"/>
  <c r="AK62" i="65"/>
  <c r="AJ142" i="65"/>
  <c r="AK142" i="65" s="1"/>
  <c r="AQ142" i="65" s="1"/>
  <c r="AK91" i="65"/>
  <c r="AP91" i="65"/>
  <c r="AQ58" i="65"/>
  <c r="AO58" i="65"/>
  <c r="AQ108" i="65"/>
  <c r="AL89" i="65"/>
  <c r="AR89" i="65" s="1"/>
  <c r="AQ89" i="65"/>
  <c r="AO101" i="65"/>
  <c r="AO138" i="65"/>
  <c r="AO56" i="65"/>
  <c r="AO95" i="65"/>
  <c r="AP95" i="65"/>
  <c r="AP101" i="65"/>
  <c r="AP139" i="65"/>
  <c r="AO109" i="65"/>
  <c r="AJ109" i="65"/>
  <c r="AO61" i="65"/>
  <c r="AJ61" i="65"/>
  <c r="AQ100" i="65"/>
  <c r="AQ59" i="65"/>
  <c r="AN100" i="65"/>
  <c r="AO88" i="65"/>
  <c r="AN95" i="65"/>
  <c r="AN54" i="65"/>
  <c r="AN59" i="65"/>
  <c r="AQ102" i="65"/>
  <c r="AN101" i="65"/>
  <c r="AP54" i="65"/>
  <c r="AN139" i="65"/>
  <c r="AN89" i="65"/>
  <c r="AO57" i="65"/>
  <c r="AP102" i="65"/>
  <c r="AQ101" i="65"/>
  <c r="AN56" i="65"/>
  <c r="AP59" i="65"/>
  <c r="AO94" i="65"/>
  <c r="AP58" i="65"/>
  <c r="AQ94" i="65"/>
  <c r="AK93" i="65"/>
  <c r="AP93" i="65"/>
  <c r="AP96" i="65"/>
  <c r="AQ140" i="65"/>
  <c r="AP89" i="65"/>
  <c r="AN92" i="65"/>
  <c r="AP90" i="65"/>
  <c r="AN103" i="65"/>
  <c r="AK99" i="65"/>
  <c r="AP99" i="65"/>
  <c r="AO59" i="65"/>
  <c r="AO55" i="65"/>
  <c r="AP56" i="65"/>
  <c r="AJ126" i="65"/>
  <c r="AO100" i="65"/>
  <c r="AQ96" i="65"/>
  <c r="AP60" i="65"/>
  <c r="AP108" i="65"/>
  <c r="AO124" i="65"/>
  <c r="L42" i="65"/>
  <c r="P51" i="66"/>
  <c r="P86" i="66" s="1"/>
  <c r="R88" i="66" s="1"/>
  <c r="P29" i="25"/>
  <c r="N50" i="66"/>
  <c r="N28" i="25"/>
  <c r="L49" i="66"/>
  <c r="L27" i="25"/>
  <c r="M50" i="66"/>
  <c r="M28" i="25"/>
  <c r="M48" i="42"/>
  <c r="P31" i="25"/>
  <c r="M50" i="50"/>
  <c r="Q19" i="25"/>
  <c r="Q20" i="25"/>
  <c r="N48" i="42"/>
  <c r="Q53" i="66"/>
  <c r="N42" i="50"/>
  <c r="N39" i="42"/>
  <c r="N40" i="42"/>
  <c r="AJ68" i="65"/>
  <c r="AK68" i="65" s="1"/>
  <c r="AL68" i="65" s="1"/>
  <c r="AR68" i="65" s="1"/>
  <c r="AO112" i="65"/>
  <c r="AO85" i="65"/>
  <c r="AP112" i="65"/>
  <c r="AO63" i="65"/>
  <c r="AL65" i="65"/>
  <c r="AR65" i="65" s="1"/>
  <c r="AJ79" i="65"/>
  <c r="AK79" i="65" s="1"/>
  <c r="AL79" i="65" s="1"/>
  <c r="AR79" i="65" s="1"/>
  <c r="AO62" i="65"/>
  <c r="AO74" i="65"/>
  <c r="AN72" i="65"/>
  <c r="AO84" i="65"/>
  <c r="AP66" i="65"/>
  <c r="AQ75" i="65"/>
  <c r="AN141" i="65"/>
  <c r="AK85" i="65"/>
  <c r="AQ85" i="65" s="1"/>
  <c r="AP85" i="65"/>
  <c r="AO125" i="65"/>
  <c r="AO69" i="65"/>
  <c r="AJ67" i="65"/>
  <c r="AK67" i="65" s="1"/>
  <c r="AL67" i="65" s="1"/>
  <c r="AR67" i="65" s="1"/>
  <c r="AO133" i="65"/>
  <c r="AN111" i="65"/>
  <c r="AO70" i="65"/>
  <c r="AO114" i="65"/>
  <c r="AK124" i="65"/>
  <c r="AQ124" i="65" s="1"/>
  <c r="AQ114" i="65"/>
  <c r="AO77" i="65"/>
  <c r="AN84" i="65"/>
  <c r="AK70" i="65"/>
  <c r="AP70" i="65"/>
  <c r="AO113" i="65"/>
  <c r="AJ81" i="65"/>
  <c r="AP113" i="65"/>
  <c r="AP133" i="65"/>
  <c r="AO117" i="65"/>
  <c r="AN109" i="65"/>
  <c r="AO75" i="65"/>
  <c r="AN130" i="65"/>
  <c r="AN71" i="65"/>
  <c r="AO72" i="65"/>
  <c r="AN80" i="65"/>
  <c r="AN73" i="65"/>
  <c r="AP69" i="65"/>
  <c r="AN62" i="65"/>
  <c r="AQ74" i="65"/>
  <c r="AO71" i="65"/>
  <c r="AL133" i="65"/>
  <c r="AR133" i="65" s="1"/>
  <c r="AQ133" i="65"/>
  <c r="AQ83" i="65"/>
  <c r="AN83" i="65"/>
  <c r="AN113" i="65"/>
  <c r="AN74" i="65"/>
  <c r="AN64" i="65"/>
  <c r="AN76" i="65"/>
  <c r="AP114" i="65"/>
  <c r="AL78" i="65"/>
  <c r="AR78" i="65" s="1"/>
  <c r="AQ78" i="65"/>
  <c r="AK128" i="65"/>
  <c r="AP128" i="65"/>
  <c r="AL132" i="65"/>
  <c r="AR132" i="65" s="1"/>
  <c r="AQ132" i="65"/>
  <c r="AO128" i="65"/>
  <c r="AI127" i="65"/>
  <c r="AO131" i="65"/>
  <c r="AJ131" i="65"/>
  <c r="AK119" i="65"/>
  <c r="AP119" i="65"/>
  <c r="AO119" i="65"/>
  <c r="AO110" i="65"/>
  <c r="AK64" i="65"/>
  <c r="AP64" i="65"/>
  <c r="AO73" i="65"/>
  <c r="AJ73" i="65"/>
  <c r="AO141" i="65"/>
  <c r="AO64" i="65"/>
  <c r="AN131" i="65"/>
  <c r="AP82" i="65"/>
  <c r="AQ113" i="65"/>
  <c r="AO82" i="65"/>
  <c r="AJ130" i="65"/>
  <c r="AO130" i="65"/>
  <c r="AO78" i="65"/>
  <c r="AP83" i="65"/>
  <c r="AK115" i="65"/>
  <c r="AP115" i="65"/>
  <c r="AK72" i="65"/>
  <c r="AP72" i="65"/>
  <c r="AQ118" i="65"/>
  <c r="AK125" i="65"/>
  <c r="AP125" i="65"/>
  <c r="AN69" i="65"/>
  <c r="AK84" i="65"/>
  <c r="AP84" i="65"/>
  <c r="AO118" i="65"/>
  <c r="AK77" i="65"/>
  <c r="AP77" i="65"/>
  <c r="AJ80" i="65"/>
  <c r="AO80" i="65"/>
  <c r="AN117" i="65"/>
  <c r="AP74" i="65"/>
  <c r="AJ76" i="65"/>
  <c r="AO76" i="65"/>
  <c r="AP132" i="65"/>
  <c r="AP118" i="65"/>
  <c r="AN114" i="65"/>
  <c r="AN63" i="65"/>
  <c r="AO83" i="65"/>
  <c r="AL66" i="65"/>
  <c r="AR66" i="65" s="1"/>
  <c r="AQ66" i="65"/>
  <c r="AJ116" i="65"/>
  <c r="AO116" i="65"/>
  <c r="AJ111" i="65"/>
  <c r="AO111" i="65"/>
  <c r="AP71" i="65"/>
  <c r="AK71" i="65"/>
  <c r="AL82" i="65"/>
  <c r="AR82" i="65" s="1"/>
  <c r="AQ82" i="65"/>
  <c r="AN110" i="65"/>
  <c r="AN78" i="65"/>
  <c r="AP78" i="65"/>
  <c r="AO132" i="65"/>
  <c r="AL69" i="65"/>
  <c r="AR69" i="65" s="1"/>
  <c r="AQ69" i="65"/>
  <c r="AQ112" i="65"/>
  <c r="AK117" i="65"/>
  <c r="AP117" i="65"/>
  <c r="AN132" i="65"/>
  <c r="AN66" i="65"/>
  <c r="AO66" i="65"/>
  <c r="AK63" i="65"/>
  <c r="AP63" i="65"/>
  <c r="AN127" i="65"/>
  <c r="AO115" i="65"/>
  <c r="AP75" i="65"/>
  <c r="AN116" i="65"/>
  <c r="N41" i="50"/>
  <c r="N49" i="42"/>
  <c r="N51" i="50"/>
  <c r="Q32" i="25"/>
  <c r="L47" i="42"/>
  <c r="P55" i="24"/>
  <c r="L49" i="50"/>
  <c r="O30" i="25"/>
  <c r="O104" i="25" s="1"/>
  <c r="M52" i="24"/>
  <c r="Q54" i="24"/>
  <c r="O53" i="24"/>
  <c r="N50" i="50"/>
  <c r="Q31" i="25"/>
  <c r="M40" i="50"/>
  <c r="P18" i="25"/>
  <c r="M38" i="42"/>
  <c r="AD52" i="65"/>
  <c r="AE52" i="65"/>
  <c r="AC52" i="65"/>
  <c r="AI52" i="65" s="1"/>
  <c r="AF52" i="65"/>
  <c r="AQ445" i="65" l="1"/>
  <c r="AP445" i="65"/>
  <c r="AQ515" i="65"/>
  <c r="AQ323" i="65"/>
  <c r="J530" i="65"/>
  <c r="AQ467" i="65"/>
  <c r="AP323" i="65"/>
  <c r="AK455" i="65"/>
  <c r="AP455" i="65"/>
  <c r="AL418" i="65"/>
  <c r="AR418" i="65" s="1"/>
  <c r="AQ418" i="65"/>
  <c r="AK520" i="65"/>
  <c r="AP520" i="65"/>
  <c r="AK512" i="65"/>
  <c r="AP512" i="65"/>
  <c r="AL519" i="65"/>
  <c r="AR519" i="65" s="1"/>
  <c r="AQ519" i="65"/>
  <c r="AK481" i="65"/>
  <c r="AP481" i="65"/>
  <c r="AK484" i="65"/>
  <c r="AP484" i="65"/>
  <c r="AL399" i="65"/>
  <c r="AR399" i="65" s="1"/>
  <c r="AQ399" i="65"/>
  <c r="AK461" i="65"/>
  <c r="AP461" i="65"/>
  <c r="AL401" i="65"/>
  <c r="AR401" i="65" s="1"/>
  <c r="AQ401" i="65"/>
  <c r="AL454" i="65"/>
  <c r="AR454" i="65" s="1"/>
  <c r="AQ454" i="65"/>
  <c r="AL471" i="65"/>
  <c r="AR471" i="65" s="1"/>
  <c r="AQ471" i="65"/>
  <c r="AL452" i="65"/>
  <c r="AR452" i="65" s="1"/>
  <c r="AQ452" i="65"/>
  <c r="AL451" i="65"/>
  <c r="AR451" i="65" s="1"/>
  <c r="AQ451" i="65"/>
  <c r="AK413" i="65"/>
  <c r="AP413" i="65"/>
  <c r="AL462" i="65"/>
  <c r="AR462" i="65" s="1"/>
  <c r="AQ462" i="65"/>
  <c r="AL456" i="65"/>
  <c r="AR456" i="65" s="1"/>
  <c r="AQ456" i="65"/>
  <c r="AL449" i="65"/>
  <c r="AR449" i="65" s="1"/>
  <c r="AQ449" i="65"/>
  <c r="AK407" i="65"/>
  <c r="AP407" i="65"/>
  <c r="AK404" i="65"/>
  <c r="AP404" i="65"/>
  <c r="AK457" i="65"/>
  <c r="AP457" i="65"/>
  <c r="AL411" i="65"/>
  <c r="AR411" i="65" s="1"/>
  <c r="AQ411" i="65"/>
  <c r="AL447" i="65"/>
  <c r="AR447" i="65" s="1"/>
  <c r="AQ447" i="65"/>
  <c r="AL448" i="65"/>
  <c r="AR448" i="65" s="1"/>
  <c r="AQ448" i="65"/>
  <c r="AK460" i="65"/>
  <c r="AP460" i="65"/>
  <c r="AK409" i="65"/>
  <c r="AP409" i="65"/>
  <c r="AL400" i="65"/>
  <c r="AR400" i="65" s="1"/>
  <c r="AQ400" i="65"/>
  <c r="AL410" i="65"/>
  <c r="AR410" i="65" s="1"/>
  <c r="AQ410" i="65"/>
  <c r="AQ375" i="65"/>
  <c r="AP375" i="65"/>
  <c r="AQ283" i="65"/>
  <c r="AK340" i="65"/>
  <c r="AL340" i="65" s="1"/>
  <c r="AR340" i="65" s="1"/>
  <c r="AP283" i="65"/>
  <c r="AP354" i="65"/>
  <c r="AQ354" i="65"/>
  <c r="AP287" i="65"/>
  <c r="AQ287" i="65"/>
  <c r="AQ367" i="65"/>
  <c r="Q29" i="25"/>
  <c r="AQ289" i="65"/>
  <c r="AP367" i="65"/>
  <c r="AQ343" i="65"/>
  <c r="AK361" i="65"/>
  <c r="AP361" i="65"/>
  <c r="AQ311" i="65"/>
  <c r="AL376" i="65"/>
  <c r="AR376" i="65" s="1"/>
  <c r="AQ376" i="65"/>
  <c r="AL213" i="65"/>
  <c r="AR213" i="65" s="1"/>
  <c r="AK312" i="65"/>
  <c r="AP312" i="65"/>
  <c r="AK374" i="65"/>
  <c r="AP374" i="65"/>
  <c r="AL377" i="65"/>
  <c r="AR377" i="65" s="1"/>
  <c r="AQ377" i="65"/>
  <c r="AK293" i="65"/>
  <c r="AP293" i="65"/>
  <c r="AK383" i="65"/>
  <c r="AP383" i="65"/>
  <c r="AK316" i="65"/>
  <c r="AP316" i="65"/>
  <c r="AK378" i="65"/>
  <c r="AP378" i="65"/>
  <c r="AK358" i="65"/>
  <c r="AP358" i="65"/>
  <c r="AK320" i="65"/>
  <c r="AP320" i="65"/>
  <c r="AL280" i="65"/>
  <c r="AR280" i="65" s="1"/>
  <c r="AQ280" i="65"/>
  <c r="AK345" i="65"/>
  <c r="AP345" i="65"/>
  <c r="AL276" i="65"/>
  <c r="AR276" i="65" s="1"/>
  <c r="AQ276" i="65"/>
  <c r="AL285" i="65"/>
  <c r="AR285" i="65" s="1"/>
  <c r="AQ285" i="65"/>
  <c r="AL325" i="65"/>
  <c r="AR325" i="65" s="1"/>
  <c r="AQ325" i="65"/>
  <c r="AL322" i="65"/>
  <c r="AR322" i="65" s="1"/>
  <c r="AQ322" i="65"/>
  <c r="AK357" i="65"/>
  <c r="AP357" i="65"/>
  <c r="AK317" i="65"/>
  <c r="AP317" i="65"/>
  <c r="AK353" i="65"/>
  <c r="AP353" i="65"/>
  <c r="AK282" i="65"/>
  <c r="AP282" i="65"/>
  <c r="AL365" i="65"/>
  <c r="AR365" i="65" s="1"/>
  <c r="AQ365" i="65"/>
  <c r="AK372" i="65"/>
  <c r="AP372" i="65"/>
  <c r="AK355" i="65"/>
  <c r="AP355" i="65"/>
  <c r="AL321" i="65"/>
  <c r="AR321" i="65" s="1"/>
  <c r="AQ321" i="65"/>
  <c r="AL341" i="65"/>
  <c r="AR341" i="65" s="1"/>
  <c r="AQ341" i="65"/>
  <c r="AK346" i="65"/>
  <c r="AP346" i="65"/>
  <c r="AP250" i="65"/>
  <c r="AQ250" i="65"/>
  <c r="AQ167" i="65"/>
  <c r="AP167" i="65"/>
  <c r="AP213" i="65"/>
  <c r="AQ249" i="65"/>
  <c r="AP210" i="65"/>
  <c r="AQ210" i="65"/>
  <c r="AP249" i="65"/>
  <c r="B485" i="40"/>
  <c r="B204" i="65"/>
  <c r="AL161" i="65"/>
  <c r="AR161" i="65" s="1"/>
  <c r="AQ161" i="65"/>
  <c r="AK229" i="65"/>
  <c r="AP229" i="65"/>
  <c r="AK241" i="65"/>
  <c r="AP241" i="65"/>
  <c r="AK233" i="65"/>
  <c r="AP233" i="65"/>
  <c r="AK165" i="65"/>
  <c r="AP165" i="65"/>
  <c r="AK256" i="65"/>
  <c r="AP256" i="65"/>
  <c r="AL157" i="65"/>
  <c r="AR157" i="65" s="1"/>
  <c r="AQ157" i="65"/>
  <c r="AK218" i="65"/>
  <c r="AP218" i="65"/>
  <c r="AK170" i="65"/>
  <c r="AP170" i="65"/>
  <c r="AK214" i="65"/>
  <c r="AP214" i="65"/>
  <c r="AK259" i="65"/>
  <c r="AP259" i="65"/>
  <c r="AL231" i="65"/>
  <c r="AR231" i="65" s="1"/>
  <c r="AQ231" i="65"/>
  <c r="AK234" i="65"/>
  <c r="AP234" i="65"/>
  <c r="AK158" i="65"/>
  <c r="AP158" i="65"/>
  <c r="AK243" i="65"/>
  <c r="AP243" i="65"/>
  <c r="AL257" i="65"/>
  <c r="AR257" i="65" s="1"/>
  <c r="AQ257" i="65"/>
  <c r="AK235" i="65"/>
  <c r="AP235" i="65"/>
  <c r="AL162" i="65"/>
  <c r="AR162" i="65" s="1"/>
  <c r="AQ162" i="65"/>
  <c r="AK239" i="65"/>
  <c r="AP239" i="65"/>
  <c r="AL238" i="65"/>
  <c r="AR238" i="65" s="1"/>
  <c r="AQ238" i="65"/>
  <c r="AL254" i="65"/>
  <c r="AR254" i="65" s="1"/>
  <c r="AQ254" i="65"/>
  <c r="AK166" i="65"/>
  <c r="AP166" i="65"/>
  <c r="AL160" i="65"/>
  <c r="AR160" i="65" s="1"/>
  <c r="AQ160" i="65"/>
  <c r="AL85" i="65"/>
  <c r="AR85" i="65" s="1"/>
  <c r="P52" i="66"/>
  <c r="L49" i="37"/>
  <c r="AL142" i="65"/>
  <c r="AR142" i="65" s="1"/>
  <c r="AP142" i="65"/>
  <c r="AJ136" i="65"/>
  <c r="AO136" i="65"/>
  <c r="AL138" i="65"/>
  <c r="AR138" i="65" s="1"/>
  <c r="AQ138" i="65"/>
  <c r="AL99" i="65"/>
  <c r="AR99" i="65" s="1"/>
  <c r="AQ99" i="65"/>
  <c r="AL93" i="65"/>
  <c r="AR93" i="65" s="1"/>
  <c r="AQ93" i="65"/>
  <c r="AL62" i="65"/>
  <c r="AR62" i="65" s="1"/>
  <c r="AQ62" i="65"/>
  <c r="AK61" i="65"/>
  <c r="AP61" i="65"/>
  <c r="AQ63" i="65"/>
  <c r="AL63" i="65"/>
  <c r="AR63" i="65" s="1"/>
  <c r="AL91" i="65"/>
  <c r="AR91" i="65" s="1"/>
  <c r="AQ91" i="65"/>
  <c r="AL141" i="65"/>
  <c r="AR141" i="65" s="1"/>
  <c r="AQ141" i="65"/>
  <c r="AK97" i="65"/>
  <c r="AP97" i="65"/>
  <c r="AK126" i="65"/>
  <c r="AP126" i="65"/>
  <c r="AK109" i="65"/>
  <c r="AP109" i="65"/>
  <c r="M49" i="66"/>
  <c r="M92" i="66" s="1"/>
  <c r="O94" i="66" s="1"/>
  <c r="M27" i="25"/>
  <c r="O50" i="66"/>
  <c r="O28" i="25"/>
  <c r="AL124" i="65"/>
  <c r="AR124" i="65" s="1"/>
  <c r="AP67" i="65"/>
  <c r="AP68" i="65"/>
  <c r="Q51" i="66"/>
  <c r="AQ68" i="65"/>
  <c r="AQ67" i="65"/>
  <c r="AQ79" i="65"/>
  <c r="AP79" i="65"/>
  <c r="AL70" i="65"/>
  <c r="AR70" i="65" s="1"/>
  <c r="AQ70" i="65"/>
  <c r="AK81" i="65"/>
  <c r="AP81" i="65"/>
  <c r="AK116" i="65"/>
  <c r="AP116" i="65"/>
  <c r="AK80" i="65"/>
  <c r="AP80" i="65"/>
  <c r="AL125" i="65"/>
  <c r="AR125" i="65" s="1"/>
  <c r="AQ125" i="65"/>
  <c r="AL117" i="65"/>
  <c r="AR117" i="65" s="1"/>
  <c r="AQ117" i="65"/>
  <c r="AL84" i="65"/>
  <c r="AR84" i="65" s="1"/>
  <c r="AQ84" i="65"/>
  <c r="AQ115" i="65"/>
  <c r="AL115" i="65"/>
  <c r="AR115" i="65" s="1"/>
  <c r="AK130" i="65"/>
  <c r="AP130" i="65"/>
  <c r="AL64" i="65"/>
  <c r="AR64" i="65" s="1"/>
  <c r="AQ64" i="65"/>
  <c r="AQ119" i="65"/>
  <c r="AL119" i="65"/>
  <c r="AR119" i="65" s="1"/>
  <c r="AJ127" i="65"/>
  <c r="AO127" i="65"/>
  <c r="AK111" i="65"/>
  <c r="AP111" i="65"/>
  <c r="AL77" i="65"/>
  <c r="AR77" i="65" s="1"/>
  <c r="AQ77" i="65"/>
  <c r="AK73" i="65"/>
  <c r="AP73" i="65"/>
  <c r="AK131" i="65"/>
  <c r="AP131" i="65"/>
  <c r="AL128" i="65"/>
  <c r="AR128" i="65" s="1"/>
  <c r="AQ128" i="65"/>
  <c r="AL71" i="65"/>
  <c r="AR71" i="65" s="1"/>
  <c r="AQ71" i="65"/>
  <c r="AK76" i="65"/>
  <c r="AP76" i="65"/>
  <c r="AL72" i="65"/>
  <c r="AR72" i="65" s="1"/>
  <c r="AQ72" i="65"/>
  <c r="AJ52" i="65"/>
  <c r="M49" i="50"/>
  <c r="M47" i="42"/>
  <c r="P30" i="25"/>
  <c r="P104" i="25" s="1"/>
  <c r="R106" i="25" s="1"/>
  <c r="N28" i="32" s="1"/>
  <c r="Q55" i="24"/>
  <c r="N40" i="50"/>
  <c r="Q18" i="25"/>
  <c r="N38" i="42"/>
  <c r="P53" i="24"/>
  <c r="N52" i="24"/>
  <c r="K530" i="65" l="1"/>
  <c r="AL520" i="65"/>
  <c r="AR520" i="65" s="1"/>
  <c r="AQ520" i="65"/>
  <c r="AL455" i="65"/>
  <c r="AR455" i="65" s="1"/>
  <c r="AQ455" i="65"/>
  <c r="AL512" i="65"/>
  <c r="AR512" i="65" s="1"/>
  <c r="AQ512" i="65"/>
  <c r="AL409" i="65"/>
  <c r="AR409" i="65" s="1"/>
  <c r="AQ409" i="65"/>
  <c r="AL404" i="65"/>
  <c r="AR404" i="65" s="1"/>
  <c r="AQ404" i="65"/>
  <c r="AL484" i="65"/>
  <c r="AR484" i="65" s="1"/>
  <c r="AQ484" i="65"/>
  <c r="AL460" i="65"/>
  <c r="AR460" i="65" s="1"/>
  <c r="AQ460" i="65"/>
  <c r="AL457" i="65"/>
  <c r="AR457" i="65" s="1"/>
  <c r="AQ457" i="65"/>
  <c r="AL407" i="65"/>
  <c r="AR407" i="65" s="1"/>
  <c r="AQ407" i="65"/>
  <c r="AL413" i="65"/>
  <c r="AR413" i="65" s="1"/>
  <c r="AQ413" i="65"/>
  <c r="AL461" i="65"/>
  <c r="AR461" i="65" s="1"/>
  <c r="AQ461" i="65"/>
  <c r="AL481" i="65"/>
  <c r="AR481" i="65" s="1"/>
  <c r="AQ481" i="65"/>
  <c r="AQ340" i="65"/>
  <c r="J527" i="65"/>
  <c r="AQ361" i="65"/>
  <c r="AL361" i="65"/>
  <c r="AR361" i="65" s="1"/>
  <c r="AL355" i="65"/>
  <c r="AR355" i="65" s="1"/>
  <c r="AQ355" i="65"/>
  <c r="AL353" i="65"/>
  <c r="AR353" i="65" s="1"/>
  <c r="AQ353" i="65"/>
  <c r="AL357" i="65"/>
  <c r="AR357" i="65" s="1"/>
  <c r="AQ357" i="65"/>
  <c r="AL346" i="65"/>
  <c r="AR346" i="65" s="1"/>
  <c r="AQ346" i="65"/>
  <c r="AL358" i="65"/>
  <c r="AR358" i="65" s="1"/>
  <c r="AQ358" i="65"/>
  <c r="AL316" i="65"/>
  <c r="AR316" i="65" s="1"/>
  <c r="AQ316" i="65"/>
  <c r="AL293" i="65"/>
  <c r="AR293" i="65" s="1"/>
  <c r="AQ293" i="65"/>
  <c r="AL374" i="65"/>
  <c r="AR374" i="65" s="1"/>
  <c r="AQ374" i="65"/>
  <c r="AL372" i="65"/>
  <c r="AR372" i="65" s="1"/>
  <c r="AQ372" i="65"/>
  <c r="AL282" i="65"/>
  <c r="AR282" i="65" s="1"/>
  <c r="AQ282" i="65"/>
  <c r="AL317" i="65"/>
  <c r="AR317" i="65" s="1"/>
  <c r="AQ317" i="65"/>
  <c r="AL345" i="65"/>
  <c r="AR345" i="65" s="1"/>
  <c r="AQ345" i="65"/>
  <c r="AL320" i="65"/>
  <c r="AR320" i="65" s="1"/>
  <c r="AQ320" i="65"/>
  <c r="AL378" i="65"/>
  <c r="AR378" i="65" s="1"/>
  <c r="AQ378" i="65"/>
  <c r="AL383" i="65"/>
  <c r="AR383" i="65" s="1"/>
  <c r="AQ383" i="65"/>
  <c r="AL312" i="65"/>
  <c r="AR312" i="65" s="1"/>
  <c r="AQ312" i="65"/>
  <c r="B486" i="40"/>
  <c r="B205" i="65"/>
  <c r="AL233" i="65"/>
  <c r="AR233" i="65" s="1"/>
  <c r="AQ233" i="65"/>
  <c r="AL239" i="65"/>
  <c r="AR239" i="65" s="1"/>
  <c r="AQ239" i="65"/>
  <c r="AL166" i="65"/>
  <c r="AR166" i="65" s="1"/>
  <c r="AQ166" i="65"/>
  <c r="AL158" i="65"/>
  <c r="AR158" i="65" s="1"/>
  <c r="AQ158" i="65"/>
  <c r="AL214" i="65"/>
  <c r="AR214" i="65" s="1"/>
  <c r="AQ214" i="65"/>
  <c r="AL218" i="65"/>
  <c r="AR218" i="65" s="1"/>
  <c r="AQ218" i="65"/>
  <c r="AL256" i="65"/>
  <c r="AR256" i="65" s="1"/>
  <c r="AQ256" i="65"/>
  <c r="AL229" i="65"/>
  <c r="AR229" i="65" s="1"/>
  <c r="AQ229" i="65"/>
  <c r="AL235" i="65"/>
  <c r="AR235" i="65" s="1"/>
  <c r="AQ235" i="65"/>
  <c r="AL243" i="65"/>
  <c r="AR243" i="65" s="1"/>
  <c r="AQ243" i="65"/>
  <c r="AL234" i="65"/>
  <c r="AR234" i="65" s="1"/>
  <c r="AQ234" i="65"/>
  <c r="AL259" i="65"/>
  <c r="AR259" i="65" s="1"/>
  <c r="AQ259" i="65"/>
  <c r="AL170" i="65"/>
  <c r="AR170" i="65" s="1"/>
  <c r="AQ170" i="65"/>
  <c r="AL165" i="65"/>
  <c r="AR165" i="65" s="1"/>
  <c r="AQ165" i="65"/>
  <c r="AL241" i="65"/>
  <c r="AR241" i="65" s="1"/>
  <c r="AQ241" i="65"/>
  <c r="Q52" i="66"/>
  <c r="M49" i="37"/>
  <c r="AK52" i="65"/>
  <c r="AK136" i="65"/>
  <c r="AQ136" i="65" s="1"/>
  <c r="AP136" i="65"/>
  <c r="AQ111" i="65"/>
  <c r="AL111" i="65"/>
  <c r="AR111" i="65" s="1"/>
  <c r="AL109" i="65"/>
  <c r="AR109" i="65" s="1"/>
  <c r="AQ109" i="65"/>
  <c r="AL97" i="65"/>
  <c r="AR97" i="65" s="1"/>
  <c r="AQ97" i="65"/>
  <c r="AL61" i="65"/>
  <c r="AR61" i="65" s="1"/>
  <c r="AQ61" i="65"/>
  <c r="AL126" i="65"/>
  <c r="AR126" i="65" s="1"/>
  <c r="AQ126" i="65"/>
  <c r="N49" i="66"/>
  <c r="N92" i="66" s="1"/>
  <c r="P94" i="66" s="1"/>
  <c r="N27" i="25"/>
  <c r="P50" i="66"/>
  <c r="P28" i="25"/>
  <c r="AL81" i="65"/>
  <c r="AR81" i="65" s="1"/>
  <c r="AQ81" i="65"/>
  <c r="AL131" i="65"/>
  <c r="AR131" i="65" s="1"/>
  <c r="AQ131" i="65"/>
  <c r="AL80" i="65"/>
  <c r="AR80" i="65" s="1"/>
  <c r="AQ80" i="65"/>
  <c r="AK127" i="65"/>
  <c r="AP127" i="65"/>
  <c r="AL76" i="65"/>
  <c r="AR76" i="65" s="1"/>
  <c r="AQ76" i="65"/>
  <c r="AL73" i="65"/>
  <c r="AR73" i="65" s="1"/>
  <c r="AQ73" i="65"/>
  <c r="AL130" i="65"/>
  <c r="AR130" i="65" s="1"/>
  <c r="AQ130" i="65"/>
  <c r="AL116" i="65"/>
  <c r="AR116" i="65" s="1"/>
  <c r="AQ116" i="65"/>
  <c r="AN52" i="65"/>
  <c r="N47" i="42"/>
  <c r="Q30" i="25"/>
  <c r="Q104" i="25" s="1"/>
  <c r="N49" i="50"/>
  <c r="O52" i="24"/>
  <c r="Q53" i="24"/>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1073" i="40"/>
  <c r="F1074" i="40"/>
  <c r="F1075" i="40"/>
  <c r="F1076" i="40"/>
  <c r="F1077" i="40"/>
  <c r="F1078" i="40"/>
  <c r="F1079" i="40"/>
  <c r="F1080" i="40"/>
  <c r="F1081" i="40"/>
  <c r="F1082" i="40"/>
  <c r="F1083" i="40"/>
  <c r="F1084" i="40"/>
  <c r="F1085" i="40"/>
  <c r="F1086" i="40"/>
  <c r="F1087" i="40"/>
  <c r="F1088" i="40"/>
  <c r="F1089" i="40"/>
  <c r="F1090" i="40"/>
  <c r="F1091" i="40"/>
  <c r="F1092" i="40"/>
  <c r="F1093" i="40"/>
  <c r="F1094" i="40"/>
  <c r="F1095" i="40"/>
  <c r="F1096" i="40"/>
  <c r="F1097" i="40"/>
  <c r="F1098" i="40"/>
  <c r="F1099" i="40"/>
  <c r="F1100" i="40"/>
  <c r="F1101" i="40"/>
  <c r="F1102" i="40"/>
  <c r="F1103" i="40"/>
  <c r="F1104" i="40"/>
  <c r="F1105" i="40"/>
  <c r="F1106" i="40"/>
  <c r="F1107" i="40"/>
  <c r="F1108" i="40"/>
  <c r="F1109" i="40"/>
  <c r="F1110" i="40"/>
  <c r="F1111" i="40"/>
  <c r="F1112" i="40"/>
  <c r="F1113" i="40"/>
  <c r="F1114" i="40"/>
  <c r="F1115" i="40"/>
  <c r="F1116" i="40"/>
  <c r="F1117" i="40"/>
  <c r="F1118" i="40"/>
  <c r="F1119" i="40"/>
  <c r="F1120" i="40"/>
  <c r="F1121" i="40"/>
  <c r="F1122" i="40"/>
  <c r="F1123" i="40"/>
  <c r="F1124" i="40"/>
  <c r="F1125" i="40"/>
  <c r="F1126" i="40"/>
  <c r="F1127" i="40"/>
  <c r="F1128" i="40"/>
  <c r="F1129" i="40"/>
  <c r="F1130" i="40"/>
  <c r="F1131" i="40"/>
  <c r="F1132" i="40"/>
  <c r="F1133" i="40"/>
  <c r="F1134" i="40"/>
  <c r="F1135" i="40"/>
  <c r="F1136" i="40"/>
  <c r="F1137" i="40"/>
  <c r="F1138" i="40"/>
  <c r="F1139" i="40"/>
  <c r="F1140" i="40"/>
  <c r="F1141" i="40"/>
  <c r="F1142" i="40"/>
  <c r="F1143" i="40"/>
  <c r="F1144" i="40"/>
  <c r="F1145" i="40"/>
  <c r="F1146" i="40"/>
  <c r="F1147" i="40"/>
  <c r="F1148" i="40"/>
  <c r="F1149" i="40"/>
  <c r="F1150" i="40"/>
  <c r="F1151" i="40"/>
  <c r="F1152" i="40"/>
  <c r="F1153" i="40"/>
  <c r="F1154" i="40"/>
  <c r="F1155" i="40"/>
  <c r="F1156" i="40"/>
  <c r="F1157" i="40"/>
  <c r="F1158" i="40"/>
  <c r="F1159" i="40"/>
  <c r="F1160" i="40"/>
  <c r="F1161" i="40"/>
  <c r="F1162" i="40"/>
  <c r="F1163" i="40"/>
  <c r="F1164" i="40"/>
  <c r="F1165" i="40"/>
  <c r="F1166" i="40"/>
  <c r="F1167" i="40"/>
  <c r="F1168" i="40"/>
  <c r="F1169" i="40"/>
  <c r="F1170" i="40"/>
  <c r="F1171" i="40"/>
  <c r="F1172" i="40"/>
  <c r="F1173" i="40"/>
  <c r="F1174" i="40"/>
  <c r="F1175" i="40"/>
  <c r="F1176" i="40"/>
  <c r="F1177" i="40"/>
  <c r="F1178" i="40"/>
  <c r="F1179" i="40"/>
  <c r="F1180" i="40"/>
  <c r="F1181" i="40"/>
  <c r="F1182" i="40"/>
  <c r="F1183" i="40"/>
  <c r="F1184" i="40"/>
  <c r="F1185" i="40"/>
  <c r="F1186" i="40"/>
  <c r="F1187" i="40"/>
  <c r="F1188" i="40"/>
  <c r="F1189" i="40"/>
  <c r="F1190" i="40"/>
  <c r="F1191" i="40"/>
  <c r="F1192" i="40"/>
  <c r="F1193" i="40"/>
  <c r="F1194" i="40"/>
  <c r="F1195" i="40"/>
  <c r="F1196" i="40"/>
  <c r="F1197" i="40"/>
  <c r="F1198" i="40"/>
  <c r="F1199" i="40"/>
  <c r="F1200" i="40"/>
  <c r="F1201" i="40"/>
  <c r="F1202" i="40"/>
  <c r="F1203" i="40"/>
  <c r="F1204" i="40"/>
  <c r="F1205" i="40"/>
  <c r="F1206" i="40"/>
  <c r="F1207" i="40"/>
  <c r="F1208" i="40"/>
  <c r="F1209" i="40"/>
  <c r="F895"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L529" i="65" l="1"/>
  <c r="M531" i="65" s="1"/>
  <c r="N27" i="32" s="1"/>
  <c r="L527" i="65"/>
  <c r="L528" i="65"/>
  <c r="K527" i="65"/>
  <c r="K528" i="65"/>
  <c r="Q28" i="25"/>
  <c r="AN132" i="50"/>
  <c r="AN130" i="50"/>
  <c r="AN128" i="50"/>
  <c r="AN126" i="50"/>
  <c r="AN124" i="50"/>
  <c r="AN122" i="50"/>
  <c r="AN120" i="50"/>
  <c r="AN118" i="50"/>
  <c r="AN116" i="50"/>
  <c r="T114" i="50"/>
  <c r="AR92" i="50"/>
  <c r="AR86" i="50"/>
  <c r="AR80" i="50"/>
  <c r="P61" i="50"/>
  <c r="Q61" i="50" s="1"/>
  <c r="B487" i="40"/>
  <c r="B206"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2" i="65"/>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2" i="66" s="1"/>
  <c r="Q94" i="66" s="1"/>
  <c r="O27" i="25"/>
  <c r="Q50" i="66"/>
  <c r="AL127" i="65"/>
  <c r="AR127" i="65" s="1"/>
  <c r="AQ127"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2" i="65"/>
  <c r="I526" i="65" s="1"/>
  <c r="P52" i="24"/>
  <c r="Q224" i="50" l="1"/>
  <c r="S224" i="50" s="1"/>
  <c r="B488" i="40"/>
  <c r="B207"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92" i="66" s="1"/>
  <c r="R94" i="66" s="1"/>
  <c r="P27" i="25"/>
  <c r="P143" i="25" s="1"/>
  <c r="P144" i="25" s="1"/>
  <c r="P146" i="25" s="1"/>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2" i="65"/>
  <c r="J526" i="65" s="1"/>
  <c r="Q52" i="24"/>
  <c r="E1195" i="40"/>
  <c r="E1196" i="40"/>
  <c r="E1197" i="40"/>
  <c r="E1198" i="40"/>
  <c r="E1199" i="40"/>
  <c r="E1200" i="40"/>
  <c r="E1201" i="40"/>
  <c r="E1202" i="40"/>
  <c r="E1203" i="40"/>
  <c r="E1204" i="40"/>
  <c r="E1205" i="40"/>
  <c r="E1206" i="40"/>
  <c r="E1207" i="40"/>
  <c r="E1208"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P145" i="25" l="1"/>
  <c r="P147" i="25" s="1"/>
  <c r="Q27" i="25"/>
  <c r="AJ115" i="50"/>
  <c r="AN61" i="50"/>
  <c r="AO61" i="50" s="1"/>
  <c r="AP61" i="50" s="1"/>
  <c r="AQ61" i="50" s="1"/>
  <c r="AR61" i="50" s="1"/>
  <c r="B489" i="40"/>
  <c r="B208" i="65"/>
  <c r="H547" i="37"/>
  <c r="H795" i="37"/>
  <c r="AI103" i="50"/>
  <c r="AI115" i="50"/>
  <c r="AH109" i="50"/>
  <c r="AZ121" i="50"/>
  <c r="AJ109" i="50"/>
  <c r="V91" i="50"/>
  <c r="AB91" i="50"/>
  <c r="Q49" i="66"/>
  <c r="AR52" i="65"/>
  <c r="L526" i="65" s="1"/>
  <c r="AQ52" i="65"/>
  <c r="K526"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R148" i="25" l="1"/>
  <c r="N24" i="32" s="1"/>
  <c r="B490" i="40"/>
  <c r="B209"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10"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1"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2"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3"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4"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5" i="65"/>
  <c r="Z784" i="37"/>
  <c r="Z743" i="37"/>
  <c r="Z744" i="37"/>
  <c r="Z796" i="37"/>
  <c r="Y627" i="37"/>
  <c r="Z782" i="37"/>
  <c r="Z791" i="37"/>
  <c r="Z740" i="37"/>
  <c r="Z736" i="37"/>
  <c r="Z753" i="37"/>
  <c r="Z716" i="37"/>
  <c r="Z751" i="37"/>
  <c r="Z747" i="37"/>
  <c r="Z728" i="37"/>
  <c r="Z745" i="37"/>
  <c r="Z741" i="37"/>
  <c r="Z663" i="37"/>
  <c r="Z732" i="37"/>
  <c r="Z679" i="37"/>
  <c r="Z731" i="37"/>
  <c r="Z582" i="37"/>
  <c r="B497" i="40" l="1"/>
  <c r="B216" i="65"/>
  <c r="Z627" i="37"/>
  <c r="B498" i="40" l="1"/>
  <c r="B217" i="65"/>
  <c r="J16" i="37"/>
  <c r="K16" i="37"/>
  <c r="L16" i="37"/>
  <c r="M16" i="37"/>
  <c r="I16" i="37"/>
  <c r="H15" i="37"/>
  <c r="G15" i="37"/>
  <c r="F28" i="37"/>
  <c r="Y867" i="37" l="1"/>
  <c r="AK867" i="37" s="1"/>
  <c r="Y866" i="37"/>
  <c r="AK866" i="37" s="1"/>
  <c r="Y869" i="37"/>
  <c r="AK869" i="37" s="1"/>
  <c r="Y868" i="37"/>
  <c r="AK868" i="37" s="1"/>
  <c r="X868" i="37"/>
  <c r="AJ868" i="37" s="1"/>
  <c r="X866" i="37"/>
  <c r="AJ866" i="37" s="1"/>
  <c r="X869" i="37"/>
  <c r="AJ869" i="37" s="1"/>
  <c r="X867" i="37"/>
  <c r="AJ867" i="37" s="1"/>
  <c r="Z867" i="37"/>
  <c r="Z868" i="37"/>
  <c r="Z869" i="37"/>
  <c r="Z866" i="37"/>
  <c r="W869" i="37"/>
  <c r="AI869" i="37" s="1"/>
  <c r="W867" i="37"/>
  <c r="AI867" i="37" s="1"/>
  <c r="W868" i="37"/>
  <c r="AI868" i="37" s="1"/>
  <c r="W866" i="37"/>
  <c r="AI866" i="37" s="1"/>
  <c r="AF868" i="37"/>
  <c r="AF866" i="37"/>
  <c r="AF869" i="37"/>
  <c r="AF867" i="37"/>
  <c r="AG869" i="37"/>
  <c r="AG866" i="37"/>
  <c r="AG867" i="37"/>
  <c r="AG868" i="37"/>
  <c r="AA867" i="37"/>
  <c r="AM867" i="37" s="1"/>
  <c r="AA866" i="37"/>
  <c r="AM866" i="37" s="1"/>
  <c r="AA868" i="37"/>
  <c r="AM868" i="37" s="1"/>
  <c r="AA869" i="37"/>
  <c r="X860" i="37"/>
  <c r="AJ860" i="37" s="1"/>
  <c r="X859" i="37"/>
  <c r="AJ859" i="37" s="1"/>
  <c r="X855" i="37"/>
  <c r="AJ855" i="37" s="1"/>
  <c r="X862" i="37"/>
  <c r="AJ862" i="37" s="1"/>
  <c r="X861" i="37"/>
  <c r="AJ861" i="37" s="1"/>
  <c r="X857" i="37"/>
  <c r="AJ857" i="37" s="1"/>
  <c r="X856" i="37"/>
  <c r="AJ856" i="37" s="1"/>
  <c r="X864" i="37"/>
  <c r="AJ864" i="37" s="1"/>
  <c r="X854" i="37"/>
  <c r="AJ854" i="37" s="1"/>
  <c r="X863" i="37"/>
  <c r="AJ863" i="37" s="1"/>
  <c r="X865" i="37"/>
  <c r="AJ865" i="37" s="1"/>
  <c r="X858" i="37"/>
  <c r="AJ858" i="37" s="1"/>
  <c r="Y864" i="37"/>
  <c r="AK864" i="37" s="1"/>
  <c r="Y858" i="37"/>
  <c r="AK858" i="37" s="1"/>
  <c r="Y854" i="37"/>
  <c r="AK854" i="37" s="1"/>
  <c r="Y856" i="37"/>
  <c r="AK856" i="37" s="1"/>
  <c r="Y865" i="37"/>
  <c r="AK865" i="37" s="1"/>
  <c r="Y863" i="37"/>
  <c r="AK863" i="37" s="1"/>
  <c r="Y860" i="37"/>
  <c r="AK860" i="37" s="1"/>
  <c r="Y862" i="37"/>
  <c r="AK862" i="37" s="1"/>
  <c r="Y857" i="37"/>
  <c r="AK857" i="37" s="1"/>
  <c r="Y855" i="37"/>
  <c r="AK855" i="37" s="1"/>
  <c r="Y859" i="37"/>
  <c r="AK859" i="37" s="1"/>
  <c r="Y861" i="37"/>
  <c r="AK861" i="37" s="1"/>
  <c r="W855" i="37"/>
  <c r="AI855" i="37" s="1"/>
  <c r="W863" i="37"/>
  <c r="AI863" i="37" s="1"/>
  <c r="W859" i="37"/>
  <c r="AI859" i="37" s="1"/>
  <c r="W858" i="37"/>
  <c r="AI858" i="37" s="1"/>
  <c r="W861" i="37"/>
  <c r="AI861" i="37" s="1"/>
  <c r="W854" i="37"/>
  <c r="AI854" i="37" s="1"/>
  <c r="W860" i="37"/>
  <c r="AI860" i="37" s="1"/>
  <c r="W857" i="37"/>
  <c r="AI857" i="37" s="1"/>
  <c r="W865" i="37"/>
  <c r="AI865" i="37" s="1"/>
  <c r="W862" i="37"/>
  <c r="AI862" i="37" s="1"/>
  <c r="W864" i="37"/>
  <c r="AI864" i="37" s="1"/>
  <c r="W856" i="37"/>
  <c r="AI856" i="37" s="1"/>
  <c r="AF859" i="37"/>
  <c r="AF861" i="37"/>
  <c r="AF860" i="37"/>
  <c r="AF855" i="37"/>
  <c r="AF862" i="37"/>
  <c r="AF854" i="37"/>
  <c r="AF863" i="37"/>
  <c r="AF857" i="37"/>
  <c r="AF856" i="37"/>
  <c r="AF865" i="37"/>
  <c r="AF864" i="37"/>
  <c r="AF858" i="37"/>
  <c r="AG865" i="37"/>
  <c r="AG861" i="37"/>
  <c r="AG860" i="37"/>
  <c r="AG854" i="37"/>
  <c r="AG863" i="37"/>
  <c r="AG859" i="37"/>
  <c r="AG864" i="37"/>
  <c r="AG855" i="37"/>
  <c r="AG862" i="37"/>
  <c r="AG857" i="37"/>
  <c r="AG858" i="37"/>
  <c r="AG856" i="37"/>
  <c r="AA861" i="37"/>
  <c r="AA865" i="37"/>
  <c r="AA863" i="37"/>
  <c r="AA857" i="37"/>
  <c r="AA864" i="37"/>
  <c r="AA862" i="37"/>
  <c r="AA856" i="37"/>
  <c r="AA860" i="37"/>
  <c r="AA854" i="37"/>
  <c r="AA858" i="37"/>
  <c r="AA859" i="37"/>
  <c r="AA855" i="37"/>
  <c r="AM855" i="37" s="1"/>
  <c r="Z858" i="37"/>
  <c r="Z862" i="37"/>
  <c r="Z860" i="37"/>
  <c r="AL860" i="37" s="1"/>
  <c r="Z855" i="37"/>
  <c r="AL855" i="37" s="1"/>
  <c r="Z856" i="37"/>
  <c r="AL856" i="37" s="1"/>
  <c r="Z863" i="37"/>
  <c r="Z864" i="37"/>
  <c r="AL864" i="37" s="1"/>
  <c r="Z861" i="37"/>
  <c r="Z865" i="37"/>
  <c r="AL865" i="37" s="1"/>
  <c r="Z854" i="37"/>
  <c r="AL854" i="37" s="1"/>
  <c r="Z857" i="37"/>
  <c r="Z859" i="37"/>
  <c r="AD839" i="37"/>
  <c r="AC839" i="37"/>
  <c r="AE839" i="37"/>
  <c r="W842" i="37"/>
  <c r="W846" i="37"/>
  <c r="W850" i="37"/>
  <c r="W853" i="37"/>
  <c r="W848" i="37"/>
  <c r="W843" i="37"/>
  <c r="W849" i="37"/>
  <c r="W844" i="37"/>
  <c r="W839" i="37"/>
  <c r="W838" i="37"/>
  <c r="W852" i="37"/>
  <c r="W845" i="37"/>
  <c r="W837" i="37"/>
  <c r="W840" i="37"/>
  <c r="W836" i="37"/>
  <c r="W851" i="37"/>
  <c r="W841" i="37"/>
  <c r="W847" i="37"/>
  <c r="X845" i="37"/>
  <c r="X849" i="37"/>
  <c r="X836" i="37"/>
  <c r="X853" i="37"/>
  <c r="X841" i="37"/>
  <c r="X840" i="37"/>
  <c r="X851" i="37"/>
  <c r="X846" i="37"/>
  <c r="X838" i="37"/>
  <c r="X852" i="37"/>
  <c r="X847" i="37"/>
  <c r="X842" i="37"/>
  <c r="X839" i="37"/>
  <c r="X850" i="37"/>
  <c r="X837" i="37"/>
  <c r="X848" i="37"/>
  <c r="X843" i="37"/>
  <c r="X844" i="37"/>
  <c r="AC836" i="37"/>
  <c r="AG836" i="37"/>
  <c r="AF837" i="37"/>
  <c r="AE838" i="37"/>
  <c r="AC840" i="37"/>
  <c r="AG840" i="37"/>
  <c r="AF841" i="37"/>
  <c r="AE842" i="37"/>
  <c r="AD843" i="37"/>
  <c r="AC844" i="37"/>
  <c r="AG844" i="37"/>
  <c r="AF845" i="37"/>
  <c r="AE846" i="37"/>
  <c r="AD847" i="37"/>
  <c r="AC848" i="37"/>
  <c r="AG848" i="37"/>
  <c r="AF849" i="37"/>
  <c r="AE850" i="37"/>
  <c r="AD851" i="37"/>
  <c r="AC852" i="37"/>
  <c r="AG852" i="37"/>
  <c r="AF853" i="37"/>
  <c r="AE837" i="37"/>
  <c r="AF840" i="37"/>
  <c r="AD842" i="37"/>
  <c r="AF844" i="37"/>
  <c r="AC847" i="37"/>
  <c r="AE849" i="37"/>
  <c r="AG851" i="37"/>
  <c r="AD836" i="37"/>
  <c r="AC837" i="37"/>
  <c r="AG837" i="37"/>
  <c r="AF838" i="37"/>
  <c r="AD840" i="37"/>
  <c r="AC841" i="37"/>
  <c r="AG841" i="37"/>
  <c r="AF842" i="37"/>
  <c r="AE843" i="37"/>
  <c r="AD844" i="37"/>
  <c r="AC845" i="37"/>
  <c r="AG845" i="37"/>
  <c r="AF846" i="37"/>
  <c r="AE847" i="37"/>
  <c r="AD848" i="37"/>
  <c r="AC849" i="37"/>
  <c r="AG849" i="37"/>
  <c r="AF850" i="37"/>
  <c r="AE851" i="37"/>
  <c r="AD852" i="37"/>
  <c r="AC853" i="37"/>
  <c r="AG853" i="37"/>
  <c r="AF836" i="37"/>
  <c r="AE841" i="37"/>
  <c r="AC843" i="37"/>
  <c r="AE845" i="37"/>
  <c r="AG847" i="37"/>
  <c r="AD850" i="37"/>
  <c r="AF852" i="37"/>
  <c r="AE836" i="37"/>
  <c r="AD837" i="37"/>
  <c r="AC838" i="37"/>
  <c r="AG838" i="37"/>
  <c r="AE840" i="37"/>
  <c r="AD841" i="37"/>
  <c r="AC842" i="37"/>
  <c r="AG842" i="37"/>
  <c r="AF843" i="37"/>
  <c r="AE844" i="37"/>
  <c r="AD845" i="37"/>
  <c r="AC846" i="37"/>
  <c r="AG846" i="37"/>
  <c r="AF847" i="37"/>
  <c r="AE848" i="37"/>
  <c r="AD849" i="37"/>
  <c r="AC850" i="37"/>
  <c r="AG850" i="37"/>
  <c r="AF851" i="37"/>
  <c r="AE852" i="37"/>
  <c r="AD853" i="37"/>
  <c r="AD838" i="37"/>
  <c r="AG843" i="37"/>
  <c r="AD846" i="37"/>
  <c r="AF848" i="37"/>
  <c r="AC851" i="37"/>
  <c r="AE853" i="37"/>
  <c r="AF839" i="37"/>
  <c r="AG839" i="37"/>
  <c r="AA842" i="37"/>
  <c r="AA850" i="37"/>
  <c r="AA846" i="37"/>
  <c r="AA849" i="37"/>
  <c r="AA844" i="37"/>
  <c r="AM844" i="37" s="1"/>
  <c r="AA848" i="37"/>
  <c r="AA837" i="37"/>
  <c r="AA845" i="37"/>
  <c r="AA840" i="37"/>
  <c r="AA836" i="37"/>
  <c r="AA851" i="37"/>
  <c r="AA843" i="37"/>
  <c r="AA841" i="37"/>
  <c r="AM841" i="37" s="1"/>
  <c r="AA852" i="37"/>
  <c r="AM852" i="37" s="1"/>
  <c r="AA847" i="37"/>
  <c r="AA853" i="37"/>
  <c r="AM853" i="37" s="1"/>
  <c r="AA838" i="37"/>
  <c r="AA839" i="37"/>
  <c r="Y848" i="37"/>
  <c r="Y844" i="37"/>
  <c r="Y852" i="37"/>
  <c r="Y840" i="37"/>
  <c r="Y843" i="37"/>
  <c r="AK843" i="37" s="1"/>
  <c r="Y836" i="37"/>
  <c r="AK836" i="37" s="1"/>
  <c r="Y849" i="37"/>
  <c r="AK849" i="37" s="1"/>
  <c r="Y838" i="37"/>
  <c r="Y839" i="37"/>
  <c r="Y850" i="37"/>
  <c r="Y845" i="37"/>
  <c r="AK845" i="37" s="1"/>
  <c r="Y851" i="37"/>
  <c r="Y846" i="37"/>
  <c r="Y841" i="37"/>
  <c r="Y837" i="37"/>
  <c r="AK837" i="37" s="1"/>
  <c r="Y847" i="37"/>
  <c r="Y842" i="37"/>
  <c r="Y853" i="37"/>
  <c r="Z851" i="37"/>
  <c r="Z847" i="37"/>
  <c r="Z843" i="37"/>
  <c r="Z839" i="37"/>
  <c r="Z846" i="37"/>
  <c r="Z841" i="37"/>
  <c r="Z837" i="37"/>
  <c r="Z852" i="37"/>
  <c r="Z842" i="37"/>
  <c r="Z853" i="37"/>
  <c r="Z848" i="37"/>
  <c r="Z850" i="37"/>
  <c r="AL850" i="37" s="1"/>
  <c r="Z845" i="37"/>
  <c r="AL845" i="37" s="1"/>
  <c r="Z836" i="37"/>
  <c r="Z849" i="37"/>
  <c r="Z844" i="37"/>
  <c r="Z838" i="37"/>
  <c r="Z840" i="37"/>
  <c r="Y834" i="37"/>
  <c r="Y822" i="37"/>
  <c r="Y828" i="37"/>
  <c r="Y832" i="37"/>
  <c r="Y830" i="37"/>
  <c r="Y826" i="37"/>
  <c r="Y821" i="37"/>
  <c r="Y833" i="37"/>
  <c r="Y824" i="37"/>
  <c r="Y825" i="37"/>
  <c r="Y829" i="37"/>
  <c r="Y823" i="37"/>
  <c r="Y831" i="37"/>
  <c r="Y835" i="37"/>
  <c r="Y827" i="37"/>
  <c r="W833" i="37"/>
  <c r="AI833" i="37" s="1"/>
  <c r="W831" i="37"/>
  <c r="AI831" i="37" s="1"/>
  <c r="W829" i="37"/>
  <c r="AI829" i="37" s="1"/>
  <c r="W834" i="37"/>
  <c r="AI834" i="37" s="1"/>
  <c r="W827" i="37"/>
  <c r="AI827" i="37" s="1"/>
  <c r="W824" i="37"/>
  <c r="AI824" i="37" s="1"/>
  <c r="W835" i="37"/>
  <c r="AI835" i="37" s="1"/>
  <c r="W830" i="37"/>
  <c r="AI830" i="37" s="1"/>
  <c r="W823" i="37"/>
  <c r="AI823" i="37" s="1"/>
  <c r="W832" i="37"/>
  <c r="AI832" i="37" s="1"/>
  <c r="W822" i="37"/>
  <c r="AI822" i="37" s="1"/>
  <c r="W828" i="37"/>
  <c r="AI828" i="37" s="1"/>
  <c r="W821" i="37"/>
  <c r="AI821" i="37" s="1"/>
  <c r="W825" i="37"/>
  <c r="AI825" i="37" s="1"/>
  <c r="W826" i="37"/>
  <c r="AI826" i="37" s="1"/>
  <c r="X833" i="37"/>
  <c r="AJ833" i="37" s="1"/>
  <c r="X824" i="37"/>
  <c r="AJ824" i="37" s="1"/>
  <c r="X831" i="37"/>
  <c r="AJ831" i="37" s="1"/>
  <c r="X828" i="37"/>
  <c r="AJ828" i="37" s="1"/>
  <c r="X834" i="37"/>
  <c r="AJ834" i="37" s="1"/>
  <c r="X832" i="37"/>
  <c r="AJ832" i="37" s="1"/>
  <c r="X826" i="37"/>
  <c r="AJ826" i="37" s="1"/>
  <c r="X825" i="37"/>
  <c r="AJ825" i="37" s="1"/>
  <c r="X823" i="37"/>
  <c r="AJ823" i="37" s="1"/>
  <c r="X827" i="37"/>
  <c r="AJ827" i="37" s="1"/>
  <c r="X821" i="37"/>
  <c r="AJ821" i="37" s="1"/>
  <c r="X830" i="37"/>
  <c r="AJ830" i="37" s="1"/>
  <c r="X835" i="37"/>
  <c r="AJ835" i="37" s="1"/>
  <c r="X829" i="37"/>
  <c r="AJ829" i="37" s="1"/>
  <c r="X822" i="37"/>
  <c r="AJ822" i="37" s="1"/>
  <c r="AE833" i="37"/>
  <c r="AE821" i="37"/>
  <c r="AE828" i="37"/>
  <c r="AE831" i="37"/>
  <c r="AE824" i="37"/>
  <c r="AE826" i="37"/>
  <c r="AE829" i="37"/>
  <c r="AE823" i="37"/>
  <c r="AE825" i="37"/>
  <c r="AE822" i="37"/>
  <c r="AE830" i="37"/>
  <c r="AE835" i="37"/>
  <c r="AE827" i="37"/>
  <c r="AE834" i="37"/>
  <c r="AE832" i="37"/>
  <c r="AF821" i="37"/>
  <c r="AF835" i="37"/>
  <c r="AF830" i="37"/>
  <c r="AF827" i="37"/>
  <c r="AF829" i="37"/>
  <c r="AF825" i="37"/>
  <c r="AF823" i="37"/>
  <c r="AF828" i="37"/>
  <c r="AF834" i="37"/>
  <c r="AF833" i="37"/>
  <c r="AF831" i="37"/>
  <c r="AF832" i="37"/>
  <c r="AF826" i="37"/>
  <c r="AF824" i="37"/>
  <c r="AF822" i="37"/>
  <c r="AG833" i="37"/>
  <c r="AG821" i="37"/>
  <c r="AG822" i="37"/>
  <c r="AG824" i="37"/>
  <c r="AG828" i="37"/>
  <c r="AG825" i="37"/>
  <c r="AG830" i="37"/>
  <c r="AG831" i="37"/>
  <c r="AG834" i="37"/>
  <c r="AG835" i="37"/>
  <c r="AG829" i="37"/>
  <c r="AG827" i="37"/>
  <c r="AG832" i="37"/>
  <c r="AG826" i="37"/>
  <c r="AG823" i="37"/>
  <c r="AA822" i="37"/>
  <c r="AA832" i="37"/>
  <c r="AA834" i="37"/>
  <c r="AA828" i="37"/>
  <c r="AA830" i="37"/>
  <c r="AA826" i="37"/>
  <c r="AA823" i="37"/>
  <c r="AA827" i="37"/>
  <c r="AA835" i="37"/>
  <c r="AA833" i="37"/>
  <c r="AA829" i="37"/>
  <c r="AA831" i="37"/>
  <c r="AA825" i="37"/>
  <c r="AA821" i="37"/>
  <c r="AA824" i="37"/>
  <c r="Z832" i="37"/>
  <c r="Z834" i="37"/>
  <c r="Z830" i="37"/>
  <c r="Z828" i="37"/>
  <c r="Z822" i="37"/>
  <c r="Z826" i="37"/>
  <c r="Z824" i="37"/>
  <c r="Z827" i="37"/>
  <c r="Z833" i="37"/>
  <c r="AL833" i="37" s="1"/>
  <c r="Z835" i="37"/>
  <c r="Z829" i="37"/>
  <c r="Z823" i="37"/>
  <c r="Z821" i="37"/>
  <c r="Z831" i="37"/>
  <c r="AL831" i="37" s="1"/>
  <c r="Z825" i="37"/>
  <c r="X820" i="37"/>
  <c r="AD819" i="37"/>
  <c r="Z820" i="37"/>
  <c r="B499" i="40"/>
  <c r="B218"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A817" i="37"/>
  <c r="AA811" i="37"/>
  <c r="AA820" i="37"/>
  <c r="AM820" i="37" s="1"/>
  <c r="AA819" i="37"/>
  <c r="AM819" i="37" s="1"/>
  <c r="AA810" i="37"/>
  <c r="AA812" i="37"/>
  <c r="AA814" i="37"/>
  <c r="AA816" i="37"/>
  <c r="Z805" i="37"/>
  <c r="Z806" i="37"/>
  <c r="Z808" i="37"/>
  <c r="Z804" i="37"/>
  <c r="Z818" i="37"/>
  <c r="Z813" i="37"/>
  <c r="Z807" i="37"/>
  <c r="Z809" i="37"/>
  <c r="Z815" i="37"/>
  <c r="Z817" i="37"/>
  <c r="Z819" i="37"/>
  <c r="Z811" i="37"/>
  <c r="Z812" i="37"/>
  <c r="Z810" i="37"/>
  <c r="Z816" i="37"/>
  <c r="Z814" i="37"/>
  <c r="Y815" i="37"/>
  <c r="Y804" i="37"/>
  <c r="Y805" i="37"/>
  <c r="Y819" i="37"/>
  <c r="Y808" i="37"/>
  <c r="Y813" i="37"/>
  <c r="Y807" i="37"/>
  <c r="Y818" i="37"/>
  <c r="Y817" i="37"/>
  <c r="Y812" i="37"/>
  <c r="Y810" i="37"/>
  <c r="Y820" i="37"/>
  <c r="AK820" i="37" s="1"/>
  <c r="Y814" i="37"/>
  <c r="Y811" i="37"/>
  <c r="Y816" i="37"/>
  <c r="Y806" i="37"/>
  <c r="Y809" i="37"/>
  <c r="W803" i="37"/>
  <c r="W817" i="37"/>
  <c r="AI817" i="37" s="1"/>
  <c r="W805" i="37"/>
  <c r="W809" i="37"/>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W810" i="37"/>
  <c r="X817" i="37"/>
  <c r="X816" i="37"/>
  <c r="AJ816" i="37" s="1"/>
  <c r="X819" i="37"/>
  <c r="X815" i="37"/>
  <c r="X813" i="37"/>
  <c r="X814" i="37"/>
  <c r="X818" i="37"/>
  <c r="X812" i="37"/>
  <c r="X804" i="37"/>
  <c r="X808" i="37"/>
  <c r="X811" i="37"/>
  <c r="X806" i="37"/>
  <c r="X805" i="37"/>
  <c r="X807" i="37"/>
  <c r="X809" i="37"/>
  <c r="X810" i="37"/>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L861" i="37" l="1"/>
  <c r="AM861" i="37"/>
  <c r="AM859" i="37"/>
  <c r="L880" i="37"/>
  <c r="AI804" i="37"/>
  <c r="AK813" i="37"/>
  <c r="AL853" i="37"/>
  <c r="AM836" i="37"/>
  <c r="AL859" i="37"/>
  <c r="AM860" i="37"/>
  <c r="AM857" i="37"/>
  <c r="AM869" i="37"/>
  <c r="AL866" i="37"/>
  <c r="AL834" i="37"/>
  <c r="AL846" i="37"/>
  <c r="AM838" i="37"/>
  <c r="AM840" i="37"/>
  <c r="AM863" i="37"/>
  <c r="AL869" i="37"/>
  <c r="AL844" i="37"/>
  <c r="AK850" i="37"/>
  <c r="AJ839" i="37"/>
  <c r="AL863" i="37"/>
  <c r="AL862" i="37"/>
  <c r="AM858" i="37"/>
  <c r="AM862" i="37"/>
  <c r="AM865" i="37"/>
  <c r="AL868" i="37"/>
  <c r="AL867" i="37"/>
  <c r="AL857" i="37"/>
  <c r="AM856" i="37"/>
  <c r="M880" i="37" s="1"/>
  <c r="AL858" i="37"/>
  <c r="AM854" i="37"/>
  <c r="AM864" i="37"/>
  <c r="AL826" i="37"/>
  <c r="AL852" i="37"/>
  <c r="AM849" i="37"/>
  <c r="AK852" i="37"/>
  <c r="AM842" i="37"/>
  <c r="AL839" i="37"/>
  <c r="AL835" i="37"/>
  <c r="AK853" i="37"/>
  <c r="AK841" i="37"/>
  <c r="AM843" i="37"/>
  <c r="AM845" i="37"/>
  <c r="AL838" i="37"/>
  <c r="AL842" i="37"/>
  <c r="AL851" i="37"/>
  <c r="AL849" i="37"/>
  <c r="AK846" i="37"/>
  <c r="AK839" i="37"/>
  <c r="AK848" i="37"/>
  <c r="AM851" i="37"/>
  <c r="AI839" i="37"/>
  <c r="AJ840" i="37"/>
  <c r="AI844" i="37"/>
  <c r="AL848" i="37"/>
  <c r="AL837" i="37"/>
  <c r="AL843" i="37"/>
  <c r="AM846" i="37"/>
  <c r="AL841" i="37"/>
  <c r="AK847" i="37"/>
  <c r="AK840" i="37"/>
  <c r="AJ844" i="37"/>
  <c r="AJ850" i="37"/>
  <c r="AJ852" i="37"/>
  <c r="AJ849" i="37"/>
  <c r="AI853" i="37"/>
  <c r="AI851" i="37"/>
  <c r="AI845" i="37"/>
  <c r="AK844" i="37"/>
  <c r="AJ843" i="37"/>
  <c r="AJ838" i="37"/>
  <c r="AJ841" i="37"/>
  <c r="AJ845" i="37"/>
  <c r="AI836" i="37"/>
  <c r="AI852" i="37"/>
  <c r="AI849" i="37"/>
  <c r="AI850" i="37"/>
  <c r="AK842" i="37"/>
  <c r="AM847" i="37"/>
  <c r="AM837" i="37"/>
  <c r="AJ848" i="37"/>
  <c r="AJ842" i="37"/>
  <c r="AJ846" i="37"/>
  <c r="AJ853" i="37"/>
  <c r="AI847" i="37"/>
  <c r="AI840" i="37"/>
  <c r="AI838" i="37"/>
  <c r="AI843" i="37"/>
  <c r="AI846" i="37"/>
  <c r="AL825" i="37"/>
  <c r="AL829" i="37"/>
  <c r="AL830" i="37"/>
  <c r="AL840" i="37"/>
  <c r="AL836" i="37"/>
  <c r="AL847" i="37"/>
  <c r="AK851" i="37"/>
  <c r="AK838" i="37"/>
  <c r="AM839" i="37"/>
  <c r="AM848" i="37"/>
  <c r="AM850" i="37"/>
  <c r="AJ837" i="37"/>
  <c r="AJ847" i="37"/>
  <c r="AJ851" i="37"/>
  <c r="AJ836" i="37"/>
  <c r="AI841" i="37"/>
  <c r="AI837" i="37"/>
  <c r="AI848" i="37"/>
  <c r="AI842" i="37"/>
  <c r="AL821" i="37"/>
  <c r="AK811" i="37"/>
  <c r="AK812" i="37"/>
  <c r="AM834" i="37"/>
  <c r="AM813" i="37"/>
  <c r="AM823" i="37"/>
  <c r="AL811" i="37"/>
  <c r="AL822" i="37"/>
  <c r="AL809" i="37"/>
  <c r="AJ810" i="37"/>
  <c r="AL823" i="37"/>
  <c r="AM829" i="37"/>
  <c r="AL824" i="37"/>
  <c r="AM832" i="37"/>
  <c r="AM828" i="37"/>
  <c r="AK823" i="37"/>
  <c r="AK833" i="37"/>
  <c r="AK832" i="37"/>
  <c r="AM833" i="37"/>
  <c r="AI809" i="37"/>
  <c r="AL812" i="37"/>
  <c r="AM827" i="37"/>
  <c r="AM831" i="37"/>
  <c r="AM824" i="37"/>
  <c r="AK827" i="37"/>
  <c r="AK829" i="37"/>
  <c r="AK821" i="37"/>
  <c r="AK828" i="37"/>
  <c r="AJ804" i="37"/>
  <c r="AL832" i="37"/>
  <c r="AM830" i="37"/>
  <c r="AM822" i="37"/>
  <c r="AK835" i="37"/>
  <c r="AK825" i="37"/>
  <c r="AK826" i="37"/>
  <c r="AK822" i="37"/>
  <c r="AL827" i="37"/>
  <c r="AL828" i="37"/>
  <c r="AM826" i="37"/>
  <c r="AM835" i="37"/>
  <c r="AM825" i="37"/>
  <c r="AM821" i="37"/>
  <c r="AK831" i="37"/>
  <c r="AK824" i="37"/>
  <c r="AK830" i="37"/>
  <c r="AK834" i="37"/>
  <c r="AJ820" i="37"/>
  <c r="AK814" i="37"/>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9"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N881" i="37" l="1"/>
  <c r="N34" i="32" s="1"/>
  <c r="J877" i="37"/>
  <c r="K878" i="37"/>
  <c r="M878" i="37"/>
  <c r="L879" i="37"/>
  <c r="L877" i="37"/>
  <c r="M877" i="37"/>
  <c r="J878" i="37"/>
  <c r="L878" i="37"/>
  <c r="K879" i="37"/>
  <c r="I877" i="37"/>
  <c r="K877" i="37"/>
  <c r="M879" i="37"/>
  <c r="B501" i="40"/>
  <c r="B220"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B502" i="40" l="1"/>
  <c r="B221"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1054" i="40"/>
  <c r="E1055" i="40"/>
  <c r="E1056" i="40"/>
  <c r="E1057" i="40"/>
  <c r="E1058" i="40"/>
  <c r="E1059" i="40"/>
  <c r="E1060" i="40"/>
  <c r="E1061" i="40"/>
  <c r="E1062" i="40"/>
  <c r="E1063" i="40"/>
  <c r="E1064" i="40"/>
  <c r="E1065" i="40"/>
  <c r="E1066" i="40"/>
  <c r="E1067" i="40"/>
  <c r="E1068" i="40"/>
  <c r="E1069" i="40"/>
  <c r="E1070" i="40"/>
  <c r="E1071" i="40"/>
  <c r="E1072" i="40"/>
  <c r="E1073" i="40"/>
  <c r="E1074" i="40"/>
  <c r="E1075" i="40"/>
  <c r="E1076" i="40"/>
  <c r="E1077" i="40"/>
  <c r="E1078" i="40"/>
  <c r="E1079" i="40"/>
  <c r="E1080" i="40"/>
  <c r="E1081" i="40"/>
  <c r="E1082" i="40"/>
  <c r="E1083" i="40"/>
  <c r="E1084" i="40"/>
  <c r="E1085" i="40"/>
  <c r="E1086" i="40"/>
  <c r="E1087" i="40"/>
  <c r="E1088" i="40"/>
  <c r="E1089" i="40"/>
  <c r="E1090" i="40"/>
  <c r="E1091" i="40"/>
  <c r="E1092" i="40"/>
  <c r="E1093" i="40"/>
  <c r="E1094" i="40"/>
  <c r="E1095" i="40"/>
  <c r="E1096" i="40"/>
  <c r="E1097" i="40"/>
  <c r="E1098" i="40"/>
  <c r="E1099" i="40"/>
  <c r="E1100" i="40"/>
  <c r="E1101" i="40"/>
  <c r="E1102" i="40"/>
  <c r="E1103" i="40"/>
  <c r="E1104" i="40"/>
  <c r="E1105" i="40"/>
  <c r="E1106" i="40"/>
  <c r="E1107" i="40"/>
  <c r="E1108" i="40"/>
  <c r="E1109" i="40"/>
  <c r="E1110" i="40"/>
  <c r="E1111" i="40"/>
  <c r="E1112" i="40"/>
  <c r="E1113" i="40"/>
  <c r="E1114" i="40"/>
  <c r="E1115" i="40"/>
  <c r="E1116" i="40"/>
  <c r="E1117" i="40"/>
  <c r="E1118" i="40"/>
  <c r="E1119" i="40"/>
  <c r="E1120" i="40"/>
  <c r="E1121" i="40"/>
  <c r="E1122" i="40"/>
  <c r="E1123" i="40"/>
  <c r="E1124" i="40"/>
  <c r="E1125" i="40"/>
  <c r="E1126" i="40"/>
  <c r="E1127" i="40"/>
  <c r="E1128" i="40"/>
  <c r="E1129" i="40"/>
  <c r="E1130" i="40"/>
  <c r="E1131" i="40"/>
  <c r="E1132" i="40"/>
  <c r="E1133" i="40"/>
  <c r="E1134" i="40"/>
  <c r="E1135" i="40"/>
  <c r="E1136" i="40"/>
  <c r="E1137" i="40"/>
  <c r="E1138" i="40"/>
  <c r="E1139" i="40"/>
  <c r="E1140" i="40"/>
  <c r="E1141" i="40"/>
  <c r="E1142" i="40"/>
  <c r="E1143" i="40"/>
  <c r="E1144" i="40"/>
  <c r="E1145" i="40"/>
  <c r="E1146" i="40"/>
  <c r="E1147" i="40"/>
  <c r="E1148" i="40"/>
  <c r="E1149" i="40"/>
  <c r="E1150" i="40"/>
  <c r="E1151" i="40"/>
  <c r="E1152" i="40"/>
  <c r="E1153" i="40"/>
  <c r="E1154" i="40"/>
  <c r="E1155" i="40"/>
  <c r="E1156" i="40"/>
  <c r="E1157" i="40"/>
  <c r="E1158" i="40"/>
  <c r="E1159" i="40"/>
  <c r="E1160" i="40"/>
  <c r="E1161" i="40"/>
  <c r="E1162" i="40"/>
  <c r="E1163" i="40"/>
  <c r="E1164" i="40"/>
  <c r="E1165" i="40"/>
  <c r="E1166" i="40"/>
  <c r="E1167" i="40"/>
  <c r="E1168" i="40"/>
  <c r="E1169" i="40"/>
  <c r="E1170" i="40"/>
  <c r="E1171" i="40"/>
  <c r="E1172" i="40"/>
  <c r="E1173" i="40"/>
  <c r="E1174" i="40"/>
  <c r="E1175" i="40"/>
  <c r="E1176" i="40"/>
  <c r="E1177" i="40"/>
  <c r="E1178" i="40"/>
  <c r="E1179" i="40"/>
  <c r="E1180" i="40"/>
  <c r="E1181" i="40"/>
  <c r="E1182" i="40"/>
  <c r="E1183" i="40"/>
  <c r="E1184" i="40"/>
  <c r="E1185" i="40"/>
  <c r="E1186" i="40"/>
  <c r="E1187" i="40"/>
  <c r="E1188" i="40"/>
  <c r="E1189" i="40"/>
  <c r="E1190" i="40"/>
  <c r="E1191" i="40"/>
  <c r="E1192" i="40"/>
  <c r="E1193" i="40"/>
  <c r="E1194" i="40"/>
  <c r="E1046" i="40"/>
  <c r="E1047" i="40"/>
  <c r="E1048" i="40"/>
  <c r="E1049" i="40"/>
  <c r="E1050" i="40"/>
  <c r="E1051" i="40"/>
  <c r="E1052" i="40"/>
  <c r="E1053" i="40"/>
  <c r="E1039" i="40"/>
  <c r="E1040" i="40"/>
  <c r="E1041" i="40"/>
  <c r="E1042" i="40"/>
  <c r="E1043" i="40"/>
  <c r="E1044" i="40"/>
  <c r="E1045"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36" i="40"/>
  <c r="E1037" i="40"/>
  <c r="E1038" i="40"/>
  <c r="E1014" i="40"/>
  <c r="E1013" i="40"/>
  <c r="H876" i="37" l="1"/>
  <c r="H875" i="37" s="1"/>
  <c r="B503" i="40"/>
  <c r="B222" i="65"/>
  <c r="X555" i="37"/>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74" i="37" l="1"/>
  <c r="B504" i="40"/>
  <c r="B223" i="65"/>
  <c r="AD555" i="37"/>
  <c r="K874" i="37" s="1"/>
  <c r="I874" i="37"/>
  <c r="AF307" i="37"/>
  <c r="O137" i="25" s="1"/>
  <c r="N137" i="25"/>
  <c r="Y555" i="37"/>
  <c r="M137" i="25"/>
  <c r="J874" i="37"/>
  <c r="AM308" i="37"/>
  <c r="AH525" i="37"/>
  <c r="AN525" i="37" s="1"/>
  <c r="AM525" i="37"/>
  <c r="AK307" i="37"/>
  <c r="AG307" i="37"/>
  <c r="AL308" i="37"/>
  <c r="AG542" i="37"/>
  <c r="AL542" i="37"/>
  <c r="AJ308" i="37"/>
  <c r="I873" i="37" s="1"/>
  <c r="AK308" i="37"/>
  <c r="AG317" i="37"/>
  <c r="AL317" i="37"/>
  <c r="AH489" i="37"/>
  <c r="AN489" i="37" s="1"/>
  <c r="AH521" i="37"/>
  <c r="AN521" i="37" s="1"/>
  <c r="B86" i="10"/>
  <c r="B87" i="10" s="1"/>
  <c r="B92" i="10" s="1"/>
  <c r="AL307" i="37" l="1"/>
  <c r="B505" i="40"/>
  <c r="B224" i="65"/>
  <c r="AE555" i="37"/>
  <c r="L874" i="37" s="1"/>
  <c r="P137" i="25"/>
  <c r="AH307" i="37"/>
  <c r="AM307" i="37"/>
  <c r="AH542" i="37"/>
  <c r="AN542" i="37" s="1"/>
  <c r="AM542" i="37"/>
  <c r="AH317" i="37"/>
  <c r="AN317" i="37" s="1"/>
  <c r="AM317" i="37"/>
  <c r="J873" i="37"/>
  <c r="K873" i="37"/>
  <c r="K881" i="37" s="1"/>
  <c r="B506" i="40" l="1"/>
  <c r="B225" i="65"/>
  <c r="AN307" i="37"/>
  <c r="Q137" i="25"/>
  <c r="L873" i="37"/>
  <c r="F51" i="25"/>
  <c r="M873" i="37" l="1"/>
  <c r="B507" i="40"/>
  <c r="B226" i="65"/>
  <c r="E1010" i="40"/>
  <c r="E1011" i="40"/>
  <c r="E1012" i="40"/>
  <c r="E1007" i="40"/>
  <c r="E1008" i="40"/>
  <c r="E1009" i="40"/>
  <c r="E903" i="40"/>
  <c r="E904" i="40"/>
  <c r="E905" i="40"/>
  <c r="E906" i="40"/>
  <c r="E907" i="40"/>
  <c r="E908" i="40"/>
  <c r="E909" i="40"/>
  <c r="E910" i="40"/>
  <c r="E911" i="40"/>
  <c r="E912" i="40"/>
  <c r="E913" i="40"/>
  <c r="E914" i="40"/>
  <c r="E915" i="40"/>
  <c r="E916" i="40"/>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1004" i="40"/>
  <c r="E1005" i="40"/>
  <c r="E1006" i="40"/>
  <c r="E896" i="40"/>
  <c r="E897" i="40"/>
  <c r="E898" i="40"/>
  <c r="E899" i="40"/>
  <c r="E900" i="40"/>
  <c r="E901" i="40"/>
  <c r="E902" i="40"/>
  <c r="B508" i="40" l="1"/>
  <c r="B227" i="65"/>
  <c r="J31" i="42"/>
  <c r="I30" i="42"/>
  <c r="K32" i="42"/>
  <c r="L33" i="42"/>
  <c r="M34" i="42"/>
  <c r="N35" i="42"/>
  <c r="H29" i="42"/>
  <c r="F26" i="42"/>
  <c r="F23" i="42"/>
  <c r="F20" i="42"/>
  <c r="BD60" i="42" s="1"/>
  <c r="I16" i="42"/>
  <c r="H16" i="42"/>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N37" i="50"/>
  <c r="M36" i="50"/>
  <c r="L35" i="50"/>
  <c r="K34" i="50"/>
  <c r="J33" i="50"/>
  <c r="I32" i="50"/>
  <c r="H31" i="50"/>
  <c r="F28" i="50"/>
  <c r="F25" i="50"/>
  <c r="F22" i="50"/>
  <c r="F19" i="50"/>
  <c r="K16" i="50"/>
  <c r="L16" i="50"/>
  <c r="M16" i="50"/>
  <c r="N16" i="50"/>
  <c r="BB335" i="50" l="1"/>
  <c r="BB327" i="50"/>
  <c r="BB336" i="50"/>
  <c r="BB328" i="50"/>
  <c r="BB338" i="50"/>
  <c r="BB325" i="50"/>
  <c r="BB329" i="50"/>
  <c r="BB326" i="50"/>
  <c r="BB337" i="50"/>
  <c r="BB334" i="50"/>
  <c r="BB339" i="50"/>
  <c r="BB330" i="50"/>
  <c r="BB333" i="50"/>
  <c r="BB332" i="50"/>
  <c r="BB331" i="50"/>
  <c r="BA338" i="50"/>
  <c r="BA334" i="50"/>
  <c r="BA326" i="50"/>
  <c r="BA327" i="50"/>
  <c r="BA339" i="50"/>
  <c r="BA336" i="50"/>
  <c r="BA333" i="50"/>
  <c r="BA330" i="50"/>
  <c r="BA328" i="50"/>
  <c r="BA325" i="50"/>
  <c r="BA335" i="50"/>
  <c r="BA337" i="50"/>
  <c r="BA329" i="50"/>
  <c r="BA324" i="50"/>
  <c r="BA332" i="50"/>
  <c r="BA331" i="50"/>
  <c r="Z326" i="50"/>
  <c r="AE330" i="50"/>
  <c r="Z331" i="50"/>
  <c r="AF332" i="50"/>
  <c r="Y335" i="50"/>
  <c r="AF335" i="50"/>
  <c r="Y330" i="50"/>
  <c r="AE327" i="50"/>
  <c r="AE335" i="50"/>
  <c r="Z330" i="50"/>
  <c r="AL330" i="50" s="1"/>
  <c r="AE326" i="50"/>
  <c r="Y326" i="50"/>
  <c r="Z327" i="50"/>
  <c r="Y331" i="50"/>
  <c r="AK331" i="50" s="1"/>
  <c r="AF331" i="50"/>
  <c r="AF333" i="50"/>
  <c r="AF326" i="50"/>
  <c r="AE329" i="50"/>
  <c r="AE332" i="50"/>
  <c r="Y337" i="50"/>
  <c r="AF334" i="50"/>
  <c r="Z338" i="50"/>
  <c r="AL338" i="50" s="1"/>
  <c r="AF336" i="50"/>
  <c r="AF337" i="50"/>
  <c r="AF328" i="50"/>
  <c r="Z333" i="50"/>
  <c r="AL333" i="50" s="1"/>
  <c r="Y333" i="50"/>
  <c r="Z334" i="50"/>
  <c r="AL334" i="50" s="1"/>
  <c r="AF330" i="50"/>
  <c r="Y338" i="50"/>
  <c r="Z332" i="50"/>
  <c r="AL332" i="50" s="1"/>
  <c r="Z335" i="50"/>
  <c r="AE338" i="50"/>
  <c r="AE336" i="50"/>
  <c r="AE328" i="50"/>
  <c r="Y325" i="50"/>
  <c r="AE333" i="50"/>
  <c r="Y332" i="50"/>
  <c r="AK332" i="50" s="1"/>
  <c r="Z337" i="50"/>
  <c r="Y329" i="50"/>
  <c r="Y327" i="50"/>
  <c r="AK327" i="50" s="1"/>
  <c r="Y336" i="50"/>
  <c r="AK336" i="50" s="1"/>
  <c r="AE334" i="50"/>
  <c r="AF325" i="50"/>
  <c r="AE325" i="50"/>
  <c r="Z329" i="50"/>
  <c r="AL329" i="50" s="1"/>
  <c r="Z328" i="50"/>
  <c r="AL328" i="50" s="1"/>
  <c r="Y328" i="50"/>
  <c r="AK328" i="50" s="1"/>
  <c r="AE331" i="50"/>
  <c r="Z325" i="50"/>
  <c r="AF327" i="50"/>
  <c r="AF329" i="50"/>
  <c r="AF338" i="50"/>
  <c r="Y334" i="50"/>
  <c r="AK334" i="50" s="1"/>
  <c r="AE337" i="50"/>
  <c r="AK337" i="50" s="1"/>
  <c r="Z336" i="50"/>
  <c r="AL336" i="50" s="1"/>
  <c r="BD339" i="50"/>
  <c r="AW331" i="50"/>
  <c r="AW337" i="50"/>
  <c r="AW332" i="50"/>
  <c r="AW327" i="50"/>
  <c r="AW328" i="50"/>
  <c r="AW333" i="50"/>
  <c r="AW335" i="50"/>
  <c r="AW325" i="50"/>
  <c r="AW334" i="50"/>
  <c r="AW330" i="50"/>
  <c r="AV324" i="50"/>
  <c r="BB324" i="50" s="1"/>
  <c r="AW338" i="50"/>
  <c r="AW339" i="50"/>
  <c r="BC339" i="50" s="1"/>
  <c r="AW326" i="50"/>
  <c r="AW336" i="50"/>
  <c r="AW329" i="50"/>
  <c r="AW324" i="50"/>
  <c r="BC324" i="50" s="1"/>
  <c r="AX338" i="50"/>
  <c r="AX327" i="50"/>
  <c r="AX337" i="50"/>
  <c r="AX330" i="50"/>
  <c r="AX333" i="50"/>
  <c r="AX335" i="50"/>
  <c r="AX329" i="50"/>
  <c r="AX325" i="50"/>
  <c r="AX336" i="50"/>
  <c r="AX332" i="50"/>
  <c r="AX334" i="50"/>
  <c r="AX339" i="50"/>
  <c r="AX331" i="50"/>
  <c r="AX326" i="50"/>
  <c r="AX328" i="50"/>
  <c r="AX324" i="50"/>
  <c r="BD324" i="50" s="1"/>
  <c r="AV98" i="42"/>
  <c r="BL98" i="42" s="1"/>
  <c r="AV91" i="42"/>
  <c r="BL91" i="42" s="1"/>
  <c r="AV92" i="42"/>
  <c r="BL92" i="42" s="1"/>
  <c r="AV97" i="42"/>
  <c r="BL97" i="42" s="1"/>
  <c r="AV90" i="42"/>
  <c r="BL90" i="42" s="1"/>
  <c r="AV96" i="42"/>
  <c r="BL96" i="42" s="1"/>
  <c r="AV95" i="42"/>
  <c r="BL95" i="42" s="1"/>
  <c r="AV93" i="42"/>
  <c r="BL93" i="42" s="1"/>
  <c r="AV94" i="42"/>
  <c r="BL94" i="42" s="1"/>
  <c r="AA94" i="42"/>
  <c r="AB93" i="42"/>
  <c r="AA93" i="42"/>
  <c r="AB94" i="42"/>
  <c r="Z90" i="42"/>
  <c r="AA90" i="42"/>
  <c r="AB96" i="42"/>
  <c r="AB97" i="42"/>
  <c r="AB91" i="42"/>
  <c r="AA95" i="42"/>
  <c r="AA98" i="42"/>
  <c r="AA96" i="42"/>
  <c r="AB90" i="42"/>
  <c r="AA92" i="42"/>
  <c r="AA91" i="42"/>
  <c r="AB95" i="42"/>
  <c r="AA97" i="42"/>
  <c r="AB98" i="42"/>
  <c r="AB92" i="42"/>
  <c r="X91" i="42"/>
  <c r="AE93" i="42"/>
  <c r="Y93" i="42"/>
  <c r="AF92" i="42"/>
  <c r="Z96" i="42"/>
  <c r="X98" i="42"/>
  <c r="Z97" i="42"/>
  <c r="AL97" i="42" s="1"/>
  <c r="AF97" i="42"/>
  <c r="AE98" i="42"/>
  <c r="AF94" i="42"/>
  <c r="AD90" i="42"/>
  <c r="AD91" i="42"/>
  <c r="AJ91" i="42" s="1"/>
  <c r="Y92" i="42"/>
  <c r="X96" i="42"/>
  <c r="Y97" i="42"/>
  <c r="AK97" i="42" s="1"/>
  <c r="AD94" i="42"/>
  <c r="X94" i="42"/>
  <c r="X95" i="42"/>
  <c r="AE95" i="42"/>
  <c r="AK95" i="42" s="1"/>
  <c r="AF91" i="42"/>
  <c r="AH92" i="42"/>
  <c r="AF96" i="42"/>
  <c r="Y90" i="42"/>
  <c r="AK90" i="42" s="1"/>
  <c r="AH90" i="42"/>
  <c r="Z94" i="42"/>
  <c r="X93" i="42"/>
  <c r="AF93" i="42"/>
  <c r="Y95" i="42"/>
  <c r="Y98" i="42"/>
  <c r="AK98" i="42" s="1"/>
  <c r="AF98" i="42"/>
  <c r="Y96" i="42"/>
  <c r="AK96" i="42" s="1"/>
  <c r="AE96" i="42"/>
  <c r="AE97" i="42"/>
  <c r="AD97" i="42"/>
  <c r="Z98" i="42"/>
  <c r="AL98" i="42" s="1"/>
  <c r="AE90" i="42"/>
  <c r="AF95" i="42"/>
  <c r="Z95" i="42"/>
  <c r="AL95" i="42" s="1"/>
  <c r="Y94" i="42"/>
  <c r="AK94" i="42" s="1"/>
  <c r="AE91" i="42"/>
  <c r="AE94" i="42"/>
  <c r="Z93" i="42"/>
  <c r="X92" i="42"/>
  <c r="AD98" i="42"/>
  <c r="AD96" i="42"/>
  <c r="X97" i="42"/>
  <c r="AJ97" i="42" s="1"/>
  <c r="AD95" i="42"/>
  <c r="AE92" i="42"/>
  <c r="Z91" i="42"/>
  <c r="AL91" i="42" s="1"/>
  <c r="AD93" i="42"/>
  <c r="AG96" i="42"/>
  <c r="X90" i="42"/>
  <c r="AJ90" i="42" s="1"/>
  <c r="Y91" i="42"/>
  <c r="Z92" i="42"/>
  <c r="AL92" i="42" s="1"/>
  <c r="AD92" i="42"/>
  <c r="AJ92" i="42" s="1"/>
  <c r="AH95" i="42"/>
  <c r="AG93" i="42"/>
  <c r="AG95" i="42"/>
  <c r="AG91" i="42"/>
  <c r="AM91" i="42" s="1"/>
  <c r="AH94" i="42"/>
  <c r="AG97" i="42"/>
  <c r="AM97" i="42" s="1"/>
  <c r="AG98" i="42"/>
  <c r="AH93" i="42"/>
  <c r="AH96" i="42"/>
  <c r="AH91" i="42"/>
  <c r="AG94" i="42"/>
  <c r="AF90" i="42"/>
  <c r="AH98" i="42"/>
  <c r="AG92" i="42"/>
  <c r="AG90" i="42"/>
  <c r="AH97" i="42"/>
  <c r="AW92" i="42"/>
  <c r="BM92" i="42" s="1"/>
  <c r="AW91" i="42"/>
  <c r="BM91" i="42" s="1"/>
  <c r="AW94" i="42"/>
  <c r="BM94" i="42" s="1"/>
  <c r="AW95" i="42"/>
  <c r="BM95" i="42" s="1"/>
  <c r="AW96" i="42"/>
  <c r="BM96" i="42" s="1"/>
  <c r="AW98" i="42"/>
  <c r="BM98" i="42" s="1"/>
  <c r="AW97" i="42"/>
  <c r="BM97" i="42" s="1"/>
  <c r="AW90" i="42"/>
  <c r="BM90" i="42" s="1"/>
  <c r="AW93" i="42"/>
  <c r="BM93" i="42" s="1"/>
  <c r="BA323" i="50"/>
  <c r="AV66" i="42"/>
  <c r="AV88" i="42"/>
  <c r="BL88" i="42" s="1"/>
  <c r="AV89" i="42"/>
  <c r="BL89" i="42" s="1"/>
  <c r="AV87" i="42"/>
  <c r="BL87" i="42" s="1"/>
  <c r="AV85" i="42"/>
  <c r="BL85" i="42" s="1"/>
  <c r="AV80" i="42"/>
  <c r="BL80" i="42" s="1"/>
  <c r="AV83" i="42"/>
  <c r="BL83" i="42" s="1"/>
  <c r="AV81" i="42"/>
  <c r="BL81" i="42" s="1"/>
  <c r="AV86" i="42"/>
  <c r="BL86" i="42" s="1"/>
  <c r="AV82" i="42"/>
  <c r="BL82" i="42" s="1"/>
  <c r="AV84" i="42"/>
  <c r="BL84" i="42" s="1"/>
  <c r="Y81" i="42"/>
  <c r="AE80" i="42"/>
  <c r="AD86" i="42"/>
  <c r="Y84" i="42"/>
  <c r="X88" i="42"/>
  <c r="AE88" i="42"/>
  <c r="AE89" i="42"/>
  <c r="AD87" i="42"/>
  <c r="X82" i="42"/>
  <c r="Y80" i="42"/>
  <c r="AD85" i="42"/>
  <c r="X87" i="42"/>
  <c r="AE86" i="42"/>
  <c r="AD82" i="42"/>
  <c r="Y83" i="42"/>
  <c r="AD89" i="42"/>
  <c r="Y89" i="42"/>
  <c r="Y85" i="42"/>
  <c r="AE87" i="42"/>
  <c r="AE81" i="42"/>
  <c r="AH81" i="42"/>
  <c r="Y82" i="42"/>
  <c r="X81" i="42"/>
  <c r="Y87" i="42"/>
  <c r="AE82" i="42"/>
  <c r="AE83" i="42"/>
  <c r="AD83" i="42"/>
  <c r="AD84" i="42"/>
  <c r="Y88" i="42"/>
  <c r="AK88" i="42" s="1"/>
  <c r="AE85" i="42"/>
  <c r="X83" i="42"/>
  <c r="AD81" i="42"/>
  <c r="X86" i="42"/>
  <c r="Y86" i="42"/>
  <c r="X80" i="42"/>
  <c r="AD80" i="42"/>
  <c r="X84" i="42"/>
  <c r="AE84" i="42"/>
  <c r="AD88" i="42"/>
  <c r="X89" i="42"/>
  <c r="X85" i="42"/>
  <c r="AF81" i="42"/>
  <c r="AG81" i="42"/>
  <c r="AH85" i="42"/>
  <c r="AG82" i="42"/>
  <c r="AG86" i="42"/>
  <c r="AF85" i="42"/>
  <c r="AH83" i="42"/>
  <c r="AF84" i="42"/>
  <c r="AF87" i="42"/>
  <c r="AH86" i="42"/>
  <c r="AG85" i="42"/>
  <c r="AG89" i="42"/>
  <c r="AH82" i="42"/>
  <c r="AG80" i="42"/>
  <c r="AF89" i="42"/>
  <c r="AH84" i="42"/>
  <c r="AH80" i="42"/>
  <c r="AG87" i="42"/>
  <c r="AG84" i="42"/>
  <c r="AH89" i="42"/>
  <c r="AF80" i="42"/>
  <c r="AF86" i="42"/>
  <c r="AH87" i="42"/>
  <c r="AF88" i="42"/>
  <c r="AG88" i="42"/>
  <c r="AF82" i="42"/>
  <c r="AF83" i="42"/>
  <c r="AH88" i="42"/>
  <c r="AG83" i="42"/>
  <c r="AD79" i="42"/>
  <c r="X79" i="42"/>
  <c r="AW87" i="42"/>
  <c r="BM87" i="42" s="1"/>
  <c r="AW85" i="42"/>
  <c r="BM85" i="42" s="1"/>
  <c r="AW86" i="42"/>
  <c r="BM86" i="42" s="1"/>
  <c r="AW88" i="42"/>
  <c r="BM88" i="42" s="1"/>
  <c r="AW83" i="42"/>
  <c r="BM83" i="42" s="1"/>
  <c r="AW89" i="42"/>
  <c r="BM89" i="42" s="1"/>
  <c r="AW82" i="42"/>
  <c r="BM82" i="42" s="1"/>
  <c r="AW81" i="42"/>
  <c r="BM81" i="42" s="1"/>
  <c r="AW80" i="42"/>
  <c r="BM80" i="42" s="1"/>
  <c r="AW84" i="42"/>
  <c r="BM84" i="42" s="1"/>
  <c r="Z323" i="50"/>
  <c r="AD323" i="50"/>
  <c r="AE323" i="50"/>
  <c r="Y323" i="50"/>
  <c r="AF323" i="50"/>
  <c r="AL323" i="50" s="1"/>
  <c r="X323" i="50"/>
  <c r="AV323" i="50"/>
  <c r="AW323" i="50"/>
  <c r="AX323" i="50"/>
  <c r="Y67" i="42"/>
  <c r="AA84" i="42"/>
  <c r="AA81" i="42"/>
  <c r="AB84" i="42"/>
  <c r="AB81" i="42"/>
  <c r="AB86" i="42"/>
  <c r="Z81" i="42"/>
  <c r="AL81" i="42" s="1"/>
  <c r="AA82" i="42"/>
  <c r="Z87" i="42"/>
  <c r="AA83" i="42"/>
  <c r="AM83" i="42" s="1"/>
  <c r="Z83" i="42"/>
  <c r="Z82" i="42"/>
  <c r="Z85" i="42"/>
  <c r="Z80" i="42"/>
  <c r="AB87" i="42"/>
  <c r="Z86" i="42"/>
  <c r="AB88" i="42"/>
  <c r="AB85" i="42"/>
  <c r="AA88" i="42"/>
  <c r="Z89" i="42"/>
  <c r="AB80" i="42"/>
  <c r="AB82" i="42"/>
  <c r="AN82" i="42" s="1"/>
  <c r="BJ82" i="42" s="1"/>
  <c r="AA80" i="42"/>
  <c r="AM80" i="42" s="1"/>
  <c r="AA85" i="42"/>
  <c r="AA87" i="42"/>
  <c r="AA86" i="42"/>
  <c r="AA89" i="42"/>
  <c r="AM89" i="42" s="1"/>
  <c r="AB83" i="42"/>
  <c r="Z84" i="42"/>
  <c r="Z88" i="42"/>
  <c r="AL88" i="42" s="1"/>
  <c r="AB89" i="42"/>
  <c r="AV308" i="50"/>
  <c r="AV313" i="50"/>
  <c r="AV315" i="50"/>
  <c r="AV314" i="50"/>
  <c r="AV317" i="50"/>
  <c r="AV309" i="50"/>
  <c r="AV311" i="50"/>
  <c r="AV316" i="50"/>
  <c r="AV318" i="50"/>
  <c r="AV320" i="50"/>
  <c r="AV310" i="50"/>
  <c r="AV312" i="50"/>
  <c r="AV321" i="50"/>
  <c r="AV322" i="50"/>
  <c r="AV319" i="50"/>
  <c r="AW312" i="50"/>
  <c r="AW310" i="50"/>
  <c r="AW317" i="50"/>
  <c r="AW308" i="50"/>
  <c r="AW315" i="50"/>
  <c r="AW320" i="50"/>
  <c r="AW321" i="50"/>
  <c r="AW319" i="50"/>
  <c r="AW309" i="50"/>
  <c r="AW318" i="50"/>
  <c r="AW313" i="50"/>
  <c r="AW322" i="50"/>
  <c r="AW314" i="50"/>
  <c r="AW316" i="50"/>
  <c r="AW311" i="50"/>
  <c r="AX310" i="50"/>
  <c r="AX315" i="50"/>
  <c r="AX317" i="50"/>
  <c r="AX309" i="50"/>
  <c r="AX314" i="50"/>
  <c r="AX312" i="50"/>
  <c r="AX322" i="50"/>
  <c r="AX313" i="50"/>
  <c r="AX318" i="50"/>
  <c r="AX320" i="50"/>
  <c r="AX311" i="50"/>
  <c r="AX319" i="50"/>
  <c r="AX321" i="50"/>
  <c r="AX308" i="50"/>
  <c r="AX316" i="50"/>
  <c r="BA317" i="50"/>
  <c r="BA312" i="50"/>
  <c r="BA313" i="50"/>
  <c r="BA311" i="50"/>
  <c r="BA320" i="50"/>
  <c r="BA310" i="50"/>
  <c r="BA315" i="50"/>
  <c r="BA314" i="50"/>
  <c r="BA322" i="50"/>
  <c r="BA308" i="50"/>
  <c r="BA319" i="50"/>
  <c r="BA309" i="50"/>
  <c r="BA318" i="50"/>
  <c r="BA321" i="50"/>
  <c r="BA316" i="50"/>
  <c r="X311" i="50"/>
  <c r="Z311" i="50"/>
  <c r="AE311" i="50"/>
  <c r="AD311" i="50"/>
  <c r="Z317" i="50"/>
  <c r="Y311" i="50"/>
  <c r="AE309" i="50"/>
  <c r="AE317" i="50"/>
  <c r="AE312" i="50"/>
  <c r="AD312" i="50"/>
  <c r="AF312" i="50"/>
  <c r="Z314" i="50"/>
  <c r="AD310" i="50"/>
  <c r="AF308" i="50"/>
  <c r="AD314" i="50"/>
  <c r="Z321" i="50"/>
  <c r="X320" i="50"/>
  <c r="AD319" i="50"/>
  <c r="AF319" i="50"/>
  <c r="Z308" i="50"/>
  <c r="Y321" i="50"/>
  <c r="AD315" i="50"/>
  <c r="AE320" i="50"/>
  <c r="AF313" i="50"/>
  <c r="AF317" i="50"/>
  <c r="X319" i="50"/>
  <c r="AJ319" i="50" s="1"/>
  <c r="Y312" i="50"/>
  <c r="X312" i="50"/>
  <c r="AF311" i="50"/>
  <c r="AF321" i="50"/>
  <c r="Z310" i="50"/>
  <c r="AE318" i="50"/>
  <c r="AD322" i="50"/>
  <c r="AD316" i="50"/>
  <c r="AD321" i="50"/>
  <c r="AD308" i="50"/>
  <c r="Z318" i="50"/>
  <c r="Y316" i="50"/>
  <c r="Z316" i="50"/>
  <c r="Z322" i="50"/>
  <c r="X321" i="50"/>
  <c r="AF315" i="50"/>
  <c r="X322" i="50"/>
  <c r="AF314" i="50"/>
  <c r="Y313" i="50"/>
  <c r="X309" i="50"/>
  <c r="Y315" i="50"/>
  <c r="Y317" i="50"/>
  <c r="AK317" i="50" s="1"/>
  <c r="X317" i="50"/>
  <c r="Z312" i="50"/>
  <c r="AE310" i="50"/>
  <c r="Y310" i="50"/>
  <c r="X314" i="50"/>
  <c r="Y319" i="50"/>
  <c r="AE313" i="50"/>
  <c r="AE315" i="50"/>
  <c r="Y308" i="50"/>
  <c r="Z320" i="50"/>
  <c r="X308" i="50"/>
  <c r="X315" i="50"/>
  <c r="Z315" i="50"/>
  <c r="AF316" i="50"/>
  <c r="AD309" i="50"/>
  <c r="Y309" i="50"/>
  <c r="Y318" i="50"/>
  <c r="AD313" i="50"/>
  <c r="AF322" i="50"/>
  <c r="AD320" i="50"/>
  <c r="Z313" i="50"/>
  <c r="AD318" i="50"/>
  <c r="AD317" i="50"/>
  <c r="AF310" i="50"/>
  <c r="Z309" i="50"/>
  <c r="Z319" i="50"/>
  <c r="X310" i="50"/>
  <c r="AE314" i="50"/>
  <c r="Y314" i="50"/>
  <c r="AF320" i="50"/>
  <c r="Y322" i="50"/>
  <c r="AE308" i="50"/>
  <c r="AF318" i="50"/>
  <c r="Y320" i="50"/>
  <c r="X316" i="50"/>
  <c r="AE316" i="50"/>
  <c r="AE322" i="50"/>
  <c r="AE321" i="50"/>
  <c r="AF309" i="50"/>
  <c r="X313" i="50"/>
  <c r="AE319" i="50"/>
  <c r="X318" i="50"/>
  <c r="AJ318" i="50" s="1"/>
  <c r="B509" i="40"/>
  <c r="B228" i="65"/>
  <c r="AE306" i="50"/>
  <c r="AC305" i="50"/>
  <c r="W306" i="50"/>
  <c r="Y305" i="50"/>
  <c r="AD302" i="50"/>
  <c r="Y300" i="50"/>
  <c r="AF302" i="50"/>
  <c r="AE301" i="50"/>
  <c r="AE302" i="50"/>
  <c r="Y302" i="50"/>
  <c r="Z302" i="50"/>
  <c r="X305" i="50"/>
  <c r="Y306" i="50"/>
  <c r="X302" i="50"/>
  <c r="AE305" i="50"/>
  <c r="Y301" i="50"/>
  <c r="AD306" i="50"/>
  <c r="Y304" i="50"/>
  <c r="AD301" i="50"/>
  <c r="AF303" i="50"/>
  <c r="X303" i="50"/>
  <c r="AD303" i="50"/>
  <c r="Z301" i="50"/>
  <c r="AD300" i="50"/>
  <c r="W300" i="50"/>
  <c r="AD305" i="50"/>
  <c r="X306" i="50"/>
  <c r="AF301" i="50"/>
  <c r="X300" i="50"/>
  <c r="Z303" i="50"/>
  <c r="Z305" i="50"/>
  <c r="Z304" i="50"/>
  <c r="AF304" i="50"/>
  <c r="W301" i="50"/>
  <c r="W302" i="50"/>
  <c r="AF306" i="50"/>
  <c r="AC303" i="50"/>
  <c r="W305" i="50"/>
  <c r="AC300" i="50"/>
  <c r="AE304" i="50"/>
  <c r="Y303" i="50"/>
  <c r="W303" i="50"/>
  <c r="AF305" i="50"/>
  <c r="AE303" i="50"/>
  <c r="AC301" i="50"/>
  <c r="X304" i="50"/>
  <c r="W304" i="50"/>
  <c r="AF300" i="50"/>
  <c r="AC306" i="50"/>
  <c r="AC304" i="50"/>
  <c r="Z300" i="50"/>
  <c r="AC302" i="50"/>
  <c r="Z306" i="50"/>
  <c r="AE300" i="50"/>
  <c r="AD304" i="50"/>
  <c r="X301" i="50"/>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BL66" i="42"/>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J71" i="42" s="1"/>
  <c r="AD70" i="42"/>
  <c r="X69" i="42"/>
  <c r="X70" i="42"/>
  <c r="AF76" i="42"/>
  <c r="AE79" i="42"/>
  <c r="AH79" i="42"/>
  <c r="AD75" i="42"/>
  <c r="AD77" i="42"/>
  <c r="X76" i="42"/>
  <c r="AD74" i="42"/>
  <c r="AH74" i="42"/>
  <c r="X75" i="42"/>
  <c r="X78" i="42"/>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AL74" i="42" s="1"/>
  <c r="Z76" i="42"/>
  <c r="AA77" i="42"/>
  <c r="AA76" i="42"/>
  <c r="Z77" i="42"/>
  <c r="AL77" i="42" s="1"/>
  <c r="AB77" i="42"/>
  <c r="Y76" i="42"/>
  <c r="Z73" i="42"/>
  <c r="AB67" i="42"/>
  <c r="Y74" i="42"/>
  <c r="AK74" i="42" s="1"/>
  <c r="AQ74" i="42" s="1"/>
  <c r="AA78" i="42"/>
  <c r="AB71" i="42"/>
  <c r="Y68" i="42"/>
  <c r="Z71" i="42"/>
  <c r="Y72" i="42"/>
  <c r="AA68" i="42"/>
  <c r="AA69" i="42"/>
  <c r="AB75" i="42"/>
  <c r="Y79" i="42"/>
  <c r="Z70" i="42"/>
  <c r="AA67" i="42"/>
  <c r="Z75" i="42"/>
  <c r="Z69" i="42"/>
  <c r="AA70" i="42"/>
  <c r="Y69" i="42"/>
  <c r="Y75" i="42"/>
  <c r="AB79" i="42"/>
  <c r="AB68" i="42"/>
  <c r="AB70" i="42"/>
  <c r="AB78" i="42"/>
  <c r="Z67" i="42"/>
  <c r="Y71" i="42"/>
  <c r="AB69" i="42"/>
  <c r="Z78" i="42"/>
  <c r="Z72" i="42"/>
  <c r="AA79" i="42"/>
  <c r="AB73" i="42"/>
  <c r="AA75" i="42"/>
  <c r="AB72" i="42"/>
  <c r="Y78" i="42"/>
  <c r="Z79" i="42"/>
  <c r="AA74" i="42"/>
  <c r="AA71" i="42"/>
  <c r="Z68" i="42"/>
  <c r="AA73" i="42"/>
  <c r="Y73" i="42"/>
  <c r="Y70" i="42"/>
  <c r="AA72" i="42"/>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AK281" i="50" s="1"/>
  <c r="Y276" i="50"/>
  <c r="AD279" i="50"/>
  <c r="AC278" i="50"/>
  <c r="V274" i="50"/>
  <c r="V281" i="50"/>
  <c r="Y290" i="50"/>
  <c r="AF285" i="50"/>
  <c r="Z275" i="50"/>
  <c r="X287" i="50"/>
  <c r="Y275" i="50"/>
  <c r="AF284" i="50"/>
  <c r="X285" i="50"/>
  <c r="AD287" i="50"/>
  <c r="AD276" i="50"/>
  <c r="AF279" i="50"/>
  <c r="Z287" i="50"/>
  <c r="AE277" i="50"/>
  <c r="V286" i="50"/>
  <c r="AB283" i="50"/>
  <c r="AC275" i="50"/>
  <c r="AE278" i="50"/>
  <c r="V290" i="50"/>
  <c r="X274" i="50"/>
  <c r="W275" i="50"/>
  <c r="AB286" i="50"/>
  <c r="AD277" i="50"/>
  <c r="AB285" i="50"/>
  <c r="Z286" i="50"/>
  <c r="AB274" i="50"/>
  <c r="X286" i="50"/>
  <c r="V284" i="50"/>
  <c r="X279" i="50"/>
  <c r="Z278" i="50"/>
  <c r="W286" i="50"/>
  <c r="AI286" i="50" s="1"/>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AL245" i="50" s="1"/>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W160" i="50"/>
  <c r="AW162" i="50"/>
  <c r="AW163" i="50"/>
  <c r="BC163" i="50" s="1"/>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BB145" i="50" s="1"/>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BA115" i="50" s="1"/>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BD157" i="50" s="1"/>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BC145" i="50" s="1"/>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BC115" i="50" s="1"/>
  <c r="AW131" i="50"/>
  <c r="AV107" i="50"/>
  <c r="AV102" i="50"/>
  <c r="AV108" i="50"/>
  <c r="AV106" i="50"/>
  <c r="AV105" i="50"/>
  <c r="AV287" i="50"/>
  <c r="AV288" i="50"/>
  <c r="AV274" i="50"/>
  <c r="AV286" i="50"/>
  <c r="AU250" i="50"/>
  <c r="AU248" i="50"/>
  <c r="AU80" i="50"/>
  <c r="AX139" i="50"/>
  <c r="BD139" i="50" s="1"/>
  <c r="AX140" i="50"/>
  <c r="AX145" i="50"/>
  <c r="BD145" i="50" s="1"/>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K147" i="50" s="1"/>
  <c r="AF154" i="50"/>
  <c r="AF144" i="50"/>
  <c r="AD148" i="50"/>
  <c r="AD147" i="50"/>
  <c r="AE156" i="50"/>
  <c r="AF156" i="50"/>
  <c r="Y146" i="50"/>
  <c r="AF150" i="50"/>
  <c r="Y156" i="50"/>
  <c r="Z156" i="50"/>
  <c r="AL156" i="50" s="1"/>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B154" i="50"/>
  <c r="BB158" i="50"/>
  <c r="BB155" i="50"/>
  <c r="BB152" i="50"/>
  <c r="BB156" i="50"/>
  <c r="BB157" i="50"/>
  <c r="BB153" i="50"/>
  <c r="BB151" i="50"/>
  <c r="AZ117" i="50"/>
  <c r="AZ115" i="50"/>
  <c r="AZ128" i="50"/>
  <c r="AZ127" i="50"/>
  <c r="AZ129" i="50"/>
  <c r="AZ116" i="50"/>
  <c r="AZ130" i="50"/>
  <c r="BA137" i="50"/>
  <c r="BA136" i="50"/>
  <c r="BA13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AQ334" i="50" l="1"/>
  <c r="AR334" i="50" s="1"/>
  <c r="BD334" i="50" s="1"/>
  <c r="BC336" i="50"/>
  <c r="AQ336" i="50"/>
  <c r="AR336" i="50" s="1"/>
  <c r="BD336" i="50" s="1"/>
  <c r="AQ331" i="50"/>
  <c r="BC331" i="50" s="1"/>
  <c r="AQ327" i="50"/>
  <c r="AR327" i="50" s="1"/>
  <c r="BD327" i="50" s="1"/>
  <c r="AK338" i="50"/>
  <c r="AL327" i="50"/>
  <c r="AK335" i="50"/>
  <c r="AL326" i="50"/>
  <c r="AQ332" i="50"/>
  <c r="AR332" i="50" s="1"/>
  <c r="AQ328" i="50"/>
  <c r="AR328" i="50" s="1"/>
  <c r="BD328" i="50" s="1"/>
  <c r="AL325" i="50"/>
  <c r="AK329" i="50"/>
  <c r="AK325" i="50"/>
  <c r="AL335" i="50"/>
  <c r="AL337" i="50"/>
  <c r="AK326" i="50"/>
  <c r="AQ337" i="50"/>
  <c r="AR337" i="50" s="1"/>
  <c r="BD337" i="50" s="1"/>
  <c r="BD332" i="50"/>
  <c r="AK333" i="50"/>
  <c r="AK330" i="50"/>
  <c r="AL331" i="50"/>
  <c r="BF90" i="42"/>
  <c r="AX90" i="42"/>
  <c r="BN90" i="42" s="1"/>
  <c r="AX91" i="42"/>
  <c r="BF91" i="42"/>
  <c r="AN92" i="42"/>
  <c r="AM98" i="42"/>
  <c r="AN96" i="42"/>
  <c r="AM93" i="42"/>
  <c r="AN88" i="42"/>
  <c r="BJ88" i="42" s="1"/>
  <c r="BI91" i="42"/>
  <c r="AS91" i="42"/>
  <c r="BA91" i="42" s="1"/>
  <c r="BQ91" i="42" s="1"/>
  <c r="AX92" i="42"/>
  <c r="BF92" i="42"/>
  <c r="AY94" i="42"/>
  <c r="BO94" i="42" s="1"/>
  <c r="BG94" i="42"/>
  <c r="BH98" i="42"/>
  <c r="AZ98" i="42"/>
  <c r="BP98" i="42" s="1"/>
  <c r="AY96" i="42"/>
  <c r="BO96" i="42" s="1"/>
  <c r="BG96" i="42"/>
  <c r="AY90" i="42"/>
  <c r="BG90" i="42"/>
  <c r="AY95" i="42"/>
  <c r="BO95" i="42" s="1"/>
  <c r="BG95" i="42"/>
  <c r="AY97" i="42"/>
  <c r="BG97" i="42"/>
  <c r="AZ97" i="42"/>
  <c r="BP97" i="42" s="1"/>
  <c r="BH97" i="42"/>
  <c r="AN98" i="42"/>
  <c r="BJ98" i="42" s="1"/>
  <c r="AM92" i="42"/>
  <c r="AM95" i="42"/>
  <c r="AM90" i="42"/>
  <c r="AN93" i="42"/>
  <c r="BJ93" i="42" s="1"/>
  <c r="AZ92" i="42"/>
  <c r="BP92" i="42" s="1"/>
  <c r="BH92" i="42"/>
  <c r="BF97" i="42"/>
  <c r="AX97" i="42"/>
  <c r="BN97" i="42" s="1"/>
  <c r="AL93" i="42"/>
  <c r="AZ95" i="42"/>
  <c r="BP95" i="42" s="1"/>
  <c r="BH95" i="42"/>
  <c r="AJ93" i="42"/>
  <c r="AJ95" i="42"/>
  <c r="AJ96" i="42"/>
  <c r="AL94" i="42"/>
  <c r="AJ98" i="42"/>
  <c r="AK93" i="42"/>
  <c r="AN90" i="42"/>
  <c r="AN91" i="42"/>
  <c r="AL90" i="42"/>
  <c r="AM94" i="42"/>
  <c r="BA97" i="42"/>
  <c r="AS97" i="42"/>
  <c r="BI97" i="42"/>
  <c r="AK91" i="42"/>
  <c r="BH91" i="42"/>
  <c r="AZ91" i="42"/>
  <c r="BG98" i="42"/>
  <c r="AY98" i="42"/>
  <c r="BO98" i="42" s="1"/>
  <c r="AJ94" i="42"/>
  <c r="AK92" i="42"/>
  <c r="AL96" i="42"/>
  <c r="AN95" i="42"/>
  <c r="BJ95" i="42" s="1"/>
  <c r="AM96" i="42"/>
  <c r="AN97" i="42"/>
  <c r="AN94" i="42"/>
  <c r="AM88" i="42"/>
  <c r="AM86" i="42"/>
  <c r="BI86" i="42" s="1"/>
  <c r="AL87" i="42"/>
  <c r="BH87" i="42" s="1"/>
  <c r="AM87" i="42"/>
  <c r="AL86" i="42"/>
  <c r="BH86" i="42" s="1"/>
  <c r="AL82" i="42"/>
  <c r="AR82" i="42" s="1"/>
  <c r="AS82" i="42" s="1"/>
  <c r="AM82" i="42"/>
  <c r="BI82" i="42" s="1"/>
  <c r="AL85" i="42"/>
  <c r="BH85" i="42" s="1"/>
  <c r="AN81" i="42"/>
  <c r="BJ81" i="42" s="1"/>
  <c r="AJ86" i="42"/>
  <c r="AX86" i="42" s="1"/>
  <c r="AJ84" i="42"/>
  <c r="BF84" i="42" s="1"/>
  <c r="AL229" i="50"/>
  <c r="AJ89" i="42"/>
  <c r="AX89" i="42" s="1"/>
  <c r="AL302" i="50"/>
  <c r="AK165" i="50"/>
  <c r="AQ165" i="50" s="1"/>
  <c r="AL67" i="42"/>
  <c r="AL69" i="42"/>
  <c r="BH69" i="42" s="1"/>
  <c r="AK323" i="50"/>
  <c r="AJ83" i="42"/>
  <c r="BF83" i="42" s="1"/>
  <c r="AK87" i="42"/>
  <c r="BG87" i="42" s="1"/>
  <c r="AK80" i="42"/>
  <c r="AY80" i="42" s="1"/>
  <c r="AL89" i="42"/>
  <c r="AR89" i="42" s="1"/>
  <c r="AS89" i="42" s="1"/>
  <c r="AK86" i="42"/>
  <c r="AY86" i="42" s="1"/>
  <c r="AM75" i="42"/>
  <c r="BI75" i="42" s="1"/>
  <c r="AN73" i="42"/>
  <c r="BJ73" i="42" s="1"/>
  <c r="AN87" i="42"/>
  <c r="BJ87" i="42" s="1"/>
  <c r="AL83" i="42"/>
  <c r="BH83" i="42" s="1"/>
  <c r="AM81" i="42"/>
  <c r="BI81" i="42" s="1"/>
  <c r="AN89" i="42"/>
  <c r="BJ89" i="42" s="1"/>
  <c r="AK67" i="42"/>
  <c r="AQ67" i="42" s="1"/>
  <c r="AK82" i="42"/>
  <c r="AY82" i="42" s="1"/>
  <c r="AK85" i="42"/>
  <c r="BG85" i="42" s="1"/>
  <c r="AL306" i="50"/>
  <c r="AK314" i="50"/>
  <c r="AL313" i="50"/>
  <c r="AK318" i="50"/>
  <c r="AJ311" i="50"/>
  <c r="AP311" i="50" s="1"/>
  <c r="AM72" i="42"/>
  <c r="BI72" i="42" s="1"/>
  <c r="AK78" i="42"/>
  <c r="AQ78" i="42" s="1"/>
  <c r="AK71" i="42"/>
  <c r="AQ71" i="42" s="1"/>
  <c r="AM76" i="42"/>
  <c r="BI76" i="42" s="1"/>
  <c r="AJ308" i="50"/>
  <c r="AP308" i="50" s="1"/>
  <c r="BI88" i="42"/>
  <c r="AK83" i="42"/>
  <c r="BI87" i="42"/>
  <c r="AN84" i="42"/>
  <c r="BJ84" i="42" s="1"/>
  <c r="AN86" i="42"/>
  <c r="BJ86" i="42" s="1"/>
  <c r="BG88" i="42"/>
  <c r="AY88" i="42"/>
  <c r="AR88" i="42"/>
  <c r="AS88" i="42" s="1"/>
  <c r="AT88" i="42" s="1"/>
  <c r="BB88" i="42" s="1"/>
  <c r="BR88" i="42" s="1"/>
  <c r="BH88" i="42"/>
  <c r="BI80" i="42"/>
  <c r="AN83" i="42"/>
  <c r="BJ83" i="42" s="1"/>
  <c r="AM85" i="42"/>
  <c r="AN80" i="42"/>
  <c r="BJ80" i="42" s="1"/>
  <c r="AN85" i="42"/>
  <c r="BJ85" i="42" s="1"/>
  <c r="BH81" i="42"/>
  <c r="AR81" i="42"/>
  <c r="AM84" i="42"/>
  <c r="AJ80" i="42"/>
  <c r="AK89" i="42"/>
  <c r="AJ82" i="42"/>
  <c r="AJ88" i="42"/>
  <c r="AH92" i="50"/>
  <c r="AN92" i="50" s="1"/>
  <c r="AJ323" i="50"/>
  <c r="BI89" i="42"/>
  <c r="AL80" i="42"/>
  <c r="BI83" i="42"/>
  <c r="AL84" i="42"/>
  <c r="AJ85" i="42"/>
  <c r="AJ81" i="42"/>
  <c r="AJ87" i="42"/>
  <c r="AK84" i="42"/>
  <c r="AK81" i="42"/>
  <c r="AK319" i="50"/>
  <c r="AK316" i="50"/>
  <c r="AK308" i="50"/>
  <c r="AJ320" i="50"/>
  <c r="AP320" i="50" s="1"/>
  <c r="AK76" i="42"/>
  <c r="AQ76" i="42" s="1"/>
  <c r="AM77" i="42"/>
  <c r="BI77" i="42" s="1"/>
  <c r="AK320" i="50"/>
  <c r="AL319" i="50"/>
  <c r="AL312" i="50"/>
  <c r="AJ309" i="50"/>
  <c r="AP309" i="50" s="1"/>
  <c r="AK311" i="50"/>
  <c r="AL309" i="50"/>
  <c r="AJ314" i="50"/>
  <c r="AK313" i="50"/>
  <c r="AJ321" i="50"/>
  <c r="AP321" i="50" s="1"/>
  <c r="BB321" i="50" s="1"/>
  <c r="AJ301" i="50"/>
  <c r="AK309" i="50"/>
  <c r="AK310" i="50"/>
  <c r="AL320" i="50"/>
  <c r="AL315" i="50"/>
  <c r="AP314" i="50"/>
  <c r="AL318" i="50"/>
  <c r="AL311" i="50"/>
  <c r="AK321" i="50"/>
  <c r="AL317" i="50"/>
  <c r="AJ313" i="50"/>
  <c r="AJ315" i="50"/>
  <c r="AL322" i="50"/>
  <c r="AJ312" i="50"/>
  <c r="AL308" i="50"/>
  <c r="AL321" i="50"/>
  <c r="AL314" i="50"/>
  <c r="AP318" i="50"/>
  <c r="AP319" i="50"/>
  <c r="AJ316" i="50"/>
  <c r="AK322" i="50"/>
  <c r="AJ310" i="50"/>
  <c r="AJ317" i="50"/>
  <c r="AK315" i="50"/>
  <c r="AJ322" i="50"/>
  <c r="AL316" i="50"/>
  <c r="AL310" i="50"/>
  <c r="AK312" i="50"/>
  <c r="AH229" i="50"/>
  <c r="AN229" i="50" s="1"/>
  <c r="M98" i="66" s="1"/>
  <c r="AI275" i="50"/>
  <c r="AK306" i="50"/>
  <c r="AJ287" i="50"/>
  <c r="AJ300" i="50"/>
  <c r="AI305" i="50"/>
  <c r="AO305" i="50" s="1"/>
  <c r="AJ78" i="42"/>
  <c r="AX78" i="42" s="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R156" i="50" s="1"/>
  <c r="AK154" i="50"/>
  <c r="AQ154" i="50" s="1"/>
  <c r="AK194" i="50"/>
  <c r="AL199" i="50"/>
  <c r="AL232" i="50"/>
  <c r="AI250" i="50"/>
  <c r="AK218" i="50"/>
  <c r="AI261" i="50"/>
  <c r="AK150" i="50"/>
  <c r="AH93" i="50"/>
  <c r="AN93" i="50" s="1"/>
  <c r="AL78" i="42"/>
  <c r="AK75" i="42"/>
  <c r="AQ75" i="42" s="1"/>
  <c r="AM78" i="42"/>
  <c r="BI78" i="42" s="1"/>
  <c r="AN69" i="42"/>
  <c r="BJ69" i="42" s="1"/>
  <c r="AR74" i="42"/>
  <c r="AL76" i="42"/>
  <c r="BH76" i="42" s="1"/>
  <c r="AK70" i="42"/>
  <c r="AQ70" i="42" s="1"/>
  <c r="AJ295" i="50"/>
  <c r="AM74" i="42"/>
  <c r="BI74" i="42" s="1"/>
  <c r="AK77" i="42"/>
  <c r="AQ77" i="42" s="1"/>
  <c r="AR77" i="42" s="1"/>
  <c r="AJ72" i="42"/>
  <c r="AX72" i="42" s="1"/>
  <c r="AK295" i="50"/>
  <c r="AM73" i="42"/>
  <c r="BI73" i="42" s="1"/>
  <c r="AN75" i="42"/>
  <c r="BJ75" i="42" s="1"/>
  <c r="AL71" i="42"/>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O293" i="50" s="1"/>
  <c r="AI303" i="50"/>
  <c r="AO303" i="50" s="1"/>
  <c r="AJ302" i="50"/>
  <c r="AK302" i="50"/>
  <c r="AM68" i="42"/>
  <c r="BI68" i="42" s="1"/>
  <c r="AJ68" i="42"/>
  <c r="AX68" i="42" s="1"/>
  <c r="B510" i="40"/>
  <c r="B229" i="65"/>
  <c r="AL304" i="50"/>
  <c r="AI295" i="50"/>
  <c r="AO295" i="50" s="1"/>
  <c r="AL70" i="42"/>
  <c r="AI291" i="50"/>
  <c r="AO291" i="50" s="1"/>
  <c r="AJ305" i="50"/>
  <c r="AK305" i="50"/>
  <c r="AJ69" i="42"/>
  <c r="BF69" i="42" s="1"/>
  <c r="AK297" i="50"/>
  <c r="AL295" i="50"/>
  <c r="AI304" i="50"/>
  <c r="AI302" i="50"/>
  <c r="AL305" i="50"/>
  <c r="AL301" i="50"/>
  <c r="AI306" i="50"/>
  <c r="AK283" i="50"/>
  <c r="AJ292" i="50"/>
  <c r="AJ304"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L291" i="50"/>
  <c r="AK299" i="50"/>
  <c r="AJ298" i="50"/>
  <c r="AK294" i="50"/>
  <c r="AK298" i="50"/>
  <c r="AK293" i="50"/>
  <c r="AI296" i="50"/>
  <c r="AL235" i="50"/>
  <c r="AL259" i="50"/>
  <c r="AH258" i="50"/>
  <c r="AN258" i="50" s="1"/>
  <c r="M99" i="66" s="1"/>
  <c r="AK261" i="50"/>
  <c r="AH260" i="50"/>
  <c r="AN260" i="50" s="1"/>
  <c r="AH257" i="50"/>
  <c r="AN257" i="50" s="1"/>
  <c r="AK255" i="50"/>
  <c r="AK264" i="50"/>
  <c r="AH263" i="50"/>
  <c r="AN263" i="50" s="1"/>
  <c r="AO263" i="50" s="1"/>
  <c r="AI283" i="50"/>
  <c r="AO283" i="50" s="1"/>
  <c r="BA283" i="50" s="1"/>
  <c r="AK287" i="50"/>
  <c r="AI281" i="50"/>
  <c r="AK290" i="50"/>
  <c r="AL292" i="50"/>
  <c r="AK291" i="50"/>
  <c r="AI299" i="50"/>
  <c r="AL255" i="50"/>
  <c r="AI251" i="50"/>
  <c r="AI257" i="50"/>
  <c r="AJ290" i="50"/>
  <c r="AK296" i="50"/>
  <c r="AI298" i="50"/>
  <c r="AI297" i="50"/>
  <c r="AL293" i="50"/>
  <c r="AJ73" i="42"/>
  <c r="AN70" i="42"/>
  <c r="AK69" i="42"/>
  <c r="AQ69" i="42" s="1"/>
  <c r="AM67" i="42"/>
  <c r="BG74" i="42"/>
  <c r="AN77" i="42"/>
  <c r="BJ77" i="42" s="1"/>
  <c r="AL68" i="42"/>
  <c r="AM79" i="42"/>
  <c r="AN68" i="42"/>
  <c r="BJ68" i="42" s="1"/>
  <c r="AM70" i="42"/>
  <c r="AM69" i="42"/>
  <c r="AK68" i="42"/>
  <c r="AQ68" i="42" s="1"/>
  <c r="AN67" i="42"/>
  <c r="BJ67" i="42" s="1"/>
  <c r="BH77" i="42"/>
  <c r="BH74" i="42"/>
  <c r="AL75" i="42"/>
  <c r="AJ75" i="42"/>
  <c r="AJ76" i="42"/>
  <c r="AJ70" i="42"/>
  <c r="AJ67" i="42"/>
  <c r="AM71" i="42"/>
  <c r="AN72" i="42"/>
  <c r="BJ72" i="42" s="1"/>
  <c r="AL72" i="42"/>
  <c r="BH67" i="42"/>
  <c r="AN79" i="42"/>
  <c r="BJ79" i="42" s="1"/>
  <c r="AN71" i="42"/>
  <c r="AN74" i="42"/>
  <c r="BJ74" i="42" s="1"/>
  <c r="AL73" i="42"/>
  <c r="AJ74" i="42"/>
  <c r="AJ79" i="42"/>
  <c r="AJ77" i="42"/>
  <c r="AX71" i="42"/>
  <c r="BF71"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O232" i="50" s="1"/>
  <c r="AI229" i="50"/>
  <c r="AH240" i="50"/>
  <c r="AN240" i="50" s="1"/>
  <c r="AK267" i="50"/>
  <c r="AI288" i="50"/>
  <c r="AK286" i="50"/>
  <c r="AH286" i="50"/>
  <c r="AH281" i="50"/>
  <c r="AN281" i="50" s="1"/>
  <c r="M100" i="66" s="1"/>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H76" i="50"/>
  <c r="AN76" i="50" s="1"/>
  <c r="AH66" i="50"/>
  <c r="AN66" i="50" s="1"/>
  <c r="AL119" i="50"/>
  <c r="AL110" i="50"/>
  <c r="AJ68" i="50"/>
  <c r="AK108" i="50"/>
  <c r="AL62" i="50"/>
  <c r="AH84" i="50"/>
  <c r="AN84" i="50" s="1"/>
  <c r="AO84" i="50" s="1"/>
  <c r="AI94" i="50"/>
  <c r="AI126" i="50"/>
  <c r="AO126" i="50" s="1"/>
  <c r="AJ128" i="50"/>
  <c r="AH71" i="50"/>
  <c r="AN71" i="50" s="1"/>
  <c r="AK80" i="50"/>
  <c r="AK98" i="50"/>
  <c r="AL116" i="50"/>
  <c r="AL92" i="50"/>
  <c r="AL98" i="50"/>
  <c r="AK79" i="50"/>
  <c r="AL83" i="50"/>
  <c r="AI91" i="50"/>
  <c r="AK113" i="50"/>
  <c r="AK135" i="50"/>
  <c r="AJ93" i="50"/>
  <c r="AQ330" i="50" l="1"/>
  <c r="AR330" i="50" s="1"/>
  <c r="BD330" i="50" s="1"/>
  <c r="BC330" i="50"/>
  <c r="BC337" i="50"/>
  <c r="AQ338" i="50"/>
  <c r="AR338" i="50" s="1"/>
  <c r="BD338" i="50" s="1"/>
  <c r="AQ333" i="50"/>
  <c r="AR333" i="50" s="1"/>
  <c r="BD333" i="50" s="1"/>
  <c r="BC333" i="50"/>
  <c r="BC328" i="50"/>
  <c r="BC327" i="50"/>
  <c r="AR331" i="50"/>
  <c r="BD331" i="50" s="1"/>
  <c r="P103" i="66"/>
  <c r="AQ325" i="50"/>
  <c r="AR325" i="50" s="1"/>
  <c r="BD325" i="50" s="1"/>
  <c r="BC325" i="50"/>
  <c r="AQ335" i="50"/>
  <c r="AR335" i="50" s="1"/>
  <c r="BD335" i="50" s="1"/>
  <c r="BC335" i="50"/>
  <c r="AQ326" i="50"/>
  <c r="AR326" i="50" s="1"/>
  <c r="BD326" i="50" s="1"/>
  <c r="AQ329" i="50"/>
  <c r="AR329" i="50" s="1"/>
  <c r="BD329" i="50" s="1"/>
  <c r="BC329" i="50"/>
  <c r="BC332" i="50"/>
  <c r="BC334" i="50"/>
  <c r="BJ97" i="42"/>
  <c r="AY92" i="42"/>
  <c r="BO92" i="42" s="1"/>
  <c r="BG92" i="42"/>
  <c r="BP91" i="42"/>
  <c r="AT97" i="42"/>
  <c r="BB97" i="42" s="1"/>
  <c r="BR97" i="42" s="1"/>
  <c r="BJ91" i="42"/>
  <c r="BH94" i="42"/>
  <c r="AZ94" i="42"/>
  <c r="BP94" i="42" s="1"/>
  <c r="BI90" i="42"/>
  <c r="BI93" i="42"/>
  <c r="AS93" i="42"/>
  <c r="AT93" i="42" s="1"/>
  <c r="BB93" i="42" s="1"/>
  <c r="BR93" i="42" s="1"/>
  <c r="BA93" i="42"/>
  <c r="BQ93" i="42" s="1"/>
  <c r="CA93" i="42" s="1"/>
  <c r="BI96" i="42"/>
  <c r="AS96" i="42"/>
  <c r="AT96" i="42" s="1"/>
  <c r="BF94" i="42"/>
  <c r="AX94" i="42"/>
  <c r="BQ97" i="42"/>
  <c r="BJ90" i="42"/>
  <c r="BF96" i="42"/>
  <c r="AX96" i="42"/>
  <c r="BN96" i="42" s="1"/>
  <c r="AS95" i="42"/>
  <c r="AT95" i="42" s="1"/>
  <c r="BB95" i="42" s="1"/>
  <c r="BR95" i="42" s="1"/>
  <c r="BI95" i="42"/>
  <c r="AT91" i="42"/>
  <c r="BB91" i="42" s="1"/>
  <c r="BR91" i="42" s="1"/>
  <c r="CA91" i="42" s="1"/>
  <c r="BB96" i="42"/>
  <c r="BJ96" i="42"/>
  <c r="BN91" i="42"/>
  <c r="BG91" i="42"/>
  <c r="AY91" i="42"/>
  <c r="BO91" i="42" s="1"/>
  <c r="BI94" i="42"/>
  <c r="AS94" i="42"/>
  <c r="AT94" i="42" s="1"/>
  <c r="BA94" i="42"/>
  <c r="BG93" i="42"/>
  <c r="AY93" i="42"/>
  <c r="BO93" i="42" s="1"/>
  <c r="BF95" i="42"/>
  <c r="AX95" i="42"/>
  <c r="BN95" i="42" s="1"/>
  <c r="AZ93" i="42"/>
  <c r="BH93" i="42"/>
  <c r="BI92" i="42"/>
  <c r="AS92" i="42"/>
  <c r="AT92" i="42" s="1"/>
  <c r="AS98" i="42"/>
  <c r="AT98" i="42" s="1"/>
  <c r="BB98" i="42" s="1"/>
  <c r="BR98" i="42" s="1"/>
  <c r="BI98" i="42"/>
  <c r="BB94" i="42"/>
  <c r="BJ94" i="42"/>
  <c r="AZ96" i="42"/>
  <c r="BH96" i="42"/>
  <c r="AR90" i="42"/>
  <c r="AS90" i="42" s="1"/>
  <c r="AT90" i="42" s="1"/>
  <c r="BB90" i="42" s="1"/>
  <c r="BR90" i="42" s="1"/>
  <c r="BH90" i="42"/>
  <c r="BF98" i="42"/>
  <c r="AX98" i="42"/>
  <c r="BF93" i="42"/>
  <c r="AX93" i="42"/>
  <c r="BO97" i="42"/>
  <c r="BO90" i="42"/>
  <c r="BN92" i="42"/>
  <c r="BJ92" i="42"/>
  <c r="BB92" i="42"/>
  <c r="BR92" i="42" s="1"/>
  <c r="BG80" i="42"/>
  <c r="BF86" i="42"/>
  <c r="AR86" i="42"/>
  <c r="AS86" i="42" s="1"/>
  <c r="AR87" i="42"/>
  <c r="AS87" i="42" s="1"/>
  <c r="BH82" i="42"/>
  <c r="AR85" i="42"/>
  <c r="AS85" i="42" s="1"/>
  <c r="AT85" i="42" s="1"/>
  <c r="BB85" i="42" s="1"/>
  <c r="BR85" i="42" s="1"/>
  <c r="BF89" i="42"/>
  <c r="BN89" i="42" s="1"/>
  <c r="AX84" i="42"/>
  <c r="BN84" i="42" s="1"/>
  <c r="AX83" i="42"/>
  <c r="BN83" i="42" s="1"/>
  <c r="AR67" i="42"/>
  <c r="BG71" i="42"/>
  <c r="AQ318" i="50"/>
  <c r="AR318" i="50" s="1"/>
  <c r="BD318" i="50" s="1"/>
  <c r="AR71" i="42"/>
  <c r="AZ71" i="42" s="1"/>
  <c r="AR69" i="42"/>
  <c r="AS69" i="42" s="1"/>
  <c r="AT69" i="42" s="1"/>
  <c r="AR159" i="50"/>
  <c r="AO275" i="50"/>
  <c r="AP275" i="50" s="1"/>
  <c r="AQ275" i="50" s="1"/>
  <c r="AR275" i="50" s="1"/>
  <c r="BD275" i="50" s="1"/>
  <c r="AQ314" i="50"/>
  <c r="BC314" i="50" s="1"/>
  <c r="AY85" i="42"/>
  <c r="BO85" i="42" s="1"/>
  <c r="AQ311" i="50"/>
  <c r="AR311" i="50" s="1"/>
  <c r="BD311" i="50" s="1"/>
  <c r="AQ320" i="50"/>
  <c r="BC320" i="50" s="1"/>
  <c r="AY87" i="42"/>
  <c r="BO87" i="42" s="1"/>
  <c r="AS77" i="42"/>
  <c r="AT77" i="42" s="1"/>
  <c r="BB77" i="42" s="1"/>
  <c r="BR77" i="42" s="1"/>
  <c r="BZ77" i="42" s="1"/>
  <c r="AO94" i="50"/>
  <c r="AP94" i="50" s="1"/>
  <c r="AQ94" i="50" s="1"/>
  <c r="AR94" i="50" s="1"/>
  <c r="AO65" i="50"/>
  <c r="AP65" i="50" s="1"/>
  <c r="AQ65" i="50" s="1"/>
  <c r="AR65" i="50" s="1"/>
  <c r="AO93" i="50"/>
  <c r="AP93" i="50" s="1"/>
  <c r="AQ93" i="50" s="1"/>
  <c r="AR93" i="50" s="1"/>
  <c r="BD93" i="50" s="1"/>
  <c r="AR154" i="50"/>
  <c r="BD154" i="50" s="1"/>
  <c r="AQ308" i="50"/>
  <c r="BC308" i="50" s="1"/>
  <c r="AS81" i="42"/>
  <c r="AT81" i="42" s="1"/>
  <c r="BB81" i="42" s="1"/>
  <c r="BR81" i="42" s="1"/>
  <c r="AQ309" i="50"/>
  <c r="BC309" i="50" s="1"/>
  <c r="BH89" i="42"/>
  <c r="AT89" i="42"/>
  <c r="BB89" i="42" s="1"/>
  <c r="BR89" i="42" s="1"/>
  <c r="BN86" i="42"/>
  <c r="BG86" i="42"/>
  <c r="BO86" i="42" s="1"/>
  <c r="BG67" i="42"/>
  <c r="BG78" i="42"/>
  <c r="AR78" i="42"/>
  <c r="AZ78" i="42" s="1"/>
  <c r="BG76" i="42"/>
  <c r="AR83" i="42"/>
  <c r="AS83" i="42" s="1"/>
  <c r="AT83" i="42" s="1"/>
  <c r="BB83" i="42" s="1"/>
  <c r="BR83" i="42" s="1"/>
  <c r="BG82" i="42"/>
  <c r="BO82" i="42" s="1"/>
  <c r="AZ89" i="42"/>
  <c r="BA89" i="42"/>
  <c r="BQ89" i="42" s="1"/>
  <c r="BO88" i="42"/>
  <c r="AZ86" i="42"/>
  <c r="BP86" i="42" s="1"/>
  <c r="BA88" i="42"/>
  <c r="BQ88" i="42" s="1"/>
  <c r="AX85" i="42"/>
  <c r="BF85" i="42"/>
  <c r="BF80" i="42"/>
  <c r="AX80" i="42"/>
  <c r="BA82" i="42"/>
  <c r="BQ82" i="42" s="1"/>
  <c r="AT82" i="42"/>
  <c r="BB82" i="42" s="1"/>
  <c r="BR82" i="42" s="1"/>
  <c r="BF81" i="42"/>
  <c r="AX81" i="42"/>
  <c r="BH84" i="42"/>
  <c r="AR84" i="42"/>
  <c r="AS84" i="42" s="1"/>
  <c r="AT84" i="42" s="1"/>
  <c r="BB84" i="42" s="1"/>
  <c r="BR84" i="42" s="1"/>
  <c r="BF88" i="42"/>
  <c r="AX88" i="42"/>
  <c r="BI84" i="42"/>
  <c r="AO92" i="50"/>
  <c r="AP92" i="50" s="1"/>
  <c r="AQ92" i="50" s="1"/>
  <c r="BG81" i="42"/>
  <c r="AY81" i="42"/>
  <c r="AX82" i="42"/>
  <c r="BF82" i="42"/>
  <c r="AZ81" i="42"/>
  <c r="BP81" i="42" s="1"/>
  <c r="BI85" i="42"/>
  <c r="BO80" i="42"/>
  <c r="AZ82" i="42"/>
  <c r="BP82" i="42" s="1"/>
  <c r="AT86" i="42"/>
  <c r="BB86" i="42" s="1"/>
  <c r="BR86" i="42" s="1"/>
  <c r="AY83" i="42"/>
  <c r="BG83" i="42"/>
  <c r="BA86" i="42"/>
  <c r="BQ86" i="42" s="1"/>
  <c r="BF87" i="42"/>
  <c r="AX87" i="42"/>
  <c r="BH80" i="42"/>
  <c r="AR80" i="42"/>
  <c r="AS80" i="42" s="1"/>
  <c r="BG84" i="42"/>
  <c r="AY84" i="42"/>
  <c r="AP323" i="50"/>
  <c r="AQ323" i="50" s="1"/>
  <c r="BG89" i="42"/>
  <c r="AY89" i="42"/>
  <c r="AZ88" i="42"/>
  <c r="BP88" i="42" s="1"/>
  <c r="AQ319" i="50"/>
  <c r="AR319" i="50" s="1"/>
  <c r="BD319" i="50" s="1"/>
  <c r="BB309" i="50"/>
  <c r="BB319" i="50"/>
  <c r="AP316" i="50"/>
  <c r="AQ316" i="50" s="1"/>
  <c r="AP312" i="50"/>
  <c r="AQ312" i="50" s="1"/>
  <c r="AR312" i="50" s="1"/>
  <c r="BD312" i="50" s="1"/>
  <c r="BB320" i="50"/>
  <c r="BB314" i="50"/>
  <c r="AP310" i="50"/>
  <c r="AQ310" i="50" s="1"/>
  <c r="AP322" i="50"/>
  <c r="AQ322" i="50" s="1"/>
  <c r="AR322" i="50" s="1"/>
  <c r="BD322" i="50" s="1"/>
  <c r="AP317" i="50"/>
  <c r="AQ317" i="50" s="1"/>
  <c r="BC311" i="50"/>
  <c r="AP313" i="50"/>
  <c r="AQ313" i="50" s="1"/>
  <c r="BB311" i="50"/>
  <c r="AQ321" i="50"/>
  <c r="AR321" i="50" s="1"/>
  <c r="BD321" i="50" s="1"/>
  <c r="BB308" i="50"/>
  <c r="BB318" i="50"/>
  <c r="AP315" i="50"/>
  <c r="AO108" i="50"/>
  <c r="AP108" i="50" s="1"/>
  <c r="AQ108" i="50" s="1"/>
  <c r="AR108" i="50" s="1"/>
  <c r="AQ146" i="50"/>
  <c r="AR146" i="50" s="1"/>
  <c r="AY75" i="42"/>
  <c r="AO260" i="50"/>
  <c r="AP260" i="50" s="1"/>
  <c r="AQ260" i="50" s="1"/>
  <c r="AR260" i="50" s="1"/>
  <c r="BD260" i="50" s="1"/>
  <c r="AS74" i="42"/>
  <c r="BA74" i="42" s="1"/>
  <c r="BQ74" i="42" s="1"/>
  <c r="BH78" i="42"/>
  <c r="AR73" i="42"/>
  <c r="AS73" i="42" s="1"/>
  <c r="AT73" i="42" s="1"/>
  <c r="BF78" i="42"/>
  <c r="BN78" i="42" s="1"/>
  <c r="AR75" i="42"/>
  <c r="AS75" i="42" s="1"/>
  <c r="AT75" i="42" s="1"/>
  <c r="AR76" i="42"/>
  <c r="AS76" i="42" s="1"/>
  <c r="AT76" i="42" s="1"/>
  <c r="BB76" i="42" s="1"/>
  <c r="BR76" i="42" s="1"/>
  <c r="BZ76" i="42" s="1"/>
  <c r="AP295" i="50"/>
  <c r="AQ295" i="50" s="1"/>
  <c r="BC295" i="50" s="1"/>
  <c r="AP293" i="50"/>
  <c r="AQ293" i="50" s="1"/>
  <c r="AR293" i="50" s="1"/>
  <c r="BD293" i="50" s="1"/>
  <c r="AR199" i="50"/>
  <c r="BD199" i="50" s="1"/>
  <c r="AO62" i="50"/>
  <c r="AP62" i="50" s="1"/>
  <c r="AQ150" i="50"/>
  <c r="AR150" i="50" s="1"/>
  <c r="BA303" i="50"/>
  <c r="BF72" i="42"/>
  <c r="BN72" i="42" s="1"/>
  <c r="BG70" i="42"/>
  <c r="AX69" i="42"/>
  <c r="BN69" i="42" s="1"/>
  <c r="AR72" i="42"/>
  <c r="AS72" i="42" s="1"/>
  <c r="AT72" i="42" s="1"/>
  <c r="AR68" i="42"/>
  <c r="AS68" i="42" s="1"/>
  <c r="AT68" i="42" s="1"/>
  <c r="BF68" i="42"/>
  <c r="BN68" i="42" s="1"/>
  <c r="BG72" i="42"/>
  <c r="BH71" i="42"/>
  <c r="BG75" i="42"/>
  <c r="AR70" i="42"/>
  <c r="AS70" i="42" s="1"/>
  <c r="AT70" i="42" s="1"/>
  <c r="BB70" i="42" s="1"/>
  <c r="AY73" i="42"/>
  <c r="BG73" i="42"/>
  <c r="BG77" i="42"/>
  <c r="AP294" i="50"/>
  <c r="AQ294" i="50" s="1"/>
  <c r="AR294" i="50" s="1"/>
  <c r="BD294" i="50" s="1"/>
  <c r="AP291" i="50"/>
  <c r="BB291" i="50" s="1"/>
  <c r="AP305" i="50"/>
  <c r="AQ305" i="50" s="1"/>
  <c r="AR305" i="50" s="1"/>
  <c r="BD305" i="50" s="1"/>
  <c r="AQ79" i="42"/>
  <c r="AP232" i="50"/>
  <c r="AQ232" i="50" s="1"/>
  <c r="AR232" i="50" s="1"/>
  <c r="BD232" i="50" s="1"/>
  <c r="O105" i="66"/>
  <c r="BH70" i="42"/>
  <c r="AQ63" i="42"/>
  <c r="AR63" i="42" s="1"/>
  <c r="AS63" i="42" s="1"/>
  <c r="AT63" i="42" s="1"/>
  <c r="BF64" i="42"/>
  <c r="AP64" i="42"/>
  <c r="AQ64" i="42" s="1"/>
  <c r="AR64" i="42" s="1"/>
  <c r="AS64" i="42" s="1"/>
  <c r="AT64" i="42" s="1"/>
  <c r="BF61" i="42"/>
  <c r="AP61" i="42"/>
  <c r="AQ61" i="42" s="1"/>
  <c r="AR61" i="42" s="1"/>
  <c r="AS61" i="42" s="1"/>
  <c r="AT61" i="42" s="1"/>
  <c r="AQ65" i="42"/>
  <c r="AR65" i="42" s="1"/>
  <c r="AS65" i="42" s="1"/>
  <c r="AT65" i="42" s="1"/>
  <c r="AS67" i="42"/>
  <c r="AP62" i="42"/>
  <c r="AQ62" i="42" s="1"/>
  <c r="AR62" i="42" s="1"/>
  <c r="AS62" i="42" s="1"/>
  <c r="AT62" i="42" s="1"/>
  <c r="B511" i="40"/>
  <c r="B230" i="65"/>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AP303" i="50"/>
  <c r="AQ303" i="50" s="1"/>
  <c r="AR303" i="50" s="1"/>
  <c r="BD303" i="50" s="1"/>
  <c r="AO304" i="50"/>
  <c r="AP304" i="50" s="1"/>
  <c r="AQ304" i="50" s="1"/>
  <c r="AR304" i="50" s="1"/>
  <c r="BD304" i="50" s="1"/>
  <c r="AN245" i="50"/>
  <c r="AO245" i="50" s="1"/>
  <c r="AO300" i="50"/>
  <c r="AP300" i="50" s="1"/>
  <c r="AO301" i="50"/>
  <c r="AP301" i="50" s="1"/>
  <c r="BA294" i="50"/>
  <c r="BA295" i="50"/>
  <c r="AZ258" i="50"/>
  <c r="AO281" i="50"/>
  <c r="N100" i="66" s="1"/>
  <c r="AO257" i="50"/>
  <c r="BA257" i="50" s="1"/>
  <c r="AZ229" i="50"/>
  <c r="BA292" i="50"/>
  <c r="BA293" i="50"/>
  <c r="AO298" i="50"/>
  <c r="N101" i="66" s="1"/>
  <c r="AO296" i="50"/>
  <c r="AP296" i="50" s="1"/>
  <c r="BA291" i="50"/>
  <c r="AO297" i="50"/>
  <c r="AP297" i="50" s="1"/>
  <c r="AQ297" i="50" s="1"/>
  <c r="AO299" i="50"/>
  <c r="AP299" i="50" s="1"/>
  <c r="BF74" i="42"/>
  <c r="AX74" i="42"/>
  <c r="AY67" i="42"/>
  <c r="BH72" i="42"/>
  <c r="BF67" i="42"/>
  <c r="AX67" i="42"/>
  <c r="BH75" i="42"/>
  <c r="BI70" i="42"/>
  <c r="BJ70" i="42"/>
  <c r="BN71" i="42"/>
  <c r="BH73" i="42"/>
  <c r="BJ71" i="42"/>
  <c r="BF70" i="42"/>
  <c r="AX70" i="42"/>
  <c r="BI79" i="42"/>
  <c r="BH68" i="42"/>
  <c r="AY77" i="42"/>
  <c r="AY76" i="42"/>
  <c r="BF77" i="42"/>
  <c r="AX77" i="42"/>
  <c r="AZ67" i="42"/>
  <c r="BP67" i="42" s="1"/>
  <c r="BI71" i="42"/>
  <c r="AX76" i="42"/>
  <c r="BF76" i="42"/>
  <c r="BG68" i="42"/>
  <c r="BI67" i="42"/>
  <c r="BF79" i="42"/>
  <c r="AX79" i="42"/>
  <c r="AY70" i="42"/>
  <c r="BF75" i="42"/>
  <c r="AX75" i="42"/>
  <c r="AZ77" i="42"/>
  <c r="BP77" i="42" s="1"/>
  <c r="BI69" i="42"/>
  <c r="AY71" i="42"/>
  <c r="AY74" i="42"/>
  <c r="BO74" i="42" s="1"/>
  <c r="BG69" i="42"/>
  <c r="AX73" i="42"/>
  <c r="BF73" i="42"/>
  <c r="AY72" i="42"/>
  <c r="AO89" i="50"/>
  <c r="AP89" i="50" s="1"/>
  <c r="AQ89" i="50" s="1"/>
  <c r="AR89"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Q124" i="50"/>
  <c r="AR124" i="50" s="1"/>
  <c r="AQ132" i="50"/>
  <c r="AR132" i="50" s="1"/>
  <c r="BD132" i="50" s="1"/>
  <c r="AQ149" i="50"/>
  <c r="AR149" i="50" s="1"/>
  <c r="AR162" i="50"/>
  <c r="AO189" i="50"/>
  <c r="AP189" i="50" s="1"/>
  <c r="AQ189" i="50" s="1"/>
  <c r="AR189" i="50" s="1"/>
  <c r="AO259" i="50"/>
  <c r="AP259" i="50" s="1"/>
  <c r="AQ259" i="50" s="1"/>
  <c r="AR259" i="50" s="1"/>
  <c r="BD259" i="50" s="1"/>
  <c r="AZ277" i="50"/>
  <c r="AO273" i="50"/>
  <c r="AP273" i="50" s="1"/>
  <c r="AZ269"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AO244" i="50"/>
  <c r="AO228" i="50"/>
  <c r="AO279" i="50"/>
  <c r="AP266" i="50"/>
  <c r="AQ266" i="50" s="1"/>
  <c r="AO253" i="50"/>
  <c r="AP253" i="50" s="1"/>
  <c r="AO249" i="50"/>
  <c r="AP249" i="50" s="1"/>
  <c r="AQ249" i="50" s="1"/>
  <c r="AO225" i="50"/>
  <c r="BA225" i="50" s="1"/>
  <c r="AZ284" i="50"/>
  <c r="AO251" i="50"/>
  <c r="AO252" i="50"/>
  <c r="AP252" i="50" s="1"/>
  <c r="AQ252" i="50" s="1"/>
  <c r="AR252" i="50" s="1"/>
  <c r="BD252" i="50" s="1"/>
  <c r="AZ260" i="50"/>
  <c r="AO265" i="50"/>
  <c r="AP265" i="50" s="1"/>
  <c r="AO239" i="50"/>
  <c r="AP239" i="50" s="1"/>
  <c r="AQ239" i="50" s="1"/>
  <c r="AR239" i="50" s="1"/>
  <c r="BD239" i="50" s="1"/>
  <c r="AO229" i="50"/>
  <c r="N98"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O261" i="50"/>
  <c r="AZ273" i="50"/>
  <c r="AZ283" i="50"/>
  <c r="AO262" i="50"/>
  <c r="BA263" i="50"/>
  <c r="AZ265"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AP283" i="50"/>
  <c r="AQ283" i="50" s="1"/>
  <c r="AZ263" i="50"/>
  <c r="AO258" i="50"/>
  <c r="N99" i="66" s="1"/>
  <c r="AO223" i="50"/>
  <c r="AZ124" i="50"/>
  <c r="BD193" i="50"/>
  <c r="BC164" i="50"/>
  <c r="BD174" i="50"/>
  <c r="BC166" i="50"/>
  <c r="BD180" i="50"/>
  <c r="BD166" i="50"/>
  <c r="BD182" i="50"/>
  <c r="BC191" i="50"/>
  <c r="BD170" i="50"/>
  <c r="BD185" i="50"/>
  <c r="BB191" i="50"/>
  <c r="BD165" i="50"/>
  <c r="BC192" i="50"/>
  <c r="BC160" i="50"/>
  <c r="AZ196" i="50"/>
  <c r="BD167" i="50"/>
  <c r="AZ194" i="50"/>
  <c r="BA123" i="50"/>
  <c r="BD159" i="50"/>
  <c r="AZ195" i="50"/>
  <c r="BB143" i="50"/>
  <c r="AZ98" i="50"/>
  <c r="BA197" i="50"/>
  <c r="BC165" i="50"/>
  <c r="BA196" i="50"/>
  <c r="AZ102" i="50"/>
  <c r="AZ101" i="50"/>
  <c r="AZ94" i="50"/>
  <c r="AZ93" i="50"/>
  <c r="AZ105" i="50"/>
  <c r="AZ92" i="50"/>
  <c r="AZ113" i="50"/>
  <c r="BA129" i="50"/>
  <c r="BB146" i="50"/>
  <c r="BB140" i="50"/>
  <c r="BC154" i="50"/>
  <c r="BB149" i="50"/>
  <c r="BB141" i="50"/>
  <c r="BC153" i="50"/>
  <c r="AZ106" i="50"/>
  <c r="AZ89" i="50"/>
  <c r="BD156" i="50"/>
  <c r="BC156" i="50"/>
  <c r="BA119" i="50"/>
  <c r="BA122" i="50"/>
  <c r="BA116" i="50"/>
  <c r="BF62" i="42"/>
  <c r="BF63" i="42"/>
  <c r="AZ125"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AZ126" i="50"/>
  <c r="F48" i="25"/>
  <c r="L40" i="25"/>
  <c r="M41" i="25"/>
  <c r="N42" i="25"/>
  <c r="O43" i="25"/>
  <c r="P44" i="25"/>
  <c r="Q45" i="25"/>
  <c r="K39" i="25"/>
  <c r="BC326" i="50" l="1"/>
  <c r="N349" i="50"/>
  <c r="BC338" i="50"/>
  <c r="BN98" i="42"/>
  <c r="AZ90" i="42"/>
  <c r="BP90" i="42" s="1"/>
  <c r="BR94" i="42"/>
  <c r="BA92" i="42"/>
  <c r="BQ92" i="42" s="1"/>
  <c r="CA92" i="42" s="1"/>
  <c r="BP93" i="42"/>
  <c r="BR96" i="42"/>
  <c r="BA96" i="42"/>
  <c r="BQ96" i="42" s="1"/>
  <c r="BQ94" i="42"/>
  <c r="CA94" i="42" s="1"/>
  <c r="CA97" i="42"/>
  <c r="BN93" i="42"/>
  <c r="BP96" i="42"/>
  <c r="BA98" i="42"/>
  <c r="BQ98" i="42" s="1"/>
  <c r="CA98" i="42" s="1"/>
  <c r="BA95" i="42"/>
  <c r="BQ95" i="42" s="1"/>
  <c r="CA95" i="42" s="1"/>
  <c r="BN94" i="42"/>
  <c r="BA90" i="42"/>
  <c r="BQ90" i="42" s="1"/>
  <c r="BA81" i="42"/>
  <c r="BQ81" i="42" s="1"/>
  <c r="AT87" i="42"/>
  <c r="BB87" i="42" s="1"/>
  <c r="BR87" i="42" s="1"/>
  <c r="BA87" i="42"/>
  <c r="BQ87" i="42" s="1"/>
  <c r="AZ87" i="42"/>
  <c r="BP87" i="42" s="1"/>
  <c r="AZ85" i="42"/>
  <c r="BP85" i="42" s="1"/>
  <c r="BO75" i="42"/>
  <c r="AR320" i="50"/>
  <c r="BD320" i="50" s="1"/>
  <c r="AQ315" i="50"/>
  <c r="P102" i="66" s="1"/>
  <c r="O102" i="66"/>
  <c r="BO71" i="42"/>
  <c r="AS71" i="42"/>
  <c r="AT71" i="42" s="1"/>
  <c r="BB71" i="42" s="1"/>
  <c r="BR71" i="42" s="1"/>
  <c r="BZ71" i="42" s="1"/>
  <c r="BP71" i="42"/>
  <c r="AR314" i="50"/>
  <c r="BD314" i="50" s="1"/>
  <c r="BC318" i="50"/>
  <c r="AR308" i="50"/>
  <c r="BD308" i="50" s="1"/>
  <c r="BB275" i="50"/>
  <c r="BA275" i="50"/>
  <c r="BO78" i="42"/>
  <c r="AR309" i="50"/>
  <c r="BD309" i="50" s="1"/>
  <c r="BC116" i="50"/>
  <c r="AO224" i="50"/>
  <c r="AP224" i="50" s="1"/>
  <c r="AQ224" i="50" s="1"/>
  <c r="BA77" i="42"/>
  <c r="BQ77" i="42" s="1"/>
  <c r="BP89" i="42"/>
  <c r="AS78" i="42"/>
  <c r="AT78" i="42" s="1"/>
  <c r="BB78" i="42" s="1"/>
  <c r="BR78" i="42" s="1"/>
  <c r="BZ78" i="42" s="1"/>
  <c r="BA83" i="42"/>
  <c r="BQ83" i="42" s="1"/>
  <c r="BO76" i="42"/>
  <c r="BO67" i="42"/>
  <c r="BO84" i="42"/>
  <c r="BA84" i="42"/>
  <c r="BQ84" i="42" s="1"/>
  <c r="AZ84" i="42"/>
  <c r="BP84" i="42" s="1"/>
  <c r="AZ83" i="42"/>
  <c r="BP83" i="42" s="1"/>
  <c r="BO81" i="42"/>
  <c r="BB323" i="50"/>
  <c r="AZ80" i="42"/>
  <c r="BP80" i="42" s="1"/>
  <c r="BN85" i="42"/>
  <c r="BN81" i="42"/>
  <c r="BN80" i="42"/>
  <c r="AT74" i="42"/>
  <c r="BB74" i="42" s="1"/>
  <c r="BR74" i="42" s="1"/>
  <c r="BZ74" i="42" s="1"/>
  <c r="AT80" i="42"/>
  <c r="BB80" i="42" s="1"/>
  <c r="BR80" i="42" s="1"/>
  <c r="BA80" i="42"/>
  <c r="BQ80" i="42" s="1"/>
  <c r="BA85" i="42"/>
  <c r="BQ85" i="42" s="1"/>
  <c r="AR323" i="50"/>
  <c r="BD323" i="50" s="1"/>
  <c r="BC323" i="50"/>
  <c r="BN82" i="42"/>
  <c r="BA62" i="50"/>
  <c r="BA260" i="50"/>
  <c r="BC319" i="50"/>
  <c r="BO89" i="42"/>
  <c r="BN87" i="42"/>
  <c r="BO83" i="42"/>
  <c r="BN88" i="42"/>
  <c r="BB322" i="50"/>
  <c r="BB310" i="50"/>
  <c r="BC321" i="50"/>
  <c r="BC322" i="50"/>
  <c r="BC312" i="50"/>
  <c r="BB317" i="50"/>
  <c r="BB315" i="50"/>
  <c r="BB312" i="50"/>
  <c r="BB313" i="50"/>
  <c r="BC317" i="50"/>
  <c r="AR317" i="50"/>
  <c r="BD317" i="50" s="1"/>
  <c r="AR313" i="50"/>
  <c r="BD313" i="50" s="1"/>
  <c r="BC313" i="50"/>
  <c r="AR316" i="50"/>
  <c r="BD316" i="50" s="1"/>
  <c r="BC316" i="50"/>
  <c r="AR310" i="50"/>
  <c r="BD310" i="50" s="1"/>
  <c r="BC310" i="50"/>
  <c r="BB316" i="50"/>
  <c r="BP78" i="42"/>
  <c r="AR295" i="50"/>
  <c r="BD295" i="50" s="1"/>
  <c r="BA76" i="42"/>
  <c r="BQ76" i="42" s="1"/>
  <c r="BC294" i="50"/>
  <c r="AZ76" i="42"/>
  <c r="BP76" i="42" s="1"/>
  <c r="AZ268" i="50"/>
  <c r="BO70" i="42"/>
  <c r="AO248" i="50"/>
  <c r="AP248" i="50" s="1"/>
  <c r="AQ248" i="50" s="1"/>
  <c r="AR248" i="50" s="1"/>
  <c r="BD248" i="50" s="1"/>
  <c r="BA194" i="50"/>
  <c r="BB295" i="50"/>
  <c r="BA281" i="50"/>
  <c r="BO73" i="42"/>
  <c r="BB293" i="50"/>
  <c r="AT67" i="42"/>
  <c r="BB294" i="50"/>
  <c r="BC220" i="50"/>
  <c r="AZ286" i="50"/>
  <c r="AZ227" i="50"/>
  <c r="P105" i="66"/>
  <c r="AQ291" i="50"/>
  <c r="AR291" i="50" s="1"/>
  <c r="BD291" i="50" s="1"/>
  <c r="AP257" i="50"/>
  <c r="AQ257" i="50" s="1"/>
  <c r="AR257" i="50" s="1"/>
  <c r="BD257" i="50" s="1"/>
  <c r="BC232" i="50"/>
  <c r="AO287" i="50"/>
  <c r="AP287" i="50" s="1"/>
  <c r="BB287" i="50" s="1"/>
  <c r="AZ245" i="50"/>
  <c r="AZ267" i="50"/>
  <c r="BB232" i="50"/>
  <c r="BA105" i="50"/>
  <c r="BA89" i="50"/>
  <c r="AR79" i="42"/>
  <c r="AS79" i="42" s="1"/>
  <c r="AZ70" i="42"/>
  <c r="BP70" i="42" s="1"/>
  <c r="BO72" i="42"/>
  <c r="BO77" i="42"/>
  <c r="BC305" i="50"/>
  <c r="BB305" i="50"/>
  <c r="BA276" i="50"/>
  <c r="BA220" i="50"/>
  <c r="AP281" i="50"/>
  <c r="O100" i="66" s="1"/>
  <c r="AP227" i="50"/>
  <c r="AQ227" i="50" s="1"/>
  <c r="AR227" i="50" s="1"/>
  <c r="BD227" i="50" s="1"/>
  <c r="BA267" i="50"/>
  <c r="AP267" i="50"/>
  <c r="AQ267" i="50" s="1"/>
  <c r="AR267" i="50" s="1"/>
  <c r="BD267" i="50" s="1"/>
  <c r="BB220" i="50"/>
  <c r="BC293" i="50"/>
  <c r="AY79" i="42"/>
  <c r="BO79" i="42" s="1"/>
  <c r="BC292" i="50"/>
  <c r="BB292" i="50"/>
  <c r="AY61" i="42"/>
  <c r="BO61" i="42" s="1"/>
  <c r="BW61" i="42" s="1"/>
  <c r="AX64" i="42"/>
  <c r="BN64" i="42" s="1"/>
  <c r="AP236" i="50"/>
  <c r="AQ236" i="50" s="1"/>
  <c r="AR236" i="50" s="1"/>
  <c r="BD236" i="50" s="1"/>
  <c r="AO222" i="50"/>
  <c r="AO246" i="50"/>
  <c r="AP246" i="50" s="1"/>
  <c r="AQ246" i="50" s="1"/>
  <c r="BB278" i="50"/>
  <c r="BB260" i="50"/>
  <c r="BB303" i="50"/>
  <c r="AX62" i="42"/>
  <c r="BN62" i="42" s="1"/>
  <c r="BV62" i="42" s="1"/>
  <c r="BN74" i="42"/>
  <c r="B512" i="40"/>
  <c r="B231" i="65"/>
  <c r="BC303" i="50"/>
  <c r="BR70" i="42"/>
  <c r="BZ70" i="42" s="1"/>
  <c r="AZ72" i="42"/>
  <c r="BP72" i="42" s="1"/>
  <c r="AP245" i="50"/>
  <c r="BA245" i="50"/>
  <c r="BA268" i="50"/>
  <c r="AP268" i="50"/>
  <c r="AQ268" i="50" s="1"/>
  <c r="BC268" i="50" s="1"/>
  <c r="BA286" i="50"/>
  <c r="AP286" i="50"/>
  <c r="AQ286" i="50" s="1"/>
  <c r="AR286" i="50" s="1"/>
  <c r="BD286" i="50" s="1"/>
  <c r="AZ73" i="42"/>
  <c r="BP73" i="42" s="1"/>
  <c r="BA300" i="50"/>
  <c r="BA302" i="50"/>
  <c r="BA301" i="50"/>
  <c r="AQ300" i="50"/>
  <c r="BB300" i="50"/>
  <c r="BC304" i="50"/>
  <c r="AQ302" i="50"/>
  <c r="BB302" i="50"/>
  <c r="BA306" i="50"/>
  <c r="BN75" i="42"/>
  <c r="BN79" i="42"/>
  <c r="BX79" i="42" s="1"/>
  <c r="BN76" i="42"/>
  <c r="BN77" i="42"/>
  <c r="BN67" i="42"/>
  <c r="AP298" i="50"/>
  <c r="O101" i="66" s="1"/>
  <c r="AQ301" i="50"/>
  <c r="BB301" i="50"/>
  <c r="BA304" i="50"/>
  <c r="AQ306" i="50"/>
  <c r="BB306" i="50"/>
  <c r="BB72" i="42"/>
  <c r="BR72" i="42" s="1"/>
  <c r="BZ72" i="42" s="1"/>
  <c r="BA72" i="42"/>
  <c r="BQ72" i="42" s="1"/>
  <c r="BA70" i="42"/>
  <c r="BQ70" i="42" s="1"/>
  <c r="BB304" i="50"/>
  <c r="BA252" i="50"/>
  <c r="AP288" i="50"/>
  <c r="AQ288" i="50" s="1"/>
  <c r="BC288" i="50" s="1"/>
  <c r="BB276" i="50"/>
  <c r="BA298" i="50"/>
  <c r="BA277" i="50"/>
  <c r="BA297" i="50"/>
  <c r="BA256" i="50"/>
  <c r="AQ299" i="50"/>
  <c r="BB299" i="50"/>
  <c r="AQ296" i="50"/>
  <c r="BB296" i="50"/>
  <c r="AR297" i="50"/>
  <c r="BD297" i="50" s="1"/>
  <c r="BC297" i="50"/>
  <c r="AQ277" i="50"/>
  <c r="AR277" i="50" s="1"/>
  <c r="BD277" i="50" s="1"/>
  <c r="BC275" i="50"/>
  <c r="BA299" i="50"/>
  <c r="BA296" i="50"/>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2"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B283" i="50"/>
  <c r="AZ262" i="50"/>
  <c r="BA224" i="50"/>
  <c r="AZ250" i="50"/>
  <c r="BA273" i="50"/>
  <c r="AZ225" i="50"/>
  <c r="AZ253" i="50"/>
  <c r="AZ230" i="50"/>
  <c r="AZ290" i="50"/>
  <c r="AZ270" i="50"/>
  <c r="BA265" i="50"/>
  <c r="BA70" i="50"/>
  <c r="AZ233" i="50"/>
  <c r="BC119" i="50"/>
  <c r="BA104" i="50"/>
  <c r="AZ218" i="50"/>
  <c r="BA270" i="50"/>
  <c r="BB241" i="50"/>
  <c r="BC252" i="50"/>
  <c r="BB252" i="50"/>
  <c r="AZ285" i="50"/>
  <c r="AP235" i="50"/>
  <c r="BA235" i="50"/>
  <c r="BB234" i="50"/>
  <c r="AP229" i="50"/>
  <c r="O98" i="66" s="1"/>
  <c r="BA229" i="50"/>
  <c r="AP251" i="50"/>
  <c r="BA251" i="50"/>
  <c r="AP244" i="50"/>
  <c r="BA244" i="50"/>
  <c r="AR254" i="50"/>
  <c r="BD254" i="50" s="1"/>
  <c r="BC254" i="50"/>
  <c r="AR234" i="50"/>
  <c r="BD234" i="50" s="1"/>
  <c r="BC234" i="50"/>
  <c r="AR272" i="50"/>
  <c r="BD272" i="50" s="1"/>
  <c r="BC272" i="50"/>
  <c r="AP258" i="50"/>
  <c r="O99" i="66" s="1"/>
  <c r="BA258" i="50"/>
  <c r="AR283" i="50"/>
  <c r="BD283" i="50" s="1"/>
  <c r="BC283" i="50"/>
  <c r="AR218" i="50"/>
  <c r="BD218" i="50" s="1"/>
  <c r="BC218" i="50"/>
  <c r="AZ254" i="50"/>
  <c r="BA234" i="50"/>
  <c r="AZ238" i="50"/>
  <c r="AP262" i="50"/>
  <c r="BA262" i="50"/>
  <c r="AO284" i="50"/>
  <c r="AZ231" i="50"/>
  <c r="AP250" i="50"/>
  <c r="BA250" i="50"/>
  <c r="AZ272"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BB272" i="50"/>
  <c r="AZ234" i="50"/>
  <c r="AQ264" i="50"/>
  <c r="BB264" i="50"/>
  <c r="AZ239" i="50"/>
  <c r="BB265" i="50"/>
  <c r="AQ265" i="50"/>
  <c r="BA25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M349" i="50" l="1"/>
  <c r="CA96" i="42"/>
  <c r="BA78" i="42"/>
  <c r="BQ78" i="42" s="1"/>
  <c r="AR315" i="50"/>
  <c r="BD315" i="50" s="1"/>
  <c r="BC315" i="50"/>
  <c r="BA71" i="42"/>
  <c r="BQ71" i="42" s="1"/>
  <c r="BB224" i="50"/>
  <c r="M348" i="50"/>
  <c r="L348" i="50"/>
  <c r="K347" i="50"/>
  <c r="J346" i="50"/>
  <c r="N348" i="50"/>
  <c r="J345" i="50"/>
  <c r="N210" i="50"/>
  <c r="N359" i="50" s="1"/>
  <c r="M210" i="50"/>
  <c r="M359" i="50" s="1"/>
  <c r="BB236" i="50"/>
  <c r="BB248" i="50"/>
  <c r="BA248" i="50"/>
  <c r="AQ287" i="50"/>
  <c r="AR287" i="50" s="1"/>
  <c r="BD287" i="50" s="1"/>
  <c r="BB246" i="50"/>
  <c r="BC248" i="50"/>
  <c r="BC291" i="50"/>
  <c r="BB257" i="50"/>
  <c r="BB267" i="50"/>
  <c r="BC257" i="50"/>
  <c r="AQ281" i="50"/>
  <c r="P100" i="66" s="1"/>
  <c r="Q105" i="66"/>
  <c r="L209" i="50"/>
  <c r="BA287" i="50"/>
  <c r="BC227" i="50"/>
  <c r="BB281" i="50"/>
  <c r="BC267" i="50"/>
  <c r="AT79" i="42"/>
  <c r="AZ79" i="42"/>
  <c r="BP79" i="42" s="1"/>
  <c r="BC236" i="50"/>
  <c r="BB286" i="50"/>
  <c r="BB227" i="50"/>
  <c r="BC277" i="50"/>
  <c r="BA79" i="42"/>
  <c r="BQ79" i="42" s="1"/>
  <c r="AR288" i="50"/>
  <c r="BD288" i="50" s="1"/>
  <c r="BA246" i="50"/>
  <c r="BA222" i="50"/>
  <c r="AP222" i="50"/>
  <c r="BB288" i="50"/>
  <c r="BB268" i="50"/>
  <c r="BC286" i="50"/>
  <c r="B513" i="40"/>
  <c r="B232" i="65"/>
  <c r="AR306" i="50"/>
  <c r="BD306" i="50" s="1"/>
  <c r="BC306" i="50"/>
  <c r="AQ298" i="50"/>
  <c r="P101" i="66" s="1"/>
  <c r="BB298" i="50"/>
  <c r="L347"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P98" i="66" s="1"/>
  <c r="BB229" i="50"/>
  <c r="AQ280" i="50"/>
  <c r="BB280" i="50"/>
  <c r="AQ285" i="50"/>
  <c r="BB285" i="50"/>
  <c r="AQ226" i="50"/>
  <c r="BB226" i="50"/>
  <c r="AR253" i="50"/>
  <c r="BD253" i="50" s="1"/>
  <c r="BC253" i="50"/>
  <c r="AR265" i="50"/>
  <c r="BD265" i="50" s="1"/>
  <c r="BC265" i="50"/>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K346" i="50" s="1"/>
  <c r="AQ258" i="50"/>
  <c r="P99" i="66" s="1"/>
  <c r="BB258" i="50"/>
  <c r="AQ244" i="50"/>
  <c r="BB244" i="50"/>
  <c r="AQ235" i="50"/>
  <c r="BB235" i="50"/>
  <c r="BA90" i="50"/>
  <c r="K206" i="50" s="1"/>
  <c r="BB90" i="50"/>
  <c r="BA61" i="42"/>
  <c r="BQ61" i="42" s="1"/>
  <c r="AY64" i="42"/>
  <c r="BO64" i="42" s="1"/>
  <c r="BW64" i="42" s="1"/>
  <c r="BC102" i="50"/>
  <c r="BA64" i="42"/>
  <c r="BQ64" i="42" s="1"/>
  <c r="K208" i="50"/>
  <c r="K357" i="50" s="1"/>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O103" i="42" l="1"/>
  <c r="N19" i="32" s="1"/>
  <c r="O104" i="42"/>
  <c r="N20" i="32" s="1"/>
  <c r="K345" i="50"/>
  <c r="L345" i="50"/>
  <c r="R105" i="66"/>
  <c r="O362" i="50"/>
  <c r="N26" i="32" s="1"/>
  <c r="L358" i="50"/>
  <c r="M358" i="50"/>
  <c r="N358" i="50"/>
  <c r="BC281" i="50"/>
  <c r="AR281" i="50"/>
  <c r="BD281" i="50" s="1"/>
  <c r="BB79" i="42"/>
  <c r="BR79" i="42" s="1"/>
  <c r="BZ79" i="42" s="1"/>
  <c r="BY64" i="42"/>
  <c r="BY61" i="42"/>
  <c r="AQ222" i="50"/>
  <c r="BB222" i="50"/>
  <c r="L357" i="50"/>
  <c r="B514" i="40"/>
  <c r="B233" i="65"/>
  <c r="AR298" i="50"/>
  <c r="BD298" i="50" s="1"/>
  <c r="N347" i="50" s="1"/>
  <c r="BC298" i="50"/>
  <c r="M347" i="50" s="1"/>
  <c r="AR245" i="50"/>
  <c r="BD245" i="50" s="1"/>
  <c r="BC245" i="50"/>
  <c r="BB67" i="42"/>
  <c r="BR67" i="42" s="1"/>
  <c r="BZ67" i="4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46"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BD187" i="50"/>
  <c r="BC187" i="50"/>
  <c r="L206" i="50"/>
  <c r="BD108" i="50"/>
  <c r="BC108" i="50"/>
  <c r="BD110" i="50"/>
  <c r="BC110" i="50"/>
  <c r="BD107" i="50"/>
  <c r="BC107" i="50"/>
  <c r="BD111" i="50"/>
  <c r="BC111" i="50"/>
  <c r="J356" i="50"/>
  <c r="BC64" i="50"/>
  <c r="BB65" i="42"/>
  <c r="BR65" i="42" s="1"/>
  <c r="BZ65" i="42" s="1"/>
  <c r="BA65" i="42"/>
  <c r="BQ65" i="42" s="1"/>
  <c r="BY65" i="42" s="1"/>
  <c r="BD65" i="50"/>
  <c r="BC65" i="50"/>
  <c r="BD82" i="50"/>
  <c r="BC82" i="50"/>
  <c r="BD86" i="50"/>
  <c r="BC86" i="50"/>
  <c r="BD68" i="50"/>
  <c r="BC68" i="50"/>
  <c r="BD69" i="50"/>
  <c r="BC69" i="50"/>
  <c r="BD79" i="50"/>
  <c r="BC79" i="50"/>
  <c r="BL60" i="42"/>
  <c r="N345" i="50" l="1"/>
  <c r="M345" i="50"/>
  <c r="M357" i="50"/>
  <c r="AR222" i="50"/>
  <c r="BD222" i="50" s="1"/>
  <c r="BC222" i="50"/>
  <c r="B515" i="40"/>
  <c r="B234" i="65"/>
  <c r="N357" i="50"/>
  <c r="AR284" i="50"/>
  <c r="BD284" i="50" s="1"/>
  <c r="N346" i="50" s="1"/>
  <c r="BC284" i="50"/>
  <c r="M346" i="50" s="1"/>
  <c r="M207" i="50"/>
  <c r="N207" i="50"/>
  <c r="M206" i="50"/>
  <c r="N206" i="50"/>
  <c r="BD64" i="50"/>
  <c r="F172" i="24"/>
  <c r="F72" i="36" s="1"/>
  <c r="F171" i="24"/>
  <c r="F71" i="36" s="1"/>
  <c r="F70" i="36"/>
  <c r="F169" i="24"/>
  <c r="F69" i="36" s="1"/>
  <c r="F101" i="24"/>
  <c r="F27" i="34" s="1"/>
  <c r="L38" i="65"/>
  <c r="K37" i="65"/>
  <c r="J36" i="65"/>
  <c r="I35" i="65"/>
  <c r="B516" i="40" l="1"/>
  <c r="B235" i="65"/>
  <c r="H31" i="37"/>
  <c r="L35" i="37"/>
  <c r="I32" i="37"/>
  <c r="M36" i="37"/>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6" i="65"/>
  <c r="L37" i="65"/>
  <c r="L20" i="68"/>
  <c r="K36" i="65"/>
  <c r="J35" i="65"/>
  <c r="L31" i="42"/>
  <c r="M32" i="42"/>
  <c r="O41" i="25"/>
  <c r="L33" i="50"/>
  <c r="P42" i="25"/>
  <c r="M34" i="50"/>
  <c r="I31" i="37"/>
  <c r="J32" i="37"/>
  <c r="J881" i="37" s="1"/>
  <c r="L34" i="37"/>
  <c r="K33" i="37"/>
  <c r="M35" i="37"/>
  <c r="M881" i="37" s="1"/>
  <c r="M34" i="37"/>
  <c r="BE60" i="42"/>
  <c r="K32" i="50"/>
  <c r="K30" i="42"/>
  <c r="N40" i="25"/>
  <c r="N35" i="50"/>
  <c r="N33" i="42"/>
  <c r="BZ90" i="42" s="1"/>
  <c r="Q43" i="25"/>
  <c r="J29" i="42"/>
  <c r="J31" i="50"/>
  <c r="M39" i="25"/>
  <c r="P41" i="25"/>
  <c r="N32" i="42"/>
  <c r="N34" i="50"/>
  <c r="Q42" i="25"/>
  <c r="E895" i="40"/>
  <c r="G807" i="40"/>
  <c r="G811" i="40" s="1"/>
  <c r="H807" i="40"/>
  <c r="H812" i="40" s="1"/>
  <c r="I807" i="40"/>
  <c r="I813" i="40" s="1"/>
  <c r="J807" i="40"/>
  <c r="J814" i="40" s="1"/>
  <c r="K807" i="40"/>
  <c r="K815" i="40" s="1"/>
  <c r="L807" i="40"/>
  <c r="L816" i="40" s="1"/>
  <c r="M807" i="40"/>
  <c r="M817" i="40" s="1"/>
  <c r="N807" i="40"/>
  <c r="N818" i="40" s="1"/>
  <c r="O807" i="40"/>
  <c r="O819" i="40" s="1"/>
  <c r="P807" i="40"/>
  <c r="P820" i="40" s="1"/>
  <c r="Q807" i="40"/>
  <c r="Q821" i="40" s="1"/>
  <c r="R807" i="40"/>
  <c r="R822" i="40" s="1"/>
  <c r="S807" i="40"/>
  <c r="S823" i="40" s="1"/>
  <c r="T807" i="40"/>
  <c r="T824" i="40" s="1"/>
  <c r="U807" i="40"/>
  <c r="U825" i="40" s="1"/>
  <c r="V807" i="40"/>
  <c r="V826" i="40" s="1"/>
  <c r="W807" i="40"/>
  <c r="W827" i="40" s="1"/>
  <c r="X807" i="40"/>
  <c r="X828" i="40" s="1"/>
  <c r="Y807" i="40"/>
  <c r="Y829" i="40" s="1"/>
  <c r="Z807" i="40"/>
  <c r="Z830" i="40" s="1"/>
  <c r="AA807" i="40"/>
  <c r="AA831" i="40" s="1"/>
  <c r="AB807" i="40"/>
  <c r="AB832" i="40" s="1"/>
  <c r="AC807" i="40"/>
  <c r="AC833" i="40" s="1"/>
  <c r="AD807" i="40"/>
  <c r="AD834" i="40" s="1"/>
  <c r="AE807" i="40"/>
  <c r="AE835" i="40" s="1"/>
  <c r="AF807" i="40"/>
  <c r="AF836" i="40" s="1"/>
  <c r="AG807" i="40"/>
  <c r="AG837" i="40" s="1"/>
  <c r="AH807" i="40"/>
  <c r="AH838" i="40" s="1"/>
  <c r="AI807" i="40"/>
  <c r="AI839" i="40" s="1"/>
  <c r="AJ807" i="40"/>
  <c r="AJ840" i="40" s="1"/>
  <c r="AK807" i="40"/>
  <c r="AK841" i="40" s="1"/>
  <c r="AL807" i="40"/>
  <c r="AL842" i="40" s="1"/>
  <c r="AM807" i="40"/>
  <c r="AM843" i="40" s="1"/>
  <c r="AN807" i="40"/>
  <c r="AN844" i="40" s="1"/>
  <c r="AO807" i="40"/>
  <c r="AO845" i="40" s="1"/>
  <c r="AP807" i="40"/>
  <c r="AP846" i="40" s="1"/>
  <c r="AQ807" i="40"/>
  <c r="AQ847" i="40" s="1"/>
  <c r="AR807" i="40"/>
  <c r="AR848" i="40" s="1"/>
  <c r="AS807" i="40"/>
  <c r="AS849" i="40" s="1"/>
  <c r="AT807" i="40"/>
  <c r="AT850" i="40" s="1"/>
  <c r="AU807" i="40"/>
  <c r="AU851" i="40" s="1"/>
  <c r="AV807" i="40"/>
  <c r="AV852" i="40" s="1"/>
  <c r="AW807" i="40"/>
  <c r="AW853" i="40" s="1"/>
  <c r="AX807" i="40"/>
  <c r="AX854" i="40" s="1"/>
  <c r="AY807" i="40"/>
  <c r="AY855" i="40" s="1"/>
  <c r="AZ807" i="40"/>
  <c r="AZ856" i="40" s="1"/>
  <c r="BA807" i="40"/>
  <c r="BA857" i="40" s="1"/>
  <c r="BB807" i="40"/>
  <c r="BB858" i="40" s="1"/>
  <c r="BC807" i="40"/>
  <c r="BC859" i="40" s="1"/>
  <c r="BE807" i="40"/>
  <c r="BE861" i="40" s="1"/>
  <c r="BF807" i="40"/>
  <c r="BF862" i="40" s="1"/>
  <c r="BG807" i="40"/>
  <c r="BG863" i="40" s="1"/>
  <c r="BH807" i="40"/>
  <c r="BH864" i="40" s="1"/>
  <c r="BI807" i="40"/>
  <c r="BI865" i="40" s="1"/>
  <c r="BJ807" i="40"/>
  <c r="BJ866" i="40" s="1"/>
  <c r="BL807" i="40"/>
  <c r="BL868" i="40" s="1"/>
  <c r="BM807" i="40"/>
  <c r="BM869" i="40" s="1"/>
  <c r="BN807" i="40"/>
  <c r="BN870" i="40" s="1"/>
  <c r="BO807" i="40"/>
  <c r="BO871" i="40" s="1"/>
  <c r="BP807" i="40"/>
  <c r="BP872" i="40" s="1"/>
  <c r="BQ807" i="40"/>
  <c r="BQ873" i="40" s="1"/>
  <c r="BR807" i="40"/>
  <c r="BS807" i="40"/>
  <c r="BT807" i="40"/>
  <c r="BU807" i="40"/>
  <c r="BV807" i="40"/>
  <c r="BW807" i="40"/>
  <c r="BX807" i="40"/>
  <c r="BY807" i="40"/>
  <c r="BZ807" i="40"/>
  <c r="CA807" i="40"/>
  <c r="CB807" i="40"/>
  <c r="F807" i="40"/>
  <c r="F810" i="40" s="1"/>
  <c r="E807" i="40"/>
  <c r="BK807" i="40"/>
  <c r="BK867" i="40" s="1"/>
  <c r="BD807" i="40"/>
  <c r="BD860" i="40" s="1"/>
  <c r="BZ82" i="42" l="1"/>
  <c r="BZ88" i="42"/>
  <c r="BZ84" i="42"/>
  <c r="BZ86" i="42"/>
  <c r="BZ83" i="42"/>
  <c r="BZ85" i="42"/>
  <c r="BZ89" i="42"/>
  <c r="BZ87" i="42"/>
  <c r="BZ81" i="42"/>
  <c r="BZ80" i="42"/>
  <c r="B518" i="40"/>
  <c r="B237" i="65"/>
  <c r="BY66" i="42"/>
  <c r="BY73" i="42"/>
  <c r="BY78" i="42"/>
  <c r="BY79" i="42"/>
  <c r="BY67" i="42"/>
  <c r="BY71" i="42"/>
  <c r="BY75" i="42"/>
  <c r="BY74" i="42"/>
  <c r="BY70" i="42"/>
  <c r="BY76" i="42"/>
  <c r="BY72" i="42"/>
  <c r="BY77" i="42"/>
  <c r="BY68" i="42"/>
  <c r="BY69" i="42"/>
  <c r="L36" i="65"/>
  <c r="L19" i="68"/>
  <c r="L35" i="65"/>
  <c r="L18" i="68"/>
  <c r="K35" i="65"/>
  <c r="K18" i="68"/>
  <c r="M31" i="42"/>
  <c r="M33" i="50"/>
  <c r="BX61" i="42"/>
  <c r="BX63" i="42"/>
  <c r="BX62" i="42"/>
  <c r="BX64" i="42"/>
  <c r="BX65" i="42"/>
  <c r="AZ123" i="50"/>
  <c r="L33" i="37"/>
  <c r="L881" i="37" s="1"/>
  <c r="M33" i="37"/>
  <c r="K32" i="37"/>
  <c r="J31" i="37"/>
  <c r="K356" i="50"/>
  <c r="K31" i="50"/>
  <c r="K29" i="42"/>
  <c r="N39" i="25"/>
  <c r="N31" i="42"/>
  <c r="N33" i="50"/>
  <c r="Q41" i="25"/>
  <c r="AW60" i="42"/>
  <c r="L32" i="50"/>
  <c r="L30" i="42"/>
  <c r="O40" i="25"/>
  <c r="CB884" i="40"/>
  <c r="BX880" i="40"/>
  <c r="BY880" i="40" s="1"/>
  <c r="BT876" i="40"/>
  <c r="BU876" i="40" s="1"/>
  <c r="CA883" i="40"/>
  <c r="CB883" i="40" s="1"/>
  <c r="BW879" i="40"/>
  <c r="BX879" i="40" s="1"/>
  <c r="BS875" i="40"/>
  <c r="BT875" i="40" s="1"/>
  <c r="BV878" i="40"/>
  <c r="BW878" i="40" s="1"/>
  <c r="BZ882" i="40"/>
  <c r="CA882" i="40" s="1"/>
  <c r="BR874" i="40"/>
  <c r="BS874" i="40" s="1"/>
  <c r="BT874" i="40" s="1"/>
  <c r="BU874" i="40" s="1"/>
  <c r="BV874" i="40" s="1"/>
  <c r="BW874" i="40" s="1"/>
  <c r="BX874" i="40" s="1"/>
  <c r="BY874" i="40" s="1"/>
  <c r="BZ874" i="40" s="1"/>
  <c r="CA874" i="40" s="1"/>
  <c r="BY881" i="40"/>
  <c r="BZ881" i="40" s="1"/>
  <c r="BU877" i="40"/>
  <c r="BV877" i="40" s="1"/>
  <c r="I812" i="40"/>
  <c r="J812" i="40" s="1"/>
  <c r="K812" i="40" s="1"/>
  <c r="L812" i="40" s="1"/>
  <c r="M812" i="40" s="1"/>
  <c r="N812" i="40" s="1"/>
  <c r="O812" i="40" s="1"/>
  <c r="P812" i="40" s="1"/>
  <c r="Q812" i="40" s="1"/>
  <c r="R812" i="40" s="1"/>
  <c r="S812" i="40" s="1"/>
  <c r="T812" i="40" s="1"/>
  <c r="U812" i="40" s="1"/>
  <c r="V812" i="40" s="1"/>
  <c r="W812" i="40" s="1"/>
  <c r="X812" i="40" s="1"/>
  <c r="Y812" i="40" s="1"/>
  <c r="Z812" i="40" s="1"/>
  <c r="AA812" i="40" s="1"/>
  <c r="AB812" i="40" s="1"/>
  <c r="AC812" i="40" s="1"/>
  <c r="AD812" i="40" s="1"/>
  <c r="AE812" i="40" s="1"/>
  <c r="AF812" i="40" s="1"/>
  <c r="AG812" i="40" s="1"/>
  <c r="AH812" i="40" s="1"/>
  <c r="AI812" i="40" s="1"/>
  <c r="AJ812" i="40" s="1"/>
  <c r="AK812" i="40" s="1"/>
  <c r="AL812" i="40" s="1"/>
  <c r="AM812" i="40" s="1"/>
  <c r="AN812" i="40" s="1"/>
  <c r="AO812" i="40" s="1"/>
  <c r="AP812" i="40" s="1"/>
  <c r="AQ812" i="40" s="1"/>
  <c r="AR812" i="40" s="1"/>
  <c r="AS812" i="40" s="1"/>
  <c r="AT812" i="40" s="1"/>
  <c r="AU812" i="40" s="1"/>
  <c r="AV812" i="40" s="1"/>
  <c r="AW812" i="40" s="1"/>
  <c r="AX812" i="40" s="1"/>
  <c r="AY812" i="40" s="1"/>
  <c r="AZ812" i="40" s="1"/>
  <c r="BA812" i="40" s="1"/>
  <c r="BB812" i="40" s="1"/>
  <c r="BC812" i="40" s="1"/>
  <c r="BD812" i="40" s="1"/>
  <c r="BE812" i="40" s="1"/>
  <c r="BF812" i="40" s="1"/>
  <c r="BG812" i="40" s="1"/>
  <c r="BH812" i="40" s="1"/>
  <c r="BI812" i="40" s="1"/>
  <c r="BJ812" i="40" s="1"/>
  <c r="BK812" i="40" s="1"/>
  <c r="BL812" i="40" s="1"/>
  <c r="BM812" i="40" s="1"/>
  <c r="BN812" i="40" s="1"/>
  <c r="BO812" i="40" s="1"/>
  <c r="BP812" i="40" s="1"/>
  <c r="BQ812" i="40" s="1"/>
  <c r="BR812" i="40" s="1"/>
  <c r="BS812" i="40" s="1"/>
  <c r="BT812" i="40" s="1"/>
  <c r="BU812" i="40" s="1"/>
  <c r="BV812" i="40" s="1"/>
  <c r="BW812" i="40" s="1"/>
  <c r="BX812" i="40" s="1"/>
  <c r="BY812" i="40" s="1"/>
  <c r="BZ812" i="40" s="1"/>
  <c r="CA812" i="40" s="1"/>
  <c r="CB812" i="40" s="1"/>
  <c r="AO844" i="40"/>
  <c r="AP844" i="40" s="1"/>
  <c r="AQ844" i="40" s="1"/>
  <c r="AR844" i="40" s="1"/>
  <c r="AS844" i="40" s="1"/>
  <c r="AT844" i="40" s="1"/>
  <c r="AU844" i="40" s="1"/>
  <c r="AV844" i="40" s="1"/>
  <c r="AW844" i="40" s="1"/>
  <c r="AX844" i="40" s="1"/>
  <c r="AY844" i="40" s="1"/>
  <c r="AZ844" i="40" s="1"/>
  <c r="BA844" i="40" s="1"/>
  <c r="BB844" i="40" s="1"/>
  <c r="BC844" i="40" s="1"/>
  <c r="BD844" i="40" s="1"/>
  <c r="BE844" i="40" s="1"/>
  <c r="BF844" i="40" s="1"/>
  <c r="BG844" i="40" s="1"/>
  <c r="BH844" i="40" s="1"/>
  <c r="BI844" i="40" s="1"/>
  <c r="BJ844" i="40" s="1"/>
  <c r="BK844" i="40" s="1"/>
  <c r="BL844" i="40" s="1"/>
  <c r="BM844" i="40" s="1"/>
  <c r="BN844" i="40" s="1"/>
  <c r="BO844" i="40" s="1"/>
  <c r="BP844" i="40" s="1"/>
  <c r="BQ844" i="40" s="1"/>
  <c r="BR844" i="40" s="1"/>
  <c r="BS844" i="40" s="1"/>
  <c r="BT844" i="40" s="1"/>
  <c r="BU844" i="40" s="1"/>
  <c r="BV844" i="40" s="1"/>
  <c r="BW844" i="40" s="1"/>
  <c r="BX844" i="40" s="1"/>
  <c r="BY844" i="40" s="1"/>
  <c r="BZ844" i="40" s="1"/>
  <c r="CA844" i="40" s="1"/>
  <c r="U824" i="40"/>
  <c r="V824" i="40" s="1"/>
  <c r="W824" i="40" s="1"/>
  <c r="X824" i="40" s="1"/>
  <c r="Y824" i="40" s="1"/>
  <c r="Z824" i="40" s="1"/>
  <c r="AA824" i="40" s="1"/>
  <c r="AB824" i="40" s="1"/>
  <c r="AC824" i="40" s="1"/>
  <c r="AD824" i="40" s="1"/>
  <c r="AE824" i="40" s="1"/>
  <c r="AF824" i="40" s="1"/>
  <c r="AG824" i="40" s="1"/>
  <c r="AH824" i="40" s="1"/>
  <c r="AI824" i="40" s="1"/>
  <c r="AJ824" i="40" s="1"/>
  <c r="AK824" i="40" s="1"/>
  <c r="AL824" i="40" s="1"/>
  <c r="AM824" i="40" s="1"/>
  <c r="AN824" i="40" s="1"/>
  <c r="AO824" i="40" s="1"/>
  <c r="AP824" i="40" s="1"/>
  <c r="AQ824" i="40" s="1"/>
  <c r="AR824" i="40" s="1"/>
  <c r="AS824" i="40" s="1"/>
  <c r="AT824" i="40" s="1"/>
  <c r="AU824" i="40" s="1"/>
  <c r="AV824" i="40" s="1"/>
  <c r="AW824" i="40" s="1"/>
  <c r="AX824" i="40" s="1"/>
  <c r="AY824" i="40" s="1"/>
  <c r="AZ824" i="40" s="1"/>
  <c r="BA824" i="40" s="1"/>
  <c r="BB824" i="40" s="1"/>
  <c r="BC824" i="40" s="1"/>
  <c r="BD824" i="40" s="1"/>
  <c r="BE824" i="40" s="1"/>
  <c r="BF824" i="40" s="1"/>
  <c r="BG824" i="40" s="1"/>
  <c r="BH824" i="40" s="1"/>
  <c r="BI824" i="40" s="1"/>
  <c r="BJ824" i="40" s="1"/>
  <c r="BK824" i="40" s="1"/>
  <c r="BL824" i="40" s="1"/>
  <c r="BM824" i="40" s="1"/>
  <c r="BN824" i="40" s="1"/>
  <c r="BO824" i="40" s="1"/>
  <c r="BP824" i="40" s="1"/>
  <c r="BQ824" i="40" s="1"/>
  <c r="BR824" i="40" s="1"/>
  <c r="BS824" i="40" s="1"/>
  <c r="BT824" i="40" s="1"/>
  <c r="BU824" i="40" s="1"/>
  <c r="BV824" i="40" s="1"/>
  <c r="BW824" i="40" s="1"/>
  <c r="BX824" i="40" s="1"/>
  <c r="BY824" i="40" s="1"/>
  <c r="BZ824" i="40" s="1"/>
  <c r="CA824" i="40" s="1"/>
  <c r="BE860" i="40"/>
  <c r="BF860" i="40" s="1"/>
  <c r="BG860" i="40" s="1"/>
  <c r="BH860" i="40" s="1"/>
  <c r="BI860" i="40" s="1"/>
  <c r="BJ860" i="40" s="1"/>
  <c r="BK860" i="40" s="1"/>
  <c r="BL860" i="40" s="1"/>
  <c r="BM860" i="40" s="1"/>
  <c r="BN860" i="40" s="1"/>
  <c r="BO860" i="40" s="1"/>
  <c r="BP860" i="40" s="1"/>
  <c r="BQ860" i="40" s="1"/>
  <c r="BR860" i="40" s="1"/>
  <c r="BS860" i="40" s="1"/>
  <c r="BT860" i="40" s="1"/>
  <c r="BU860" i="40" s="1"/>
  <c r="BV860" i="40" s="1"/>
  <c r="BW860" i="40" s="1"/>
  <c r="BX860" i="40" s="1"/>
  <c r="BY860" i="40" s="1"/>
  <c r="BZ860" i="40" s="1"/>
  <c r="CA860" i="40" s="1"/>
  <c r="AK840" i="40"/>
  <c r="AL840" i="40" s="1"/>
  <c r="AM840" i="40" s="1"/>
  <c r="AN840" i="40" s="1"/>
  <c r="AO840" i="40" s="1"/>
  <c r="AP840" i="40" s="1"/>
  <c r="AQ840" i="40" s="1"/>
  <c r="AR840" i="40" s="1"/>
  <c r="AS840" i="40" s="1"/>
  <c r="AT840" i="40" s="1"/>
  <c r="AU840" i="40" s="1"/>
  <c r="AV840" i="40" s="1"/>
  <c r="AW840" i="40" s="1"/>
  <c r="AX840" i="40" s="1"/>
  <c r="AY840" i="40" s="1"/>
  <c r="AZ840" i="40" s="1"/>
  <c r="BA840" i="40" s="1"/>
  <c r="BB840" i="40" s="1"/>
  <c r="BC840" i="40" s="1"/>
  <c r="BD840" i="40" s="1"/>
  <c r="BE840" i="40" s="1"/>
  <c r="BF840" i="40" s="1"/>
  <c r="BG840" i="40" s="1"/>
  <c r="BH840" i="40" s="1"/>
  <c r="BI840" i="40" s="1"/>
  <c r="BJ840" i="40" s="1"/>
  <c r="BK840" i="40" s="1"/>
  <c r="BL840" i="40" s="1"/>
  <c r="BM840" i="40" s="1"/>
  <c r="BN840" i="40" s="1"/>
  <c r="BO840" i="40" s="1"/>
  <c r="BP840" i="40" s="1"/>
  <c r="BQ840" i="40" s="1"/>
  <c r="BR840" i="40" s="1"/>
  <c r="BS840" i="40" s="1"/>
  <c r="BT840" i="40" s="1"/>
  <c r="BU840" i="40" s="1"/>
  <c r="BV840" i="40" s="1"/>
  <c r="BW840" i="40" s="1"/>
  <c r="BX840" i="40" s="1"/>
  <c r="BY840" i="40" s="1"/>
  <c r="BZ840" i="40" s="1"/>
  <c r="CA840" i="40" s="1"/>
  <c r="BQ872" i="40"/>
  <c r="BR872" i="40" s="1"/>
  <c r="BS872" i="40" s="1"/>
  <c r="BT872" i="40" s="1"/>
  <c r="BU872" i="40" s="1"/>
  <c r="BV872" i="40" s="1"/>
  <c r="BW872" i="40" s="1"/>
  <c r="BX872" i="40" s="1"/>
  <c r="BY872" i="40" s="1"/>
  <c r="BZ872" i="40" s="1"/>
  <c r="CA872" i="40" s="1"/>
  <c r="Q820" i="40"/>
  <c r="R820" i="40" s="1"/>
  <c r="S820" i="40" s="1"/>
  <c r="T820" i="40" s="1"/>
  <c r="U820" i="40" s="1"/>
  <c r="V820" i="40" s="1"/>
  <c r="W820" i="40" s="1"/>
  <c r="X820" i="40" s="1"/>
  <c r="Y820" i="40" s="1"/>
  <c r="Z820" i="40" s="1"/>
  <c r="AA820" i="40" s="1"/>
  <c r="AB820" i="40" s="1"/>
  <c r="AC820" i="40" s="1"/>
  <c r="AD820" i="40" s="1"/>
  <c r="AE820" i="40" s="1"/>
  <c r="AF820" i="40" s="1"/>
  <c r="AG820" i="40" s="1"/>
  <c r="AH820" i="40" s="1"/>
  <c r="AI820" i="40" s="1"/>
  <c r="AJ820" i="40" s="1"/>
  <c r="AK820" i="40" s="1"/>
  <c r="AL820" i="40" s="1"/>
  <c r="AM820" i="40" s="1"/>
  <c r="AN820" i="40" s="1"/>
  <c r="AO820" i="40" s="1"/>
  <c r="AP820" i="40" s="1"/>
  <c r="AQ820" i="40" s="1"/>
  <c r="AR820" i="40" s="1"/>
  <c r="AS820" i="40" s="1"/>
  <c r="AT820" i="40" s="1"/>
  <c r="AU820" i="40" s="1"/>
  <c r="AV820" i="40" s="1"/>
  <c r="AW820" i="40" s="1"/>
  <c r="AX820" i="40" s="1"/>
  <c r="AY820" i="40" s="1"/>
  <c r="AZ820" i="40" s="1"/>
  <c r="BA820" i="40" s="1"/>
  <c r="BB820" i="40" s="1"/>
  <c r="BC820" i="40" s="1"/>
  <c r="BD820" i="40" s="1"/>
  <c r="BE820" i="40" s="1"/>
  <c r="BF820" i="40" s="1"/>
  <c r="BG820" i="40" s="1"/>
  <c r="BH820" i="40" s="1"/>
  <c r="BI820" i="40" s="1"/>
  <c r="BJ820" i="40" s="1"/>
  <c r="BK820" i="40" s="1"/>
  <c r="BL820" i="40" s="1"/>
  <c r="BM820" i="40" s="1"/>
  <c r="BN820" i="40" s="1"/>
  <c r="BO820" i="40" s="1"/>
  <c r="BP820" i="40" s="1"/>
  <c r="BQ820" i="40" s="1"/>
  <c r="BR820" i="40" s="1"/>
  <c r="BS820" i="40" s="1"/>
  <c r="BT820" i="40" s="1"/>
  <c r="BU820" i="40" s="1"/>
  <c r="BV820" i="40" s="1"/>
  <c r="BW820" i="40" s="1"/>
  <c r="BX820" i="40" s="1"/>
  <c r="BY820" i="40" s="1"/>
  <c r="BZ820" i="40" s="1"/>
  <c r="CA820" i="40" s="1"/>
  <c r="CB820" i="40" s="1"/>
  <c r="AG836" i="40"/>
  <c r="AH836" i="40" s="1"/>
  <c r="AI836" i="40" s="1"/>
  <c r="AJ836" i="40" s="1"/>
  <c r="AK836" i="40" s="1"/>
  <c r="AL836" i="40" s="1"/>
  <c r="AM836" i="40" s="1"/>
  <c r="AN836" i="40" s="1"/>
  <c r="AO836" i="40" s="1"/>
  <c r="AP836" i="40" s="1"/>
  <c r="AQ836" i="40" s="1"/>
  <c r="AR836" i="40" s="1"/>
  <c r="AS836" i="40" s="1"/>
  <c r="AT836" i="40" s="1"/>
  <c r="AU836" i="40" s="1"/>
  <c r="AV836" i="40" s="1"/>
  <c r="AW836" i="40" s="1"/>
  <c r="AX836" i="40" s="1"/>
  <c r="AY836" i="40" s="1"/>
  <c r="AZ836" i="40" s="1"/>
  <c r="BA836" i="40" s="1"/>
  <c r="BB836" i="40" s="1"/>
  <c r="BC836" i="40" s="1"/>
  <c r="BD836" i="40" s="1"/>
  <c r="BE836" i="40" s="1"/>
  <c r="BF836" i="40" s="1"/>
  <c r="BG836" i="40" s="1"/>
  <c r="BH836" i="40" s="1"/>
  <c r="BI836" i="40" s="1"/>
  <c r="BJ836" i="40" s="1"/>
  <c r="BK836" i="40" s="1"/>
  <c r="BL836" i="40" s="1"/>
  <c r="BM836" i="40" s="1"/>
  <c r="BN836" i="40" s="1"/>
  <c r="BO836" i="40" s="1"/>
  <c r="BP836" i="40" s="1"/>
  <c r="BQ836" i="40" s="1"/>
  <c r="BR836" i="40" s="1"/>
  <c r="BS836" i="40" s="1"/>
  <c r="BT836" i="40" s="1"/>
  <c r="BU836" i="40" s="1"/>
  <c r="BV836" i="40" s="1"/>
  <c r="BW836" i="40" s="1"/>
  <c r="BX836" i="40" s="1"/>
  <c r="BY836" i="40" s="1"/>
  <c r="BZ836" i="40" s="1"/>
  <c r="CA836" i="40" s="1"/>
  <c r="AW852" i="40"/>
  <c r="AX852" i="40" s="1"/>
  <c r="AY852" i="40" s="1"/>
  <c r="AZ852" i="40" s="1"/>
  <c r="BA852" i="40" s="1"/>
  <c r="BB852" i="40" s="1"/>
  <c r="BC852" i="40" s="1"/>
  <c r="BD852" i="40" s="1"/>
  <c r="BE852" i="40" s="1"/>
  <c r="BF852" i="40" s="1"/>
  <c r="BG852" i="40" s="1"/>
  <c r="BH852" i="40" s="1"/>
  <c r="BI852" i="40" s="1"/>
  <c r="BJ852" i="40" s="1"/>
  <c r="BK852" i="40" s="1"/>
  <c r="BL852" i="40" s="1"/>
  <c r="BM852" i="40" s="1"/>
  <c r="BN852" i="40" s="1"/>
  <c r="BO852" i="40" s="1"/>
  <c r="BP852" i="40" s="1"/>
  <c r="BQ852" i="40" s="1"/>
  <c r="BR852" i="40" s="1"/>
  <c r="BS852" i="40" s="1"/>
  <c r="BT852" i="40" s="1"/>
  <c r="BU852" i="40" s="1"/>
  <c r="BV852" i="40" s="1"/>
  <c r="BW852" i="40" s="1"/>
  <c r="BX852" i="40" s="1"/>
  <c r="BY852" i="40" s="1"/>
  <c r="BZ852" i="40" s="1"/>
  <c r="CA852" i="40" s="1"/>
  <c r="BM868" i="40"/>
  <c r="BN868" i="40" s="1"/>
  <c r="BO868" i="40" s="1"/>
  <c r="BP868" i="40" s="1"/>
  <c r="BQ868" i="40" s="1"/>
  <c r="BR868" i="40" s="1"/>
  <c r="BS868" i="40" s="1"/>
  <c r="BT868" i="40" s="1"/>
  <c r="BU868" i="40" s="1"/>
  <c r="BV868" i="40" s="1"/>
  <c r="BW868" i="40" s="1"/>
  <c r="BX868" i="40" s="1"/>
  <c r="BY868" i="40" s="1"/>
  <c r="BZ868" i="40" s="1"/>
  <c r="CA868" i="40" s="1"/>
  <c r="Y828" i="40"/>
  <c r="Z828" i="40" s="1"/>
  <c r="AA828" i="40" s="1"/>
  <c r="AB828" i="40" s="1"/>
  <c r="AC828" i="40" s="1"/>
  <c r="AD828" i="40" s="1"/>
  <c r="AE828" i="40" s="1"/>
  <c r="AF828" i="40" s="1"/>
  <c r="AG828" i="40" s="1"/>
  <c r="AH828" i="40" s="1"/>
  <c r="AI828" i="40" s="1"/>
  <c r="AJ828" i="40" s="1"/>
  <c r="AK828" i="40" s="1"/>
  <c r="AL828" i="40" s="1"/>
  <c r="AM828" i="40" s="1"/>
  <c r="AN828" i="40" s="1"/>
  <c r="AO828" i="40" s="1"/>
  <c r="AP828" i="40" s="1"/>
  <c r="AQ828" i="40" s="1"/>
  <c r="AR828" i="40" s="1"/>
  <c r="AS828" i="40" s="1"/>
  <c r="AT828" i="40" s="1"/>
  <c r="AU828" i="40" s="1"/>
  <c r="AV828" i="40" s="1"/>
  <c r="AW828" i="40" s="1"/>
  <c r="AX828" i="40" s="1"/>
  <c r="AY828" i="40" s="1"/>
  <c r="AZ828" i="40" s="1"/>
  <c r="BA828" i="40" s="1"/>
  <c r="BB828" i="40" s="1"/>
  <c r="BC828" i="40" s="1"/>
  <c r="BD828" i="40" s="1"/>
  <c r="BE828" i="40" s="1"/>
  <c r="BF828" i="40" s="1"/>
  <c r="BG828" i="40" s="1"/>
  <c r="BH828" i="40" s="1"/>
  <c r="BI828" i="40" s="1"/>
  <c r="BJ828" i="40" s="1"/>
  <c r="BK828" i="40" s="1"/>
  <c r="BL828" i="40" s="1"/>
  <c r="BM828" i="40" s="1"/>
  <c r="BN828" i="40" s="1"/>
  <c r="BO828" i="40" s="1"/>
  <c r="BP828" i="40" s="1"/>
  <c r="BQ828" i="40" s="1"/>
  <c r="BR828" i="40" s="1"/>
  <c r="BS828" i="40" s="1"/>
  <c r="BT828" i="40" s="1"/>
  <c r="BU828" i="40" s="1"/>
  <c r="BV828" i="40" s="1"/>
  <c r="BW828" i="40" s="1"/>
  <c r="BX828" i="40" s="1"/>
  <c r="BY828" i="40" s="1"/>
  <c r="BZ828" i="40" s="1"/>
  <c r="CA828" i="40" s="1"/>
  <c r="BJ865" i="40"/>
  <c r="BK865" i="40" s="1"/>
  <c r="BL865" i="40" s="1"/>
  <c r="BM865" i="40" s="1"/>
  <c r="BN865" i="40" s="1"/>
  <c r="BO865" i="40" s="1"/>
  <c r="BP865" i="40" s="1"/>
  <c r="BQ865" i="40" s="1"/>
  <c r="BR865" i="40" s="1"/>
  <c r="BS865" i="40" s="1"/>
  <c r="BT865" i="40" s="1"/>
  <c r="BU865" i="40" s="1"/>
  <c r="BV865" i="40" s="1"/>
  <c r="BW865" i="40" s="1"/>
  <c r="BX865" i="40" s="1"/>
  <c r="BY865" i="40" s="1"/>
  <c r="BZ865" i="40" s="1"/>
  <c r="CA865" i="40" s="1"/>
  <c r="BA856" i="40"/>
  <c r="BB856" i="40" s="1"/>
  <c r="BC856" i="40" s="1"/>
  <c r="BD856" i="40" s="1"/>
  <c r="BE856" i="40" s="1"/>
  <c r="BF856" i="40" s="1"/>
  <c r="BG856" i="40" s="1"/>
  <c r="BH856" i="40" s="1"/>
  <c r="BI856" i="40" s="1"/>
  <c r="BJ856" i="40" s="1"/>
  <c r="BK856" i="40" s="1"/>
  <c r="BL856" i="40" s="1"/>
  <c r="BM856" i="40" s="1"/>
  <c r="BN856" i="40" s="1"/>
  <c r="BO856" i="40" s="1"/>
  <c r="BP856" i="40" s="1"/>
  <c r="BQ856" i="40" s="1"/>
  <c r="BR856" i="40" s="1"/>
  <c r="BS856" i="40" s="1"/>
  <c r="BT856" i="40" s="1"/>
  <c r="BU856" i="40" s="1"/>
  <c r="BV856" i="40" s="1"/>
  <c r="BW856" i="40" s="1"/>
  <c r="BX856" i="40" s="1"/>
  <c r="BY856" i="40" s="1"/>
  <c r="BZ856" i="40" s="1"/>
  <c r="CA856" i="40" s="1"/>
  <c r="M816" i="40"/>
  <c r="N816" i="40" s="1"/>
  <c r="O816" i="40" s="1"/>
  <c r="P816" i="40" s="1"/>
  <c r="Q816" i="40" s="1"/>
  <c r="R816" i="40" s="1"/>
  <c r="S816" i="40" s="1"/>
  <c r="T816" i="40" s="1"/>
  <c r="U816" i="40" s="1"/>
  <c r="V816" i="40" s="1"/>
  <c r="W816" i="40" s="1"/>
  <c r="X816" i="40" s="1"/>
  <c r="Y816" i="40" s="1"/>
  <c r="Z816" i="40" s="1"/>
  <c r="AA816" i="40" s="1"/>
  <c r="AB816" i="40" s="1"/>
  <c r="AC816" i="40" s="1"/>
  <c r="AD816" i="40" s="1"/>
  <c r="AE816" i="40" s="1"/>
  <c r="AF816" i="40" s="1"/>
  <c r="AG816" i="40" s="1"/>
  <c r="AH816" i="40" s="1"/>
  <c r="AI816" i="40" s="1"/>
  <c r="AJ816" i="40" s="1"/>
  <c r="AK816" i="40" s="1"/>
  <c r="AL816" i="40" s="1"/>
  <c r="AM816" i="40" s="1"/>
  <c r="AN816" i="40" s="1"/>
  <c r="AO816" i="40" s="1"/>
  <c r="AP816" i="40" s="1"/>
  <c r="AQ816" i="40" s="1"/>
  <c r="AR816" i="40" s="1"/>
  <c r="AS816" i="40" s="1"/>
  <c r="AT816" i="40" s="1"/>
  <c r="AU816" i="40" s="1"/>
  <c r="AV816" i="40" s="1"/>
  <c r="AW816" i="40" s="1"/>
  <c r="AX816" i="40" s="1"/>
  <c r="AY816" i="40" s="1"/>
  <c r="AZ816" i="40" s="1"/>
  <c r="BA816" i="40" s="1"/>
  <c r="BB816" i="40" s="1"/>
  <c r="BC816" i="40" s="1"/>
  <c r="BD816" i="40" s="1"/>
  <c r="BE816" i="40" s="1"/>
  <c r="BF816" i="40" s="1"/>
  <c r="BG816" i="40" s="1"/>
  <c r="BH816" i="40" s="1"/>
  <c r="BI816" i="40" s="1"/>
  <c r="BJ816" i="40" s="1"/>
  <c r="BK816" i="40" s="1"/>
  <c r="BL816" i="40" s="1"/>
  <c r="BM816" i="40" s="1"/>
  <c r="BN816" i="40" s="1"/>
  <c r="BO816" i="40" s="1"/>
  <c r="BP816" i="40" s="1"/>
  <c r="BQ816" i="40" s="1"/>
  <c r="BR816" i="40" s="1"/>
  <c r="BS816" i="40" s="1"/>
  <c r="BT816" i="40" s="1"/>
  <c r="BU816" i="40" s="1"/>
  <c r="BV816" i="40" s="1"/>
  <c r="BW816" i="40" s="1"/>
  <c r="BX816" i="40" s="1"/>
  <c r="BY816" i="40" s="1"/>
  <c r="BZ816" i="40" s="1"/>
  <c r="CA816" i="40" s="1"/>
  <c r="CB816" i="40" s="1"/>
  <c r="AC832" i="40"/>
  <c r="AD832" i="40" s="1"/>
  <c r="AE832" i="40" s="1"/>
  <c r="AF832" i="40" s="1"/>
  <c r="AG832" i="40" s="1"/>
  <c r="AH832" i="40" s="1"/>
  <c r="AI832" i="40" s="1"/>
  <c r="AJ832" i="40" s="1"/>
  <c r="AK832" i="40" s="1"/>
  <c r="AL832" i="40" s="1"/>
  <c r="AM832" i="40" s="1"/>
  <c r="AN832" i="40" s="1"/>
  <c r="AO832" i="40" s="1"/>
  <c r="AP832" i="40" s="1"/>
  <c r="AQ832" i="40" s="1"/>
  <c r="AR832" i="40" s="1"/>
  <c r="AS832" i="40" s="1"/>
  <c r="AT832" i="40" s="1"/>
  <c r="AU832" i="40" s="1"/>
  <c r="AV832" i="40" s="1"/>
  <c r="AW832" i="40" s="1"/>
  <c r="AX832" i="40" s="1"/>
  <c r="AY832" i="40" s="1"/>
  <c r="AZ832" i="40" s="1"/>
  <c r="BA832" i="40" s="1"/>
  <c r="BB832" i="40" s="1"/>
  <c r="BC832" i="40" s="1"/>
  <c r="BD832" i="40" s="1"/>
  <c r="BE832" i="40" s="1"/>
  <c r="BF832" i="40" s="1"/>
  <c r="BG832" i="40" s="1"/>
  <c r="BH832" i="40" s="1"/>
  <c r="BI832" i="40" s="1"/>
  <c r="BJ832" i="40" s="1"/>
  <c r="BK832" i="40" s="1"/>
  <c r="BL832" i="40" s="1"/>
  <c r="BM832" i="40" s="1"/>
  <c r="BN832" i="40" s="1"/>
  <c r="BO832" i="40" s="1"/>
  <c r="BP832" i="40" s="1"/>
  <c r="BQ832" i="40" s="1"/>
  <c r="BR832" i="40" s="1"/>
  <c r="BS832" i="40" s="1"/>
  <c r="BT832" i="40" s="1"/>
  <c r="BU832" i="40" s="1"/>
  <c r="BV832" i="40" s="1"/>
  <c r="BW832" i="40" s="1"/>
  <c r="BX832" i="40" s="1"/>
  <c r="BY832" i="40" s="1"/>
  <c r="BZ832" i="40" s="1"/>
  <c r="CA832" i="40" s="1"/>
  <c r="AS848" i="40"/>
  <c r="AT848" i="40" s="1"/>
  <c r="AU848" i="40" s="1"/>
  <c r="AV848" i="40" s="1"/>
  <c r="AW848" i="40" s="1"/>
  <c r="AX848" i="40" s="1"/>
  <c r="AY848" i="40" s="1"/>
  <c r="AZ848" i="40" s="1"/>
  <c r="BA848" i="40" s="1"/>
  <c r="BB848" i="40" s="1"/>
  <c r="BC848" i="40" s="1"/>
  <c r="BD848" i="40" s="1"/>
  <c r="BE848" i="40" s="1"/>
  <c r="BF848" i="40" s="1"/>
  <c r="BG848" i="40" s="1"/>
  <c r="BH848" i="40" s="1"/>
  <c r="BI848" i="40" s="1"/>
  <c r="BJ848" i="40" s="1"/>
  <c r="BK848" i="40" s="1"/>
  <c r="BL848" i="40" s="1"/>
  <c r="BM848" i="40" s="1"/>
  <c r="BN848" i="40" s="1"/>
  <c r="BO848" i="40" s="1"/>
  <c r="BP848" i="40" s="1"/>
  <c r="BQ848" i="40" s="1"/>
  <c r="BR848" i="40" s="1"/>
  <c r="BS848" i="40" s="1"/>
  <c r="BT848" i="40" s="1"/>
  <c r="BU848" i="40" s="1"/>
  <c r="BV848" i="40" s="1"/>
  <c r="BW848" i="40" s="1"/>
  <c r="BX848" i="40" s="1"/>
  <c r="BY848" i="40" s="1"/>
  <c r="BZ848" i="40" s="1"/>
  <c r="CA848" i="40" s="1"/>
  <c r="CB848" i="40" s="1"/>
  <c r="BI864" i="40"/>
  <c r="BJ864" i="40" s="1"/>
  <c r="BK864" i="40" s="1"/>
  <c r="BL864" i="40" s="1"/>
  <c r="BM864" i="40" s="1"/>
  <c r="BN864" i="40" s="1"/>
  <c r="BO864" i="40" s="1"/>
  <c r="BP864" i="40" s="1"/>
  <c r="BQ864" i="40" s="1"/>
  <c r="BR864" i="40" s="1"/>
  <c r="BS864" i="40" s="1"/>
  <c r="BT864" i="40" s="1"/>
  <c r="BU864" i="40" s="1"/>
  <c r="BV864" i="40" s="1"/>
  <c r="BW864" i="40" s="1"/>
  <c r="BX864" i="40" s="1"/>
  <c r="BY864" i="40" s="1"/>
  <c r="BZ864" i="40" s="1"/>
  <c r="CA864" i="40" s="1"/>
  <c r="H811" i="40"/>
  <c r="I811" i="40" s="1"/>
  <c r="J811" i="40" s="1"/>
  <c r="K811" i="40" s="1"/>
  <c r="L811" i="40" s="1"/>
  <c r="M811" i="40" s="1"/>
  <c r="N811" i="40" s="1"/>
  <c r="O811" i="40" s="1"/>
  <c r="P811" i="40" s="1"/>
  <c r="Q811" i="40" s="1"/>
  <c r="R811" i="40" s="1"/>
  <c r="S811" i="40" s="1"/>
  <c r="T811" i="40" s="1"/>
  <c r="U811" i="40" s="1"/>
  <c r="V811" i="40" s="1"/>
  <c r="W811" i="40" s="1"/>
  <c r="X811" i="40" s="1"/>
  <c r="Y811" i="40" s="1"/>
  <c r="Z811" i="40" s="1"/>
  <c r="AA811" i="40" s="1"/>
  <c r="AB811" i="40" s="1"/>
  <c r="AC811" i="40" s="1"/>
  <c r="AD811" i="40" s="1"/>
  <c r="AE811" i="40" s="1"/>
  <c r="AF811" i="40" s="1"/>
  <c r="AG811" i="40" s="1"/>
  <c r="AH811" i="40" s="1"/>
  <c r="AI811" i="40" s="1"/>
  <c r="AJ811" i="40" s="1"/>
  <c r="AK811" i="40" s="1"/>
  <c r="AL811" i="40" s="1"/>
  <c r="AM811" i="40" s="1"/>
  <c r="AN811" i="40" s="1"/>
  <c r="AO811" i="40" s="1"/>
  <c r="AP811" i="40" s="1"/>
  <c r="AQ811" i="40" s="1"/>
  <c r="AR811" i="40" s="1"/>
  <c r="AS811" i="40" s="1"/>
  <c r="AT811" i="40" s="1"/>
  <c r="AU811" i="40" s="1"/>
  <c r="AV811" i="40" s="1"/>
  <c r="AW811" i="40" s="1"/>
  <c r="AX811" i="40" s="1"/>
  <c r="AY811" i="40" s="1"/>
  <c r="AZ811" i="40" s="1"/>
  <c r="BA811" i="40" s="1"/>
  <c r="BB811" i="40" s="1"/>
  <c r="BC811" i="40" s="1"/>
  <c r="BD811" i="40" s="1"/>
  <c r="BE811" i="40" s="1"/>
  <c r="BF811" i="40" s="1"/>
  <c r="BG811" i="40" s="1"/>
  <c r="BH811" i="40" s="1"/>
  <c r="BI811" i="40" s="1"/>
  <c r="BJ811" i="40" s="1"/>
  <c r="BK811" i="40" s="1"/>
  <c r="BL811" i="40" s="1"/>
  <c r="BM811" i="40" s="1"/>
  <c r="BN811" i="40" s="1"/>
  <c r="BO811" i="40" s="1"/>
  <c r="BP811" i="40" s="1"/>
  <c r="BQ811" i="40" s="1"/>
  <c r="BR811" i="40" s="1"/>
  <c r="BS811" i="40" s="1"/>
  <c r="BT811" i="40" s="1"/>
  <c r="BU811" i="40" s="1"/>
  <c r="BV811" i="40" s="1"/>
  <c r="BW811" i="40" s="1"/>
  <c r="BX811" i="40" s="1"/>
  <c r="BY811" i="40" s="1"/>
  <c r="BZ811" i="40" s="1"/>
  <c r="CA811" i="40" s="1"/>
  <c r="CB811" i="40" s="1"/>
  <c r="L815" i="40"/>
  <c r="M815" i="40" s="1"/>
  <c r="N815" i="40" s="1"/>
  <c r="O815" i="40" s="1"/>
  <c r="P815" i="40" s="1"/>
  <c r="Q815" i="40" s="1"/>
  <c r="R815" i="40" s="1"/>
  <c r="S815" i="40" s="1"/>
  <c r="T815" i="40" s="1"/>
  <c r="U815" i="40" s="1"/>
  <c r="V815" i="40" s="1"/>
  <c r="W815" i="40" s="1"/>
  <c r="X815" i="40" s="1"/>
  <c r="Y815" i="40" s="1"/>
  <c r="Z815" i="40" s="1"/>
  <c r="AA815" i="40" s="1"/>
  <c r="AB815" i="40" s="1"/>
  <c r="AC815" i="40" s="1"/>
  <c r="AD815" i="40" s="1"/>
  <c r="AE815" i="40" s="1"/>
  <c r="AF815" i="40" s="1"/>
  <c r="AG815" i="40" s="1"/>
  <c r="AH815" i="40" s="1"/>
  <c r="AI815" i="40" s="1"/>
  <c r="AJ815" i="40" s="1"/>
  <c r="AK815" i="40" s="1"/>
  <c r="AL815" i="40" s="1"/>
  <c r="AM815" i="40" s="1"/>
  <c r="AN815" i="40" s="1"/>
  <c r="AO815" i="40" s="1"/>
  <c r="AP815" i="40" s="1"/>
  <c r="AQ815" i="40" s="1"/>
  <c r="AR815" i="40" s="1"/>
  <c r="AS815" i="40" s="1"/>
  <c r="AT815" i="40" s="1"/>
  <c r="AU815" i="40" s="1"/>
  <c r="AV815" i="40" s="1"/>
  <c r="AW815" i="40" s="1"/>
  <c r="AX815" i="40" s="1"/>
  <c r="AY815" i="40" s="1"/>
  <c r="AZ815" i="40" s="1"/>
  <c r="BA815" i="40" s="1"/>
  <c r="BB815" i="40" s="1"/>
  <c r="BC815" i="40" s="1"/>
  <c r="BD815" i="40" s="1"/>
  <c r="BE815" i="40" s="1"/>
  <c r="BF815" i="40" s="1"/>
  <c r="BG815" i="40" s="1"/>
  <c r="BH815" i="40" s="1"/>
  <c r="BI815" i="40" s="1"/>
  <c r="BJ815" i="40" s="1"/>
  <c r="BK815" i="40" s="1"/>
  <c r="BL815" i="40" s="1"/>
  <c r="BM815" i="40" s="1"/>
  <c r="BN815" i="40" s="1"/>
  <c r="BO815" i="40" s="1"/>
  <c r="BP815" i="40" s="1"/>
  <c r="BQ815" i="40" s="1"/>
  <c r="BR815" i="40" s="1"/>
  <c r="BS815" i="40" s="1"/>
  <c r="BT815" i="40" s="1"/>
  <c r="BU815" i="40" s="1"/>
  <c r="BV815" i="40" s="1"/>
  <c r="BW815" i="40" s="1"/>
  <c r="BX815" i="40" s="1"/>
  <c r="BY815" i="40" s="1"/>
  <c r="BZ815" i="40" s="1"/>
  <c r="CA815" i="40" s="1"/>
  <c r="CB815" i="40" s="1"/>
  <c r="P819" i="40"/>
  <c r="Q819" i="40" s="1"/>
  <c r="R819" i="40" s="1"/>
  <c r="S819" i="40" s="1"/>
  <c r="T819" i="40" s="1"/>
  <c r="U819" i="40" s="1"/>
  <c r="V819" i="40" s="1"/>
  <c r="W819" i="40" s="1"/>
  <c r="X819" i="40" s="1"/>
  <c r="Y819" i="40" s="1"/>
  <c r="Z819" i="40" s="1"/>
  <c r="AA819" i="40" s="1"/>
  <c r="AB819" i="40" s="1"/>
  <c r="AC819" i="40" s="1"/>
  <c r="AD819" i="40" s="1"/>
  <c r="AE819" i="40" s="1"/>
  <c r="AF819" i="40" s="1"/>
  <c r="AG819" i="40" s="1"/>
  <c r="AH819" i="40" s="1"/>
  <c r="AI819" i="40" s="1"/>
  <c r="AJ819" i="40" s="1"/>
  <c r="AK819" i="40" s="1"/>
  <c r="AL819" i="40" s="1"/>
  <c r="AM819" i="40" s="1"/>
  <c r="AN819" i="40" s="1"/>
  <c r="AO819" i="40" s="1"/>
  <c r="AP819" i="40" s="1"/>
  <c r="AQ819" i="40" s="1"/>
  <c r="AR819" i="40" s="1"/>
  <c r="AS819" i="40" s="1"/>
  <c r="AT819" i="40" s="1"/>
  <c r="AU819" i="40" s="1"/>
  <c r="AV819" i="40" s="1"/>
  <c r="AW819" i="40" s="1"/>
  <c r="AX819" i="40" s="1"/>
  <c r="AY819" i="40" s="1"/>
  <c r="AZ819" i="40" s="1"/>
  <c r="BA819" i="40" s="1"/>
  <c r="BB819" i="40" s="1"/>
  <c r="BC819" i="40" s="1"/>
  <c r="BD819" i="40" s="1"/>
  <c r="BE819" i="40" s="1"/>
  <c r="BF819" i="40" s="1"/>
  <c r="BG819" i="40" s="1"/>
  <c r="BH819" i="40" s="1"/>
  <c r="BI819" i="40" s="1"/>
  <c r="BJ819" i="40" s="1"/>
  <c r="BK819" i="40" s="1"/>
  <c r="BL819" i="40" s="1"/>
  <c r="BM819" i="40" s="1"/>
  <c r="BN819" i="40" s="1"/>
  <c r="BO819" i="40" s="1"/>
  <c r="BP819" i="40" s="1"/>
  <c r="BQ819" i="40" s="1"/>
  <c r="BR819" i="40" s="1"/>
  <c r="BS819" i="40" s="1"/>
  <c r="BT819" i="40" s="1"/>
  <c r="BU819" i="40" s="1"/>
  <c r="BV819" i="40" s="1"/>
  <c r="BW819" i="40" s="1"/>
  <c r="BX819" i="40" s="1"/>
  <c r="BY819" i="40" s="1"/>
  <c r="BZ819" i="40" s="1"/>
  <c r="CA819" i="40" s="1"/>
  <c r="T823" i="40"/>
  <c r="U823" i="40" s="1"/>
  <c r="V823" i="40" s="1"/>
  <c r="W823" i="40" s="1"/>
  <c r="X823" i="40" s="1"/>
  <c r="Y823" i="40" s="1"/>
  <c r="Z823" i="40" s="1"/>
  <c r="AA823" i="40" s="1"/>
  <c r="AB823" i="40" s="1"/>
  <c r="AC823" i="40" s="1"/>
  <c r="AD823" i="40" s="1"/>
  <c r="AE823" i="40" s="1"/>
  <c r="AF823" i="40" s="1"/>
  <c r="AG823" i="40" s="1"/>
  <c r="AH823" i="40" s="1"/>
  <c r="AI823" i="40" s="1"/>
  <c r="AJ823" i="40" s="1"/>
  <c r="AK823" i="40" s="1"/>
  <c r="AL823" i="40" s="1"/>
  <c r="AM823" i="40" s="1"/>
  <c r="AN823" i="40" s="1"/>
  <c r="AO823" i="40" s="1"/>
  <c r="AP823" i="40" s="1"/>
  <c r="AQ823" i="40" s="1"/>
  <c r="AR823" i="40" s="1"/>
  <c r="AS823" i="40" s="1"/>
  <c r="AT823" i="40" s="1"/>
  <c r="AU823" i="40" s="1"/>
  <c r="AV823" i="40" s="1"/>
  <c r="AW823" i="40" s="1"/>
  <c r="AX823" i="40" s="1"/>
  <c r="AY823" i="40" s="1"/>
  <c r="AZ823" i="40" s="1"/>
  <c r="BA823" i="40" s="1"/>
  <c r="BB823" i="40" s="1"/>
  <c r="BC823" i="40" s="1"/>
  <c r="BD823" i="40" s="1"/>
  <c r="BE823" i="40" s="1"/>
  <c r="BF823" i="40" s="1"/>
  <c r="BG823" i="40" s="1"/>
  <c r="BH823" i="40" s="1"/>
  <c r="BI823" i="40" s="1"/>
  <c r="BJ823" i="40" s="1"/>
  <c r="BK823" i="40" s="1"/>
  <c r="BL823" i="40" s="1"/>
  <c r="BM823" i="40" s="1"/>
  <c r="BN823" i="40" s="1"/>
  <c r="BO823" i="40" s="1"/>
  <c r="BP823" i="40" s="1"/>
  <c r="BQ823" i="40" s="1"/>
  <c r="BR823" i="40" s="1"/>
  <c r="BS823" i="40" s="1"/>
  <c r="BT823" i="40" s="1"/>
  <c r="BU823" i="40" s="1"/>
  <c r="BV823" i="40" s="1"/>
  <c r="BW823" i="40" s="1"/>
  <c r="BX823" i="40" s="1"/>
  <c r="BY823" i="40" s="1"/>
  <c r="BZ823" i="40" s="1"/>
  <c r="CA823" i="40" s="1"/>
  <c r="X827" i="40"/>
  <c r="Y827" i="40" s="1"/>
  <c r="Z827" i="40" s="1"/>
  <c r="AA827" i="40" s="1"/>
  <c r="AB827" i="40" s="1"/>
  <c r="AC827" i="40" s="1"/>
  <c r="AD827" i="40" s="1"/>
  <c r="AE827" i="40" s="1"/>
  <c r="AF827" i="40" s="1"/>
  <c r="AG827" i="40" s="1"/>
  <c r="AH827" i="40" s="1"/>
  <c r="AI827" i="40" s="1"/>
  <c r="AJ827" i="40" s="1"/>
  <c r="AK827" i="40" s="1"/>
  <c r="AL827" i="40" s="1"/>
  <c r="AM827" i="40" s="1"/>
  <c r="AN827" i="40" s="1"/>
  <c r="AO827" i="40" s="1"/>
  <c r="AP827" i="40" s="1"/>
  <c r="AQ827" i="40" s="1"/>
  <c r="AR827" i="40" s="1"/>
  <c r="AS827" i="40" s="1"/>
  <c r="AT827" i="40" s="1"/>
  <c r="AU827" i="40" s="1"/>
  <c r="AV827" i="40" s="1"/>
  <c r="AW827" i="40" s="1"/>
  <c r="AX827" i="40" s="1"/>
  <c r="AY827" i="40" s="1"/>
  <c r="AZ827" i="40" s="1"/>
  <c r="BA827" i="40" s="1"/>
  <c r="BB827" i="40" s="1"/>
  <c r="BC827" i="40" s="1"/>
  <c r="BD827" i="40" s="1"/>
  <c r="BE827" i="40" s="1"/>
  <c r="BF827" i="40" s="1"/>
  <c r="BG827" i="40" s="1"/>
  <c r="BH827" i="40" s="1"/>
  <c r="BI827" i="40" s="1"/>
  <c r="BJ827" i="40" s="1"/>
  <c r="BK827" i="40" s="1"/>
  <c r="BL827" i="40" s="1"/>
  <c r="BM827" i="40" s="1"/>
  <c r="BN827" i="40" s="1"/>
  <c r="BO827" i="40" s="1"/>
  <c r="BP827" i="40" s="1"/>
  <c r="BQ827" i="40" s="1"/>
  <c r="BR827" i="40" s="1"/>
  <c r="BS827" i="40" s="1"/>
  <c r="BT827" i="40" s="1"/>
  <c r="BU827" i="40" s="1"/>
  <c r="BV827" i="40" s="1"/>
  <c r="BW827" i="40" s="1"/>
  <c r="BX827" i="40" s="1"/>
  <c r="BY827" i="40" s="1"/>
  <c r="BZ827" i="40" s="1"/>
  <c r="CA827" i="40" s="1"/>
  <c r="AB831" i="40"/>
  <c r="AC831" i="40" s="1"/>
  <c r="AD831" i="40" s="1"/>
  <c r="AE831" i="40" s="1"/>
  <c r="AF831" i="40" s="1"/>
  <c r="AG831" i="40" s="1"/>
  <c r="AH831" i="40" s="1"/>
  <c r="AI831" i="40" s="1"/>
  <c r="AJ831" i="40" s="1"/>
  <c r="AK831" i="40" s="1"/>
  <c r="AL831" i="40" s="1"/>
  <c r="AM831" i="40" s="1"/>
  <c r="AN831" i="40" s="1"/>
  <c r="AO831" i="40" s="1"/>
  <c r="AP831" i="40" s="1"/>
  <c r="AQ831" i="40" s="1"/>
  <c r="AR831" i="40" s="1"/>
  <c r="AS831" i="40" s="1"/>
  <c r="AT831" i="40" s="1"/>
  <c r="AU831" i="40" s="1"/>
  <c r="AV831" i="40" s="1"/>
  <c r="AW831" i="40" s="1"/>
  <c r="AX831" i="40" s="1"/>
  <c r="AY831" i="40" s="1"/>
  <c r="AZ831" i="40" s="1"/>
  <c r="BA831" i="40" s="1"/>
  <c r="BB831" i="40" s="1"/>
  <c r="BC831" i="40" s="1"/>
  <c r="BD831" i="40" s="1"/>
  <c r="BE831" i="40" s="1"/>
  <c r="BF831" i="40" s="1"/>
  <c r="BG831" i="40" s="1"/>
  <c r="BH831" i="40" s="1"/>
  <c r="BI831" i="40" s="1"/>
  <c r="BJ831" i="40" s="1"/>
  <c r="BK831" i="40" s="1"/>
  <c r="BL831" i="40" s="1"/>
  <c r="BM831" i="40" s="1"/>
  <c r="BN831" i="40" s="1"/>
  <c r="BO831" i="40" s="1"/>
  <c r="BP831" i="40" s="1"/>
  <c r="BQ831" i="40" s="1"/>
  <c r="BR831" i="40" s="1"/>
  <c r="BS831" i="40" s="1"/>
  <c r="BT831" i="40" s="1"/>
  <c r="BU831" i="40" s="1"/>
  <c r="BV831" i="40" s="1"/>
  <c r="BW831" i="40" s="1"/>
  <c r="BX831" i="40" s="1"/>
  <c r="BY831" i="40" s="1"/>
  <c r="BZ831" i="40" s="1"/>
  <c r="CA831" i="40" s="1"/>
  <c r="AF835" i="40"/>
  <c r="AG835" i="40" s="1"/>
  <c r="AH835" i="40" s="1"/>
  <c r="AI835" i="40" s="1"/>
  <c r="AJ835" i="40" s="1"/>
  <c r="AK835" i="40" s="1"/>
  <c r="AL835" i="40" s="1"/>
  <c r="AM835" i="40" s="1"/>
  <c r="AN835" i="40" s="1"/>
  <c r="AO835" i="40" s="1"/>
  <c r="AP835" i="40" s="1"/>
  <c r="AQ835" i="40" s="1"/>
  <c r="AR835" i="40" s="1"/>
  <c r="AS835" i="40" s="1"/>
  <c r="AT835" i="40" s="1"/>
  <c r="AU835" i="40" s="1"/>
  <c r="AV835" i="40" s="1"/>
  <c r="AW835" i="40" s="1"/>
  <c r="AX835" i="40" s="1"/>
  <c r="AY835" i="40" s="1"/>
  <c r="AZ835" i="40" s="1"/>
  <c r="BA835" i="40" s="1"/>
  <c r="BB835" i="40" s="1"/>
  <c r="BC835" i="40" s="1"/>
  <c r="BD835" i="40" s="1"/>
  <c r="BE835" i="40" s="1"/>
  <c r="BF835" i="40" s="1"/>
  <c r="BG835" i="40" s="1"/>
  <c r="BH835" i="40" s="1"/>
  <c r="BI835" i="40" s="1"/>
  <c r="BJ835" i="40" s="1"/>
  <c r="BK835" i="40" s="1"/>
  <c r="BL835" i="40" s="1"/>
  <c r="BM835" i="40" s="1"/>
  <c r="BN835" i="40" s="1"/>
  <c r="BO835" i="40" s="1"/>
  <c r="BP835" i="40" s="1"/>
  <c r="BQ835" i="40" s="1"/>
  <c r="BR835" i="40" s="1"/>
  <c r="BS835" i="40" s="1"/>
  <c r="BT835" i="40" s="1"/>
  <c r="BU835" i="40" s="1"/>
  <c r="BV835" i="40" s="1"/>
  <c r="BW835" i="40" s="1"/>
  <c r="BX835" i="40" s="1"/>
  <c r="BY835" i="40" s="1"/>
  <c r="BZ835" i="40" s="1"/>
  <c r="CA835" i="40" s="1"/>
  <c r="AJ839" i="40"/>
  <c r="AK839" i="40" s="1"/>
  <c r="AL839" i="40" s="1"/>
  <c r="AM839" i="40" s="1"/>
  <c r="AN839" i="40" s="1"/>
  <c r="AO839" i="40" s="1"/>
  <c r="AP839" i="40" s="1"/>
  <c r="AQ839" i="40" s="1"/>
  <c r="AR839" i="40" s="1"/>
  <c r="AS839" i="40" s="1"/>
  <c r="AT839" i="40" s="1"/>
  <c r="AU839" i="40" s="1"/>
  <c r="AV839" i="40" s="1"/>
  <c r="AW839" i="40" s="1"/>
  <c r="AX839" i="40" s="1"/>
  <c r="AY839" i="40" s="1"/>
  <c r="AZ839" i="40" s="1"/>
  <c r="BA839" i="40" s="1"/>
  <c r="BB839" i="40" s="1"/>
  <c r="BC839" i="40" s="1"/>
  <c r="BD839" i="40" s="1"/>
  <c r="BE839" i="40" s="1"/>
  <c r="BF839" i="40" s="1"/>
  <c r="BG839" i="40" s="1"/>
  <c r="BH839" i="40" s="1"/>
  <c r="BI839" i="40" s="1"/>
  <c r="BJ839" i="40" s="1"/>
  <c r="BK839" i="40" s="1"/>
  <c r="BL839" i="40" s="1"/>
  <c r="BM839" i="40" s="1"/>
  <c r="BN839" i="40" s="1"/>
  <c r="BO839" i="40" s="1"/>
  <c r="BP839" i="40" s="1"/>
  <c r="BQ839" i="40" s="1"/>
  <c r="BR839" i="40" s="1"/>
  <c r="BS839" i="40" s="1"/>
  <c r="BT839" i="40" s="1"/>
  <c r="BU839" i="40" s="1"/>
  <c r="BV839" i="40" s="1"/>
  <c r="BW839" i="40" s="1"/>
  <c r="BX839" i="40" s="1"/>
  <c r="BY839" i="40" s="1"/>
  <c r="BZ839" i="40" s="1"/>
  <c r="CA839" i="40" s="1"/>
  <c r="AN843" i="40"/>
  <c r="AO843" i="40" s="1"/>
  <c r="AP843" i="40" s="1"/>
  <c r="AQ843" i="40" s="1"/>
  <c r="AR843" i="40" s="1"/>
  <c r="AS843" i="40" s="1"/>
  <c r="AT843" i="40" s="1"/>
  <c r="AU843" i="40" s="1"/>
  <c r="AV843" i="40" s="1"/>
  <c r="AW843" i="40" s="1"/>
  <c r="AX843" i="40" s="1"/>
  <c r="AY843" i="40" s="1"/>
  <c r="AZ843" i="40" s="1"/>
  <c r="BA843" i="40" s="1"/>
  <c r="BB843" i="40" s="1"/>
  <c r="BC843" i="40" s="1"/>
  <c r="BD843" i="40" s="1"/>
  <c r="BE843" i="40" s="1"/>
  <c r="BF843" i="40" s="1"/>
  <c r="BG843" i="40" s="1"/>
  <c r="BH843" i="40" s="1"/>
  <c r="BI843" i="40" s="1"/>
  <c r="BJ843" i="40" s="1"/>
  <c r="BK843" i="40" s="1"/>
  <c r="BL843" i="40" s="1"/>
  <c r="BM843" i="40" s="1"/>
  <c r="BN843" i="40" s="1"/>
  <c r="BO843" i="40" s="1"/>
  <c r="BP843" i="40" s="1"/>
  <c r="BQ843" i="40" s="1"/>
  <c r="BR843" i="40" s="1"/>
  <c r="BS843" i="40" s="1"/>
  <c r="BT843" i="40" s="1"/>
  <c r="BU843" i="40" s="1"/>
  <c r="BV843" i="40" s="1"/>
  <c r="BW843" i="40" s="1"/>
  <c r="BX843" i="40" s="1"/>
  <c r="BY843" i="40" s="1"/>
  <c r="BZ843" i="40" s="1"/>
  <c r="CA843" i="40" s="1"/>
  <c r="AR847" i="40"/>
  <c r="AS847" i="40" s="1"/>
  <c r="AT847" i="40" s="1"/>
  <c r="AU847" i="40" s="1"/>
  <c r="AV847" i="40" s="1"/>
  <c r="AW847" i="40" s="1"/>
  <c r="AX847" i="40" s="1"/>
  <c r="AY847" i="40" s="1"/>
  <c r="AZ847" i="40" s="1"/>
  <c r="BA847" i="40" s="1"/>
  <c r="BB847" i="40" s="1"/>
  <c r="BC847" i="40" s="1"/>
  <c r="BD847" i="40" s="1"/>
  <c r="BE847" i="40" s="1"/>
  <c r="BF847" i="40" s="1"/>
  <c r="BG847" i="40" s="1"/>
  <c r="BH847" i="40" s="1"/>
  <c r="BI847" i="40" s="1"/>
  <c r="BJ847" i="40" s="1"/>
  <c r="BK847" i="40" s="1"/>
  <c r="BL847" i="40" s="1"/>
  <c r="BM847" i="40" s="1"/>
  <c r="BN847" i="40" s="1"/>
  <c r="BO847" i="40" s="1"/>
  <c r="BP847" i="40" s="1"/>
  <c r="BQ847" i="40" s="1"/>
  <c r="BR847" i="40" s="1"/>
  <c r="BS847" i="40" s="1"/>
  <c r="BT847" i="40" s="1"/>
  <c r="BU847" i="40" s="1"/>
  <c r="BV847" i="40" s="1"/>
  <c r="BW847" i="40" s="1"/>
  <c r="BX847" i="40" s="1"/>
  <c r="BY847" i="40" s="1"/>
  <c r="BZ847" i="40" s="1"/>
  <c r="CA847" i="40" s="1"/>
  <c r="AV851" i="40"/>
  <c r="AW851" i="40" s="1"/>
  <c r="AX851" i="40" s="1"/>
  <c r="AY851" i="40" s="1"/>
  <c r="AZ851" i="40" s="1"/>
  <c r="BA851" i="40" s="1"/>
  <c r="BB851" i="40" s="1"/>
  <c r="BC851" i="40" s="1"/>
  <c r="BD851" i="40" s="1"/>
  <c r="BE851" i="40" s="1"/>
  <c r="BF851" i="40" s="1"/>
  <c r="BG851" i="40" s="1"/>
  <c r="BH851" i="40" s="1"/>
  <c r="BI851" i="40" s="1"/>
  <c r="BJ851" i="40" s="1"/>
  <c r="BK851" i="40" s="1"/>
  <c r="BL851" i="40" s="1"/>
  <c r="BM851" i="40" s="1"/>
  <c r="BN851" i="40" s="1"/>
  <c r="BO851" i="40" s="1"/>
  <c r="BP851" i="40" s="1"/>
  <c r="BQ851" i="40" s="1"/>
  <c r="BR851" i="40" s="1"/>
  <c r="BS851" i="40" s="1"/>
  <c r="BT851" i="40" s="1"/>
  <c r="BU851" i="40" s="1"/>
  <c r="BV851" i="40" s="1"/>
  <c r="BW851" i="40" s="1"/>
  <c r="BX851" i="40" s="1"/>
  <c r="BY851" i="40" s="1"/>
  <c r="BZ851" i="40" s="1"/>
  <c r="CA851" i="40" s="1"/>
  <c r="AZ855" i="40"/>
  <c r="BA855" i="40" s="1"/>
  <c r="BB855" i="40" s="1"/>
  <c r="BC855" i="40" s="1"/>
  <c r="BD855" i="40" s="1"/>
  <c r="BE855" i="40" s="1"/>
  <c r="BF855" i="40" s="1"/>
  <c r="BG855" i="40" s="1"/>
  <c r="BH855" i="40" s="1"/>
  <c r="BI855" i="40" s="1"/>
  <c r="BJ855" i="40" s="1"/>
  <c r="BK855" i="40" s="1"/>
  <c r="BL855" i="40" s="1"/>
  <c r="BM855" i="40" s="1"/>
  <c r="BN855" i="40" s="1"/>
  <c r="BO855" i="40" s="1"/>
  <c r="BP855" i="40" s="1"/>
  <c r="BQ855" i="40" s="1"/>
  <c r="BR855" i="40" s="1"/>
  <c r="BS855" i="40" s="1"/>
  <c r="BT855" i="40" s="1"/>
  <c r="BU855" i="40" s="1"/>
  <c r="BV855" i="40" s="1"/>
  <c r="BW855" i="40" s="1"/>
  <c r="BX855" i="40" s="1"/>
  <c r="BY855" i="40" s="1"/>
  <c r="BZ855" i="40" s="1"/>
  <c r="CA855" i="40" s="1"/>
  <c r="CB855" i="40" s="1"/>
  <c r="BD859" i="40"/>
  <c r="BE859" i="40" s="1"/>
  <c r="BF859" i="40" s="1"/>
  <c r="BG859" i="40" s="1"/>
  <c r="BH859" i="40" s="1"/>
  <c r="BI859" i="40" s="1"/>
  <c r="BJ859" i="40" s="1"/>
  <c r="BK859" i="40" s="1"/>
  <c r="BL859" i="40" s="1"/>
  <c r="BM859" i="40" s="1"/>
  <c r="BN859" i="40" s="1"/>
  <c r="BO859" i="40" s="1"/>
  <c r="BP859" i="40" s="1"/>
  <c r="BQ859" i="40" s="1"/>
  <c r="BR859" i="40" s="1"/>
  <c r="BS859" i="40" s="1"/>
  <c r="BT859" i="40" s="1"/>
  <c r="BU859" i="40" s="1"/>
  <c r="BV859" i="40" s="1"/>
  <c r="BW859" i="40" s="1"/>
  <c r="BX859" i="40" s="1"/>
  <c r="BY859" i="40" s="1"/>
  <c r="BZ859" i="40" s="1"/>
  <c r="CA859" i="40" s="1"/>
  <c r="BH863" i="40"/>
  <c r="BI863" i="40" s="1"/>
  <c r="BJ863" i="40" s="1"/>
  <c r="BK863" i="40" s="1"/>
  <c r="BL863" i="40" s="1"/>
  <c r="BM863" i="40" s="1"/>
  <c r="BN863" i="40" s="1"/>
  <c r="BO863" i="40" s="1"/>
  <c r="BP863" i="40" s="1"/>
  <c r="BQ863" i="40" s="1"/>
  <c r="BR863" i="40" s="1"/>
  <c r="BS863" i="40" s="1"/>
  <c r="BT863" i="40" s="1"/>
  <c r="BU863" i="40" s="1"/>
  <c r="BV863" i="40" s="1"/>
  <c r="BW863" i="40" s="1"/>
  <c r="BX863" i="40" s="1"/>
  <c r="BY863" i="40" s="1"/>
  <c r="BZ863" i="40" s="1"/>
  <c r="CA863" i="40" s="1"/>
  <c r="BL867" i="40"/>
  <c r="BM867" i="40" s="1"/>
  <c r="BN867" i="40" s="1"/>
  <c r="BO867" i="40" s="1"/>
  <c r="BP867" i="40" s="1"/>
  <c r="BQ867" i="40" s="1"/>
  <c r="BR867" i="40" s="1"/>
  <c r="BS867" i="40" s="1"/>
  <c r="BT867" i="40" s="1"/>
  <c r="BU867" i="40" s="1"/>
  <c r="BV867" i="40" s="1"/>
  <c r="BW867" i="40" s="1"/>
  <c r="BX867" i="40" s="1"/>
  <c r="BY867" i="40" s="1"/>
  <c r="BZ867" i="40" s="1"/>
  <c r="CA867" i="40" s="1"/>
  <c r="BP871" i="40"/>
  <c r="BQ871" i="40" s="1"/>
  <c r="BR871" i="40" s="1"/>
  <c r="BS871" i="40" s="1"/>
  <c r="BT871" i="40" s="1"/>
  <c r="BU871" i="40" s="1"/>
  <c r="BV871" i="40" s="1"/>
  <c r="BW871" i="40" s="1"/>
  <c r="BX871" i="40" s="1"/>
  <c r="BY871" i="40" s="1"/>
  <c r="BZ871" i="40" s="1"/>
  <c r="CA871" i="40" s="1"/>
  <c r="CB871" i="40" s="1"/>
  <c r="J813" i="40"/>
  <c r="K813" i="40" s="1"/>
  <c r="L813" i="40" s="1"/>
  <c r="M813" i="40" s="1"/>
  <c r="N813" i="40" s="1"/>
  <c r="O813" i="40" s="1"/>
  <c r="P813" i="40" s="1"/>
  <c r="Q813" i="40" s="1"/>
  <c r="R813" i="40" s="1"/>
  <c r="S813" i="40" s="1"/>
  <c r="T813" i="40" s="1"/>
  <c r="U813" i="40" s="1"/>
  <c r="V813" i="40" s="1"/>
  <c r="W813" i="40" s="1"/>
  <c r="X813" i="40" s="1"/>
  <c r="Y813" i="40" s="1"/>
  <c r="Z813" i="40" s="1"/>
  <c r="AA813" i="40" s="1"/>
  <c r="AB813" i="40" s="1"/>
  <c r="AC813" i="40" s="1"/>
  <c r="AD813" i="40" s="1"/>
  <c r="AE813" i="40" s="1"/>
  <c r="AF813" i="40" s="1"/>
  <c r="AG813" i="40" s="1"/>
  <c r="AH813" i="40" s="1"/>
  <c r="AI813" i="40" s="1"/>
  <c r="AJ813" i="40" s="1"/>
  <c r="AK813" i="40" s="1"/>
  <c r="AL813" i="40" s="1"/>
  <c r="AM813" i="40" s="1"/>
  <c r="AN813" i="40" s="1"/>
  <c r="AO813" i="40" s="1"/>
  <c r="AP813" i="40" s="1"/>
  <c r="AQ813" i="40" s="1"/>
  <c r="AR813" i="40" s="1"/>
  <c r="AS813" i="40" s="1"/>
  <c r="AT813" i="40" s="1"/>
  <c r="AU813" i="40" s="1"/>
  <c r="AV813" i="40" s="1"/>
  <c r="AW813" i="40" s="1"/>
  <c r="AX813" i="40" s="1"/>
  <c r="AY813" i="40" s="1"/>
  <c r="AZ813" i="40" s="1"/>
  <c r="BA813" i="40" s="1"/>
  <c r="BB813" i="40" s="1"/>
  <c r="BC813" i="40" s="1"/>
  <c r="BD813" i="40" s="1"/>
  <c r="BE813" i="40" s="1"/>
  <c r="BF813" i="40" s="1"/>
  <c r="BG813" i="40" s="1"/>
  <c r="BH813" i="40" s="1"/>
  <c r="BI813" i="40" s="1"/>
  <c r="BJ813" i="40" s="1"/>
  <c r="BK813" i="40" s="1"/>
  <c r="BL813" i="40" s="1"/>
  <c r="BM813" i="40" s="1"/>
  <c r="BN813" i="40" s="1"/>
  <c r="BO813" i="40" s="1"/>
  <c r="BP813" i="40" s="1"/>
  <c r="BQ813" i="40" s="1"/>
  <c r="BR813" i="40" s="1"/>
  <c r="BS813" i="40" s="1"/>
  <c r="BT813" i="40" s="1"/>
  <c r="BU813" i="40" s="1"/>
  <c r="BV813" i="40" s="1"/>
  <c r="BW813" i="40" s="1"/>
  <c r="BX813" i="40" s="1"/>
  <c r="BY813" i="40" s="1"/>
  <c r="BZ813" i="40" s="1"/>
  <c r="CA813" i="40" s="1"/>
  <c r="CB813" i="40" s="1"/>
  <c r="Z829" i="40"/>
  <c r="AA829" i="40" s="1"/>
  <c r="AB829" i="40" s="1"/>
  <c r="AC829" i="40" s="1"/>
  <c r="AD829" i="40" s="1"/>
  <c r="AE829" i="40" s="1"/>
  <c r="AF829" i="40" s="1"/>
  <c r="AG829" i="40" s="1"/>
  <c r="AH829" i="40" s="1"/>
  <c r="AI829" i="40" s="1"/>
  <c r="AJ829" i="40" s="1"/>
  <c r="AK829" i="40" s="1"/>
  <c r="AL829" i="40" s="1"/>
  <c r="AM829" i="40" s="1"/>
  <c r="AN829" i="40" s="1"/>
  <c r="AO829" i="40" s="1"/>
  <c r="AP829" i="40" s="1"/>
  <c r="AQ829" i="40" s="1"/>
  <c r="AR829" i="40" s="1"/>
  <c r="AS829" i="40" s="1"/>
  <c r="AT829" i="40" s="1"/>
  <c r="AU829" i="40" s="1"/>
  <c r="AV829" i="40" s="1"/>
  <c r="AW829" i="40" s="1"/>
  <c r="AX829" i="40" s="1"/>
  <c r="AY829" i="40" s="1"/>
  <c r="AZ829" i="40" s="1"/>
  <c r="BA829" i="40" s="1"/>
  <c r="BB829" i="40" s="1"/>
  <c r="BC829" i="40" s="1"/>
  <c r="BD829" i="40" s="1"/>
  <c r="BE829" i="40" s="1"/>
  <c r="BF829" i="40" s="1"/>
  <c r="BG829" i="40" s="1"/>
  <c r="BH829" i="40" s="1"/>
  <c r="BI829" i="40" s="1"/>
  <c r="BJ829" i="40" s="1"/>
  <c r="BK829" i="40" s="1"/>
  <c r="BL829" i="40" s="1"/>
  <c r="BM829" i="40" s="1"/>
  <c r="BN829" i="40" s="1"/>
  <c r="BO829" i="40" s="1"/>
  <c r="BP829" i="40" s="1"/>
  <c r="BQ829" i="40" s="1"/>
  <c r="BR829" i="40" s="1"/>
  <c r="BS829" i="40" s="1"/>
  <c r="BT829" i="40" s="1"/>
  <c r="BU829" i="40" s="1"/>
  <c r="BV829" i="40" s="1"/>
  <c r="BW829" i="40" s="1"/>
  <c r="BX829" i="40" s="1"/>
  <c r="BY829" i="40" s="1"/>
  <c r="BZ829" i="40" s="1"/>
  <c r="CA829" i="40" s="1"/>
  <c r="AP845" i="40"/>
  <c r="AQ845" i="40" s="1"/>
  <c r="AR845" i="40" s="1"/>
  <c r="AS845" i="40" s="1"/>
  <c r="AT845" i="40" s="1"/>
  <c r="AU845" i="40" s="1"/>
  <c r="AV845" i="40" s="1"/>
  <c r="AW845" i="40" s="1"/>
  <c r="AX845" i="40" s="1"/>
  <c r="AY845" i="40" s="1"/>
  <c r="AZ845" i="40" s="1"/>
  <c r="BA845" i="40" s="1"/>
  <c r="BB845" i="40" s="1"/>
  <c r="BC845" i="40" s="1"/>
  <c r="BD845" i="40" s="1"/>
  <c r="BE845" i="40" s="1"/>
  <c r="BF845" i="40" s="1"/>
  <c r="BG845" i="40" s="1"/>
  <c r="BH845" i="40" s="1"/>
  <c r="BI845" i="40" s="1"/>
  <c r="BJ845" i="40" s="1"/>
  <c r="BK845" i="40" s="1"/>
  <c r="BL845" i="40" s="1"/>
  <c r="BM845" i="40" s="1"/>
  <c r="BN845" i="40" s="1"/>
  <c r="BO845" i="40" s="1"/>
  <c r="BP845" i="40" s="1"/>
  <c r="BQ845" i="40" s="1"/>
  <c r="BR845" i="40" s="1"/>
  <c r="BS845" i="40" s="1"/>
  <c r="BT845" i="40" s="1"/>
  <c r="BU845" i="40" s="1"/>
  <c r="BV845" i="40" s="1"/>
  <c r="BW845" i="40" s="1"/>
  <c r="BX845" i="40" s="1"/>
  <c r="BY845" i="40" s="1"/>
  <c r="BZ845" i="40" s="1"/>
  <c r="CA845" i="40" s="1"/>
  <c r="CB845" i="40" s="1"/>
  <c r="BF861" i="40"/>
  <c r="BG861" i="40" s="1"/>
  <c r="BH861" i="40" s="1"/>
  <c r="BI861" i="40" s="1"/>
  <c r="BJ861" i="40" s="1"/>
  <c r="BK861" i="40" s="1"/>
  <c r="BL861" i="40" s="1"/>
  <c r="BM861" i="40" s="1"/>
  <c r="BN861" i="40" s="1"/>
  <c r="BO861" i="40" s="1"/>
  <c r="BP861" i="40" s="1"/>
  <c r="BQ861" i="40" s="1"/>
  <c r="BR861" i="40" s="1"/>
  <c r="BS861" i="40" s="1"/>
  <c r="BT861" i="40" s="1"/>
  <c r="BU861" i="40" s="1"/>
  <c r="BV861" i="40" s="1"/>
  <c r="BW861" i="40" s="1"/>
  <c r="BX861" i="40" s="1"/>
  <c r="BY861" i="40" s="1"/>
  <c r="BZ861" i="40" s="1"/>
  <c r="CA861" i="40" s="1"/>
  <c r="N817" i="40"/>
  <c r="O817" i="40" s="1"/>
  <c r="P817" i="40" s="1"/>
  <c r="Q817" i="40" s="1"/>
  <c r="R817" i="40" s="1"/>
  <c r="S817" i="40" s="1"/>
  <c r="T817" i="40" s="1"/>
  <c r="U817" i="40" s="1"/>
  <c r="V817" i="40" s="1"/>
  <c r="W817" i="40" s="1"/>
  <c r="X817" i="40" s="1"/>
  <c r="Y817" i="40" s="1"/>
  <c r="Z817" i="40" s="1"/>
  <c r="AA817" i="40" s="1"/>
  <c r="AB817" i="40" s="1"/>
  <c r="AC817" i="40" s="1"/>
  <c r="AD817" i="40" s="1"/>
  <c r="AE817" i="40" s="1"/>
  <c r="AF817" i="40" s="1"/>
  <c r="AG817" i="40" s="1"/>
  <c r="AH817" i="40" s="1"/>
  <c r="AI817" i="40" s="1"/>
  <c r="AJ817" i="40" s="1"/>
  <c r="AK817" i="40" s="1"/>
  <c r="AL817" i="40" s="1"/>
  <c r="AM817" i="40" s="1"/>
  <c r="AN817" i="40" s="1"/>
  <c r="AO817" i="40" s="1"/>
  <c r="AP817" i="40" s="1"/>
  <c r="AQ817" i="40" s="1"/>
  <c r="AR817" i="40" s="1"/>
  <c r="AS817" i="40" s="1"/>
  <c r="AT817" i="40" s="1"/>
  <c r="AU817" i="40" s="1"/>
  <c r="AV817" i="40" s="1"/>
  <c r="AW817" i="40" s="1"/>
  <c r="AX817" i="40" s="1"/>
  <c r="AY817" i="40" s="1"/>
  <c r="AZ817" i="40" s="1"/>
  <c r="BA817" i="40" s="1"/>
  <c r="BB817" i="40" s="1"/>
  <c r="BC817" i="40" s="1"/>
  <c r="BD817" i="40" s="1"/>
  <c r="BE817" i="40" s="1"/>
  <c r="BF817" i="40" s="1"/>
  <c r="BG817" i="40" s="1"/>
  <c r="BH817" i="40" s="1"/>
  <c r="BI817" i="40" s="1"/>
  <c r="BJ817" i="40" s="1"/>
  <c r="BK817" i="40" s="1"/>
  <c r="BL817" i="40" s="1"/>
  <c r="BM817" i="40" s="1"/>
  <c r="BN817" i="40" s="1"/>
  <c r="BO817" i="40" s="1"/>
  <c r="BP817" i="40" s="1"/>
  <c r="BQ817" i="40" s="1"/>
  <c r="BR817" i="40" s="1"/>
  <c r="BS817" i="40" s="1"/>
  <c r="BT817" i="40" s="1"/>
  <c r="BU817" i="40" s="1"/>
  <c r="BV817" i="40" s="1"/>
  <c r="BW817" i="40" s="1"/>
  <c r="BX817" i="40" s="1"/>
  <c r="BY817" i="40" s="1"/>
  <c r="BZ817" i="40" s="1"/>
  <c r="CA817" i="40" s="1"/>
  <c r="CB817" i="40" s="1"/>
  <c r="AD833" i="40"/>
  <c r="AE833" i="40" s="1"/>
  <c r="AF833" i="40" s="1"/>
  <c r="AG833" i="40" s="1"/>
  <c r="AH833" i="40" s="1"/>
  <c r="AI833" i="40" s="1"/>
  <c r="AJ833" i="40" s="1"/>
  <c r="AK833" i="40" s="1"/>
  <c r="AL833" i="40" s="1"/>
  <c r="AM833" i="40" s="1"/>
  <c r="AN833" i="40" s="1"/>
  <c r="AO833" i="40" s="1"/>
  <c r="AP833" i="40" s="1"/>
  <c r="AQ833" i="40" s="1"/>
  <c r="AR833" i="40" s="1"/>
  <c r="AS833" i="40" s="1"/>
  <c r="AT833" i="40" s="1"/>
  <c r="AU833" i="40" s="1"/>
  <c r="AV833" i="40" s="1"/>
  <c r="AW833" i="40" s="1"/>
  <c r="AX833" i="40" s="1"/>
  <c r="AY833" i="40" s="1"/>
  <c r="AZ833" i="40" s="1"/>
  <c r="BA833" i="40" s="1"/>
  <c r="BB833" i="40" s="1"/>
  <c r="BC833" i="40" s="1"/>
  <c r="BD833" i="40" s="1"/>
  <c r="BE833" i="40" s="1"/>
  <c r="BF833" i="40" s="1"/>
  <c r="BG833" i="40" s="1"/>
  <c r="BH833" i="40" s="1"/>
  <c r="BI833" i="40" s="1"/>
  <c r="BJ833" i="40" s="1"/>
  <c r="BK833" i="40" s="1"/>
  <c r="BL833" i="40" s="1"/>
  <c r="BM833" i="40" s="1"/>
  <c r="BN833" i="40" s="1"/>
  <c r="BO833" i="40" s="1"/>
  <c r="BP833" i="40" s="1"/>
  <c r="BQ833" i="40" s="1"/>
  <c r="BR833" i="40" s="1"/>
  <c r="BS833" i="40" s="1"/>
  <c r="BT833" i="40" s="1"/>
  <c r="BU833" i="40" s="1"/>
  <c r="BV833" i="40" s="1"/>
  <c r="BW833" i="40" s="1"/>
  <c r="BX833" i="40" s="1"/>
  <c r="BY833" i="40" s="1"/>
  <c r="BZ833" i="40" s="1"/>
  <c r="CA833" i="40" s="1"/>
  <c r="AT849" i="40"/>
  <c r="AU849" i="40" s="1"/>
  <c r="AV849" i="40" s="1"/>
  <c r="AW849" i="40" s="1"/>
  <c r="AX849" i="40" s="1"/>
  <c r="AY849" i="40" s="1"/>
  <c r="AZ849" i="40" s="1"/>
  <c r="BA849" i="40" s="1"/>
  <c r="BB849" i="40" s="1"/>
  <c r="BC849" i="40" s="1"/>
  <c r="BD849" i="40" s="1"/>
  <c r="BE849" i="40" s="1"/>
  <c r="BF849" i="40" s="1"/>
  <c r="BG849" i="40" s="1"/>
  <c r="BH849" i="40" s="1"/>
  <c r="BI849" i="40" s="1"/>
  <c r="BJ849" i="40" s="1"/>
  <c r="BK849" i="40" s="1"/>
  <c r="BL849" i="40" s="1"/>
  <c r="BM849" i="40" s="1"/>
  <c r="BN849" i="40" s="1"/>
  <c r="BO849" i="40" s="1"/>
  <c r="BP849" i="40" s="1"/>
  <c r="BQ849" i="40" s="1"/>
  <c r="BR849" i="40" s="1"/>
  <c r="BS849" i="40" s="1"/>
  <c r="BT849" i="40" s="1"/>
  <c r="BU849" i="40" s="1"/>
  <c r="BV849" i="40" s="1"/>
  <c r="BW849" i="40" s="1"/>
  <c r="BX849" i="40" s="1"/>
  <c r="BY849" i="40" s="1"/>
  <c r="BZ849" i="40" s="1"/>
  <c r="CA849" i="40" s="1"/>
  <c r="R821" i="40"/>
  <c r="S821" i="40" s="1"/>
  <c r="T821" i="40" s="1"/>
  <c r="U821" i="40" s="1"/>
  <c r="V821" i="40" s="1"/>
  <c r="W821" i="40" s="1"/>
  <c r="X821" i="40" s="1"/>
  <c r="Y821" i="40" s="1"/>
  <c r="Z821" i="40" s="1"/>
  <c r="AA821" i="40" s="1"/>
  <c r="AB821" i="40" s="1"/>
  <c r="AC821" i="40" s="1"/>
  <c r="AD821" i="40" s="1"/>
  <c r="AE821" i="40" s="1"/>
  <c r="AF821" i="40" s="1"/>
  <c r="AG821" i="40" s="1"/>
  <c r="AH821" i="40" s="1"/>
  <c r="AI821" i="40" s="1"/>
  <c r="AJ821" i="40" s="1"/>
  <c r="AK821" i="40" s="1"/>
  <c r="AL821" i="40" s="1"/>
  <c r="AM821" i="40" s="1"/>
  <c r="AN821" i="40" s="1"/>
  <c r="AO821" i="40" s="1"/>
  <c r="AP821" i="40" s="1"/>
  <c r="AQ821" i="40" s="1"/>
  <c r="AR821" i="40" s="1"/>
  <c r="AS821" i="40" s="1"/>
  <c r="AT821" i="40" s="1"/>
  <c r="AU821" i="40" s="1"/>
  <c r="AV821" i="40" s="1"/>
  <c r="AW821" i="40" s="1"/>
  <c r="AX821" i="40" s="1"/>
  <c r="AY821" i="40" s="1"/>
  <c r="AZ821" i="40" s="1"/>
  <c r="BA821" i="40" s="1"/>
  <c r="BB821" i="40" s="1"/>
  <c r="BC821" i="40" s="1"/>
  <c r="BD821" i="40" s="1"/>
  <c r="BE821" i="40" s="1"/>
  <c r="BF821" i="40" s="1"/>
  <c r="BG821" i="40" s="1"/>
  <c r="BH821" i="40" s="1"/>
  <c r="BI821" i="40" s="1"/>
  <c r="BJ821" i="40" s="1"/>
  <c r="BK821" i="40" s="1"/>
  <c r="BL821" i="40" s="1"/>
  <c r="BM821" i="40" s="1"/>
  <c r="BN821" i="40" s="1"/>
  <c r="BO821" i="40" s="1"/>
  <c r="BP821" i="40" s="1"/>
  <c r="BQ821" i="40" s="1"/>
  <c r="BR821" i="40" s="1"/>
  <c r="BS821" i="40" s="1"/>
  <c r="BT821" i="40" s="1"/>
  <c r="BU821" i="40" s="1"/>
  <c r="BV821" i="40" s="1"/>
  <c r="BW821" i="40" s="1"/>
  <c r="BX821" i="40" s="1"/>
  <c r="BY821" i="40" s="1"/>
  <c r="BZ821" i="40" s="1"/>
  <c r="CA821" i="40" s="1"/>
  <c r="AH837" i="40"/>
  <c r="AI837" i="40" s="1"/>
  <c r="AJ837" i="40" s="1"/>
  <c r="AK837" i="40" s="1"/>
  <c r="AL837" i="40" s="1"/>
  <c r="AM837" i="40" s="1"/>
  <c r="AN837" i="40" s="1"/>
  <c r="AO837" i="40" s="1"/>
  <c r="AP837" i="40" s="1"/>
  <c r="AQ837" i="40" s="1"/>
  <c r="AR837" i="40" s="1"/>
  <c r="AS837" i="40" s="1"/>
  <c r="AT837" i="40" s="1"/>
  <c r="AU837" i="40" s="1"/>
  <c r="AV837" i="40" s="1"/>
  <c r="AW837" i="40" s="1"/>
  <c r="AX837" i="40" s="1"/>
  <c r="AY837" i="40" s="1"/>
  <c r="AZ837" i="40" s="1"/>
  <c r="BA837" i="40" s="1"/>
  <c r="BB837" i="40" s="1"/>
  <c r="BC837" i="40" s="1"/>
  <c r="BD837" i="40" s="1"/>
  <c r="BE837" i="40" s="1"/>
  <c r="BF837" i="40" s="1"/>
  <c r="BG837" i="40" s="1"/>
  <c r="BH837" i="40" s="1"/>
  <c r="BI837" i="40" s="1"/>
  <c r="BJ837" i="40" s="1"/>
  <c r="BK837" i="40" s="1"/>
  <c r="BL837" i="40" s="1"/>
  <c r="BM837" i="40" s="1"/>
  <c r="BN837" i="40" s="1"/>
  <c r="BO837" i="40" s="1"/>
  <c r="BP837" i="40" s="1"/>
  <c r="BQ837" i="40" s="1"/>
  <c r="BR837" i="40" s="1"/>
  <c r="BS837" i="40" s="1"/>
  <c r="BT837" i="40" s="1"/>
  <c r="BU837" i="40" s="1"/>
  <c r="BV837" i="40" s="1"/>
  <c r="BW837" i="40" s="1"/>
  <c r="BX837" i="40" s="1"/>
  <c r="BY837" i="40" s="1"/>
  <c r="BZ837" i="40" s="1"/>
  <c r="CA837" i="40" s="1"/>
  <c r="AX853" i="40"/>
  <c r="AY853" i="40" s="1"/>
  <c r="AZ853" i="40" s="1"/>
  <c r="BA853" i="40" s="1"/>
  <c r="BB853" i="40" s="1"/>
  <c r="BC853" i="40" s="1"/>
  <c r="BD853" i="40" s="1"/>
  <c r="BE853" i="40" s="1"/>
  <c r="BF853" i="40" s="1"/>
  <c r="BG853" i="40" s="1"/>
  <c r="BH853" i="40" s="1"/>
  <c r="BI853" i="40" s="1"/>
  <c r="BJ853" i="40" s="1"/>
  <c r="BK853" i="40" s="1"/>
  <c r="BL853" i="40" s="1"/>
  <c r="BM853" i="40" s="1"/>
  <c r="BN853" i="40" s="1"/>
  <c r="BO853" i="40" s="1"/>
  <c r="BP853" i="40" s="1"/>
  <c r="BQ853" i="40" s="1"/>
  <c r="BR853" i="40" s="1"/>
  <c r="BS853" i="40" s="1"/>
  <c r="BT853" i="40" s="1"/>
  <c r="BU853" i="40" s="1"/>
  <c r="BV853" i="40" s="1"/>
  <c r="BW853" i="40" s="1"/>
  <c r="BX853" i="40" s="1"/>
  <c r="BY853" i="40" s="1"/>
  <c r="BZ853" i="40" s="1"/>
  <c r="CA853" i="40" s="1"/>
  <c r="G810" i="40"/>
  <c r="H810" i="40" s="1"/>
  <c r="I810" i="40" s="1"/>
  <c r="J810" i="40" s="1"/>
  <c r="K810" i="40" s="1"/>
  <c r="L810" i="40" s="1"/>
  <c r="M810" i="40" s="1"/>
  <c r="N810" i="40" s="1"/>
  <c r="O810" i="40" s="1"/>
  <c r="P810" i="40" s="1"/>
  <c r="Q810" i="40" s="1"/>
  <c r="R810" i="40" s="1"/>
  <c r="S810" i="40" s="1"/>
  <c r="T810" i="40" s="1"/>
  <c r="U810" i="40" s="1"/>
  <c r="V810" i="40" s="1"/>
  <c r="W810" i="40" s="1"/>
  <c r="X810" i="40" s="1"/>
  <c r="Y810" i="40" s="1"/>
  <c r="Z810" i="40" s="1"/>
  <c r="AA810" i="40" s="1"/>
  <c r="AB810" i="40" s="1"/>
  <c r="AC810" i="40" s="1"/>
  <c r="AD810" i="40" s="1"/>
  <c r="AE810" i="40" s="1"/>
  <c r="AF810" i="40" s="1"/>
  <c r="AG810" i="40" s="1"/>
  <c r="AH810" i="40" s="1"/>
  <c r="AI810" i="40" s="1"/>
  <c r="AJ810" i="40" s="1"/>
  <c r="AK810" i="40" s="1"/>
  <c r="AL810" i="40" s="1"/>
  <c r="AM810" i="40" s="1"/>
  <c r="AN810" i="40" s="1"/>
  <c r="AO810" i="40" s="1"/>
  <c r="AP810" i="40" s="1"/>
  <c r="AQ810" i="40" s="1"/>
  <c r="AR810" i="40" s="1"/>
  <c r="AS810" i="40" s="1"/>
  <c r="AT810" i="40" s="1"/>
  <c r="AU810" i="40" s="1"/>
  <c r="AV810" i="40" s="1"/>
  <c r="AW810" i="40" s="1"/>
  <c r="AX810" i="40" s="1"/>
  <c r="AY810" i="40" s="1"/>
  <c r="AZ810" i="40" s="1"/>
  <c r="BA810" i="40" s="1"/>
  <c r="BB810" i="40" s="1"/>
  <c r="BC810" i="40" s="1"/>
  <c r="BD810" i="40" s="1"/>
  <c r="BE810" i="40" s="1"/>
  <c r="BF810" i="40" s="1"/>
  <c r="BG810" i="40" s="1"/>
  <c r="BH810" i="40" s="1"/>
  <c r="BI810" i="40" s="1"/>
  <c r="BJ810" i="40" s="1"/>
  <c r="BK810" i="40" s="1"/>
  <c r="BL810" i="40" s="1"/>
  <c r="BM810" i="40" s="1"/>
  <c r="BN810" i="40" s="1"/>
  <c r="BO810" i="40" s="1"/>
  <c r="BP810" i="40" s="1"/>
  <c r="BQ810" i="40" s="1"/>
  <c r="BR810" i="40" s="1"/>
  <c r="BS810" i="40" s="1"/>
  <c r="BT810" i="40" s="1"/>
  <c r="BU810" i="40" s="1"/>
  <c r="BV810" i="40" s="1"/>
  <c r="BW810" i="40" s="1"/>
  <c r="BX810" i="40" s="1"/>
  <c r="BY810" i="40" s="1"/>
  <c r="BZ810" i="40" s="1"/>
  <c r="CA810" i="40" s="1"/>
  <c r="CB810" i="40" s="1"/>
  <c r="K814" i="40"/>
  <c r="L814" i="40" s="1"/>
  <c r="M814" i="40" s="1"/>
  <c r="N814" i="40" s="1"/>
  <c r="O814" i="40" s="1"/>
  <c r="P814" i="40" s="1"/>
  <c r="Q814" i="40" s="1"/>
  <c r="R814" i="40" s="1"/>
  <c r="S814" i="40" s="1"/>
  <c r="T814" i="40" s="1"/>
  <c r="U814" i="40" s="1"/>
  <c r="V814" i="40" s="1"/>
  <c r="W814" i="40" s="1"/>
  <c r="X814" i="40" s="1"/>
  <c r="Y814" i="40" s="1"/>
  <c r="Z814" i="40" s="1"/>
  <c r="AA814" i="40" s="1"/>
  <c r="AB814" i="40" s="1"/>
  <c r="AC814" i="40" s="1"/>
  <c r="AD814" i="40" s="1"/>
  <c r="AE814" i="40" s="1"/>
  <c r="AF814" i="40" s="1"/>
  <c r="AG814" i="40" s="1"/>
  <c r="AH814" i="40" s="1"/>
  <c r="AI814" i="40" s="1"/>
  <c r="AJ814" i="40" s="1"/>
  <c r="AK814" i="40" s="1"/>
  <c r="AL814" i="40" s="1"/>
  <c r="AM814" i="40" s="1"/>
  <c r="AN814" i="40" s="1"/>
  <c r="AO814" i="40" s="1"/>
  <c r="AP814" i="40" s="1"/>
  <c r="AQ814" i="40" s="1"/>
  <c r="AR814" i="40" s="1"/>
  <c r="AS814" i="40" s="1"/>
  <c r="AT814" i="40" s="1"/>
  <c r="AU814" i="40" s="1"/>
  <c r="AV814" i="40" s="1"/>
  <c r="AW814" i="40" s="1"/>
  <c r="AX814" i="40" s="1"/>
  <c r="AY814" i="40" s="1"/>
  <c r="AZ814" i="40" s="1"/>
  <c r="BA814" i="40" s="1"/>
  <c r="BB814" i="40" s="1"/>
  <c r="BC814" i="40" s="1"/>
  <c r="BD814" i="40" s="1"/>
  <c r="BE814" i="40" s="1"/>
  <c r="BF814" i="40" s="1"/>
  <c r="BG814" i="40" s="1"/>
  <c r="BH814" i="40" s="1"/>
  <c r="BI814" i="40" s="1"/>
  <c r="BJ814" i="40" s="1"/>
  <c r="BK814" i="40" s="1"/>
  <c r="BL814" i="40" s="1"/>
  <c r="BM814" i="40" s="1"/>
  <c r="BN814" i="40" s="1"/>
  <c r="BO814" i="40" s="1"/>
  <c r="BP814" i="40" s="1"/>
  <c r="BQ814" i="40" s="1"/>
  <c r="BR814" i="40" s="1"/>
  <c r="BS814" i="40" s="1"/>
  <c r="BT814" i="40" s="1"/>
  <c r="BU814" i="40" s="1"/>
  <c r="BV814" i="40" s="1"/>
  <c r="BW814" i="40" s="1"/>
  <c r="BX814" i="40" s="1"/>
  <c r="BY814" i="40" s="1"/>
  <c r="BZ814" i="40" s="1"/>
  <c r="CA814" i="40" s="1"/>
  <c r="CB814" i="40" s="1"/>
  <c r="O818" i="40"/>
  <c r="P818" i="40" s="1"/>
  <c r="Q818" i="40" s="1"/>
  <c r="R818" i="40" s="1"/>
  <c r="S818" i="40" s="1"/>
  <c r="T818" i="40" s="1"/>
  <c r="U818" i="40" s="1"/>
  <c r="V818" i="40" s="1"/>
  <c r="W818" i="40" s="1"/>
  <c r="X818" i="40" s="1"/>
  <c r="Y818" i="40" s="1"/>
  <c r="Z818" i="40" s="1"/>
  <c r="AA818" i="40" s="1"/>
  <c r="AB818" i="40" s="1"/>
  <c r="AC818" i="40" s="1"/>
  <c r="AD818" i="40" s="1"/>
  <c r="AE818" i="40" s="1"/>
  <c r="AF818" i="40" s="1"/>
  <c r="AG818" i="40" s="1"/>
  <c r="AH818" i="40" s="1"/>
  <c r="AI818" i="40" s="1"/>
  <c r="AJ818" i="40" s="1"/>
  <c r="AK818" i="40" s="1"/>
  <c r="AL818" i="40" s="1"/>
  <c r="AM818" i="40" s="1"/>
  <c r="AN818" i="40" s="1"/>
  <c r="AO818" i="40" s="1"/>
  <c r="AP818" i="40" s="1"/>
  <c r="AQ818" i="40" s="1"/>
  <c r="AR818" i="40" s="1"/>
  <c r="AS818" i="40" s="1"/>
  <c r="AT818" i="40" s="1"/>
  <c r="AU818" i="40" s="1"/>
  <c r="AV818" i="40" s="1"/>
  <c r="AW818" i="40" s="1"/>
  <c r="AX818" i="40" s="1"/>
  <c r="AY818" i="40" s="1"/>
  <c r="AZ818" i="40" s="1"/>
  <c r="BA818" i="40" s="1"/>
  <c r="BB818" i="40" s="1"/>
  <c r="BC818" i="40" s="1"/>
  <c r="BD818" i="40" s="1"/>
  <c r="BE818" i="40" s="1"/>
  <c r="BF818" i="40" s="1"/>
  <c r="BG818" i="40" s="1"/>
  <c r="BH818" i="40" s="1"/>
  <c r="BI818" i="40" s="1"/>
  <c r="BJ818" i="40" s="1"/>
  <c r="BK818" i="40" s="1"/>
  <c r="BL818" i="40" s="1"/>
  <c r="BM818" i="40" s="1"/>
  <c r="BN818" i="40" s="1"/>
  <c r="BO818" i="40" s="1"/>
  <c r="BP818" i="40" s="1"/>
  <c r="BQ818" i="40" s="1"/>
  <c r="BR818" i="40" s="1"/>
  <c r="BS818" i="40" s="1"/>
  <c r="BT818" i="40" s="1"/>
  <c r="BU818" i="40" s="1"/>
  <c r="BV818" i="40" s="1"/>
  <c r="BW818" i="40" s="1"/>
  <c r="BX818" i="40" s="1"/>
  <c r="BY818" i="40" s="1"/>
  <c r="BZ818" i="40" s="1"/>
  <c r="CA818" i="40" s="1"/>
  <c r="CB818" i="40" s="1"/>
  <c r="S822" i="40"/>
  <c r="T822" i="40" s="1"/>
  <c r="U822" i="40" s="1"/>
  <c r="V822" i="40" s="1"/>
  <c r="W822" i="40" s="1"/>
  <c r="X822" i="40" s="1"/>
  <c r="Y822" i="40" s="1"/>
  <c r="Z822" i="40" s="1"/>
  <c r="AA822" i="40" s="1"/>
  <c r="AB822" i="40" s="1"/>
  <c r="AC822" i="40" s="1"/>
  <c r="AD822" i="40" s="1"/>
  <c r="AE822" i="40" s="1"/>
  <c r="AF822" i="40" s="1"/>
  <c r="AG822" i="40" s="1"/>
  <c r="AH822" i="40" s="1"/>
  <c r="AI822" i="40" s="1"/>
  <c r="AJ822" i="40" s="1"/>
  <c r="AK822" i="40" s="1"/>
  <c r="AL822" i="40" s="1"/>
  <c r="AM822" i="40" s="1"/>
  <c r="AN822" i="40" s="1"/>
  <c r="AO822" i="40" s="1"/>
  <c r="AP822" i="40" s="1"/>
  <c r="AQ822" i="40" s="1"/>
  <c r="AR822" i="40" s="1"/>
  <c r="AS822" i="40" s="1"/>
  <c r="AT822" i="40" s="1"/>
  <c r="AU822" i="40" s="1"/>
  <c r="AV822" i="40" s="1"/>
  <c r="AW822" i="40" s="1"/>
  <c r="AX822" i="40" s="1"/>
  <c r="AY822" i="40" s="1"/>
  <c r="AZ822" i="40" s="1"/>
  <c r="BA822" i="40" s="1"/>
  <c r="BB822" i="40" s="1"/>
  <c r="BC822" i="40" s="1"/>
  <c r="BD822" i="40" s="1"/>
  <c r="BE822" i="40" s="1"/>
  <c r="BF822" i="40" s="1"/>
  <c r="BG822" i="40" s="1"/>
  <c r="BH822" i="40" s="1"/>
  <c r="BI822" i="40" s="1"/>
  <c r="BJ822" i="40" s="1"/>
  <c r="BK822" i="40" s="1"/>
  <c r="BL822" i="40" s="1"/>
  <c r="BM822" i="40" s="1"/>
  <c r="BN822" i="40" s="1"/>
  <c r="BO822" i="40" s="1"/>
  <c r="BP822" i="40" s="1"/>
  <c r="BQ822" i="40" s="1"/>
  <c r="BR822" i="40" s="1"/>
  <c r="BS822" i="40" s="1"/>
  <c r="BT822" i="40" s="1"/>
  <c r="BU822" i="40" s="1"/>
  <c r="BV822" i="40" s="1"/>
  <c r="BW822" i="40" s="1"/>
  <c r="BX822" i="40" s="1"/>
  <c r="BY822" i="40" s="1"/>
  <c r="BZ822" i="40" s="1"/>
  <c r="CA822" i="40" s="1"/>
  <c r="W826" i="40"/>
  <c r="X826" i="40" s="1"/>
  <c r="Y826" i="40" s="1"/>
  <c r="Z826" i="40" s="1"/>
  <c r="AA826" i="40" s="1"/>
  <c r="AB826" i="40" s="1"/>
  <c r="AC826" i="40" s="1"/>
  <c r="AD826" i="40" s="1"/>
  <c r="AE826" i="40" s="1"/>
  <c r="AF826" i="40" s="1"/>
  <c r="AG826" i="40" s="1"/>
  <c r="AH826" i="40" s="1"/>
  <c r="AI826" i="40" s="1"/>
  <c r="AJ826" i="40" s="1"/>
  <c r="AK826" i="40" s="1"/>
  <c r="AL826" i="40" s="1"/>
  <c r="AM826" i="40" s="1"/>
  <c r="AN826" i="40" s="1"/>
  <c r="AO826" i="40" s="1"/>
  <c r="AP826" i="40" s="1"/>
  <c r="AQ826" i="40" s="1"/>
  <c r="AR826" i="40" s="1"/>
  <c r="AS826" i="40" s="1"/>
  <c r="AT826" i="40" s="1"/>
  <c r="AU826" i="40" s="1"/>
  <c r="AV826" i="40" s="1"/>
  <c r="AW826" i="40" s="1"/>
  <c r="AX826" i="40" s="1"/>
  <c r="AY826" i="40" s="1"/>
  <c r="AZ826" i="40" s="1"/>
  <c r="BA826" i="40" s="1"/>
  <c r="BB826" i="40" s="1"/>
  <c r="BC826" i="40" s="1"/>
  <c r="BD826" i="40" s="1"/>
  <c r="BE826" i="40" s="1"/>
  <c r="BF826" i="40" s="1"/>
  <c r="BG826" i="40" s="1"/>
  <c r="BH826" i="40" s="1"/>
  <c r="BI826" i="40" s="1"/>
  <c r="BJ826" i="40" s="1"/>
  <c r="BK826" i="40" s="1"/>
  <c r="BL826" i="40" s="1"/>
  <c r="BM826" i="40" s="1"/>
  <c r="BN826" i="40" s="1"/>
  <c r="BO826" i="40" s="1"/>
  <c r="BP826" i="40" s="1"/>
  <c r="BQ826" i="40" s="1"/>
  <c r="BR826" i="40" s="1"/>
  <c r="BS826" i="40" s="1"/>
  <c r="BT826" i="40" s="1"/>
  <c r="BU826" i="40" s="1"/>
  <c r="BV826" i="40" s="1"/>
  <c r="BW826" i="40" s="1"/>
  <c r="BX826" i="40" s="1"/>
  <c r="BY826" i="40" s="1"/>
  <c r="BZ826" i="40" s="1"/>
  <c r="CA826" i="40" s="1"/>
  <c r="CB826" i="40" s="1"/>
  <c r="AA830" i="40"/>
  <c r="AB830" i="40" s="1"/>
  <c r="AC830" i="40" s="1"/>
  <c r="AD830" i="40" s="1"/>
  <c r="AE830" i="40" s="1"/>
  <c r="AF830" i="40" s="1"/>
  <c r="AG830" i="40" s="1"/>
  <c r="AH830" i="40" s="1"/>
  <c r="AI830" i="40" s="1"/>
  <c r="AJ830" i="40" s="1"/>
  <c r="AK830" i="40" s="1"/>
  <c r="AL830" i="40" s="1"/>
  <c r="AM830" i="40" s="1"/>
  <c r="AN830" i="40" s="1"/>
  <c r="AO830" i="40" s="1"/>
  <c r="AP830" i="40" s="1"/>
  <c r="AQ830" i="40" s="1"/>
  <c r="AR830" i="40" s="1"/>
  <c r="AS830" i="40" s="1"/>
  <c r="AT830" i="40" s="1"/>
  <c r="AU830" i="40" s="1"/>
  <c r="AV830" i="40" s="1"/>
  <c r="AW830" i="40" s="1"/>
  <c r="AX830" i="40" s="1"/>
  <c r="AY830" i="40" s="1"/>
  <c r="AZ830" i="40" s="1"/>
  <c r="BA830" i="40" s="1"/>
  <c r="BB830" i="40" s="1"/>
  <c r="BC830" i="40" s="1"/>
  <c r="BD830" i="40" s="1"/>
  <c r="BE830" i="40" s="1"/>
  <c r="BF830" i="40" s="1"/>
  <c r="BG830" i="40" s="1"/>
  <c r="BH830" i="40" s="1"/>
  <c r="BI830" i="40" s="1"/>
  <c r="BJ830" i="40" s="1"/>
  <c r="BK830" i="40" s="1"/>
  <c r="BL830" i="40" s="1"/>
  <c r="BM830" i="40" s="1"/>
  <c r="BN830" i="40" s="1"/>
  <c r="BO830" i="40" s="1"/>
  <c r="BP830" i="40" s="1"/>
  <c r="BQ830" i="40" s="1"/>
  <c r="BR830" i="40" s="1"/>
  <c r="BS830" i="40" s="1"/>
  <c r="BT830" i="40" s="1"/>
  <c r="BU830" i="40" s="1"/>
  <c r="BV830" i="40" s="1"/>
  <c r="BW830" i="40" s="1"/>
  <c r="BX830" i="40" s="1"/>
  <c r="BY830" i="40" s="1"/>
  <c r="BZ830" i="40" s="1"/>
  <c r="CA830" i="40" s="1"/>
  <c r="AE834" i="40"/>
  <c r="AF834" i="40" s="1"/>
  <c r="AG834" i="40" s="1"/>
  <c r="AH834" i="40" s="1"/>
  <c r="AI834" i="40" s="1"/>
  <c r="AJ834" i="40" s="1"/>
  <c r="AK834" i="40" s="1"/>
  <c r="AL834" i="40" s="1"/>
  <c r="AM834" i="40" s="1"/>
  <c r="AN834" i="40" s="1"/>
  <c r="AO834" i="40" s="1"/>
  <c r="AP834" i="40" s="1"/>
  <c r="AQ834" i="40" s="1"/>
  <c r="AR834" i="40" s="1"/>
  <c r="AS834" i="40" s="1"/>
  <c r="AT834" i="40" s="1"/>
  <c r="AU834" i="40" s="1"/>
  <c r="AV834" i="40" s="1"/>
  <c r="AW834" i="40" s="1"/>
  <c r="AX834" i="40" s="1"/>
  <c r="AY834" i="40" s="1"/>
  <c r="AZ834" i="40" s="1"/>
  <c r="BA834" i="40" s="1"/>
  <c r="BB834" i="40" s="1"/>
  <c r="BC834" i="40" s="1"/>
  <c r="BD834" i="40" s="1"/>
  <c r="BE834" i="40" s="1"/>
  <c r="BF834" i="40" s="1"/>
  <c r="BG834" i="40" s="1"/>
  <c r="BH834" i="40" s="1"/>
  <c r="BI834" i="40" s="1"/>
  <c r="BJ834" i="40" s="1"/>
  <c r="BK834" i="40" s="1"/>
  <c r="BL834" i="40" s="1"/>
  <c r="BM834" i="40" s="1"/>
  <c r="BN834" i="40" s="1"/>
  <c r="BO834" i="40" s="1"/>
  <c r="BP834" i="40" s="1"/>
  <c r="BQ834" i="40" s="1"/>
  <c r="BR834" i="40" s="1"/>
  <c r="BS834" i="40" s="1"/>
  <c r="BT834" i="40" s="1"/>
  <c r="BU834" i="40" s="1"/>
  <c r="BV834" i="40" s="1"/>
  <c r="BW834" i="40" s="1"/>
  <c r="BX834" i="40" s="1"/>
  <c r="BY834" i="40" s="1"/>
  <c r="BZ834" i="40" s="1"/>
  <c r="CA834" i="40" s="1"/>
  <c r="D1002" i="40" s="1"/>
  <c r="AI838" i="40"/>
  <c r="AJ838" i="40" s="1"/>
  <c r="AK838" i="40" s="1"/>
  <c r="AL838" i="40" s="1"/>
  <c r="AM838" i="40" s="1"/>
  <c r="AN838" i="40" s="1"/>
  <c r="AO838" i="40" s="1"/>
  <c r="AP838" i="40" s="1"/>
  <c r="AQ838" i="40" s="1"/>
  <c r="AR838" i="40" s="1"/>
  <c r="AS838" i="40" s="1"/>
  <c r="AT838" i="40" s="1"/>
  <c r="AU838" i="40" s="1"/>
  <c r="AV838" i="40" s="1"/>
  <c r="AW838" i="40" s="1"/>
  <c r="AX838" i="40" s="1"/>
  <c r="AY838" i="40" s="1"/>
  <c r="AZ838" i="40" s="1"/>
  <c r="BA838" i="40" s="1"/>
  <c r="BB838" i="40" s="1"/>
  <c r="BC838" i="40" s="1"/>
  <c r="BD838" i="40" s="1"/>
  <c r="BE838" i="40" s="1"/>
  <c r="BF838" i="40" s="1"/>
  <c r="BG838" i="40" s="1"/>
  <c r="BH838" i="40" s="1"/>
  <c r="BI838" i="40" s="1"/>
  <c r="BJ838" i="40" s="1"/>
  <c r="BK838" i="40" s="1"/>
  <c r="BL838" i="40" s="1"/>
  <c r="BM838" i="40" s="1"/>
  <c r="BN838" i="40" s="1"/>
  <c r="BO838" i="40" s="1"/>
  <c r="BP838" i="40" s="1"/>
  <c r="BQ838" i="40" s="1"/>
  <c r="BR838" i="40" s="1"/>
  <c r="BS838" i="40" s="1"/>
  <c r="BT838" i="40" s="1"/>
  <c r="BU838" i="40" s="1"/>
  <c r="BV838" i="40" s="1"/>
  <c r="BW838" i="40" s="1"/>
  <c r="BX838" i="40" s="1"/>
  <c r="BY838" i="40" s="1"/>
  <c r="BZ838" i="40" s="1"/>
  <c r="CA838" i="40" s="1"/>
  <c r="AM842" i="40"/>
  <c r="AN842" i="40" s="1"/>
  <c r="AO842" i="40" s="1"/>
  <c r="AP842" i="40" s="1"/>
  <c r="AQ842" i="40" s="1"/>
  <c r="AR842" i="40" s="1"/>
  <c r="AS842" i="40" s="1"/>
  <c r="AT842" i="40" s="1"/>
  <c r="AU842" i="40" s="1"/>
  <c r="AV842" i="40" s="1"/>
  <c r="AW842" i="40" s="1"/>
  <c r="AX842" i="40" s="1"/>
  <c r="AY842" i="40" s="1"/>
  <c r="AZ842" i="40" s="1"/>
  <c r="BA842" i="40" s="1"/>
  <c r="BB842" i="40" s="1"/>
  <c r="BC842" i="40" s="1"/>
  <c r="BD842" i="40" s="1"/>
  <c r="BE842" i="40" s="1"/>
  <c r="BF842" i="40" s="1"/>
  <c r="BG842" i="40" s="1"/>
  <c r="BH842" i="40" s="1"/>
  <c r="BI842" i="40" s="1"/>
  <c r="BJ842" i="40" s="1"/>
  <c r="BK842" i="40" s="1"/>
  <c r="BL842" i="40" s="1"/>
  <c r="BM842" i="40" s="1"/>
  <c r="BN842" i="40" s="1"/>
  <c r="BO842" i="40" s="1"/>
  <c r="BP842" i="40" s="1"/>
  <c r="BQ842" i="40" s="1"/>
  <c r="BR842" i="40" s="1"/>
  <c r="BS842" i="40" s="1"/>
  <c r="BT842" i="40" s="1"/>
  <c r="BU842" i="40" s="1"/>
  <c r="BV842" i="40" s="1"/>
  <c r="BW842" i="40" s="1"/>
  <c r="BX842" i="40" s="1"/>
  <c r="BY842" i="40" s="1"/>
  <c r="BZ842" i="40" s="1"/>
  <c r="CA842" i="40" s="1"/>
  <c r="AQ846" i="40"/>
  <c r="AR846" i="40" s="1"/>
  <c r="AS846" i="40" s="1"/>
  <c r="AT846" i="40" s="1"/>
  <c r="AU846" i="40" s="1"/>
  <c r="AV846" i="40" s="1"/>
  <c r="AW846" i="40" s="1"/>
  <c r="AX846" i="40" s="1"/>
  <c r="AY846" i="40" s="1"/>
  <c r="AZ846" i="40" s="1"/>
  <c r="BA846" i="40" s="1"/>
  <c r="BB846" i="40" s="1"/>
  <c r="BC846" i="40" s="1"/>
  <c r="BD846" i="40" s="1"/>
  <c r="BE846" i="40" s="1"/>
  <c r="BF846" i="40" s="1"/>
  <c r="BG846" i="40" s="1"/>
  <c r="BH846" i="40" s="1"/>
  <c r="BI846" i="40" s="1"/>
  <c r="BJ846" i="40" s="1"/>
  <c r="BK846" i="40" s="1"/>
  <c r="BL846" i="40" s="1"/>
  <c r="BM846" i="40" s="1"/>
  <c r="BN846" i="40" s="1"/>
  <c r="BO846" i="40" s="1"/>
  <c r="BP846" i="40" s="1"/>
  <c r="BQ846" i="40" s="1"/>
  <c r="BR846" i="40" s="1"/>
  <c r="BS846" i="40" s="1"/>
  <c r="BT846" i="40" s="1"/>
  <c r="BU846" i="40" s="1"/>
  <c r="BV846" i="40" s="1"/>
  <c r="BW846" i="40" s="1"/>
  <c r="BX846" i="40" s="1"/>
  <c r="BY846" i="40" s="1"/>
  <c r="BZ846" i="40" s="1"/>
  <c r="CA846" i="40" s="1"/>
  <c r="AU850" i="40"/>
  <c r="AV850" i="40" s="1"/>
  <c r="AW850" i="40" s="1"/>
  <c r="AX850" i="40" s="1"/>
  <c r="AY850" i="40" s="1"/>
  <c r="AZ850" i="40" s="1"/>
  <c r="BA850" i="40" s="1"/>
  <c r="BB850" i="40" s="1"/>
  <c r="BC850" i="40" s="1"/>
  <c r="BD850" i="40" s="1"/>
  <c r="BE850" i="40" s="1"/>
  <c r="BF850" i="40" s="1"/>
  <c r="BG850" i="40" s="1"/>
  <c r="BH850" i="40" s="1"/>
  <c r="BI850" i="40" s="1"/>
  <c r="BJ850" i="40" s="1"/>
  <c r="BK850" i="40" s="1"/>
  <c r="BL850" i="40" s="1"/>
  <c r="BM850" i="40" s="1"/>
  <c r="BN850" i="40" s="1"/>
  <c r="BO850" i="40" s="1"/>
  <c r="BP850" i="40" s="1"/>
  <c r="BQ850" i="40" s="1"/>
  <c r="BR850" i="40" s="1"/>
  <c r="BS850" i="40" s="1"/>
  <c r="BT850" i="40" s="1"/>
  <c r="BU850" i="40" s="1"/>
  <c r="BV850" i="40" s="1"/>
  <c r="BW850" i="40" s="1"/>
  <c r="BX850" i="40" s="1"/>
  <c r="BY850" i="40" s="1"/>
  <c r="BZ850" i="40" s="1"/>
  <c r="CA850" i="40" s="1"/>
  <c r="AY854" i="40"/>
  <c r="AZ854" i="40" s="1"/>
  <c r="BA854" i="40" s="1"/>
  <c r="BB854" i="40" s="1"/>
  <c r="BC854" i="40" s="1"/>
  <c r="BD854" i="40" s="1"/>
  <c r="BE854" i="40" s="1"/>
  <c r="BF854" i="40" s="1"/>
  <c r="BG854" i="40" s="1"/>
  <c r="BH854" i="40" s="1"/>
  <c r="BI854" i="40" s="1"/>
  <c r="BJ854" i="40" s="1"/>
  <c r="BK854" i="40" s="1"/>
  <c r="BL854" i="40" s="1"/>
  <c r="BM854" i="40" s="1"/>
  <c r="BN854" i="40" s="1"/>
  <c r="BO854" i="40" s="1"/>
  <c r="BP854" i="40" s="1"/>
  <c r="BQ854" i="40" s="1"/>
  <c r="BR854" i="40" s="1"/>
  <c r="BS854" i="40" s="1"/>
  <c r="BT854" i="40" s="1"/>
  <c r="BU854" i="40" s="1"/>
  <c r="BV854" i="40" s="1"/>
  <c r="BW854" i="40" s="1"/>
  <c r="BX854" i="40" s="1"/>
  <c r="BY854" i="40" s="1"/>
  <c r="BZ854" i="40" s="1"/>
  <c r="CA854" i="40" s="1"/>
  <c r="CB854" i="40" s="1"/>
  <c r="BC858" i="40"/>
  <c r="BD858" i="40" s="1"/>
  <c r="BE858" i="40" s="1"/>
  <c r="BF858" i="40" s="1"/>
  <c r="BG858" i="40" s="1"/>
  <c r="BH858" i="40" s="1"/>
  <c r="BI858" i="40" s="1"/>
  <c r="BJ858" i="40" s="1"/>
  <c r="BK858" i="40" s="1"/>
  <c r="BL858" i="40" s="1"/>
  <c r="BM858" i="40" s="1"/>
  <c r="BN858" i="40" s="1"/>
  <c r="BO858" i="40" s="1"/>
  <c r="BP858" i="40" s="1"/>
  <c r="BQ858" i="40" s="1"/>
  <c r="BR858" i="40" s="1"/>
  <c r="BS858" i="40" s="1"/>
  <c r="BT858" i="40" s="1"/>
  <c r="BU858" i="40" s="1"/>
  <c r="BV858" i="40" s="1"/>
  <c r="BW858" i="40" s="1"/>
  <c r="BX858" i="40" s="1"/>
  <c r="BY858" i="40" s="1"/>
  <c r="BZ858" i="40" s="1"/>
  <c r="CA858" i="40" s="1"/>
  <c r="BG862" i="40"/>
  <c r="BH862" i="40" s="1"/>
  <c r="BI862" i="40" s="1"/>
  <c r="BJ862" i="40" s="1"/>
  <c r="BK862" i="40" s="1"/>
  <c r="BL862" i="40" s="1"/>
  <c r="BM862" i="40" s="1"/>
  <c r="BN862" i="40" s="1"/>
  <c r="BO862" i="40" s="1"/>
  <c r="BP862" i="40" s="1"/>
  <c r="BQ862" i="40" s="1"/>
  <c r="BR862" i="40" s="1"/>
  <c r="BS862" i="40" s="1"/>
  <c r="BT862" i="40" s="1"/>
  <c r="BU862" i="40" s="1"/>
  <c r="BV862" i="40" s="1"/>
  <c r="BW862" i="40" s="1"/>
  <c r="BX862" i="40" s="1"/>
  <c r="BY862" i="40" s="1"/>
  <c r="BZ862" i="40" s="1"/>
  <c r="CA862" i="40" s="1"/>
  <c r="BK866" i="40"/>
  <c r="BL866" i="40" s="1"/>
  <c r="BM866" i="40" s="1"/>
  <c r="BN866" i="40" s="1"/>
  <c r="BO866" i="40" s="1"/>
  <c r="BP866" i="40" s="1"/>
  <c r="BQ866" i="40" s="1"/>
  <c r="BR866" i="40" s="1"/>
  <c r="BS866" i="40" s="1"/>
  <c r="BT866" i="40" s="1"/>
  <c r="BU866" i="40" s="1"/>
  <c r="BV866" i="40" s="1"/>
  <c r="BW866" i="40" s="1"/>
  <c r="BX866" i="40" s="1"/>
  <c r="BY866" i="40" s="1"/>
  <c r="BZ866" i="40" s="1"/>
  <c r="CA866" i="40" s="1"/>
  <c r="BO870" i="40"/>
  <c r="BP870" i="40" s="1"/>
  <c r="BQ870" i="40" s="1"/>
  <c r="BR870" i="40" s="1"/>
  <c r="BS870" i="40" s="1"/>
  <c r="BT870" i="40" s="1"/>
  <c r="BU870" i="40" s="1"/>
  <c r="BV870" i="40" s="1"/>
  <c r="BW870" i="40" s="1"/>
  <c r="BX870" i="40" s="1"/>
  <c r="BY870" i="40" s="1"/>
  <c r="BZ870" i="40" s="1"/>
  <c r="CA870" i="40" s="1"/>
  <c r="V825" i="40"/>
  <c r="W825" i="40" s="1"/>
  <c r="X825" i="40" s="1"/>
  <c r="Y825" i="40" s="1"/>
  <c r="Z825" i="40" s="1"/>
  <c r="AA825" i="40" s="1"/>
  <c r="AB825" i="40" s="1"/>
  <c r="AC825" i="40" s="1"/>
  <c r="AD825" i="40" s="1"/>
  <c r="AE825" i="40" s="1"/>
  <c r="AF825" i="40" s="1"/>
  <c r="AG825" i="40" s="1"/>
  <c r="AH825" i="40" s="1"/>
  <c r="AI825" i="40" s="1"/>
  <c r="AJ825" i="40" s="1"/>
  <c r="AK825" i="40" s="1"/>
  <c r="AL825" i="40" s="1"/>
  <c r="AM825" i="40" s="1"/>
  <c r="AN825" i="40" s="1"/>
  <c r="AO825" i="40" s="1"/>
  <c r="AP825" i="40" s="1"/>
  <c r="AQ825" i="40" s="1"/>
  <c r="AR825" i="40" s="1"/>
  <c r="AS825" i="40" s="1"/>
  <c r="AT825" i="40" s="1"/>
  <c r="AU825" i="40" s="1"/>
  <c r="AV825" i="40" s="1"/>
  <c r="AW825" i="40" s="1"/>
  <c r="AX825" i="40" s="1"/>
  <c r="AY825" i="40" s="1"/>
  <c r="AZ825" i="40" s="1"/>
  <c r="BA825" i="40" s="1"/>
  <c r="BB825" i="40" s="1"/>
  <c r="BC825" i="40" s="1"/>
  <c r="BD825" i="40" s="1"/>
  <c r="BE825" i="40" s="1"/>
  <c r="BF825" i="40" s="1"/>
  <c r="BG825" i="40" s="1"/>
  <c r="BH825" i="40" s="1"/>
  <c r="BI825" i="40" s="1"/>
  <c r="BJ825" i="40" s="1"/>
  <c r="BK825" i="40" s="1"/>
  <c r="BL825" i="40" s="1"/>
  <c r="BM825" i="40" s="1"/>
  <c r="BN825" i="40" s="1"/>
  <c r="BO825" i="40" s="1"/>
  <c r="BP825" i="40" s="1"/>
  <c r="BQ825" i="40" s="1"/>
  <c r="BR825" i="40" s="1"/>
  <c r="BS825" i="40" s="1"/>
  <c r="BT825" i="40" s="1"/>
  <c r="BU825" i="40" s="1"/>
  <c r="BV825" i="40" s="1"/>
  <c r="BW825" i="40" s="1"/>
  <c r="BX825" i="40" s="1"/>
  <c r="BY825" i="40" s="1"/>
  <c r="BZ825" i="40" s="1"/>
  <c r="CA825" i="40" s="1"/>
  <c r="AL841" i="40"/>
  <c r="AM841" i="40" s="1"/>
  <c r="AN841" i="40" s="1"/>
  <c r="AO841" i="40" s="1"/>
  <c r="AP841" i="40" s="1"/>
  <c r="AQ841" i="40" s="1"/>
  <c r="AR841" i="40" s="1"/>
  <c r="AS841" i="40" s="1"/>
  <c r="AT841" i="40" s="1"/>
  <c r="AU841" i="40" s="1"/>
  <c r="AV841" i="40" s="1"/>
  <c r="AW841" i="40" s="1"/>
  <c r="AX841" i="40" s="1"/>
  <c r="AY841" i="40" s="1"/>
  <c r="AZ841" i="40" s="1"/>
  <c r="BA841" i="40" s="1"/>
  <c r="BB841" i="40" s="1"/>
  <c r="BC841" i="40" s="1"/>
  <c r="BD841" i="40" s="1"/>
  <c r="BE841" i="40" s="1"/>
  <c r="BF841" i="40" s="1"/>
  <c r="BG841" i="40" s="1"/>
  <c r="BH841" i="40" s="1"/>
  <c r="BI841" i="40" s="1"/>
  <c r="BJ841" i="40" s="1"/>
  <c r="BK841" i="40" s="1"/>
  <c r="BL841" i="40" s="1"/>
  <c r="BM841" i="40" s="1"/>
  <c r="BN841" i="40" s="1"/>
  <c r="BO841" i="40" s="1"/>
  <c r="BP841" i="40" s="1"/>
  <c r="BQ841" i="40" s="1"/>
  <c r="BR841" i="40" s="1"/>
  <c r="BS841" i="40" s="1"/>
  <c r="BT841" i="40" s="1"/>
  <c r="BU841" i="40" s="1"/>
  <c r="BV841" i="40" s="1"/>
  <c r="BW841" i="40" s="1"/>
  <c r="BX841" i="40" s="1"/>
  <c r="BY841" i="40" s="1"/>
  <c r="BZ841" i="40" s="1"/>
  <c r="CA841" i="40" s="1"/>
  <c r="BB857" i="40"/>
  <c r="BC857" i="40" s="1"/>
  <c r="BD857" i="40" s="1"/>
  <c r="BE857" i="40" s="1"/>
  <c r="BF857" i="40" s="1"/>
  <c r="BG857" i="40" s="1"/>
  <c r="BH857" i="40" s="1"/>
  <c r="BI857" i="40" s="1"/>
  <c r="BJ857" i="40" s="1"/>
  <c r="BK857" i="40" s="1"/>
  <c r="BL857" i="40" s="1"/>
  <c r="BM857" i="40" s="1"/>
  <c r="BN857" i="40" s="1"/>
  <c r="BO857" i="40" s="1"/>
  <c r="BP857" i="40" s="1"/>
  <c r="BQ857" i="40" s="1"/>
  <c r="BR857" i="40" s="1"/>
  <c r="BS857" i="40" s="1"/>
  <c r="BT857" i="40" s="1"/>
  <c r="BU857" i="40" s="1"/>
  <c r="BV857" i="40" s="1"/>
  <c r="BW857" i="40" s="1"/>
  <c r="BX857" i="40" s="1"/>
  <c r="BY857" i="40" s="1"/>
  <c r="BZ857" i="40" s="1"/>
  <c r="CA857" i="40" s="1"/>
  <c r="BN869" i="40"/>
  <c r="BO869" i="40" s="1"/>
  <c r="BP869" i="40" s="1"/>
  <c r="BQ869" i="40" s="1"/>
  <c r="BR869" i="40" s="1"/>
  <c r="BS869" i="40" s="1"/>
  <c r="BT869" i="40" s="1"/>
  <c r="BU869" i="40" s="1"/>
  <c r="BV869" i="40" s="1"/>
  <c r="BW869" i="40" s="1"/>
  <c r="BX869" i="40" s="1"/>
  <c r="BY869" i="40" s="1"/>
  <c r="BZ869" i="40" s="1"/>
  <c r="CA869" i="40" s="1"/>
  <c r="BR873" i="40"/>
  <c r="BS873" i="40" s="1"/>
  <c r="BT873" i="40" s="1"/>
  <c r="BU873" i="40" s="1"/>
  <c r="BV873" i="40" s="1"/>
  <c r="BW873" i="40" s="1"/>
  <c r="BX873" i="40" s="1"/>
  <c r="BY873" i="40" s="1"/>
  <c r="BZ873" i="40" s="1"/>
  <c r="CA873" i="40" s="1"/>
  <c r="CB873" i="40" s="1"/>
  <c r="N103" i="42" l="1"/>
  <c r="M103" i="42"/>
  <c r="B519" i="40"/>
  <c r="B238" i="65"/>
  <c r="CB819" i="40"/>
  <c r="D895" i="40"/>
  <c r="AJ61" i="50"/>
  <c r="AH217" i="50"/>
  <c r="J355" i="50"/>
  <c r="L32" i="37"/>
  <c r="K31" i="37"/>
  <c r="L356" i="50"/>
  <c r="AL60" i="42"/>
  <c r="D1008" i="40"/>
  <c r="D1068" i="40"/>
  <c r="D1007" i="40"/>
  <c r="AI61" i="50"/>
  <c r="AK61" i="50"/>
  <c r="AL61" i="50"/>
  <c r="BM60" i="42"/>
  <c r="AL217" i="50"/>
  <c r="AK217" i="50"/>
  <c r="AM60" i="42"/>
  <c r="AN60" i="42"/>
  <c r="AJ60" i="42"/>
  <c r="AP60" i="42" s="1"/>
  <c r="AK60" i="42"/>
  <c r="BG60" i="42" s="1"/>
  <c r="M30" i="42"/>
  <c r="M32" i="50"/>
  <c r="P40" i="25"/>
  <c r="AI217" i="50"/>
  <c r="AJ217" i="50"/>
  <c r="L29" i="42"/>
  <c r="L31" i="50"/>
  <c r="O39" i="25"/>
  <c r="D1003" i="40"/>
  <c r="CB828" i="40"/>
  <c r="D999" i="40"/>
  <c r="CB862" i="40"/>
  <c r="D955" i="40"/>
  <c r="D988" i="40"/>
  <c r="D987" i="40"/>
  <c r="D974" i="40"/>
  <c r="D989" i="40"/>
  <c r="CB846" i="40"/>
  <c r="D949" i="40"/>
  <c r="CB861" i="40"/>
  <c r="D998" i="40"/>
  <c r="CB859" i="40"/>
  <c r="D1016" i="40" s="1"/>
  <c r="D983" i="40"/>
  <c r="D954" i="40"/>
  <c r="D984" i="40"/>
  <c r="CB827" i="40"/>
  <c r="D900" i="40"/>
  <c r="CB824" i="40"/>
  <c r="D899" i="40"/>
  <c r="CB858" i="40"/>
  <c r="D981" i="40"/>
  <c r="D982" i="40"/>
  <c r="CB823" i="40"/>
  <c r="D898" i="40"/>
  <c r="CB864" i="40"/>
  <c r="D976" i="40"/>
  <c r="CB868" i="40"/>
  <c r="D1079" i="40" s="1"/>
  <c r="D932" i="40"/>
  <c r="D958" i="40"/>
  <c r="CB844" i="40"/>
  <c r="D1108" i="40" s="1"/>
  <c r="D920" i="40"/>
  <c r="CB874" i="40"/>
  <c r="D992" i="40"/>
  <c r="D970" i="40"/>
  <c r="D993" i="40"/>
  <c r="CB857" i="40"/>
  <c r="D1015" i="40" s="1"/>
  <c r="D997" i="40"/>
  <c r="CB870" i="40"/>
  <c r="D1145" i="40" s="1"/>
  <c r="D959" i="40"/>
  <c r="CB838" i="40"/>
  <c r="D915" i="40"/>
  <c r="D944" i="40"/>
  <c r="CB822" i="40"/>
  <c r="D897" i="40"/>
  <c r="CB853" i="40"/>
  <c r="D925" i="40"/>
  <c r="CB833" i="40"/>
  <c r="D1001" i="40"/>
  <c r="D940" i="40"/>
  <c r="D907" i="40"/>
  <c r="D906" i="40"/>
  <c r="CB829" i="40"/>
  <c r="D1000" i="40"/>
  <c r="D936" i="40"/>
  <c r="D901" i="40"/>
  <c r="CB867" i="40"/>
  <c r="D973" i="40"/>
  <c r="D931" i="40"/>
  <c r="D957" i="40"/>
  <c r="D968" i="40"/>
  <c r="CB851" i="40"/>
  <c r="D923" i="40"/>
  <c r="D952" i="40"/>
  <c r="CB835" i="40"/>
  <c r="D942" i="40"/>
  <c r="D977" i="40"/>
  <c r="D978" i="40"/>
  <c r="D910" i="40"/>
  <c r="D909" i="40"/>
  <c r="CB865" i="40"/>
  <c r="D929" i="40"/>
  <c r="CB852" i="40"/>
  <c r="D924" i="40"/>
  <c r="CB840" i="40"/>
  <c r="D918" i="40"/>
  <c r="D946" i="40"/>
  <c r="CB825" i="40"/>
  <c r="D965" i="40"/>
  <c r="CB830" i="40"/>
  <c r="D902" i="40"/>
  <c r="D937" i="40"/>
  <c r="D903" i="40"/>
  <c r="CB821" i="40"/>
  <c r="D896" i="40"/>
  <c r="CB843" i="40"/>
  <c r="D948" i="40"/>
  <c r="CB869" i="40"/>
  <c r="D933" i="40"/>
  <c r="D969" i="40"/>
  <c r="CB842" i="40"/>
  <c r="CB849" i="40"/>
  <c r="D951" i="40"/>
  <c r="CB839" i="40"/>
  <c r="D917" i="40"/>
  <c r="D916" i="40"/>
  <c r="D945" i="40"/>
  <c r="CB856" i="40"/>
  <c r="D1014" i="40" s="1"/>
  <c r="D953" i="40"/>
  <c r="D926" i="40"/>
  <c r="D967" i="40"/>
  <c r="CB872" i="40"/>
  <c r="D1208" i="40" s="1"/>
  <c r="D991" i="40"/>
  <c r="D990" i="40"/>
  <c r="D960" i="40"/>
  <c r="CB841" i="40"/>
  <c r="D980" i="40"/>
  <c r="D996" i="40"/>
  <c r="D919" i="40"/>
  <c r="D947" i="40"/>
  <c r="D979" i="40"/>
  <c r="CB866" i="40"/>
  <c r="D956" i="40"/>
  <c r="D930" i="40"/>
  <c r="CB850" i="40"/>
  <c r="CB834" i="40"/>
  <c r="D1058" i="40" s="1"/>
  <c r="D908" i="40"/>
  <c r="D941" i="40"/>
  <c r="CB837" i="40"/>
  <c r="D914" i="40"/>
  <c r="D913" i="40"/>
  <c r="CB863" i="40"/>
  <c r="D975" i="40"/>
  <c r="CB847" i="40"/>
  <c r="D950" i="40"/>
  <c r="CB831" i="40"/>
  <c r="D964" i="40"/>
  <c r="D938" i="40"/>
  <c r="D904" i="40"/>
  <c r="CB832" i="40"/>
  <c r="D939" i="40"/>
  <c r="D905" i="40"/>
  <c r="D966" i="40"/>
  <c r="CB836" i="40"/>
  <c r="D943" i="40"/>
  <c r="D912" i="40"/>
  <c r="D911" i="40"/>
  <c r="CB860" i="40"/>
  <c r="BX878" i="40"/>
  <c r="BW877" i="40"/>
  <c r="CB882" i="40"/>
  <c r="D1207" i="40" s="1"/>
  <c r="CA881" i="40"/>
  <c r="D972" i="40" s="1"/>
  <c r="BY879" i="40"/>
  <c r="BU875" i="40"/>
  <c r="BV876" i="40"/>
  <c r="BZ880" i="40"/>
  <c r="CD807" i="40"/>
  <c r="CD886" i="40" s="1"/>
  <c r="CE807" i="40"/>
  <c r="CE887" i="40" s="1"/>
  <c r="CF807" i="40"/>
  <c r="CF888" i="40" s="1"/>
  <c r="CG807" i="40"/>
  <c r="CG889" i="40" s="1"/>
  <c r="CC807" i="40"/>
  <c r="K109" i="66" l="1"/>
  <c r="P111" i="66" s="1"/>
  <c r="AQ60" i="42"/>
  <c r="B520" i="40"/>
  <c r="B239" i="65"/>
  <c r="AN217" i="50"/>
  <c r="M133" i="25" s="1"/>
  <c r="D1197" i="40"/>
  <c r="D1040" i="40"/>
  <c r="D1034" i="40"/>
  <c r="D1195" i="40"/>
  <c r="D1202" i="40"/>
  <c r="D1146" i="40"/>
  <c r="AH61" i="50"/>
  <c r="D1153" i="40"/>
  <c r="M356" i="50"/>
  <c r="L31" i="37"/>
  <c r="M32" i="37"/>
  <c r="BH60" i="42"/>
  <c r="D1166" i="40"/>
  <c r="D1164" i="40"/>
  <c r="D1200" i="40"/>
  <c r="D1107" i="40"/>
  <c r="D1199" i="40"/>
  <c r="D1194" i="40"/>
  <c r="D1203" i="40"/>
  <c r="D1198" i="40"/>
  <c r="D1090" i="40"/>
  <c r="D1073" i="40"/>
  <c r="D1193" i="40"/>
  <c r="D1201" i="40"/>
  <c r="D1147" i="40"/>
  <c r="D1196" i="40"/>
  <c r="D1160" i="40"/>
  <c r="D1114" i="40"/>
  <c r="D1148" i="40"/>
  <c r="D1161" i="40"/>
  <c r="D1163" i="40"/>
  <c r="K355" i="50"/>
  <c r="D1175" i="40"/>
  <c r="D1048" i="40"/>
  <c r="D1065" i="40"/>
  <c r="D1067" i="40"/>
  <c r="D1180" i="40"/>
  <c r="D1083" i="40"/>
  <c r="D1173" i="40"/>
  <c r="D1132" i="40"/>
  <c r="D1018" i="40"/>
  <c r="D1104" i="40"/>
  <c r="D1075" i="40"/>
  <c r="D1055" i="40"/>
  <c r="D1170" i="40"/>
  <c r="D1144" i="40"/>
  <c r="D1082" i="40"/>
  <c r="D1062" i="40"/>
  <c r="D1178" i="40"/>
  <c r="D1186" i="40"/>
  <c r="D1158" i="40"/>
  <c r="D1174" i="40"/>
  <c r="D1019" i="40"/>
  <c r="D1133" i="40"/>
  <c r="D1165" i="40"/>
  <c r="D1154" i="40"/>
  <c r="D1059" i="40"/>
  <c r="D1051" i="40"/>
  <c r="D1026" i="40"/>
  <c r="D1105" i="40"/>
  <c r="D1192" i="40"/>
  <c r="D1081" i="40"/>
  <c r="D1039" i="40"/>
  <c r="D1129" i="40"/>
  <c r="D1091" i="40"/>
  <c r="D1046" i="40"/>
  <c r="D1136" i="40"/>
  <c r="D1022" i="40"/>
  <c r="D1102" i="40"/>
  <c r="D1047" i="40"/>
  <c r="D1023" i="40"/>
  <c r="D1093" i="40"/>
  <c r="D1066" i="40"/>
  <c r="D1017" i="40"/>
  <c r="D1041" i="40"/>
  <c r="D1177" i="40"/>
  <c r="D1050" i="40"/>
  <c r="D1103" i="40"/>
  <c r="D1155" i="40"/>
  <c r="D1060" i="40"/>
  <c r="D1035" i="40"/>
  <c r="D1109" i="40"/>
  <c r="D1187" i="40"/>
  <c r="D1031" i="40"/>
  <c r="D1116" i="40"/>
  <c r="D1078" i="40"/>
  <c r="D1063" i="40"/>
  <c r="D1188" i="40"/>
  <c r="D1159" i="40"/>
  <c r="D1134" i="40"/>
  <c r="D1020" i="40"/>
  <c r="D1049" i="40"/>
  <c r="D1176" i="40"/>
  <c r="D1021" i="40"/>
  <c r="D1135" i="40"/>
  <c r="D1045" i="40"/>
  <c r="D1092" i="40"/>
  <c r="D1064" i="40"/>
  <c r="D1185" i="40"/>
  <c r="D1149" i="40"/>
  <c r="D1106" i="40"/>
  <c r="D1179" i="40"/>
  <c r="D1162" i="40"/>
  <c r="D1094" i="40"/>
  <c r="D1032" i="40"/>
  <c r="D1030" i="40"/>
  <c r="D1156" i="40"/>
  <c r="D1157" i="40"/>
  <c r="D1171" i="40"/>
  <c r="D1061" i="40"/>
  <c r="D1131" i="40"/>
  <c r="D1172" i="40"/>
  <c r="BF60" i="42"/>
  <c r="M29" i="42"/>
  <c r="M31" i="50"/>
  <c r="P39" i="25"/>
  <c r="N32" i="50"/>
  <c r="N30" i="42"/>
  <c r="Q40" i="25"/>
  <c r="CA880" i="40"/>
  <c r="BV875" i="40"/>
  <c r="CB881" i="40"/>
  <c r="D1054" i="40" s="1"/>
  <c r="BX877" i="40"/>
  <c r="BW876" i="40"/>
  <c r="BZ879" i="40"/>
  <c r="BY878" i="40"/>
  <c r="CF887" i="40"/>
  <c r="CE886" i="40"/>
  <c r="D1537" i="40" s="1"/>
  <c r="CG888" i="40"/>
  <c r="CC885" i="40"/>
  <c r="CD885" i="40" s="1"/>
  <c r="CE885" i="40" s="1"/>
  <c r="CF885" i="40" s="1"/>
  <c r="CC884" i="40"/>
  <c r="CD884" i="40" s="1"/>
  <c r="CE884" i="40" s="1"/>
  <c r="D1536" i="40" s="1"/>
  <c r="CC830" i="40"/>
  <c r="D1245" i="40" s="1"/>
  <c r="CC842" i="40"/>
  <c r="CC845" i="40"/>
  <c r="D1259" i="40" s="1"/>
  <c r="CC835" i="40"/>
  <c r="CC820" i="40"/>
  <c r="CD820" i="40" s="1"/>
  <c r="CE820" i="40" s="1"/>
  <c r="CF820" i="40" s="1"/>
  <c r="CG820" i="40" s="1"/>
  <c r="CC873" i="40"/>
  <c r="D1239" i="40" s="1"/>
  <c r="CC838" i="40"/>
  <c r="CC829" i="40"/>
  <c r="D1244" i="40" s="1"/>
  <c r="CC831" i="40"/>
  <c r="CC868" i="40"/>
  <c r="D1237" i="40" s="1"/>
  <c r="CC846" i="40"/>
  <c r="D1260" i="40" s="1"/>
  <c r="CC866" i="40"/>
  <c r="CC837" i="40"/>
  <c r="D1252" i="40" s="1"/>
  <c r="CC859" i="40"/>
  <c r="D1299" i="40" s="1"/>
  <c r="CC832" i="40"/>
  <c r="CC844" i="40"/>
  <c r="CC871" i="40"/>
  <c r="D1275" i="40" s="1"/>
  <c r="CC840" i="40"/>
  <c r="CC824" i="40"/>
  <c r="CC817" i="40"/>
  <c r="CD817" i="40" s="1"/>
  <c r="CE817" i="40" s="1"/>
  <c r="CF817" i="40" s="1"/>
  <c r="CG817" i="40" s="1"/>
  <c r="CC843" i="40"/>
  <c r="D1257" i="40" s="1"/>
  <c r="CC855" i="40"/>
  <c r="CC816" i="40"/>
  <c r="CD816" i="40" s="1"/>
  <c r="CE816" i="40" s="1"/>
  <c r="CF816" i="40" s="1"/>
  <c r="CG816" i="40" s="1"/>
  <c r="CC812" i="40"/>
  <c r="CD812" i="40" s="1"/>
  <c r="CE812" i="40" s="1"/>
  <c r="CF812" i="40" s="1"/>
  <c r="CG812" i="40" s="1"/>
  <c r="CC874" i="40"/>
  <c r="CC867" i="40"/>
  <c r="D1273" i="40" s="1"/>
  <c r="CC870" i="40"/>
  <c r="CD870" i="40" s="1"/>
  <c r="CC848" i="40"/>
  <c r="D1261" i="40" s="1"/>
  <c r="CC834" i="40"/>
  <c r="CC821" i="40"/>
  <c r="CD821" i="40" s="1"/>
  <c r="CE821" i="40" s="1"/>
  <c r="CF821" i="40" s="1"/>
  <c r="CG821" i="40" s="1"/>
  <c r="CC825" i="40"/>
  <c r="CD825" i="40" s="1"/>
  <c r="CE825" i="40" s="1"/>
  <c r="CC826" i="40"/>
  <c r="CD826" i="40" s="1"/>
  <c r="CE826" i="40" s="1"/>
  <c r="CF826" i="40" s="1"/>
  <c r="CC883" i="40"/>
  <c r="D1286" i="40" s="1"/>
  <c r="CC819" i="40"/>
  <c r="CC860" i="40"/>
  <c r="D1269" i="40" s="1"/>
  <c r="CC869" i="40"/>
  <c r="CC822" i="40"/>
  <c r="CD822" i="40" s="1"/>
  <c r="D1304" i="40" s="1"/>
  <c r="CC815" i="40"/>
  <c r="CC850" i="40"/>
  <c r="CC814" i="40"/>
  <c r="CD814" i="40" s="1"/>
  <c r="CE814" i="40" s="1"/>
  <c r="CF814" i="40" s="1"/>
  <c r="CG814" i="40" s="1"/>
  <c r="CC864" i="40"/>
  <c r="D1271" i="40" s="1"/>
  <c r="CC863" i="40"/>
  <c r="CD863" i="40" s="1"/>
  <c r="CC857" i="40"/>
  <c r="D1266" i="40" s="1"/>
  <c r="CC827" i="40"/>
  <c r="CD827" i="40" s="1"/>
  <c r="CE827" i="40" s="1"/>
  <c r="CF827" i="40" s="1"/>
  <c r="CG827" i="40" s="1"/>
  <c r="CC839" i="40"/>
  <c r="CC858" i="40"/>
  <c r="CC849" i="40"/>
  <c r="CD849" i="40" s="1"/>
  <c r="CC851" i="40"/>
  <c r="CC856" i="40"/>
  <c r="D1265" i="40" s="1"/>
  <c r="CC862" i="40"/>
  <c r="D1285" i="40" s="1"/>
  <c r="CC854" i="40"/>
  <c r="D1263" i="40" s="1"/>
  <c r="CC833" i="40"/>
  <c r="CC847" i="40"/>
  <c r="D1290" i="40" s="1"/>
  <c r="CC865" i="40"/>
  <c r="D1235" i="40" s="1"/>
  <c r="CC882" i="40"/>
  <c r="CD882" i="40" s="1"/>
  <c r="CE882" i="40" s="1"/>
  <c r="CF882" i="40" s="1"/>
  <c r="CC818" i="40"/>
  <c r="CD818" i="40" s="1"/>
  <c r="D1302" i="40" s="1"/>
  <c r="CC811" i="40"/>
  <c r="CD811" i="40" s="1"/>
  <c r="CE811" i="40" s="1"/>
  <c r="CF811" i="40" s="1"/>
  <c r="CG811" i="40" s="1"/>
  <c r="CC872" i="40"/>
  <c r="CD872" i="40" s="1"/>
  <c r="CC861" i="40"/>
  <c r="CC823" i="40"/>
  <c r="CD823" i="40" s="1"/>
  <c r="CC836" i="40"/>
  <c r="CC810" i="40"/>
  <c r="CD810" i="40" s="1"/>
  <c r="CE810" i="40" s="1"/>
  <c r="CC853" i="40"/>
  <c r="D1262" i="40" s="1"/>
  <c r="CC841" i="40"/>
  <c r="CC813" i="40"/>
  <c r="CD813" i="40" s="1"/>
  <c r="CE813" i="40" s="1"/>
  <c r="CC852" i="40"/>
  <c r="CD852" i="40" s="1"/>
  <c r="CC828" i="40"/>
  <c r="CG887" i="40" l="1"/>
  <c r="D1675" i="40"/>
  <c r="CG826" i="40"/>
  <c r="D1547" i="40"/>
  <c r="CG882" i="40"/>
  <c r="D1577" i="40"/>
  <c r="D1613" i="40"/>
  <c r="D1661" i="40"/>
  <c r="D1642" i="40"/>
  <c r="CG885" i="40"/>
  <c r="D1662" i="40"/>
  <c r="O111" i="66"/>
  <c r="CF884" i="40"/>
  <c r="D1519" i="40"/>
  <c r="D1475" i="40"/>
  <c r="CF825" i="40"/>
  <c r="CG825" i="40" s="1"/>
  <c r="D1429" i="40"/>
  <c r="CF810" i="40"/>
  <c r="CG810" i="40" s="1"/>
  <c r="D1426" i="40"/>
  <c r="CF813" i="40"/>
  <c r="CG813" i="40" s="1"/>
  <c r="D1427" i="40"/>
  <c r="CF886" i="40"/>
  <c r="M111" i="66"/>
  <c r="N111" i="66"/>
  <c r="AO217" i="50"/>
  <c r="N133" i="25" s="1"/>
  <c r="AR60" i="42"/>
  <c r="B521" i="40"/>
  <c r="B240" i="65"/>
  <c r="CE823" i="40"/>
  <c r="CF823" i="40" s="1"/>
  <c r="D1305" i="40"/>
  <c r="D1315" i="40"/>
  <c r="D1381" i="40"/>
  <c r="CE870" i="40"/>
  <c r="D1371" i="40"/>
  <c r="D1325" i="40"/>
  <c r="D1392" i="40"/>
  <c r="D1316" i="40"/>
  <c r="D1382" i="40"/>
  <c r="CE863" i="40"/>
  <c r="CF863" i="40" s="1"/>
  <c r="CG863" i="40" s="1"/>
  <c r="D1321" i="40"/>
  <c r="CE872" i="40"/>
  <c r="D1534" i="40" s="1"/>
  <c r="D1372" i="40"/>
  <c r="D1394" i="40"/>
  <c r="CE822" i="40"/>
  <c r="CE818" i="40"/>
  <c r="CF818" i="40" s="1"/>
  <c r="CG818" i="40" s="1"/>
  <c r="CE849" i="40"/>
  <c r="CE852" i="40"/>
  <c r="D1229" i="40"/>
  <c r="D1301" i="40"/>
  <c r="M132" i="25"/>
  <c r="O139" i="25" s="1"/>
  <c r="D1289" i="40"/>
  <c r="D1298" i="40"/>
  <c r="D1231" i="40"/>
  <c r="D1264" i="40"/>
  <c r="D1226" i="40"/>
  <c r="D1255" i="40"/>
  <c r="D1233" i="40"/>
  <c r="D1268" i="40"/>
  <c r="D1294" i="40"/>
  <c r="D1247" i="40"/>
  <c r="D1253" i="40"/>
  <c r="D1281" i="40"/>
  <c r="D1224" i="40"/>
  <c r="D1297" i="40"/>
  <c r="D1279" i="40"/>
  <c r="D1249" i="40"/>
  <c r="D1240" i="40"/>
  <c r="D1276" i="40"/>
  <c r="D1292" i="40"/>
  <c r="D1287" i="40"/>
  <c r="D1270" i="40"/>
  <c r="D1234" i="40"/>
  <c r="D1282" i="40"/>
  <c r="D1232" i="40"/>
  <c r="D1267" i="40"/>
  <c r="D1296" i="40"/>
  <c r="D1251" i="40"/>
  <c r="D1225" i="40"/>
  <c r="D1254" i="40"/>
  <c r="D1293" i="40"/>
  <c r="D1246" i="40"/>
  <c r="D1227" i="40"/>
  <c r="D1288" i="40"/>
  <c r="D1256" i="40"/>
  <c r="D1284" i="40"/>
  <c r="D1248" i="40"/>
  <c r="D1295" i="40"/>
  <c r="D1291" i="40"/>
  <c r="D1230" i="40"/>
  <c r="D1238" i="40"/>
  <c r="D1274" i="40"/>
  <c r="D1258" i="40"/>
  <c r="D1228" i="40"/>
  <c r="D1278" i="40"/>
  <c r="D1236" i="40"/>
  <c r="D1272" i="40"/>
  <c r="D1280" i="40"/>
  <c r="D1250" i="40"/>
  <c r="CD854" i="40"/>
  <c r="CD857" i="40"/>
  <c r="CD850" i="40"/>
  <c r="CD860" i="40"/>
  <c r="CD846" i="40"/>
  <c r="CD845" i="40"/>
  <c r="CE845" i="40" s="1"/>
  <c r="CD851" i="40"/>
  <c r="CD869" i="40"/>
  <c r="CD848" i="40"/>
  <c r="CE848" i="40" s="1"/>
  <c r="CD866" i="40"/>
  <c r="CD853" i="40"/>
  <c r="CD861" i="40"/>
  <c r="CD865" i="40"/>
  <c r="CD862" i="40"/>
  <c r="CD858" i="40"/>
  <c r="CE858" i="40" s="1"/>
  <c r="CD867" i="40"/>
  <c r="CD855" i="40"/>
  <c r="CE855" i="40" s="1"/>
  <c r="CF855" i="40" s="1"/>
  <c r="CG855" i="40" s="1"/>
  <c r="CD859" i="40"/>
  <c r="CD868" i="40"/>
  <c r="CD873" i="40"/>
  <c r="CD842" i="40"/>
  <c r="CD841" i="40"/>
  <c r="CD847" i="40"/>
  <c r="CD856" i="40"/>
  <c r="CD864" i="40"/>
  <c r="CE864" i="40" s="1"/>
  <c r="CD874" i="40"/>
  <c r="CD843" i="40"/>
  <c r="CD871" i="40"/>
  <c r="D1425" i="40" s="1"/>
  <c r="CD824" i="40"/>
  <c r="CE824" i="40" s="1"/>
  <c r="CF824" i="40" s="1"/>
  <c r="D1213" i="40"/>
  <c r="CD815" i="40"/>
  <c r="CE815" i="40" s="1"/>
  <c r="CF815" i="40" s="1"/>
  <c r="CG815" i="40" s="1"/>
  <c r="D1211" i="40"/>
  <c r="CD819" i="40"/>
  <c r="D1303" i="40" s="1"/>
  <c r="D1212" i="40"/>
  <c r="CD840" i="40"/>
  <c r="CD832" i="40"/>
  <c r="D1218" i="40"/>
  <c r="CD836" i="40"/>
  <c r="D1222" i="40"/>
  <c r="CD839" i="40"/>
  <c r="CD834" i="40"/>
  <c r="D1220" i="40"/>
  <c r="CD837" i="40"/>
  <c r="D1223" i="40"/>
  <c r="CD831" i="40"/>
  <c r="D1217" i="40"/>
  <c r="CD830" i="40"/>
  <c r="D1216" i="40"/>
  <c r="CD828" i="40"/>
  <c r="D1214" i="40"/>
  <c r="CD838" i="40"/>
  <c r="D1417" i="40" s="1"/>
  <c r="CD833" i="40"/>
  <c r="D1219" i="40"/>
  <c r="CD829" i="40"/>
  <c r="D1215" i="40"/>
  <c r="CD835" i="40"/>
  <c r="D1221" i="40"/>
  <c r="AZ217" i="50"/>
  <c r="J344" i="50" s="1"/>
  <c r="CD844" i="40"/>
  <c r="D1210" i="40"/>
  <c r="M31" i="37"/>
  <c r="N356" i="50"/>
  <c r="CD883" i="40"/>
  <c r="CE883" i="40" s="1"/>
  <c r="CF883" i="40" s="1"/>
  <c r="D1209" i="40"/>
  <c r="D1098" i="40"/>
  <c r="D1206" i="40"/>
  <c r="D1012" i="40"/>
  <c r="D1009" i="40"/>
  <c r="L355" i="50"/>
  <c r="CC881" i="40"/>
  <c r="CD881" i="40" s="1"/>
  <c r="CE881" i="40" s="1"/>
  <c r="D1191" i="40"/>
  <c r="BA217" i="50"/>
  <c r="K344" i="50" s="1"/>
  <c r="D1011" i="40"/>
  <c r="D1010" i="40"/>
  <c r="AX60" i="42"/>
  <c r="BN60" i="42" s="1"/>
  <c r="BV60" i="42" s="1"/>
  <c r="J104" i="42" s="1"/>
  <c r="N29" i="42"/>
  <c r="N31" i="50"/>
  <c r="Q39" i="25"/>
  <c r="BI60" i="42"/>
  <c r="BZ878" i="40"/>
  <c r="BX876" i="40"/>
  <c r="BY877" i="40"/>
  <c r="BW875" i="40"/>
  <c r="CA879" i="40"/>
  <c r="CB880" i="40"/>
  <c r="CG886" i="40" l="1"/>
  <c r="D1663" i="40"/>
  <c r="CG823" i="40"/>
  <c r="D1545" i="40"/>
  <c r="CG884" i="40"/>
  <c r="D1615" i="40"/>
  <c r="CG883" i="40"/>
  <c r="D1614" i="40"/>
  <c r="CG824" i="40"/>
  <c r="D1546" i="40"/>
  <c r="M109" i="66"/>
  <c r="P113" i="66" s="1"/>
  <c r="CF849" i="40"/>
  <c r="D1444" i="40"/>
  <c r="CF858" i="40"/>
  <c r="D1523" i="40"/>
  <c r="CF872" i="40"/>
  <c r="D1507" i="40"/>
  <c r="D1481" i="40"/>
  <c r="D1508" i="40"/>
  <c r="CF870" i="40"/>
  <c r="D1526" i="40"/>
  <c r="D1451" i="40"/>
  <c r="D1505" i="40"/>
  <c r="CF881" i="40"/>
  <c r="D1474" i="40"/>
  <c r="D1518" i="40"/>
  <c r="CF845" i="40"/>
  <c r="CG845" i="40" s="1"/>
  <c r="D1465" i="40"/>
  <c r="CF822" i="40"/>
  <c r="D1428" i="40"/>
  <c r="CF864" i="40"/>
  <c r="D1469" i="40"/>
  <c r="CF848" i="40"/>
  <c r="D1495" i="40"/>
  <c r="CF852" i="40"/>
  <c r="D1679" i="40" s="1"/>
  <c r="D1445" i="40"/>
  <c r="AP217" i="50"/>
  <c r="O133" i="25" s="1"/>
  <c r="AS60" i="42"/>
  <c r="AY60" i="42"/>
  <c r="BO60" i="42" s="1"/>
  <c r="BW60" i="42" s="1"/>
  <c r="K104" i="42" s="1"/>
  <c r="B522" i="40"/>
  <c r="B241" i="65"/>
  <c r="CE838" i="40"/>
  <c r="D1360" i="40"/>
  <c r="D1422" i="40"/>
  <c r="D1418" i="40"/>
  <c r="D1338" i="40"/>
  <c r="CE837" i="40"/>
  <c r="D1539" i="40" s="1"/>
  <c r="D1314" i="40"/>
  <c r="D1337" i="40"/>
  <c r="D1359" i="40"/>
  <c r="CE840" i="40"/>
  <c r="D1339" i="40"/>
  <c r="D1408" i="40"/>
  <c r="CE847" i="40"/>
  <c r="CF847" i="40" s="1"/>
  <c r="CG847" i="40" s="1"/>
  <c r="D1342" i="40"/>
  <c r="CE829" i="40"/>
  <c r="D1329" i="40"/>
  <c r="D1306" i="40"/>
  <c r="CE836" i="40"/>
  <c r="D1421" i="40"/>
  <c r="D1336" i="40"/>
  <c r="D1313" i="40"/>
  <c r="CE841" i="40"/>
  <c r="D1380" i="40"/>
  <c r="D1361" i="40"/>
  <c r="CE862" i="40"/>
  <c r="D1542" i="40" s="1"/>
  <c r="D1387" i="40"/>
  <c r="D1320" i="40"/>
  <c r="D1367" i="40"/>
  <c r="CE866" i="40"/>
  <c r="D1368" i="40"/>
  <c r="D1416" i="40"/>
  <c r="D1322" i="40"/>
  <c r="CE857" i="40"/>
  <c r="D1319" i="40"/>
  <c r="D1414" i="40"/>
  <c r="D1346" i="40"/>
  <c r="CE828" i="40"/>
  <c r="D1538" i="40" s="1"/>
  <c r="D1402" i="40"/>
  <c r="CE831" i="40"/>
  <c r="D1331" i="40"/>
  <c r="D1404" i="40"/>
  <c r="D1308" i="40"/>
  <c r="D1420" i="40"/>
  <c r="D1355" i="40"/>
  <c r="D1356" i="40"/>
  <c r="D1311" i="40"/>
  <c r="D1405" i="40"/>
  <c r="D1334" i="40"/>
  <c r="CE842" i="40"/>
  <c r="D1409" i="40"/>
  <c r="D1362" i="40"/>
  <c r="CE865" i="40"/>
  <c r="D1388" i="40"/>
  <c r="CE846" i="40"/>
  <c r="D1411" i="40"/>
  <c r="D1344" i="40"/>
  <c r="D1365" i="40"/>
  <c r="D1383" i="40"/>
  <c r="CE844" i="40"/>
  <c r="D1410" i="40"/>
  <c r="D1363" i="40"/>
  <c r="D1341" i="40"/>
  <c r="CE830" i="40"/>
  <c r="D1529" i="40" s="1"/>
  <c r="D1403" i="40"/>
  <c r="D1307" i="40"/>
  <c r="D1419" i="40"/>
  <c r="D1330" i="40"/>
  <c r="CE843" i="40"/>
  <c r="D1424" i="40"/>
  <c r="D1340" i="40"/>
  <c r="CE868" i="40"/>
  <c r="D1323" i="40"/>
  <c r="D1390" i="40"/>
  <c r="D1369" i="40"/>
  <c r="CE853" i="40"/>
  <c r="CF853" i="40" s="1"/>
  <c r="D1364" i="40"/>
  <c r="D1317" i="40"/>
  <c r="CE851" i="40"/>
  <c r="CF851" i="40" s="1"/>
  <c r="D1413" i="40"/>
  <c r="CE850" i="40"/>
  <c r="D1540" i="40" s="1"/>
  <c r="D1412" i="40"/>
  <c r="D1343" i="40"/>
  <c r="CE874" i="40"/>
  <c r="D1535" i="40" s="1"/>
  <c r="D1374" i="40"/>
  <c r="D1385" i="40"/>
  <c r="D1347" i="40"/>
  <c r="CE835" i="40"/>
  <c r="D1532" i="40" s="1"/>
  <c r="D1312" i="40"/>
  <c r="D1406" i="40"/>
  <c r="D1358" i="40"/>
  <c r="D1357" i="40"/>
  <c r="D1335" i="40"/>
  <c r="CE833" i="40"/>
  <c r="D1310" i="40"/>
  <c r="D1333" i="40"/>
  <c r="CE839" i="40"/>
  <c r="D1407" i="40"/>
  <c r="D1423" i="40"/>
  <c r="CE832" i="40"/>
  <c r="D1530" i="40" s="1"/>
  <c r="D1309" i="40"/>
  <c r="D1332" i="40"/>
  <c r="CE871" i="40"/>
  <c r="D1393" i="40"/>
  <c r="D1351" i="40"/>
  <c r="D1353" i="40"/>
  <c r="D1345" i="40"/>
  <c r="D1384" i="40"/>
  <c r="D1366" i="40"/>
  <c r="D1318" i="40"/>
  <c r="CE873" i="40"/>
  <c r="D1352" i="40"/>
  <c r="D1326" i="40"/>
  <c r="D1373" i="40"/>
  <c r="D1395" i="40"/>
  <c r="CE867" i="40"/>
  <c r="D1389" i="40"/>
  <c r="D1354" i="40"/>
  <c r="D1349" i="40"/>
  <c r="CE861" i="40"/>
  <c r="D1348" i="40"/>
  <c r="CE869" i="40"/>
  <c r="D1391" i="40"/>
  <c r="D1324" i="40"/>
  <c r="D1370" i="40"/>
  <c r="D1350" i="40"/>
  <c r="D1415" i="40"/>
  <c r="D1386" i="40"/>
  <c r="CE856" i="40"/>
  <c r="D1533" i="40" s="1"/>
  <c r="CE859" i="40"/>
  <c r="CF859" i="40" s="1"/>
  <c r="CE834" i="40"/>
  <c r="D1531" i="40" s="1"/>
  <c r="CE819" i="40"/>
  <c r="CF819" i="40" s="1"/>
  <c r="CG819" i="40" s="1"/>
  <c r="CE854" i="40"/>
  <c r="CE860" i="40"/>
  <c r="AZ61" i="50"/>
  <c r="D1033" i="40"/>
  <c r="D1089" i="40"/>
  <c r="D1072" i="40"/>
  <c r="N132" i="25"/>
  <c r="P139" i="25" s="1"/>
  <c r="AZ122" i="50"/>
  <c r="AZ60" i="42"/>
  <c r="BP60" i="42" s="1"/>
  <c r="BX60" i="42" s="1"/>
  <c r="L104" i="42" s="1"/>
  <c r="BJ60" i="42"/>
  <c r="D986" i="40"/>
  <c r="D985" i="40"/>
  <c r="D1205" i="40"/>
  <c r="D1152" i="40"/>
  <c r="D1112" i="40"/>
  <c r="D1113" i="40"/>
  <c r="D1143" i="40"/>
  <c r="D1184" i="40"/>
  <c r="M355" i="50"/>
  <c r="D1080" i="40"/>
  <c r="D1169" i="40"/>
  <c r="D1128" i="40"/>
  <c r="D994" i="40"/>
  <c r="D963" i="40"/>
  <c r="D995" i="40"/>
  <c r="BX875" i="40"/>
  <c r="CC880" i="40"/>
  <c r="CD880" i="40" s="1"/>
  <c r="BY876" i="40"/>
  <c r="CB879" i="40"/>
  <c r="BZ877" i="40"/>
  <c r="CA878" i="40"/>
  <c r="D1543" i="40" l="1"/>
  <c r="D1604" i="40"/>
  <c r="CG853" i="40"/>
  <c r="D1597" i="40"/>
  <c r="CG881" i="40"/>
  <c r="D1612" i="40"/>
  <c r="D1576" i="40"/>
  <c r="CG870" i="40"/>
  <c r="D1671" i="40"/>
  <c r="D1608" i="40"/>
  <c r="D1665" i="40"/>
  <c r="CG872" i="40"/>
  <c r="D1619" i="40"/>
  <c r="D1571" i="40"/>
  <c r="CG849" i="40"/>
  <c r="D1594" i="40"/>
  <c r="D1655" i="40"/>
  <c r="D1635" i="40"/>
  <c r="CG852" i="40"/>
  <c r="D1596" i="40"/>
  <c r="CG859" i="40"/>
  <c r="D1601" i="40"/>
  <c r="D1567" i="40"/>
  <c r="CG858" i="40"/>
  <c r="D1600" i="40"/>
  <c r="CG851" i="40"/>
  <c r="D1564" i="40"/>
  <c r="D1595" i="40"/>
  <c r="CG848" i="40"/>
  <c r="D1654" i="40"/>
  <c r="D1593" i="40"/>
  <c r="CG822" i="40"/>
  <c r="D1544" i="40"/>
  <c r="N109" i="66"/>
  <c r="P114" i="66" s="1"/>
  <c r="M113" i="66"/>
  <c r="O113" i="66"/>
  <c r="N113" i="66"/>
  <c r="CG864" i="40"/>
  <c r="D1528" i="40"/>
  <c r="BB217" i="50"/>
  <c r="L344" i="50" s="1"/>
  <c r="AQ217" i="50"/>
  <c r="P133" i="25" s="1"/>
  <c r="CF832" i="40"/>
  <c r="D1458" i="40"/>
  <c r="D1433" i="40"/>
  <c r="CF830" i="40"/>
  <c r="D1431" i="40"/>
  <c r="CF831" i="40"/>
  <c r="D1432" i="40"/>
  <c r="D1457" i="40"/>
  <c r="CF829" i="40"/>
  <c r="D1430" i="40"/>
  <c r="CF861" i="40"/>
  <c r="D1467" i="40"/>
  <c r="D1498" i="40"/>
  <c r="CF874" i="40"/>
  <c r="D1678" i="40" s="1"/>
  <c r="D1510" i="40"/>
  <c r="D1454" i="40"/>
  <c r="D1472" i="40"/>
  <c r="D1483" i="40"/>
  <c r="CF844" i="40"/>
  <c r="D1493" i="40"/>
  <c r="CF834" i="40"/>
  <c r="D1460" i="40"/>
  <c r="D1435" i="40"/>
  <c r="D1487" i="40"/>
  <c r="CF873" i="40"/>
  <c r="D1482" i="40"/>
  <c r="D1509" i="40"/>
  <c r="D1453" i="40"/>
  <c r="CF871" i="40"/>
  <c r="D1506" i="40"/>
  <c r="D1452" i="40"/>
  <c r="D1471" i="40"/>
  <c r="D1480" i="40"/>
  <c r="CF846" i="40"/>
  <c r="D1494" i="40"/>
  <c r="CF841" i="40"/>
  <c r="D1442" i="40"/>
  <c r="D1491" i="40"/>
  <c r="CF836" i="40"/>
  <c r="D1462" i="40"/>
  <c r="D1520" i="40"/>
  <c r="D1489" i="40"/>
  <c r="D1437" i="40"/>
  <c r="CF840" i="40"/>
  <c r="D1441" i="40"/>
  <c r="D1464" i="40"/>
  <c r="CF837" i="40"/>
  <c r="D1490" i="40"/>
  <c r="D1438" i="40"/>
  <c r="CF869" i="40"/>
  <c r="D1504" i="40"/>
  <c r="D1479" i="40"/>
  <c r="D1525" i="40"/>
  <c r="CF842" i="40"/>
  <c r="D1492" i="40"/>
  <c r="CF828" i="40"/>
  <c r="CF857" i="40"/>
  <c r="D1522" i="40"/>
  <c r="D1448" i="40"/>
  <c r="CF866" i="40"/>
  <c r="D1501" i="40"/>
  <c r="CF862" i="40"/>
  <c r="D1677" i="40" s="1"/>
  <c r="D1478" i="40"/>
  <c r="D1476" i="40"/>
  <c r="D1499" i="40"/>
  <c r="D1484" i="40"/>
  <c r="D1468" i="40"/>
  <c r="D1449" i="40"/>
  <c r="CF838" i="40"/>
  <c r="D1439" i="40"/>
  <c r="CF867" i="40"/>
  <c r="D1486" i="40"/>
  <c r="D1502" i="40"/>
  <c r="CF835" i="40"/>
  <c r="D1436" i="40"/>
  <c r="D1488" i="40"/>
  <c r="D1461" i="40"/>
  <c r="CF868" i="40"/>
  <c r="D1503" i="40"/>
  <c r="D1450" i="40"/>
  <c r="CF860" i="40"/>
  <c r="D1497" i="40"/>
  <c r="D1477" i="40"/>
  <c r="CF833" i="40"/>
  <c r="D1434" i="40"/>
  <c r="D1459" i="40"/>
  <c r="CF854" i="40"/>
  <c r="D1446" i="40"/>
  <c r="D1496" i="40"/>
  <c r="CF856" i="40"/>
  <c r="D1447" i="40"/>
  <c r="CF839" i="40"/>
  <c r="D1440" i="40"/>
  <c r="D1463" i="40"/>
  <c r="CF850" i="40"/>
  <c r="D1466" i="40"/>
  <c r="CF843" i="40"/>
  <c r="D1676" i="40" s="1"/>
  <c r="D1521" i="40"/>
  <c r="D1443" i="40"/>
  <c r="CF865" i="40"/>
  <c r="CG865" i="40" s="1"/>
  <c r="D1470" i="40"/>
  <c r="D1500" i="40"/>
  <c r="D1485" i="40"/>
  <c r="D1524" i="40"/>
  <c r="AT60" i="42"/>
  <c r="B523" i="40"/>
  <c r="B242" i="65"/>
  <c r="CE880" i="40"/>
  <c r="D1379" i="40"/>
  <c r="D1401" i="40"/>
  <c r="J205" i="50"/>
  <c r="O132" i="25"/>
  <c r="D1088" i="40"/>
  <c r="D1044" i="40"/>
  <c r="BA61" i="50"/>
  <c r="K205" i="50" s="1"/>
  <c r="BA60" i="42"/>
  <c r="BQ60" i="42" s="1"/>
  <c r="BY60" i="42" s="1"/>
  <c r="M104" i="42" s="1"/>
  <c r="BB61" i="50"/>
  <c r="L205" i="50" s="1"/>
  <c r="D1151" i="40"/>
  <c r="D1119" i="40"/>
  <c r="N355" i="50"/>
  <c r="D1142" i="40"/>
  <c r="D1168" i="40"/>
  <c r="D1127" i="40"/>
  <c r="CA877" i="40"/>
  <c r="D928" i="40" s="1"/>
  <c r="CB878" i="40"/>
  <c r="D1183" i="40" s="1"/>
  <c r="CC879" i="40"/>
  <c r="CD879" i="40" s="1"/>
  <c r="BZ876" i="40"/>
  <c r="BY875" i="40"/>
  <c r="CG843" i="40" l="1"/>
  <c r="D1634" i="40"/>
  <c r="D1652" i="40"/>
  <c r="CG838" i="40"/>
  <c r="D1558" i="40"/>
  <c r="D1586" i="40"/>
  <c r="CG871" i="40"/>
  <c r="D1609" i="40"/>
  <c r="D1629" i="40"/>
  <c r="D1617" i="40"/>
  <c r="CG829" i="40"/>
  <c r="D1549" i="40"/>
  <c r="CG832" i="40"/>
  <c r="D1552" i="40"/>
  <c r="D1645" i="40"/>
  <c r="D1580" i="40"/>
  <c r="CG839" i="40"/>
  <c r="D1587" i="40"/>
  <c r="D1559" i="40"/>
  <c r="D1650" i="40"/>
  <c r="CG833" i="40"/>
  <c r="D1553" i="40"/>
  <c r="D1581" i="40"/>
  <c r="CG866" i="40"/>
  <c r="D1605" i="40"/>
  <c r="CG856" i="40"/>
  <c r="D1565" i="40"/>
  <c r="D1598" i="40"/>
  <c r="D1637" i="40"/>
  <c r="CG868" i="40"/>
  <c r="D1569" i="40"/>
  <c r="CG835" i="40"/>
  <c r="D1555" i="40"/>
  <c r="D1627" i="40"/>
  <c r="D1623" i="40"/>
  <c r="D1583" i="40"/>
  <c r="D1647" i="40"/>
  <c r="CG862" i="40"/>
  <c r="D1669" i="40"/>
  <c r="D1568" i="40"/>
  <c r="D1603" i="40"/>
  <c r="CG842" i="40"/>
  <c r="D1651" i="40"/>
  <c r="D1633" i="40"/>
  <c r="D1561" i="40"/>
  <c r="D1590" i="40"/>
  <c r="CG869" i="40"/>
  <c r="D1607" i="40"/>
  <c r="D1657" i="40"/>
  <c r="D1618" i="40"/>
  <c r="D1570" i="40"/>
  <c r="D1670" i="40"/>
  <c r="CG846" i="40"/>
  <c r="D1592" i="40"/>
  <c r="D1668" i="40"/>
  <c r="CG874" i="40"/>
  <c r="D1630" i="40"/>
  <c r="D1658" i="40"/>
  <c r="D1625" i="40"/>
  <c r="D1620" i="40"/>
  <c r="D1572" i="40"/>
  <c r="CG831" i="40"/>
  <c r="D1551" i="40"/>
  <c r="D1579" i="40"/>
  <c r="CG860" i="40"/>
  <c r="D1616" i="40"/>
  <c r="D1656" i="40"/>
  <c r="CG857" i="40"/>
  <c r="D1566" i="40"/>
  <c r="D1599" i="40"/>
  <c r="CG873" i="40"/>
  <c r="D1672" i="40"/>
  <c r="D1610" i="40"/>
  <c r="CG834" i="40"/>
  <c r="D1582" i="40"/>
  <c r="D1621" i="40"/>
  <c r="D1626" i="40"/>
  <c r="D1646" i="40"/>
  <c r="D1622" i="40"/>
  <c r="D1554" i="40"/>
  <c r="CG828" i="40"/>
  <c r="D1548" i="40"/>
  <c r="D1643" i="40"/>
  <c r="CG840" i="40"/>
  <c r="D1588" i="40"/>
  <c r="CG841" i="40"/>
  <c r="D1589" i="40"/>
  <c r="D1632" i="40"/>
  <c r="P109" i="66" s="1"/>
  <c r="P116" i="66" s="1"/>
  <c r="D1560" i="40"/>
  <c r="CG830" i="40"/>
  <c r="D1644" i="40"/>
  <c r="D1664" i="40"/>
  <c r="D1666" i="40"/>
  <c r="D1578" i="40"/>
  <c r="D1550" i="40"/>
  <c r="CG850" i="40"/>
  <c r="D1563" i="40"/>
  <c r="CG854" i="40"/>
  <c r="D1636" i="40"/>
  <c r="CG867" i="40"/>
  <c r="D1638" i="40"/>
  <c r="D1606" i="40"/>
  <c r="CG837" i="40"/>
  <c r="D1557" i="40"/>
  <c r="D1649" i="40"/>
  <c r="D1585" i="40"/>
  <c r="CG836" i="40"/>
  <c r="D1556" i="40"/>
  <c r="D1584" i="40"/>
  <c r="D1648" i="40"/>
  <c r="D1624" i="40"/>
  <c r="D1628" i="40"/>
  <c r="CG844" i="40"/>
  <c r="D1653" i="40"/>
  <c r="D1667" i="40"/>
  <c r="D1591" i="40"/>
  <c r="D1562" i="40"/>
  <c r="CG861" i="40"/>
  <c r="D1602" i="40"/>
  <c r="O114" i="66"/>
  <c r="N114" i="66"/>
  <c r="BC217" i="50"/>
  <c r="M344" i="50" s="1"/>
  <c r="AR217" i="50"/>
  <c r="Q133" i="25" s="1"/>
  <c r="CF880" i="40"/>
  <c r="D1674" i="40" s="1"/>
  <c r="D1456" i="40"/>
  <c r="D1517" i="40"/>
  <c r="Q139" i="25"/>
  <c r="B524" i="40"/>
  <c r="B243" i="65"/>
  <c r="CE879" i="40"/>
  <c r="D1378" i="40"/>
  <c r="J354" i="50"/>
  <c r="J362" i="50" s="1"/>
  <c r="P132" i="25"/>
  <c r="R139" i="25" s="1"/>
  <c r="N30" i="32" s="1"/>
  <c r="D1043" i="40"/>
  <c r="D1087" i="40"/>
  <c r="K354" i="50"/>
  <c r="K362" i="50" s="1"/>
  <c r="L354" i="50"/>
  <c r="L362" i="50" s="1"/>
  <c r="BB60" i="42"/>
  <c r="BR60" i="42" s="1"/>
  <c r="BZ60" i="42" s="1"/>
  <c r="N104" i="42" s="1"/>
  <c r="BC61" i="50"/>
  <c r="M205" i="50" s="1"/>
  <c r="D935" i="40"/>
  <c r="D922" i="40"/>
  <c r="D1141" i="40"/>
  <c r="D1204" i="40"/>
  <c r="D1118" i="40"/>
  <c r="D1189" i="40"/>
  <c r="D1038" i="40"/>
  <c r="CA876" i="40"/>
  <c r="D1013" i="40" s="1"/>
  <c r="CC878" i="40"/>
  <c r="CD878" i="40" s="1"/>
  <c r="BZ875" i="40"/>
  <c r="CB877" i="40"/>
  <c r="D1071" i="40" s="1"/>
  <c r="CG880" i="40" l="1"/>
  <c r="D1641" i="40"/>
  <c r="D1660" i="40"/>
  <c r="D1575" i="40"/>
  <c r="BD217" i="50"/>
  <c r="N344" i="50" s="1"/>
  <c r="CF879" i="40"/>
  <c r="D1516" i="40"/>
  <c r="B525" i="40"/>
  <c r="B244" i="65"/>
  <c r="CE878" i="40"/>
  <c r="D1400" i="40"/>
  <c r="D1377" i="40"/>
  <c r="D1042" i="40"/>
  <c r="D1137" i="40"/>
  <c r="D1029" i="40"/>
  <c r="M354" i="50"/>
  <c r="M362" i="50" s="1"/>
  <c r="BD61" i="50"/>
  <c r="N205" i="50" s="1"/>
  <c r="D1117" i="40"/>
  <c r="D1150" i="40"/>
  <c r="D1122" i="40"/>
  <c r="D1182" i="40"/>
  <c r="D1037" i="40"/>
  <c r="D1167" i="40"/>
  <c r="D1004" i="40"/>
  <c r="D971" i="40"/>
  <c r="D962" i="40"/>
  <c r="CC877" i="40"/>
  <c r="D1243" i="40" s="1"/>
  <c r="CA875" i="40"/>
  <c r="D927" i="40" s="1"/>
  <c r="CB876" i="40"/>
  <c r="CG879" i="40" l="1"/>
  <c r="D1659" i="40"/>
  <c r="CF878" i="40"/>
  <c r="CG878" i="40" s="1"/>
  <c r="D1527" i="40"/>
  <c r="D1515" i="40"/>
  <c r="B526" i="40"/>
  <c r="B245" i="65"/>
  <c r="D1028" i="40"/>
  <c r="D1085" i="40"/>
  <c r="D1025" i="40"/>
  <c r="D1053" i="40"/>
  <c r="D1086" i="40"/>
  <c r="D1190" i="40"/>
  <c r="CD877" i="40"/>
  <c r="N354" i="50"/>
  <c r="D1074" i="40"/>
  <c r="D1126" i="40"/>
  <c r="D1005" i="40"/>
  <c r="D921" i="40"/>
  <c r="D1121" i="40"/>
  <c r="D1140" i="40"/>
  <c r="D1139" i="40"/>
  <c r="D1097" i="40"/>
  <c r="D1124" i="40"/>
  <c r="D1077" i="40"/>
  <c r="D1006" i="40"/>
  <c r="D934" i="40"/>
  <c r="D961" i="40"/>
  <c r="CC876" i="40"/>
  <c r="D1300" i="40" s="1"/>
  <c r="CB875" i="40"/>
  <c r="D1070" i="40" s="1"/>
  <c r="D1684" i="40" l="1"/>
  <c r="K111" i="25" s="1"/>
  <c r="Q114" i="25" s="1"/>
  <c r="D1683" i="40"/>
  <c r="K110" i="25" s="1"/>
  <c r="N362" i="50"/>
  <c r="B527" i="40"/>
  <c r="B246" i="65"/>
  <c r="CE877" i="40"/>
  <c r="D1399" i="40"/>
  <c r="D1125" i="40"/>
  <c r="D1027" i="40"/>
  <c r="D1056" i="40"/>
  <c r="D1084" i="40"/>
  <c r="D1052" i="40"/>
  <c r="D1024" i="40"/>
  <c r="D1057" i="40"/>
  <c r="D1181" i="40"/>
  <c r="D1076" i="40"/>
  <c r="D1242" i="40"/>
  <c r="D1277" i="40"/>
  <c r="F1684" i="40" s="1"/>
  <c r="CD876" i="40"/>
  <c r="D1130" i="40"/>
  <c r="D1101" i="40"/>
  <c r="D1111" i="40"/>
  <c r="D1120" i="40"/>
  <c r="D1138" i="40"/>
  <c r="D1096" i="40"/>
  <c r="D1036" i="40"/>
  <c r="D1110" i="40"/>
  <c r="D1095" i="40"/>
  <c r="D1123" i="40"/>
  <c r="D1115" i="40"/>
  <c r="L109" i="66" s="1"/>
  <c r="D1099" i="40"/>
  <c r="D1100" i="40"/>
  <c r="D1069" i="40"/>
  <c r="CC875" i="40"/>
  <c r="Q113" i="25" l="1"/>
  <c r="M113" i="25"/>
  <c r="E1684" i="40"/>
  <c r="E1683" i="40"/>
  <c r="L110" i="25" s="1"/>
  <c r="CF877" i="40"/>
  <c r="D1514" i="40"/>
  <c r="N114" i="25"/>
  <c r="B528" i="40"/>
  <c r="B247" i="65"/>
  <c r="CE876" i="40"/>
  <c r="D1328" i="40"/>
  <c r="D1376" i="40"/>
  <c r="D1398" i="40"/>
  <c r="P113" i="25"/>
  <c r="N113" i="25"/>
  <c r="O113" i="25"/>
  <c r="P114" i="25"/>
  <c r="O114" i="25"/>
  <c r="D1241" i="40"/>
  <c r="D1283" i="40"/>
  <c r="CD875" i="40"/>
  <c r="D1396" i="40" s="1"/>
  <c r="M114" i="25"/>
  <c r="CG877" i="40" l="1"/>
  <c r="D1640" i="40"/>
  <c r="F1683" i="40"/>
  <c r="M110" i="25" s="1"/>
  <c r="M112" i="66"/>
  <c r="O118" i="66" s="1"/>
  <c r="O129" i="66" s="1"/>
  <c r="P112" i="66"/>
  <c r="R118" i="66" s="1"/>
  <c r="R129" i="66" s="1"/>
  <c r="N35" i="32" s="1"/>
  <c r="CF876" i="40"/>
  <c r="D1513" i="40"/>
  <c r="M126" i="25"/>
  <c r="O112" i="66"/>
  <c r="Q118" i="66" s="1"/>
  <c r="Q129" i="66" s="1"/>
  <c r="M115" i="25"/>
  <c r="Q115" i="25"/>
  <c r="B529" i="40"/>
  <c r="B248" i="65"/>
  <c r="CE875" i="40"/>
  <c r="D1541" i="40" s="1"/>
  <c r="D1327" i="40"/>
  <c r="D1397" i="40"/>
  <c r="G1684" i="40" s="1"/>
  <c r="D1375" i="40"/>
  <c r="N112" i="66"/>
  <c r="P118" i="66" s="1"/>
  <c r="P129" i="66" s="1"/>
  <c r="M111" i="25"/>
  <c r="N115" i="25"/>
  <c r="O115" i="25"/>
  <c r="P115" i="25"/>
  <c r="CG876" i="40" l="1"/>
  <c r="D1574" i="40"/>
  <c r="G1683" i="40"/>
  <c r="N110" i="25" s="1"/>
  <c r="Q119" i="25" s="1"/>
  <c r="CF875" i="40"/>
  <c r="D1673" i="40" s="1"/>
  <c r="D1455" i="40"/>
  <c r="H1683" i="40" s="1"/>
  <c r="O110" i="25" s="1"/>
  <c r="D1512" i="40"/>
  <c r="D1473" i="40"/>
  <c r="D1511" i="40"/>
  <c r="N118" i="25"/>
  <c r="Q118" i="25"/>
  <c r="M117" i="25"/>
  <c r="Q117" i="25"/>
  <c r="N111" i="25"/>
  <c r="B530" i="40"/>
  <c r="B249" i="65"/>
  <c r="P118" i="25"/>
  <c r="M118" i="25"/>
  <c r="O118" i="25"/>
  <c r="N117" i="25"/>
  <c r="O117" i="25"/>
  <c r="P117" i="25"/>
  <c r="CG875" i="40" l="1"/>
  <c r="D1639" i="40"/>
  <c r="D1611" i="40"/>
  <c r="P111" i="25" s="1"/>
  <c r="D1573" i="40"/>
  <c r="P110" i="25" s="1"/>
  <c r="D1631" i="40"/>
  <c r="H1684" i="40"/>
  <c r="O111" i="25" s="1"/>
  <c r="L111" i="25"/>
  <c r="Q120" i="25"/>
  <c r="P120" i="25"/>
  <c r="O120" i="25"/>
  <c r="N120" i="25"/>
  <c r="B531" i="40"/>
  <c r="B250" i="65"/>
  <c r="N119" i="25"/>
  <c r="P119" i="25"/>
  <c r="O119" i="25"/>
  <c r="Q123" i="25" l="1"/>
  <c r="P123" i="25"/>
  <c r="Q124" i="25"/>
  <c r="P124" i="25"/>
  <c r="O122" i="25"/>
  <c r="P122" i="25"/>
  <c r="Q122" i="25"/>
  <c r="Q116" i="25"/>
  <c r="N116" i="25"/>
  <c r="N126" i="25" s="1"/>
  <c r="M116" i="25"/>
  <c r="P116" i="25"/>
  <c r="P126" i="25" s="1"/>
  <c r="O116" i="25"/>
  <c r="P121" i="25"/>
  <c r="Q121" i="25"/>
  <c r="O121" i="25"/>
  <c r="B532" i="40"/>
  <c r="B251" i="65"/>
  <c r="R126" i="25" l="1"/>
  <c r="N29" i="32" s="1"/>
  <c r="N45" i="32" s="1"/>
  <c r="N46" i="32" s="1"/>
  <c r="Q126" i="25"/>
  <c r="O126" i="25"/>
  <c r="B533" i="40"/>
  <c r="B252" i="65"/>
  <c r="S60" i="59" l="1"/>
  <c r="N52" i="32"/>
  <c r="B534" i="40"/>
  <c r="B253" i="65"/>
  <c r="N31" i="34" l="1"/>
  <c r="N33" i="34" s="1"/>
  <c r="N34" i="34"/>
  <c r="B535" i="40"/>
  <c r="B254" i="65"/>
  <c r="N38" i="34" l="1"/>
  <c r="N39" i="34" s="1"/>
  <c r="N46" i="34" s="1"/>
  <c r="F90" i="36" s="1"/>
  <c r="N51" i="34"/>
  <c r="B536" i="40"/>
  <c r="B255" i="65"/>
  <c r="N47" i="34" l="1"/>
  <c r="F91" i="36" s="1"/>
  <c r="N45" i="34"/>
  <c r="F89" i="36" s="1"/>
  <c r="Q102" i="36" s="1"/>
  <c r="Q21" i="21" s="1"/>
  <c r="N43" i="34"/>
  <c r="F87" i="36" s="1"/>
  <c r="N167" i="36" s="1"/>
  <c r="N44" i="34"/>
  <c r="F88" i="36" s="1"/>
  <c r="H150" i="36" s="1"/>
  <c r="H67" i="21" s="1"/>
  <c r="B537" i="40"/>
  <c r="B256" i="65"/>
  <c r="R161" i="36"/>
  <c r="P160" i="36"/>
  <c r="R159" i="36"/>
  <c r="R158" i="36"/>
  <c r="P157" i="36"/>
  <c r="R156" i="36"/>
  <c r="R155" i="36"/>
  <c r="P154" i="36"/>
  <c r="R153" i="36"/>
  <c r="R152" i="36"/>
  <c r="P151" i="36"/>
  <c r="R150" i="36"/>
  <c r="N150" i="36"/>
  <c r="Q161" i="36"/>
  <c r="Q159" i="36"/>
  <c r="Q158" i="36"/>
  <c r="Q156" i="36"/>
  <c r="Q155" i="36"/>
  <c r="Q153" i="36"/>
  <c r="Q152" i="36"/>
  <c r="Q150" i="36"/>
  <c r="P161" i="36"/>
  <c r="R160" i="36"/>
  <c r="P159" i="36"/>
  <c r="P158" i="36"/>
  <c r="R157" i="36"/>
  <c r="P156" i="36"/>
  <c r="P155" i="36"/>
  <c r="R154" i="36"/>
  <c r="P153" i="36"/>
  <c r="P152" i="36"/>
  <c r="R151" i="36"/>
  <c r="P150" i="36"/>
  <c r="Q160" i="36"/>
  <c r="O159" i="36"/>
  <c r="Q157" i="36"/>
  <c r="O156" i="36"/>
  <c r="Q154" i="36"/>
  <c r="O153" i="36"/>
  <c r="Q151" i="36"/>
  <c r="O150" i="36"/>
  <c r="K161" i="36"/>
  <c r="T133" i="36"/>
  <c r="U97" i="36"/>
  <c r="U16" i="21" s="1"/>
  <c r="X97" i="36"/>
  <c r="X16" i="21" s="1"/>
  <c r="R106" i="36"/>
  <c r="R25" i="21" s="1"/>
  <c r="R136" i="36"/>
  <c r="O97" i="36"/>
  <c r="O16" i="21" s="1"/>
  <c r="R103" i="36"/>
  <c r="R22" i="21" s="1"/>
  <c r="Q142" i="36"/>
  <c r="O103" i="36"/>
  <c r="O22" i="21" s="1"/>
  <c r="O193" i="36"/>
  <c r="O110" i="21" s="1"/>
  <c r="P140" i="36"/>
  <c r="O139" i="36"/>
  <c r="Q137" i="36"/>
  <c r="P133" i="36"/>
  <c r="R98" i="36"/>
  <c r="R17" i="21" s="1"/>
  <c r="O190" i="36"/>
  <c r="O107" i="21" s="1"/>
  <c r="P191" i="36"/>
  <c r="P108" i="21" s="1"/>
  <c r="P136" i="36"/>
  <c r="Q133" i="36"/>
  <c r="P195" i="36"/>
  <c r="P112" i="21" s="1"/>
  <c r="R126" i="36"/>
  <c r="R44" i="21" s="1"/>
  <c r="P120" i="36"/>
  <c r="P38" i="21" s="1"/>
  <c r="O118" i="36"/>
  <c r="O36" i="21" s="1"/>
  <c r="O115" i="36"/>
  <c r="O33" i="21" s="1"/>
  <c r="P115" i="36"/>
  <c r="P33" i="21" s="1"/>
  <c r="P118" i="36"/>
  <c r="P36" i="21" s="1"/>
  <c r="P125" i="36"/>
  <c r="P43" i="21" s="1"/>
  <c r="R120" i="36"/>
  <c r="R38" i="21" s="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121" i="36"/>
  <c r="O39" i="21" s="1"/>
  <c r="Q118" i="36"/>
  <c r="Q36" i="21" s="1"/>
  <c r="R117" i="36"/>
  <c r="R35" i="21" s="1"/>
  <c r="Q119" i="36"/>
  <c r="Q37" i="21" s="1"/>
  <c r="Q123" i="36"/>
  <c r="Q41" i="21" s="1"/>
  <c r="R124" i="36"/>
  <c r="R42" i="21" s="1"/>
  <c r="P119" i="36"/>
  <c r="P37" i="21" s="1"/>
  <c r="Q121" i="36"/>
  <c r="Q39" i="21" s="1"/>
  <c r="P123" i="36"/>
  <c r="P41" i="21" s="1"/>
  <c r="Q116" i="36"/>
  <c r="Q34" i="21" s="1"/>
  <c r="R125" i="36"/>
  <c r="R43" i="21" s="1"/>
  <c r="P124" i="36"/>
  <c r="P42" i="21" s="1"/>
  <c r="P117" i="36"/>
  <c r="P35" i="21" s="1"/>
  <c r="R119" i="36"/>
  <c r="R37" i="21" s="1"/>
  <c r="R118" i="36"/>
  <c r="R36" i="21" s="1"/>
  <c r="R115" i="36"/>
  <c r="R33" i="21" s="1"/>
  <c r="R122" i="36"/>
  <c r="R40" i="21" s="1"/>
  <c r="P121" i="36"/>
  <c r="P39" i="21" s="1"/>
  <c r="R121" i="36"/>
  <c r="R39" i="21" s="1"/>
  <c r="X104" i="36"/>
  <c r="X23" i="21" s="1"/>
  <c r="W136" i="36"/>
  <c r="U133" i="36"/>
  <c r="X144" i="36"/>
  <c r="V143" i="36"/>
  <c r="U106" i="36"/>
  <c r="U25" i="21" s="1"/>
  <c r="X98" i="36"/>
  <c r="X17" i="21" s="1"/>
  <c r="W101" i="36"/>
  <c r="W20" i="21" s="1"/>
  <c r="W139" i="36"/>
  <c r="W99" i="36"/>
  <c r="W18" i="21" s="1"/>
  <c r="V135" i="36"/>
  <c r="W143" i="36"/>
  <c r="V97" i="36"/>
  <c r="V16" i="21" s="1"/>
  <c r="W102" i="36"/>
  <c r="W21" i="21" s="1"/>
  <c r="X133" i="36"/>
  <c r="V105" i="36"/>
  <c r="V24" i="21" s="1"/>
  <c r="V144" i="36"/>
  <c r="X103" i="36"/>
  <c r="X22" i="21" s="1"/>
  <c r="V138" i="36"/>
  <c r="X105" i="36"/>
  <c r="X24" i="21" s="1"/>
  <c r="V142" i="36"/>
  <c r="W106" i="36"/>
  <c r="W25" i="21" s="1"/>
  <c r="V101" i="36"/>
  <c r="V20" i="21" s="1"/>
  <c r="X134" i="36"/>
  <c r="W138" i="36"/>
  <c r="W105" i="36"/>
  <c r="W24" i="21" s="1"/>
  <c r="V98" i="36"/>
  <c r="V17" i="21" s="1"/>
  <c r="V107" i="36"/>
  <c r="V26" i="21" s="1"/>
  <c r="X135" i="36"/>
  <c r="X137" i="36"/>
  <c r="W140" i="36"/>
  <c r="W100" i="36"/>
  <c r="W19" i="21" s="1"/>
  <c r="X99" i="36"/>
  <c r="X18" i="21" s="1"/>
  <c r="X100" i="36"/>
  <c r="X19" i="21" s="1"/>
  <c r="W144" i="36"/>
  <c r="V136" i="36"/>
  <c r="W141" i="36"/>
  <c r="U136" i="36"/>
  <c r="X142" i="36"/>
  <c r="V140" i="36"/>
  <c r="V139" i="36"/>
  <c r="X141" i="36"/>
  <c r="U142" i="36"/>
  <c r="X107" i="36"/>
  <c r="X26" i="21" s="1"/>
  <c r="X143" i="36"/>
  <c r="W135" i="36"/>
  <c r="V137" i="36"/>
  <c r="V106" i="36"/>
  <c r="V25" i="21" s="1"/>
  <c r="W108" i="36"/>
  <c r="W27" i="21" s="1"/>
  <c r="W98" i="36"/>
  <c r="W17" i="21" s="1"/>
  <c r="V141" i="36"/>
  <c r="W107" i="36"/>
  <c r="W26" i="21" s="1"/>
  <c r="W142" i="36"/>
  <c r="W133" i="36"/>
  <c r="W134" i="36"/>
  <c r="U103" i="36"/>
  <c r="U22" i="21" s="1"/>
  <c r="W137" i="36"/>
  <c r="X101" i="36"/>
  <c r="X20" i="21" s="1"/>
  <c r="V99" i="36"/>
  <c r="V18" i="21" s="1"/>
  <c r="T97" i="36"/>
  <c r="T16" i="21" s="1"/>
  <c r="U139" i="36"/>
  <c r="X136" i="36"/>
  <c r="X138" i="36"/>
  <c r="V102" i="36"/>
  <c r="V21" i="21" s="1"/>
  <c r="U100" i="36"/>
  <c r="U19" i="21" s="1"/>
  <c r="V133" i="36"/>
  <c r="X140" i="36"/>
  <c r="V100" i="36"/>
  <c r="V19" i="21" s="1"/>
  <c r="W97" i="36"/>
  <c r="W16" i="21" s="1"/>
  <c r="V103" i="36"/>
  <c r="V22" i="21" s="1"/>
  <c r="X108" i="36"/>
  <c r="X27" i="21" s="1"/>
  <c r="X102" i="36"/>
  <c r="X21" i="21" s="1"/>
  <c r="V134" i="36"/>
  <c r="X106" i="36"/>
  <c r="X25" i="21" s="1"/>
  <c r="V108" i="36"/>
  <c r="V27" i="21" s="1"/>
  <c r="X139" i="36"/>
  <c r="V104" i="36"/>
  <c r="V23" i="21" s="1"/>
  <c r="W104" i="36"/>
  <c r="W23" i="21" s="1"/>
  <c r="W103" i="36"/>
  <c r="W22" i="21" s="1"/>
  <c r="P194" i="36"/>
  <c r="P111" i="21" s="1"/>
  <c r="O187" i="36"/>
  <c r="O104" i="21" s="1"/>
  <c r="Q99" i="36"/>
  <c r="Q18" i="21" s="1"/>
  <c r="P105" i="36"/>
  <c r="P24" i="21" s="1"/>
  <c r="O106" i="36"/>
  <c r="O25" i="21" s="1"/>
  <c r="P185" i="36"/>
  <c r="P102" i="21" s="1"/>
  <c r="Q135" i="36"/>
  <c r="P101" i="36"/>
  <c r="P20" i="21" s="1"/>
  <c r="P99" i="36"/>
  <c r="P18" i="21" s="1"/>
  <c r="R99" i="36"/>
  <c r="R18" i="21" s="1"/>
  <c r="Q107" i="36"/>
  <c r="Q26" i="21" s="1"/>
  <c r="Q144" i="36"/>
  <c r="Q104" i="36"/>
  <c r="Q23" i="21" s="1"/>
  <c r="P190" i="36"/>
  <c r="P107" i="21" s="1"/>
  <c r="P192" i="36"/>
  <c r="P109" i="21" s="1"/>
  <c r="P102" i="36"/>
  <c r="P21" i="21" s="1"/>
  <c r="P144" i="36"/>
  <c r="P108" i="36"/>
  <c r="P27" i="21" s="1"/>
  <c r="P187" i="36"/>
  <c r="P104" i="21" s="1"/>
  <c r="R139" i="36"/>
  <c r="R141" i="36"/>
  <c r="R140" i="36"/>
  <c r="R97" i="36"/>
  <c r="R16" i="21" s="1"/>
  <c r="P100" i="36"/>
  <c r="P19" i="21" s="1"/>
  <c r="P138" i="36"/>
  <c r="O133" i="36"/>
  <c r="Q141" i="36"/>
  <c r="O136" i="36"/>
  <c r="Q97" i="36"/>
  <c r="Q16" i="21" s="1"/>
  <c r="N184" i="36"/>
  <c r="N101" i="21" s="1"/>
  <c r="P139" i="36"/>
  <c r="R143" i="36"/>
  <c r="R144" i="36"/>
  <c r="R100" i="36"/>
  <c r="R19" i="21" s="1"/>
  <c r="P97" i="36"/>
  <c r="P16" i="21" s="1"/>
  <c r="R134" i="36"/>
  <c r="P134" i="36"/>
  <c r="P104" i="36"/>
  <c r="P23" i="21" s="1"/>
  <c r="P141" i="36"/>
  <c r="R104" i="36"/>
  <c r="R23" i="21" s="1"/>
  <c r="R137" i="36"/>
  <c r="P98" i="36" l="1"/>
  <c r="P17" i="21" s="1"/>
  <c r="P189" i="36"/>
  <c r="P106" i="21" s="1"/>
  <c r="N97" i="36"/>
  <c r="N16" i="21" s="1"/>
  <c r="Q143" i="36"/>
  <c r="Q60" i="21" s="1"/>
  <c r="Q140" i="36"/>
  <c r="Q57" i="21" s="1"/>
  <c r="Q98" i="36"/>
  <c r="Q17" i="21" s="1"/>
  <c r="Q103" i="36"/>
  <c r="Q22" i="21" s="1"/>
  <c r="R142" i="36"/>
  <c r="R59" i="21" s="1"/>
  <c r="P186" i="36"/>
  <c r="P103" i="21" s="1"/>
  <c r="P193" i="36"/>
  <c r="P110" i="21" s="1"/>
  <c r="P107" i="36"/>
  <c r="P26" i="21" s="1"/>
  <c r="R107" i="36"/>
  <c r="R26" i="21" s="1"/>
  <c r="P188" i="36"/>
  <c r="P105" i="21" s="1"/>
  <c r="P184" i="36"/>
  <c r="P101" i="21" s="1"/>
  <c r="R133" i="36"/>
  <c r="R50" i="21" s="1"/>
  <c r="O100" i="36"/>
  <c r="O19" i="21" s="1"/>
  <c r="P143" i="36"/>
  <c r="P60" i="21" s="1"/>
  <c r="Q105" i="36"/>
  <c r="Q24" i="21" s="1"/>
  <c r="Q106" i="36"/>
  <c r="Q25" i="21" s="1"/>
  <c r="Q136" i="36"/>
  <c r="Q53" i="21" s="1"/>
  <c r="K117" i="36"/>
  <c r="K35" i="21" s="1"/>
  <c r="K118" i="36"/>
  <c r="K36" i="21" s="1"/>
  <c r="L117" i="36"/>
  <c r="L35" i="21" s="1"/>
  <c r="K154" i="36"/>
  <c r="K71" i="21" s="1"/>
  <c r="K119" i="36"/>
  <c r="K37" i="21" s="1"/>
  <c r="L122" i="36"/>
  <c r="L40" i="21" s="1"/>
  <c r="I153" i="36"/>
  <c r="I70" i="21" s="1"/>
  <c r="K160" i="36"/>
  <c r="K77" i="21" s="1"/>
  <c r="L116" i="36"/>
  <c r="L34" i="21" s="1"/>
  <c r="L119" i="36"/>
  <c r="L37" i="21" s="1"/>
  <c r="J122" i="36"/>
  <c r="J40" i="21" s="1"/>
  <c r="J157" i="36"/>
  <c r="J74" i="21" s="1"/>
  <c r="K153" i="36"/>
  <c r="J189" i="36"/>
  <c r="J106" i="21" s="1"/>
  <c r="J185" i="36"/>
  <c r="J102" i="21" s="1"/>
  <c r="J123" i="36"/>
  <c r="J41" i="21" s="1"/>
  <c r="J118" i="36"/>
  <c r="J36" i="21" s="1"/>
  <c r="L115" i="36"/>
  <c r="L33" i="21" s="1"/>
  <c r="L161" i="36"/>
  <c r="L78" i="21" s="1"/>
  <c r="L157" i="36"/>
  <c r="L74" i="21" s="1"/>
  <c r="J161" i="36"/>
  <c r="J78" i="21" s="1"/>
  <c r="K155" i="36"/>
  <c r="K72" i="21" s="1"/>
  <c r="R138" i="36"/>
  <c r="R55" i="21" s="1"/>
  <c r="R102" i="36"/>
  <c r="R21" i="21" s="1"/>
  <c r="P137" i="36"/>
  <c r="Q139" i="36"/>
  <c r="Q56" i="21" s="1"/>
  <c r="Q134" i="36"/>
  <c r="Q51" i="21" s="1"/>
  <c r="P106" i="36"/>
  <c r="P25" i="21" s="1"/>
  <c r="Q100" i="36"/>
  <c r="Q19" i="21" s="1"/>
  <c r="P142" i="36"/>
  <c r="P59" i="21" s="1"/>
  <c r="J191" i="36"/>
  <c r="J108" i="21" s="1"/>
  <c r="O142" i="36"/>
  <c r="O59" i="21" s="1"/>
  <c r="P103" i="36"/>
  <c r="P22" i="21" s="1"/>
  <c r="R108" i="36"/>
  <c r="R27" i="21" s="1"/>
  <c r="R135" i="36"/>
  <c r="R52" i="21" s="1"/>
  <c r="J193" i="36"/>
  <c r="J110" i="21" s="1"/>
  <c r="Q108" i="36"/>
  <c r="Q27" i="21" s="1"/>
  <c r="N133" i="36"/>
  <c r="N50" i="21" s="1"/>
  <c r="Q101" i="36"/>
  <c r="Q20" i="21" s="1"/>
  <c r="Q138" i="36"/>
  <c r="Q55" i="21" s="1"/>
  <c r="P135" i="36"/>
  <c r="R105" i="36"/>
  <c r="R24" i="21" s="1"/>
  <c r="R101" i="36"/>
  <c r="R20" i="21" s="1"/>
  <c r="O184" i="36"/>
  <c r="O101" i="21" s="1"/>
  <c r="I193" i="36"/>
  <c r="I110" i="21" s="1"/>
  <c r="J184" i="36"/>
  <c r="J101" i="21" s="1"/>
  <c r="I124" i="36"/>
  <c r="I42" i="21" s="1"/>
  <c r="L121" i="36"/>
  <c r="L39" i="21" s="1"/>
  <c r="L124" i="36"/>
  <c r="L42" i="21" s="1"/>
  <c r="L125" i="36"/>
  <c r="L43" i="21" s="1"/>
  <c r="J115" i="36"/>
  <c r="J33" i="21" s="1"/>
  <c r="K116" i="36"/>
  <c r="K34" i="21" s="1"/>
  <c r="J125" i="36"/>
  <c r="J43" i="21" s="1"/>
  <c r="K121" i="36"/>
  <c r="K39" i="21" s="1"/>
  <c r="L126" i="36"/>
  <c r="L44" i="21" s="1"/>
  <c r="J150" i="36"/>
  <c r="J67" i="21" s="1"/>
  <c r="J154" i="36"/>
  <c r="J71" i="21" s="1"/>
  <c r="L158" i="36"/>
  <c r="L75" i="21" s="1"/>
  <c r="K150" i="36"/>
  <c r="K67" i="21" s="1"/>
  <c r="J156" i="36"/>
  <c r="J73" i="21" s="1"/>
  <c r="L150" i="36"/>
  <c r="L67" i="21" s="1"/>
  <c r="L154" i="36"/>
  <c r="L71" i="21" s="1"/>
  <c r="J158" i="36"/>
  <c r="J75" i="21" s="1"/>
  <c r="I150" i="36"/>
  <c r="I67" i="21" s="1"/>
  <c r="L156" i="36"/>
  <c r="L73" i="21" s="1"/>
  <c r="I187" i="36"/>
  <c r="I104" i="21" s="1"/>
  <c r="H184" i="36"/>
  <c r="H101" i="21" s="1"/>
  <c r="J188" i="36"/>
  <c r="J105" i="21" s="1"/>
  <c r="J195" i="36"/>
  <c r="J112" i="21" s="1"/>
  <c r="J192" i="36"/>
  <c r="J109" i="21" s="1"/>
  <c r="H115" i="36"/>
  <c r="H33" i="21" s="1"/>
  <c r="K115" i="36"/>
  <c r="K33" i="21" s="1"/>
  <c r="K122" i="36"/>
  <c r="K40" i="21" s="1"/>
  <c r="K124" i="36"/>
  <c r="K42" i="21" s="1"/>
  <c r="J124" i="36"/>
  <c r="J42" i="21" s="1"/>
  <c r="J121" i="36"/>
  <c r="J39" i="21" s="1"/>
  <c r="I118" i="36"/>
  <c r="I36" i="21" s="1"/>
  <c r="I190" i="36"/>
  <c r="I107" i="21" s="1"/>
  <c r="J116" i="36"/>
  <c r="J34" i="21" s="1"/>
  <c r="J126" i="36"/>
  <c r="J44" i="21" s="1"/>
  <c r="L123" i="36"/>
  <c r="L41" i="21" s="1"/>
  <c r="J151" i="36"/>
  <c r="J68" i="21" s="1"/>
  <c r="L155" i="36"/>
  <c r="L72" i="21" s="1"/>
  <c r="I159" i="36"/>
  <c r="I76" i="21" s="1"/>
  <c r="K151" i="36"/>
  <c r="K157" i="36"/>
  <c r="K74" i="21" s="1"/>
  <c r="L151" i="36"/>
  <c r="L68" i="21" s="1"/>
  <c r="J155" i="36"/>
  <c r="J72" i="21" s="1"/>
  <c r="K159" i="36"/>
  <c r="K76" i="21" s="1"/>
  <c r="K152" i="36"/>
  <c r="K69" i="21" s="1"/>
  <c r="K158" i="36"/>
  <c r="J190" i="36"/>
  <c r="J107" i="21" s="1"/>
  <c r="J194" i="36"/>
  <c r="J111" i="21" s="1"/>
  <c r="J187" i="36"/>
  <c r="J104" i="21" s="1"/>
  <c r="I184" i="36"/>
  <c r="I101" i="21" s="1"/>
  <c r="J186" i="36"/>
  <c r="J103" i="21" s="1"/>
  <c r="K123" i="36"/>
  <c r="K41" i="21" s="1"/>
  <c r="I115" i="36"/>
  <c r="I33" i="21" s="1"/>
  <c r="L120" i="36"/>
  <c r="L38" i="21" s="1"/>
  <c r="L118" i="36"/>
  <c r="L36" i="21" s="1"/>
  <c r="I121" i="36"/>
  <c r="I39" i="21" s="1"/>
  <c r="K120" i="36"/>
  <c r="K38" i="21" s="1"/>
  <c r="J120" i="36"/>
  <c r="J38" i="21" s="1"/>
  <c r="K126" i="36"/>
  <c r="K44" i="21" s="1"/>
  <c r="J117" i="36"/>
  <c r="J35" i="21" s="1"/>
  <c r="K125" i="36"/>
  <c r="K43" i="21" s="1"/>
  <c r="J119" i="36"/>
  <c r="J37" i="21" s="1"/>
  <c r="L152" i="36"/>
  <c r="L69" i="21" s="1"/>
  <c r="I156" i="36"/>
  <c r="I73" i="21" s="1"/>
  <c r="J160" i="36"/>
  <c r="J77" i="21" s="1"/>
  <c r="J153" i="36"/>
  <c r="J70" i="21" s="1"/>
  <c r="J159" i="36"/>
  <c r="J76" i="21" s="1"/>
  <c r="J152" i="36"/>
  <c r="J69" i="21" s="1"/>
  <c r="K156" i="36"/>
  <c r="K73" i="21" s="1"/>
  <c r="L160" i="36"/>
  <c r="L77" i="21" s="1"/>
  <c r="L153" i="36"/>
  <c r="L70" i="21" s="1"/>
  <c r="L159" i="36"/>
  <c r="L76" i="21" s="1"/>
  <c r="N52" i="34"/>
  <c r="N54" i="34" s="1"/>
  <c r="I97" i="36"/>
  <c r="I16" i="21" s="1"/>
  <c r="H167" i="36"/>
  <c r="H84" i="21" s="1"/>
  <c r="N84" i="21"/>
  <c r="R60" i="21"/>
  <c r="O50" i="21"/>
  <c r="P61" i="21"/>
  <c r="V51" i="21"/>
  <c r="W54" i="21"/>
  <c r="V56" i="21"/>
  <c r="P51" i="21"/>
  <c r="P56" i="21"/>
  <c r="O53" i="21"/>
  <c r="P55" i="21"/>
  <c r="R57" i="21"/>
  <c r="Q52" i="21"/>
  <c r="X56" i="21"/>
  <c r="V57" i="21"/>
  <c r="V53" i="21"/>
  <c r="X51" i="21"/>
  <c r="W60" i="21"/>
  <c r="X61" i="21"/>
  <c r="K70" i="21"/>
  <c r="K78" i="21"/>
  <c r="Q71" i="21"/>
  <c r="Q77" i="21"/>
  <c r="P70" i="21"/>
  <c r="R74" i="21"/>
  <c r="P78" i="21"/>
  <c r="Q72" i="21"/>
  <c r="Q78" i="21"/>
  <c r="R69" i="21"/>
  <c r="R73" i="21"/>
  <c r="P77" i="21"/>
  <c r="R51" i="21"/>
  <c r="R58" i="21"/>
  <c r="X55" i="21"/>
  <c r="W51" i="21"/>
  <c r="V58" i="21"/>
  <c r="V54" i="21"/>
  <c r="U59" i="21"/>
  <c r="X59" i="21"/>
  <c r="W61" i="21"/>
  <c r="W57" i="21"/>
  <c r="V55" i="21"/>
  <c r="X50" i="21"/>
  <c r="V52" i="21"/>
  <c r="U50" i="21"/>
  <c r="O56" i="21"/>
  <c r="P52" i="21"/>
  <c r="Q59" i="21"/>
  <c r="O67" i="21"/>
  <c r="O73" i="21"/>
  <c r="P67" i="21"/>
  <c r="R71" i="21"/>
  <c r="P75" i="21"/>
  <c r="Q67" i="21"/>
  <c r="Q73" i="21"/>
  <c r="N67" i="21"/>
  <c r="R70" i="21"/>
  <c r="P74" i="21"/>
  <c r="R78" i="21"/>
  <c r="R61" i="21"/>
  <c r="Q58" i="21"/>
  <c r="Q61" i="21"/>
  <c r="X57" i="21"/>
  <c r="R54" i="21"/>
  <c r="V50" i="21"/>
  <c r="X53" i="21"/>
  <c r="W50" i="21"/>
  <c r="W52" i="21"/>
  <c r="X58" i="21"/>
  <c r="U53" i="21"/>
  <c r="X54" i="21"/>
  <c r="W53" i="21"/>
  <c r="P54" i="21"/>
  <c r="P50" i="21"/>
  <c r="Q54" i="21"/>
  <c r="P57" i="21"/>
  <c r="R53" i="21"/>
  <c r="K68" i="21"/>
  <c r="K75" i="21"/>
  <c r="Q68" i="21"/>
  <c r="Q74" i="21"/>
  <c r="R68" i="21"/>
  <c r="P72" i="21"/>
  <c r="P76" i="21"/>
  <c r="Q69" i="21"/>
  <c r="Q75" i="21"/>
  <c r="R67" i="21"/>
  <c r="P71" i="21"/>
  <c r="R75" i="21"/>
  <c r="P58" i="21"/>
  <c r="R56" i="21"/>
  <c r="U56" i="21"/>
  <c r="W59" i="21"/>
  <c r="X60" i="21"/>
  <c r="W58" i="21"/>
  <c r="X52" i="21"/>
  <c r="W55" i="21"/>
  <c r="V59" i="21"/>
  <c r="V61" i="21"/>
  <c r="W56" i="21"/>
  <c r="V60" i="21"/>
  <c r="Q50" i="21"/>
  <c r="P53" i="21"/>
  <c r="T50" i="21"/>
  <c r="O70" i="21"/>
  <c r="O76" i="21"/>
  <c r="P69" i="21"/>
  <c r="P73" i="21"/>
  <c r="R77" i="21"/>
  <c r="Q70" i="21"/>
  <c r="Q76" i="21"/>
  <c r="P68" i="21"/>
  <c r="R72" i="21"/>
  <c r="R76" i="21"/>
  <c r="B538" i="40"/>
  <c r="B257" i="65"/>
  <c r="I100" i="36"/>
  <c r="I19" i="21" s="1"/>
  <c r="L100" i="36"/>
  <c r="L19" i="21" s="1"/>
  <c r="O170" i="36"/>
  <c r="O87" i="21" s="1"/>
  <c r="J142" i="36"/>
  <c r="O176" i="36"/>
  <c r="O93" i="21" s="1"/>
  <c r="K106" i="36"/>
  <c r="K25" i="21" s="1"/>
  <c r="J103" i="36"/>
  <c r="J22" i="21" s="1"/>
  <c r="L141" i="36"/>
  <c r="L138" i="36"/>
  <c r="I106" i="36"/>
  <c r="I25" i="21" s="1"/>
  <c r="L106" i="36"/>
  <c r="L25" i="21" s="1"/>
  <c r="J98" i="36"/>
  <c r="J17" i="21" s="1"/>
  <c r="H133" i="36"/>
  <c r="O173" i="36"/>
  <c r="O90" i="21" s="1"/>
  <c r="K133" i="36"/>
  <c r="J104" i="36"/>
  <c r="J23" i="21" s="1"/>
  <c r="L102" i="36"/>
  <c r="L21" i="21" s="1"/>
  <c r="P171" i="36"/>
  <c r="P88" i="21" s="1"/>
  <c r="J102" i="36"/>
  <c r="J21" i="21" s="1"/>
  <c r="H97" i="36"/>
  <c r="H16" i="21" s="1"/>
  <c r="K139" i="36"/>
  <c r="L133" i="36"/>
  <c r="O167" i="36"/>
  <c r="O84" i="21" s="1"/>
  <c r="L142" i="36"/>
  <c r="K99" i="36"/>
  <c r="K18" i="21" s="1"/>
  <c r="J101" i="36"/>
  <c r="J20" i="21" s="1"/>
  <c r="J168" i="36"/>
  <c r="J85" i="21" s="1"/>
  <c r="K137" i="36"/>
  <c r="L103" i="36"/>
  <c r="L22" i="21" s="1"/>
  <c r="J170" i="36"/>
  <c r="J87" i="21" s="1"/>
  <c r="J143" i="36"/>
  <c r="K101" i="36"/>
  <c r="K20" i="21" s="1"/>
  <c r="J139" i="36"/>
  <c r="J108" i="36"/>
  <c r="J27" i="21" s="1"/>
  <c r="K108" i="36"/>
  <c r="K27" i="21" s="1"/>
  <c r="I173" i="36"/>
  <c r="I90" i="21" s="1"/>
  <c r="J107" i="36"/>
  <c r="J26" i="21" s="1"/>
  <c r="J97" i="36"/>
  <c r="J16" i="21" s="1"/>
  <c r="L140" i="36"/>
  <c r="L99" i="36"/>
  <c r="L18" i="21" s="1"/>
  <c r="P170" i="36"/>
  <c r="P87" i="21" s="1"/>
  <c r="J172" i="36"/>
  <c r="J89" i="21" s="1"/>
  <c r="J173" i="36"/>
  <c r="J90" i="21" s="1"/>
  <c r="P173" i="36"/>
  <c r="P90" i="21" s="1"/>
  <c r="J141" i="36"/>
  <c r="K142" i="36"/>
  <c r="K144" i="36"/>
  <c r="P167" i="36"/>
  <c r="P84" i="21" s="1"/>
  <c r="J176" i="36"/>
  <c r="J93" i="21" s="1"/>
  <c r="J106" i="36"/>
  <c r="J25" i="21" s="1"/>
  <c r="K136" i="36"/>
  <c r="L144" i="36"/>
  <c r="J174" i="36"/>
  <c r="J91" i="21" s="1"/>
  <c r="K140" i="36"/>
  <c r="P177" i="36"/>
  <c r="P94" i="21" s="1"/>
  <c r="J100" i="36"/>
  <c r="J19" i="21" s="1"/>
  <c r="J138" i="36"/>
  <c r="J140" i="36"/>
  <c r="L143" i="36"/>
  <c r="I136" i="36"/>
  <c r="L97" i="36"/>
  <c r="L16" i="21" s="1"/>
  <c r="I167" i="36"/>
  <c r="I84" i="21" s="1"/>
  <c r="K104" i="36"/>
  <c r="K23" i="21" s="1"/>
  <c r="J171" i="36"/>
  <c r="J88" i="21" s="1"/>
  <c r="P174" i="36"/>
  <c r="P91" i="21" s="1"/>
  <c r="P169" i="36"/>
  <c r="P86" i="21" s="1"/>
  <c r="L101" i="36"/>
  <c r="L20" i="21" s="1"/>
  <c r="P172" i="36"/>
  <c r="P89" i="21" s="1"/>
  <c r="J144" i="36"/>
  <c r="I133" i="36"/>
  <c r="I176" i="36"/>
  <c r="I93" i="21" s="1"/>
  <c r="J105" i="36"/>
  <c r="J24" i="21" s="1"/>
  <c r="J177" i="36"/>
  <c r="J94" i="21" s="1"/>
  <c r="L107" i="36"/>
  <c r="L26" i="21" s="1"/>
  <c r="K100" i="36"/>
  <c r="K19" i="21" s="1"/>
  <c r="J99" i="36"/>
  <c r="J18" i="21" s="1"/>
  <c r="L139" i="36"/>
  <c r="L98" i="36"/>
  <c r="L17" i="21" s="1"/>
  <c r="K102" i="36"/>
  <c r="K21" i="21" s="1"/>
  <c r="J135" i="36"/>
  <c r="J178" i="36"/>
  <c r="J95" i="21" s="1"/>
  <c r="J175" i="36"/>
  <c r="J92" i="21" s="1"/>
  <c r="L137" i="36"/>
  <c r="K134" i="36"/>
  <c r="L108" i="36"/>
  <c r="L27" i="21" s="1"/>
  <c r="K143" i="36"/>
  <c r="K105" i="36"/>
  <c r="K24" i="21" s="1"/>
  <c r="J133" i="36"/>
  <c r="I170" i="36"/>
  <c r="I87" i="21" s="1"/>
  <c r="K141" i="36"/>
  <c r="I103" i="36"/>
  <c r="I22" i="21" s="1"/>
  <c r="K107" i="36"/>
  <c r="K26" i="21" s="1"/>
  <c r="K135" i="36"/>
  <c r="J167" i="36"/>
  <c r="J84" i="21" s="1"/>
  <c r="L105" i="36"/>
  <c r="L24" i="21" s="1"/>
  <c r="K138" i="36"/>
  <c r="P168" i="36"/>
  <c r="P85" i="21" s="1"/>
  <c r="I142" i="36"/>
  <c r="K98" i="36"/>
  <c r="K17" i="21" s="1"/>
  <c r="J137" i="36"/>
  <c r="L134" i="36"/>
  <c r="L136" i="36"/>
  <c r="J134" i="36"/>
  <c r="K97" i="36"/>
  <c r="K16" i="21" s="1"/>
  <c r="P176" i="36"/>
  <c r="P93" i="21" s="1"/>
  <c r="L135" i="36"/>
  <c r="P175" i="36"/>
  <c r="P92" i="21" s="1"/>
  <c r="K103" i="36"/>
  <c r="K22" i="21" s="1"/>
  <c r="J169" i="36"/>
  <c r="J86" i="21" s="1"/>
  <c r="P178" i="36"/>
  <c r="P95" i="21" s="1"/>
  <c r="L104" i="36"/>
  <c r="L23" i="21" s="1"/>
  <c r="J136" i="36"/>
  <c r="I139" i="36"/>
  <c r="K58" i="21" l="1"/>
  <c r="I56" i="21"/>
  <c r="L56" i="21"/>
  <c r="J55" i="21"/>
  <c r="K61" i="21"/>
  <c r="L57" i="21"/>
  <c r="J60" i="21"/>
  <c r="K50" i="21"/>
  <c r="L58" i="21"/>
  <c r="J59" i="21"/>
  <c r="L53" i="21"/>
  <c r="K60" i="21"/>
  <c r="K52" i="21"/>
  <c r="J61" i="21"/>
  <c r="J53" i="21"/>
  <c r="J54" i="21"/>
  <c r="K55" i="21"/>
  <c r="J50" i="21"/>
  <c r="K51" i="21"/>
  <c r="J52" i="21"/>
  <c r="I53" i="21"/>
  <c r="L61" i="21"/>
  <c r="K59" i="21"/>
  <c r="L50" i="21"/>
  <c r="I59" i="21"/>
  <c r="L51" i="21"/>
  <c r="J51" i="21"/>
  <c r="L54" i="21"/>
  <c r="L60" i="21"/>
  <c r="K53" i="21"/>
  <c r="J58" i="21"/>
  <c r="J56" i="21"/>
  <c r="K56" i="21"/>
  <c r="H50" i="21"/>
  <c r="L52" i="21"/>
  <c r="I50" i="21"/>
  <c r="J57" i="21"/>
  <c r="K57" i="21"/>
  <c r="K54" i="21"/>
  <c r="L59" i="21"/>
  <c r="L55" i="21"/>
  <c r="B539" i="40"/>
  <c r="B258" i="65"/>
  <c r="B540" i="40" l="1"/>
  <c r="B259" i="65"/>
  <c r="B541" i="40" l="1"/>
  <c r="B260" i="65"/>
  <c r="B542" i="40" l="1"/>
  <c r="B261" i="65"/>
  <c r="B543" i="40" l="1"/>
  <c r="B262" i="65"/>
  <c r="B544" i="40" l="1"/>
  <c r="B263" i="65"/>
  <c r="B545" i="40" l="1"/>
  <c r="B264" i="65"/>
  <c r="B546" i="40" l="1"/>
  <c r="B265" i="65"/>
  <c r="B267"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D417" authorId="0" shapeId="0" xr:uid="{FBBB8504-5962-44C9-8F92-CA90A409CDE1}">
      <text>
        <r>
          <rPr>
            <sz val="9"/>
            <color indexed="81"/>
            <rFont val="Tahoma"/>
            <family val="2"/>
          </rPr>
          <t>Deze desinvestering had oorspronkelijke investeringswaarde 0 en staat daarom niet in het GAW-model. De GAW-waarde ultimo 2021 is logischerwijs ook gelijk aan 0.</t>
        </r>
      </text>
    </comment>
    <comment ref="D420" authorId="0" shapeId="0" xr:uid="{8FD3C2FC-E1C8-4B5E-9384-67D348A457B5}">
      <text>
        <r>
          <rPr>
            <sz val="9"/>
            <color indexed="81"/>
            <rFont val="Tahoma"/>
            <family val="2"/>
          </rPr>
          <t>Deze desinvestering had oorspronkelijke investeringswaarde 0 en staat daarom niet in het GAW-model. De GAW-waarde ultimo 2021 is logischerwijs ook gelijk aan 0.</t>
        </r>
      </text>
    </comment>
    <comment ref="D436" authorId="0" shapeId="0" xr:uid="{5E8E595B-3FF6-41B4-9B40-F4640B4A7ADA}">
      <text>
        <r>
          <rPr>
            <sz val="9"/>
            <color indexed="81"/>
            <rFont val="Tahoma"/>
            <family val="2"/>
          </rPr>
          <t>Deze desinvestering had oorspronkelijke investeringswaarde 0 en staat daarom niet in het GAW-model. De GAW-waarde ultimo 2021 is logischerwijs ook gelijk aan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CA60" authorId="0" shapeId="0" xr:uid="{B64FBF21-FEED-450E-8BC3-F841DD45BE88}">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362" authorId="0" shapeId="0" xr:uid="{23862BE8-64C4-42F4-822B-28E99AD4D74E}">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P379" authorId="0" shapeId="0" xr:uid="{0FE3A377-F1E8-41F7-B2FC-C4B2D702CA5B}">
      <text>
        <r>
          <rPr>
            <sz val="9"/>
            <color indexed="81"/>
            <rFont val="Tahoma"/>
            <family val="2"/>
          </rPr>
          <t xml:space="preserve">De bijbehorende investering is geactiveerd na 2021. De berekening in deze kolom is vormgegeven op basis van investeringen die uiterlijk in 2021 zijn geactiveerd, en geeft onjuiste resultaten voor investeringen die zijn geactiveerd na 2021. Daarom is de waarde in deze cel in een ander bestand berekend, en hier als harde waarde ingekopieerd. </t>
        </r>
      </text>
    </comment>
    <comment ref="P419" authorId="0" shapeId="0" xr:uid="{3641B71E-9756-404D-B72D-F66DE4D94BEF}">
      <text>
        <r>
          <rPr>
            <sz val="9"/>
            <color indexed="81"/>
            <rFont val="Tahoma"/>
            <family val="2"/>
          </rPr>
          <t>De originele investeringswaarde was negatief. Omdat de formule in deze cel niet om kan gaan met een negatief investeringsbedrag, is de uitkomst hier als harde waarde ingeplakt.  Deze waarde is te herleiden door het investeringsbedrag positief te maken, de formule uit deze kolom toe te passen op deze investering, en de uitkomst negatief te maken.</t>
        </r>
      </text>
    </comment>
    <comment ref="P455" authorId="0" shapeId="0" xr:uid="{319D7818-392B-42E6-B04D-C13317975BCA}">
      <text>
        <r>
          <rPr>
            <sz val="9"/>
            <color indexed="81"/>
            <rFont val="Tahoma"/>
            <family val="2"/>
          </rPr>
          <t>De originele investeringswaarde was negatief. Omdat de formule in deze cel niet om kan gaan met een negatief investeringsbedrag, is de uitkomst hier als harde waarde ingeplakt.  Deze waarde is te herleiden door het investeringsbedrag positief te maken, de formule uit deze kolom toe te passen op deze investering, en de uitkomst negatief te maken.</t>
        </r>
      </text>
    </comment>
    <comment ref="P505" authorId="0" shapeId="0" xr:uid="{4A26EB8B-A039-496D-88E9-581A1EBE9BF3}">
      <text>
        <r>
          <rPr>
            <sz val="9"/>
            <color indexed="81"/>
            <rFont val="Tahoma"/>
            <family val="2"/>
          </rPr>
          <t xml:space="preserve">De bijbehorende investering is geactiveerd na 2021. De berekening in deze kolom is vormgegeven op basis van investeringen die uiterlijk in 2021 zijn geactiveerd, en geeft onjuiste resultaten voor investeringen die zijn geactiveerd na 2021. Daarom is de waarde in deze cel in een ander bestand berekend, en hier als harde waarde ingekopieerd. </t>
        </r>
      </text>
    </comment>
    <comment ref="P517" authorId="0" shapeId="0" xr:uid="{0445A28C-02BB-4D8E-B9A3-87AB9C08A6C1}">
      <text>
        <r>
          <rPr>
            <sz val="9"/>
            <color indexed="81"/>
            <rFont val="Tahoma"/>
            <family val="2"/>
          </rPr>
          <t xml:space="preserve">De bijbehorende investering is geactiveerd na 2021. De berekening in deze kolom is vormgegeven op basis van investeringen die uiterlijk in 2021 zijn geactiveerd, en geeft onjuiste resultaten voor investeringen die zijn geactiveerd na 2021. Daarom is de waarde in deze cel in een ander bestand berekend, en hier als harde waarde ingekopieerd.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126" authorId="0" shapeId="0" xr:uid="{1B59C19A-FD3B-492F-B7BF-73CDD13FDA7F}">
      <text>
        <r>
          <rPr>
            <sz val="9"/>
            <color indexed="81"/>
            <rFont val="Tahoma"/>
            <family val="2"/>
          </rPr>
          <t>De nacalculatie in dit jaar bevat ook de kosten in cellen M115-M118 en N117-N118, omdat deze in de rekenmodule van tarievenbesluit 2023 nog niet verwerkt waren.</t>
        </r>
      </text>
    </comment>
    <comment ref="R126" authorId="0" shapeId="0" xr:uid="{12C17086-EE3C-49D0-A9EB-75688DDB5FF7}">
      <text>
        <r>
          <rPr>
            <sz val="9"/>
            <color indexed="81"/>
            <rFont val="Tahoma"/>
            <family val="2"/>
          </rPr>
          <t>Formule verschilt van formules in voorgaande kolommen. Kosten gemaakt in 2027 vallen onder de nieuwe reguleringsmethode, en vallen dus buiten deze nacalculatie.</t>
        </r>
      </text>
    </comment>
    <comment ref="P139" authorId="0" shapeId="0" xr:uid="{D7D8592E-0E30-4540-830A-CB470E92FA88}">
      <text>
        <r>
          <rPr>
            <sz val="9"/>
            <color indexed="81"/>
            <rFont val="Tahoma"/>
            <family val="2"/>
          </rPr>
          <t>De nacalculatie in cel P137 bevat ook de kapitaalkosten voor de desinvesteringen en de assetoverdracht van eerdere jaren, omdat deze in de rekenmodule van tarievenbesluit 2024 nog niet verwerkt waren.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J881" authorId="0" shapeId="0" xr:uid="{BE3F3B6B-1D71-45B9-BDC7-A08D1C63405B}">
      <text>
        <r>
          <rPr>
            <sz val="9"/>
            <color indexed="81"/>
            <rFont val="Tahoma"/>
            <family val="2"/>
          </rPr>
          <t xml:space="preserve">In 2023 wordt de vergoeding van de overdracht, de kosten van 2022 en 2023 in 1 keer verrekend. De activa werden op 31-12-2021 overgedragen dus past de ACM slechts 1 jaar aan heffingsrente toe. </t>
        </r>
      </text>
    </comment>
    <comment ref="L881" authorId="0" shapeId="0" xr:uid="{EC8E6533-F9EE-4D23-B713-0111C89F11A3}">
      <text>
        <r>
          <rPr>
            <sz val="9"/>
            <color indexed="81"/>
            <rFont val="Tahoma"/>
            <family val="2"/>
          </rPr>
          <t>In 2025 wordt de vergoeding voor nieuwe investeringen in 2022 en 2023 in 1 keer verrekend</t>
        </r>
      </text>
    </comment>
    <comment ref="N881" authorId="0" shapeId="0" xr:uid="{E43706B3-534A-4254-B232-51A2A1E33E7F}">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<sst xmlns="http://schemas.openxmlformats.org/spreadsheetml/2006/main" count="6467" uniqueCount="1304">
  <si>
    <t>Over dit bestand</t>
  </si>
  <si>
    <t>Zaaknummer</t>
  </si>
  <si>
    <t>Titel</t>
  </si>
  <si>
    <t>Ondertitel</t>
  </si>
  <si>
    <t>-</t>
  </si>
  <si>
    <t>Hoort bij besluit(en):</t>
  </si>
  <si>
    <t>Hoort bij onderzoek/publicatie ACM:</t>
  </si>
  <si>
    <t>n.v.t.</t>
  </si>
  <si>
    <t>Kenmerk besluit(en)</t>
  </si>
  <si>
    <t>Samenhang met andere rekenbestanden</t>
  </si>
  <si>
    <t>Overig opmerkingen</t>
  </si>
  <si>
    <t>Over de status van dit bestand</t>
  </si>
  <si>
    <t>Definitief? (j/n)</t>
  </si>
  <si>
    <t>Nee</t>
  </si>
  <si>
    <t>Publicatie? (j/n)</t>
  </si>
  <si>
    <t>Juridisch integraal onderdeel van bovenstaande besluit(en) (j/n)?</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</si>
  <si>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</si>
  <si>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</si>
  <si>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</si>
  <si>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</si>
  <si>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</si>
  <si>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</si>
  <si>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</si>
  <si>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</si>
  <si>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</si>
  <si>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</si>
  <si>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</si>
  <si>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</si>
  <si>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</si>
  <si>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</si>
  <si>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</si>
  <si>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</si>
  <si>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</si>
  <si>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</si>
  <si>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</si>
  <si>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</si>
  <si>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</si>
  <si>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</si>
  <si>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</si>
  <si>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</si>
  <si>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</si>
  <si>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</si>
  <si>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</si>
  <si>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</si>
  <si>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</si>
  <si>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</si>
  <si>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</si>
  <si>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</si>
  <si>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</si>
  <si>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</si>
  <si>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</si>
  <si>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</si>
  <si>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</si>
  <si>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</si>
  <si>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</si>
  <si>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</si>
  <si>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</si>
  <si>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</si>
  <si>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</si>
  <si>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</si>
  <si>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</si>
  <si>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</si>
  <si>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</si>
  <si>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</si>
  <si>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</si>
  <si>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</si>
  <si>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</si>
  <si>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</si>
  <si>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</si>
  <si>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</si>
  <si>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</si>
  <si>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</si>
  <si>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</si>
  <si>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</si>
  <si>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</si>
  <si>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</si>
  <si>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</si>
  <si>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</si>
  <si>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</si>
  <si>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</si>
  <si>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</si>
  <si>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</si>
  <si>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</si>
  <si>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</si>
  <si>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</si>
  <si>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</si>
  <si>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</si>
  <si>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</si>
  <si>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</si>
  <si>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</si>
  <si>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</si>
  <si>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</si>
  <si>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</si>
  <si>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</si>
  <si>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</si>
  <si>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</si>
  <si>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</si>
  <si>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</si>
  <si>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</si>
  <si>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</si>
  <si>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</si>
  <si>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</si>
  <si>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</si>
  <si>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</si>
  <si>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</si>
  <si>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</si>
  <si>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</si>
  <si>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</si>
  <si>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</si>
  <si>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</si>
  <si>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</si>
  <si>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</si>
  <si>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</si>
  <si>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</si>
  <si>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</si>
  <si>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</si>
  <si>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</si>
  <si>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</si>
  <si>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</si>
  <si>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</si>
  <si>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</si>
  <si>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</si>
  <si>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</si>
  <si>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</si>
  <si>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</si>
  <si>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</si>
  <si>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</si>
  <si>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</si>
  <si>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</si>
  <si>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</si>
  <si>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</si>
  <si>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</si>
  <si>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Nacalculatiemodel WACC, zie bijlage bij huidige publicatie</t>
  </si>
  <si>
    <t>ACM/23/186082</t>
  </si>
  <si>
    <t>Tarievenmodule GTS 2025</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</si>
  <si>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</si>
  <si>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</si>
  <si>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</si>
  <si>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</si>
  <si>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</si>
  <si>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</si>
  <si>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</si>
  <si>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</si>
  <si>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</si>
  <si>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</si>
  <si>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</si>
  <si>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</si>
  <si>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</si>
  <si>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</si>
  <si>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</si>
  <si>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</si>
  <si>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</si>
  <si>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</si>
  <si>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</si>
  <si>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</si>
  <si>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</si>
  <si>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</si>
  <si>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</si>
  <si>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</si>
  <si>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</si>
  <si>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</si>
  <si>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</si>
  <si>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</si>
  <si>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</si>
  <si>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</si>
  <si>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</si>
  <si>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</si>
  <si>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</si>
  <si>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</si>
  <si>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</si>
  <si>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</si>
  <si>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</si>
  <si>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</si>
  <si>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</si>
  <si>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</si>
  <si>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</si>
  <si>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</si>
  <si>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</si>
  <si>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</si>
  <si>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</si>
  <si>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</si>
  <si>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</si>
  <si>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</si>
  <si>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</si>
  <si>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Eenheid</t>
  </si>
  <si>
    <t>Constante</t>
  </si>
  <si>
    <t>Bronverwijzing</t>
  </si>
  <si>
    <t>Opmerking</t>
  </si>
  <si>
    <t>%</t>
  </si>
  <si>
    <t>EUR, pp jaar</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</si>
  <si>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</si>
  <si>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</si>
  <si>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</si>
  <si>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</si>
  <si>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</si>
  <si>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</si>
  <si>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</si>
  <si>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</si>
  <si>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</si>
  <si>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</si>
  <si>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</si>
  <si>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</si>
  <si>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</si>
  <si>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</si>
  <si>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</si>
  <si>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</si>
  <si>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</si>
  <si>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</si>
  <si>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</si>
  <si>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</si>
  <si>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</si>
  <si>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</si>
  <si>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</si>
  <si>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</si>
  <si>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</si>
  <si>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</si>
  <si>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</si>
  <si>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</si>
  <si>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</si>
  <si>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</si>
  <si>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</si>
  <si>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</si>
  <si>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</si>
  <si>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</si>
  <si>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</si>
  <si>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</si>
  <si>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</si>
  <si>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</si>
  <si>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</si>
  <si>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</si>
  <si>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</si>
  <si>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</si>
  <si>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</si>
  <si>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</si>
  <si>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</si>
  <si>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</si>
  <si>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</si>
  <si>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</si>
  <si>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</si>
  <si>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</si>
  <si>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</si>
  <si>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</si>
  <si>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</si>
  <si>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</si>
  <si>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</si>
  <si>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</si>
  <si>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</si>
  <si>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</si>
  <si>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</si>
  <si>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</si>
  <si>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</si>
  <si>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</si>
  <si>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</si>
  <si>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</si>
  <si>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</si>
  <si>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</si>
  <si>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</si>
  <si>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</si>
  <si>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</si>
  <si>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</si>
  <si>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</si>
  <si>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</si>
  <si>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</si>
  <si>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</si>
  <si>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</si>
  <si>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</si>
  <si>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</si>
  <si>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</si>
  <si>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</si>
  <si>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</si>
  <si>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</si>
  <si>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</si>
  <si>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</si>
  <si>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</si>
  <si>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</si>
  <si>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</si>
  <si>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</si>
  <si>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</si>
  <si>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</si>
  <si>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</si>
  <si>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</si>
  <si>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</si>
  <si>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</si>
  <si>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</si>
  <si>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</si>
  <si>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</si>
  <si>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</si>
  <si>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</si>
  <si>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</si>
  <si>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</si>
  <si>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</si>
  <si>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</si>
  <si>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</si>
  <si>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</si>
  <si>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</si>
  <si>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</si>
  <si>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</si>
  <si>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</si>
  <si>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</si>
  <si>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</si>
  <si>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</si>
  <si>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</si>
  <si>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</si>
  <si>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</si>
  <si>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</si>
  <si>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</si>
  <si>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</si>
  <si>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</si>
  <si>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</si>
  <si>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</si>
  <si>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</si>
  <si>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</si>
  <si>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</si>
  <si>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</si>
  <si>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</si>
  <si>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</si>
  <si>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</si>
  <si>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</si>
  <si>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</si>
  <si>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</si>
  <si>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</si>
  <si>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</si>
  <si>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</si>
  <si>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</si>
  <si>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</si>
  <si>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</si>
  <si>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</si>
  <si>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</si>
  <si>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</si>
  <si>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</si>
  <si>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</si>
  <si>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</si>
  <si>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</si>
  <si>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</si>
  <si>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</si>
  <si>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</si>
  <si>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</si>
  <si>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</si>
  <si>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</si>
  <si>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</si>
  <si>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</si>
  <si>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</si>
  <si>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</si>
  <si>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</si>
  <si>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</si>
  <si>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</si>
  <si>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</si>
  <si>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</si>
  <si>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</si>
  <si>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</si>
  <si>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</si>
  <si>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</si>
  <si>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</si>
  <si>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</si>
  <si>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</si>
  <si>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</si>
  <si>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</si>
  <si>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</si>
  <si>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</si>
  <si>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</si>
  <si>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</si>
  <si>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</si>
  <si>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</si>
  <si>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</si>
  <si>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</si>
  <si>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</si>
  <si>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</si>
  <si>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</si>
  <si>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</si>
  <si>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</si>
  <si>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</si>
  <si>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</si>
  <si>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</si>
  <si>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</si>
  <si>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</si>
  <si>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</si>
  <si>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</si>
  <si>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</si>
  <si>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</si>
  <si>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</si>
  <si>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</si>
  <si>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</si>
  <si>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</si>
  <si>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</si>
  <si>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</si>
  <si>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</si>
  <si>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</si>
  <si>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</si>
  <si>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</si>
  <si>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</si>
  <si>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</si>
  <si>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</si>
  <si>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</si>
  <si>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</si>
  <si>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</si>
  <si>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</si>
  <si>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</si>
  <si>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</si>
  <si>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</si>
  <si>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</si>
  <si>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</si>
  <si>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</si>
  <si>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</si>
  <si>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</si>
  <si>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</si>
  <si>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</si>
  <si>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</si>
  <si>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</si>
  <si>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</si>
  <si>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</si>
  <si>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</si>
  <si>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</si>
  <si>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</si>
  <si>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</si>
  <si>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</si>
  <si>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</si>
  <si>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</si>
  <si>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</si>
  <si>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</si>
  <si>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</si>
  <si>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</si>
  <si>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</si>
  <si>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</si>
  <si>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</si>
  <si>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</si>
  <si>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</si>
  <si>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</si>
  <si>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</si>
  <si>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</si>
  <si>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</si>
  <si>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</si>
  <si>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</si>
  <si>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</si>
  <si>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</si>
  <si>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</si>
  <si>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</si>
  <si>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</si>
  <si>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</si>
  <si>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</si>
  <si>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</si>
  <si>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</si>
  <si>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</si>
  <si>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</si>
  <si>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Veilinggelden (conform paragraaf 8.4.2 van het methodebesluit 2022-2026)</t>
  </si>
  <si>
    <t>Saldo veilinggelden oud (excl. belastingrente)</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</si>
  <si>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</si>
  <si>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</si>
  <si>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</si>
  <si>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</si>
  <si>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</si>
  <si>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</si>
  <si>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</si>
  <si>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</si>
  <si>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</si>
  <si>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</si>
  <si>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</si>
  <si>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</si>
  <si>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</si>
  <si>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</si>
  <si>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</si>
  <si>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</si>
  <si>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</si>
  <si>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</si>
  <si>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</si>
  <si>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</si>
  <si>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</si>
  <si>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</si>
  <si>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</si>
  <si>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</si>
  <si>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</si>
  <si>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</si>
  <si>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</si>
  <si>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</si>
  <si>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</si>
  <si>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</si>
  <si>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</si>
  <si>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</si>
  <si>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</si>
  <si>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</si>
  <si>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</si>
  <si>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</si>
  <si>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</si>
  <si>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</si>
  <si>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</si>
  <si>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</si>
  <si>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</si>
  <si>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</si>
  <si>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</si>
  <si>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</si>
  <si>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</si>
  <si>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</si>
  <si>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</si>
  <si>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</si>
  <si>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</si>
  <si>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</si>
  <si>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</si>
  <si>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</si>
  <si>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</si>
  <si>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</si>
  <si>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</si>
  <si>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</si>
  <si>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</si>
  <si>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</si>
  <si>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</si>
  <si>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</si>
  <si>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</si>
  <si>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</si>
  <si>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</si>
  <si>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</si>
  <si>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</si>
  <si>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</si>
  <si>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</si>
  <si>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</si>
  <si>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</si>
  <si>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</si>
  <si>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</si>
  <si>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</si>
  <si>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</si>
  <si>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</si>
  <si>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</si>
  <si>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</si>
  <si>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</si>
  <si>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</si>
  <si>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</si>
  <si>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</si>
  <si>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</si>
  <si>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</si>
  <si>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</si>
  <si>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</si>
  <si>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</si>
  <si>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</si>
  <si>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</si>
  <si>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</si>
  <si>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</si>
  <si>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</si>
  <si>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</si>
  <si>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</si>
  <si>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</si>
  <si>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</si>
  <si>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</si>
  <si>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</si>
  <si>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</si>
  <si>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</si>
  <si>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</si>
  <si>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</si>
  <si>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</si>
  <si>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</si>
  <si>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</si>
  <si>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</si>
  <si>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</si>
  <si>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</si>
  <si>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</si>
  <si>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</si>
  <si>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</si>
  <si>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</si>
  <si>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</si>
  <si>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</si>
  <si>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</si>
  <si>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</si>
  <si>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</si>
  <si>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</si>
  <si>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</si>
  <si>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</si>
  <si>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</si>
  <si>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</si>
  <si>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</si>
  <si>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</si>
  <si>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</si>
  <si>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</si>
  <si>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</si>
  <si>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</si>
  <si>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</si>
  <si>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</si>
  <si>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</si>
  <si>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</si>
  <si>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</si>
  <si>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</si>
  <si>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</si>
  <si>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</si>
  <si>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</si>
  <si>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</si>
  <si>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</si>
  <si>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</si>
  <si>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</si>
  <si>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</si>
  <si>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</si>
  <si>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</si>
  <si>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</si>
  <si>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</si>
  <si>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</si>
  <si>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</si>
  <si>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</si>
  <si>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</si>
  <si>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</si>
  <si>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</si>
  <si>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</si>
  <si>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</si>
  <si>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</si>
  <si>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</si>
  <si>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</si>
  <si>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</si>
  <si>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</si>
  <si>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</si>
  <si>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</si>
  <si>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</si>
  <si>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</si>
  <si>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</si>
  <si>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</si>
  <si>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</si>
  <si>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</si>
  <si>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</si>
  <si>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</si>
  <si>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</si>
  <si>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</si>
  <si>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</si>
  <si>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</si>
  <si>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</si>
  <si>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</si>
  <si>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</si>
  <si>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</si>
  <si>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</si>
  <si>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</si>
  <si>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</si>
  <si>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</si>
  <si>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</si>
  <si>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</si>
  <si>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</si>
  <si>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</si>
  <si>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</si>
  <si>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</si>
  <si>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</si>
  <si>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</si>
  <si>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</si>
  <si>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</si>
  <si>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</si>
  <si>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</si>
  <si>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</si>
  <si>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</si>
  <si>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</si>
  <si>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</si>
  <si>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</si>
  <si>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</si>
  <si>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</si>
  <si>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</si>
  <si>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</si>
  <si>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</si>
  <si>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</si>
  <si>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</si>
  <si>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</si>
  <si>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</si>
  <si>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</si>
  <si>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</si>
  <si>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</si>
  <si>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</si>
  <si>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</si>
  <si>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</si>
  <si>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</si>
  <si>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</si>
  <si>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</si>
  <si>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</si>
  <si>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</si>
  <si>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</si>
  <si>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</si>
  <si>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</si>
  <si>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</si>
  <si>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</si>
  <si>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</si>
  <si>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</si>
  <si>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</si>
  <si>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</si>
  <si>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</si>
  <si>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</si>
  <si>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</si>
  <si>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</si>
  <si>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</si>
  <si>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</si>
  <si>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</si>
  <si>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</si>
  <si>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</si>
  <si>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</si>
  <si>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</si>
  <si>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</si>
  <si>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</si>
  <si>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</si>
  <si>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</si>
  <si>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</si>
  <si>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</si>
  <si>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</si>
  <si>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</si>
  <si>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</si>
  <si>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</si>
  <si>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</si>
  <si>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</si>
  <si>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</si>
  <si>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</si>
  <si>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</si>
  <si>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</si>
  <si>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</si>
  <si>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</si>
  <si>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</si>
  <si>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</si>
  <si>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</si>
  <si>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</si>
  <si>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</si>
  <si>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</si>
  <si>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</si>
  <si>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</si>
  <si>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</si>
  <si>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</si>
  <si>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</si>
  <si>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</si>
  <si>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</si>
  <si>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</si>
  <si>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</si>
  <si>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</si>
  <si>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</si>
  <si>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</si>
  <si>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</si>
  <si>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</si>
  <si>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</si>
  <si>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</si>
  <si>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</si>
  <si>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</si>
  <si>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</si>
  <si>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</si>
  <si>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</si>
  <si>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</si>
  <si>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</si>
  <si>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</si>
  <si>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</si>
  <si>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</si>
  <si>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</si>
  <si>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</si>
  <si>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</si>
  <si>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</si>
  <si>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</si>
  <si>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</si>
  <si>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</si>
  <si>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</si>
  <si>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</si>
  <si>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</si>
  <si>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</si>
  <si>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</si>
  <si>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</si>
  <si>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</si>
  <si>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</si>
  <si>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</si>
  <si>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</si>
  <si>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</si>
  <si>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</si>
  <si>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</si>
  <si>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</si>
  <si>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</si>
  <si>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</si>
  <si>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</si>
  <si>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</si>
  <si>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</si>
  <si>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</si>
  <si>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</si>
  <si>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</si>
  <si>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</si>
  <si>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</si>
  <si>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</si>
  <si>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</si>
  <si>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</si>
  <si>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</si>
  <si>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</si>
  <si>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</si>
  <si>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</si>
  <si>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</si>
  <si>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</si>
  <si>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</si>
  <si>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</si>
  <si>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</si>
  <si>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</si>
  <si>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</si>
  <si>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</si>
  <si>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</si>
  <si>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</si>
  <si>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</si>
  <si>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</si>
  <si>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</si>
  <si>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</si>
  <si>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</si>
  <si>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</si>
  <si>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</si>
  <si>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</si>
  <si>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</si>
  <si>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</si>
  <si>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</si>
  <si>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</si>
  <si>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</si>
  <si>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</si>
  <si>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</si>
  <si>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</si>
  <si>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</si>
  <si>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</si>
  <si>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</si>
  <si>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Ja</t>
  </si>
  <si>
    <t>Invulmodule reguleringsdata GTS 2020 gecorrigeerd.xlsx</t>
  </si>
  <si>
    <t>1. Invulmodule reguleringsdata GTS 2022 (WACC aangepast door ACM, V2).xlsx</t>
  </si>
  <si>
    <t>Invulmodule reguleringsdata 2023 (v1.0) zonder spaties.xlsx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</si>
  <si>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</si>
  <si>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</si>
  <si>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</si>
  <si>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</si>
  <si>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</si>
  <si>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</si>
  <si>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</si>
  <si>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</si>
  <si>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</si>
  <si>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</si>
  <si>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</si>
  <si>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</si>
  <si>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</si>
  <si>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</si>
  <si>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</si>
  <si>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</si>
  <si>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</si>
  <si>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</si>
  <si>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</si>
  <si>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</si>
  <si>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</si>
  <si>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</si>
  <si>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</si>
  <si>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</si>
  <si>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</si>
  <si>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</si>
  <si>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</si>
  <si>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</si>
  <si>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</si>
  <si>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</si>
  <si>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</si>
  <si>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</si>
  <si>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</si>
  <si>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</si>
  <si>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</si>
  <si>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</si>
  <si>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</si>
  <si>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</si>
  <si>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</si>
  <si>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</si>
  <si>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</si>
  <si>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</si>
  <si>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</si>
  <si>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</si>
  <si>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</si>
  <si>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</si>
  <si>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</si>
  <si>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</si>
  <si>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</si>
  <si>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</si>
  <si>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</si>
  <si>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</si>
  <si>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</si>
  <si>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</si>
  <si>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</si>
  <si>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</si>
  <si>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</si>
  <si>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</si>
  <si>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</si>
  <si>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</si>
  <si>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</si>
  <si>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</si>
  <si>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</si>
  <si>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</si>
  <si>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</si>
  <si>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</si>
  <si>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</si>
  <si>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</si>
  <si>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</si>
  <si>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</si>
  <si>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</si>
  <si>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</si>
  <si>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</si>
  <si>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</si>
  <si>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</si>
  <si>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</si>
  <si>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</si>
  <si>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</si>
  <si>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</si>
  <si>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</si>
  <si>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</si>
  <si>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</si>
  <si>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</si>
  <si>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</si>
  <si>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</si>
  <si>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</si>
  <si>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</si>
  <si>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</si>
  <si>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</si>
  <si>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</si>
  <si>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</si>
  <si>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</si>
  <si>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</si>
  <si>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</si>
  <si>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</si>
  <si>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</si>
  <si>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</si>
  <si>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</si>
  <si>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</si>
  <si>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</si>
  <si>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</si>
  <si>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</si>
  <si>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Verrekening desinvestering</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</si>
  <si>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</si>
  <si>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</si>
  <si>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</si>
  <si>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</si>
  <si>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</si>
  <si>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</si>
  <si>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</si>
  <si>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</si>
  <si>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</si>
  <si>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</si>
  <si>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</si>
  <si>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</si>
  <si>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</si>
  <si>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</si>
  <si>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</si>
  <si>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</si>
  <si>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</si>
  <si>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</si>
  <si>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</si>
  <si>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</si>
  <si>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</si>
  <si>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</si>
  <si>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</si>
  <si>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</si>
  <si>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</si>
  <si>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</si>
  <si>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</si>
  <si>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</si>
  <si>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</si>
  <si>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</si>
  <si>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</si>
  <si>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</si>
  <si>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</si>
  <si>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</si>
  <si>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</si>
  <si>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</si>
  <si>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</si>
  <si>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</si>
  <si>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</si>
  <si>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</si>
  <si>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</si>
  <si>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</si>
  <si>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</si>
  <si>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</si>
  <si>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</si>
  <si>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</si>
  <si>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</si>
  <si>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</si>
  <si>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</si>
  <si>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</si>
  <si>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</si>
  <si>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</si>
  <si>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</si>
  <si>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</si>
  <si>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</si>
  <si>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</si>
  <si>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</si>
  <si>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</si>
  <si>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</si>
  <si>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</si>
  <si>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</si>
  <si>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</si>
  <si>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</si>
  <si>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</si>
  <si>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</si>
  <si>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</si>
  <si>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</si>
  <si>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</si>
  <si>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</si>
  <si>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</si>
  <si>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</si>
  <si>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</si>
  <si>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</si>
  <si>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</si>
  <si>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</si>
  <si>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</si>
  <si>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</si>
  <si>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</si>
  <si>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</si>
  <si>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</si>
  <si>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</si>
  <si>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</si>
  <si>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</si>
  <si>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</si>
  <si>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</si>
  <si>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</si>
  <si>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</si>
  <si>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</si>
  <si>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</si>
  <si>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</si>
  <si>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</si>
  <si>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</si>
  <si>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</si>
  <si>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</si>
  <si>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</si>
  <si>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</si>
  <si>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</si>
  <si>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</si>
  <si>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</si>
  <si>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</si>
  <si>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</si>
  <si>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</si>
  <si>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</si>
  <si>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</si>
  <si>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</si>
  <si>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</si>
  <si>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</si>
  <si>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</si>
  <si>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</si>
  <si>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</si>
  <si>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</si>
  <si>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</si>
  <si>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</si>
  <si>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</si>
  <si>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</si>
  <si>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</si>
  <si>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</si>
  <si>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</si>
  <si>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</si>
  <si>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</si>
  <si>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</si>
  <si>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</si>
  <si>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</si>
  <si>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</si>
  <si>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</si>
  <si>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</si>
  <si>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Totaal overige incidentele correcties</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</si>
  <si>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</si>
  <si>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</si>
  <si>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</si>
  <si>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</si>
  <si>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</si>
  <si>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</si>
  <si>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</si>
  <si>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</si>
  <si>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</si>
  <si>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</si>
  <si>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</si>
  <si>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</si>
  <si>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</si>
  <si>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</si>
  <si>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</si>
  <si>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</si>
  <si>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</si>
  <si>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</si>
  <si>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</si>
  <si>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</si>
  <si>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</si>
  <si>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</si>
  <si>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</si>
  <si>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</si>
  <si>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</si>
  <si>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</si>
  <si>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</si>
  <si>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</si>
  <si>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 xml:space="preserve">Op dit tabblad worden de totale inkomsten excl. correcties berekend door de begininkomsten aan te passen met de x-factor en de CPI. Vervolgens worden de totale inkomsten gecorrigeerd voor de nacalculaties om tot de toegestane inkomsten te komen. </t>
  </si>
  <si>
    <t>Totale inkomsten excl. tariefcorrecties</t>
  </si>
  <si>
    <t>Tariefcorrecties</t>
  </si>
  <si>
    <t>Toegestane inkomsten</t>
  </si>
  <si>
    <t xml:space="preserve">Toegestane inkomsten </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</si>
  <si>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</si>
  <si>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</si>
  <si>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</si>
  <si>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</si>
  <si>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</si>
  <si>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</si>
  <si>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</si>
  <si>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</si>
  <si>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</si>
  <si>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</si>
  <si>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</si>
  <si>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</si>
  <si>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</si>
  <si>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</si>
  <si>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</si>
  <si>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</si>
  <si>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</si>
  <si>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</si>
  <si>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</si>
  <si>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</si>
  <si>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</si>
  <si>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</si>
  <si>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</si>
  <si>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</si>
  <si>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</si>
  <si>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</si>
  <si>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</si>
  <si>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</si>
  <si>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</si>
  <si>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 xml:space="preserve">De resterende GAW wordt niet berekend in deze rekenmodule omdat dit de module nog complexer zou maken. Hetzelfde geldt voor de kapitaalkosten van investeringen die zijn geactiveerd na 2021. Om deze waarden te berekenen gebruiken wij de GAW-berekeningsexcel zoals gepubliceerd bij het x-factorbesluit GTS. Hierin zetten wij het oorspronkelijke investeringsbedrag en het oorspronkelijke jaar van de investering, om daar de resterende GAW en, waar nodig, de kapitaalkosten in een specifiek jaar uit af te lezen. </t>
  </si>
  <si>
    <t>1. Invulmodule reguleringsdata GTS 2024.xlsx</t>
  </si>
  <si>
    <t>05 Wegen en terreinvoorzieningen (TT-BT-AT)</t>
  </si>
  <si>
    <t>06 Utiliteitsgebouwen (TT-BT-AT)</t>
  </si>
  <si>
    <t>08 Inrichting gebouwen (TT-BT-AT)</t>
  </si>
  <si>
    <t>21 Hoofdtransportleiding (TT-BT-AT)</t>
  </si>
  <si>
    <t>05 Wegen en terreinvoorzieningen (KC)</t>
  </si>
  <si>
    <t>06 Utiliteitsgebouwen (KC)</t>
  </si>
  <si>
    <t>08 Inrichting gebouwen (KC)</t>
  </si>
  <si>
    <t>21 Hoofdtransportleiding (KC)</t>
  </si>
  <si>
    <t>Niet opgenomen in GAW-model, toegevoegd t.b.v. Tarievenbesluit GTS 2026</t>
  </si>
  <si>
    <t>301391_OUDE STATENZIJL (SEFE storage)</t>
  </si>
  <si>
    <t>GAW-model t.b.v. tarievenbesluit 2026 GTS</t>
  </si>
  <si>
    <t>Daling kapitaalkosten a.g.v. desinvesteringen 2025</t>
  </si>
  <si>
    <t>2027</t>
  </si>
  <si>
    <t xml:space="preserve"> </t>
  </si>
  <si>
    <t>Daling operationele kosten a.g.v. desinvesteringen 2025 binnen scope - incl. theta</t>
  </si>
  <si>
    <t>Daling operationele kosten a.g.v. desinvesteringen 2025 buiten scope</t>
  </si>
  <si>
    <t>Incidentele correctie investeringen gedaan in 2025</t>
  </si>
  <si>
    <t>Na te calculeren kosten voor investeringen 2025</t>
  </si>
  <si>
    <t>Tarievenbesluiten 2022 t/m 2026</t>
  </si>
  <si>
    <t>Deze rekenmodule wordt gebruikt bij het vaststellen van het Tarievenbesluit GTS 2027.</t>
  </si>
  <si>
    <t>Deze rekenmodule bevat alle gegevens die nodig zijn om de tarieven voor het landelijk gastransportnet te berekenen voor het jaar 2027.</t>
  </si>
  <si>
    <t>Rekenmodule Tarieven GTS 2027</t>
  </si>
  <si>
    <t>Tarievenbesluit GTS 2027</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</si>
  <si>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2027' vindt u de tarieven voor de verschillende punten naar tabblad uitgesplitst.</t>
    </r>
  </si>
  <si>
    <t>Inkomstenberekening GTS</t>
  </si>
  <si>
    <t>ACM/25/198073</t>
  </si>
  <si>
    <t>Tarievenmodule 2025, tabblad 25. Toegestane inkomsten</t>
  </si>
  <si>
    <t>Tarievenmodule 2026, tabblad 20. Nacalculaties</t>
  </si>
  <si>
    <t xml:space="preserve">Op dit tabblad worden alle relevante parameters weergegeven. In kolom T worden de bronnen weergegeven. </t>
  </si>
  <si>
    <t>Nacalculatie tarievenbesluit 2027</t>
  </si>
  <si>
    <t>Tarievenbesluiten 2022 t/m 2026; Inkomstenberekening GTS, tabblad 1, cel J16</t>
  </si>
  <si>
    <t>Toegestane inkomsten exclusief tariefcorrecties</t>
  </si>
  <si>
    <t>Aantal dagen per maand in het jaar 2027</t>
  </si>
  <si>
    <t>Aantal dagen per kwartaal in het jaar 2027</t>
  </si>
  <si>
    <t>Aantal dagen en uren per jaar in het jaar 2027</t>
  </si>
  <si>
    <t>EUR/kWh/uur/jaar, pp 2027</t>
  </si>
  <si>
    <t>ACM/25/199116</t>
  </si>
  <si>
    <t>Incidentele correctie voorlopige schatting ITC in tarieven 2025</t>
  </si>
  <si>
    <t>Tabblad 24 - Incidentele correctie verrekening voorlopige schatting ITC</t>
  </si>
  <si>
    <t>Op dit tabblad wordt de verrekening van de voorlopige schatting ITC berekend. Het CBb heeft op 15 juli 2025 het codebesluit vernietigd waarmee de ACM een Inter Transmission System Operator Compensation (ITC) introduceerde. GTS heeft daarom geen inkomsten behaald uit de ITC. De verrekening is dus gelijk aan de volledige schatting, vermeerderd met de heffingsrente.</t>
  </si>
  <si>
    <t>Tabblad 25 - Incidentele correcties</t>
  </si>
  <si>
    <t>Tabblad 26 - Toegestane inkomsten</t>
  </si>
  <si>
    <t>Tabblad 27 - Referentieprijsmethodologie</t>
  </si>
  <si>
    <t>Tabblad 28 - Entry- en exittarieven</t>
  </si>
  <si>
    <t>Incidentele correctie verrekening voorlopige schatting ITC</t>
  </si>
  <si>
    <t>Tarievenmodule GTS 2026</t>
  </si>
  <si>
    <t>Rekenmodule GTS 2026</t>
  </si>
  <si>
    <t>Rekenmodule GTS 2025</t>
  </si>
  <si>
    <t>24. Correctie schatting ITC</t>
  </si>
  <si>
    <t>26. Toegestane inkomsten</t>
  </si>
  <si>
    <t>27. RPM</t>
  </si>
  <si>
    <t>28. Entry- en exittarieven</t>
  </si>
  <si>
    <t>Voorgesteld bedrag GTS veilinggelden te gebruiken t.b.v. investering</t>
  </si>
  <si>
    <t>In te vullen als negatief bedrag</t>
  </si>
  <si>
    <t>De spreiding van nacalculaties uit REG2022 is voor het eerst onderdeel van de Tarievenmodule 2027. Derhalve is het saldo nacalculaties oud '0' in 2026.</t>
  </si>
  <si>
    <t>Spreiding nacalculaties uit REG2022 (conform paragraaf 6.5.1 van het methodebesluit 2027-2031)</t>
  </si>
  <si>
    <t>Saldo nacalculaties REG2022 oud (excl. belastingrente)</t>
  </si>
  <si>
    <t>Na te calculeren of te spreiden nacalculaties REG2022 (incl. heffingsrente)</t>
  </si>
  <si>
    <t>Saldo nacalculaties REG2022 oud (excl. heffingsrente)</t>
  </si>
  <si>
    <t>Saldo nacalculaties REG2022 oud (incl. heffingsrente)</t>
  </si>
  <si>
    <t>Toe te voegen aan saldo nacalculaties REG2022 in huidig tarievenbesluit (incl. heffingsrente)</t>
  </si>
  <si>
    <t>Saldo nacalculaties REG2022 nieuw</t>
  </si>
  <si>
    <t xml:space="preserve">Vooruitverwijzing naar tabblad 26, in principe maakt de ACM geen gebruik van vooruitverwijzingen, maar hier maakt de ACM voor het overzicht een uitzondering. </t>
  </si>
  <si>
    <t>Niet van toepassing</t>
  </si>
  <si>
    <t>WACC nacalculatiemodel</t>
  </si>
  <si>
    <t>ACM/INT/997879</t>
  </si>
  <si>
    <t>WACC nacalculatiemodel, tabblad 1, rij 35</t>
  </si>
  <si>
    <t>Vanaf 2025 gebruikt de ACM een actuelere en specifiekere schatting voor de heffingsrente, gebaseerd op de meest recent beschikbare gegevens. Het ministerie van justitie en veiligheid stelt de wettelijke rente vast door de meest recente ECB referentierente te verhogen met 2,25 %-punt, met afronding van halve procenten of meer naar boven en overigens naar beneden. De meest recente ECB-rente is 2,15%, waarmee we de heffingsrente voor 2027 dus op 2,15+2,25=4,40, afgerond 4% vaststellen.</t>
  </si>
  <si>
    <t>Nacalculatiemodel WACC 2025</t>
  </si>
  <si>
    <t>ACM/UIT/672008</t>
  </si>
  <si>
    <t>Inkomstenbesluit GTS 2027-2031 | ACM</t>
  </si>
  <si>
    <t>1. Invulmodule informatieverzoek reguleringsdata GTS 2025.xlsx</t>
  </si>
  <si>
    <t>Bedrag te reserveren saldo voor toekomstig tarievenbesluit</t>
  </si>
  <si>
    <t>Dit bedrag komt ter vergoeding in een toekomstig tarievenbesluit</t>
  </si>
  <si>
    <t>GAW-model bij inkomstenbesluit 2027-2031, tab 12, cel FS2603</t>
  </si>
  <si>
    <t>GAW-model bij inkomstenbesluit 2027-2031, tab 12, cel FS2595</t>
  </si>
  <si>
    <t>GAW-model bij inkomstenbesluit 2027-2031, tab 12, cel FS2596</t>
  </si>
  <si>
    <t>GAW-model bij inkomstenbesluit 2027-2031, tab 12, cel FS2597</t>
  </si>
  <si>
    <t>GAW-model bij inkomstenbesluit 2027-2031, tab 12, cel FS2598</t>
  </si>
  <si>
    <t>GAW-model bij inkomstenbesluit 2027-2031, tab 12, cel FS2599</t>
  </si>
  <si>
    <t>GAW-model bij inkomstenbesluit 2027-2031, tab 12, cel FS2600</t>
  </si>
  <si>
    <t>GAW-model bij inkomstenbesluit 2027-2031, tab 12, cel FS2601</t>
  </si>
  <si>
    <t>GAW-model bij inkomstenbesluit 2027-2031, tab 12, cel FS2602</t>
  </si>
  <si>
    <t>GAW-model bij inkomstenbesluit 2027-2031, tab 12, cel FS2604</t>
  </si>
  <si>
    <t>GAW-model bij inkomstenbesluit 2027-2031, tab 12, cel FS2605</t>
  </si>
  <si>
    <t>GAW-model bij inkomstenbesluit 2027-2031, tab 12, cel FS2606</t>
  </si>
  <si>
    <t>GAW-model bij inkomstenbesluit 2027-2031, tab 12, cel FS2607</t>
  </si>
  <si>
    <t>GAW-model bij inkomstenbesluit 2027-2031, tab 12, cel FS2608</t>
  </si>
  <si>
    <t>GAW-model bij inkomstenbesluit 2027-2031, tab 12, cel FS2609</t>
  </si>
  <si>
    <t>GAW-model bij inkomstenbesluit 2027-2031, tab 12, cel FS2610</t>
  </si>
  <si>
    <t>GAW-model bij inkomstenbesluit 2027-2031, tab 12, cel FS2611</t>
  </si>
  <si>
    <t>GAW-model bij inkomstenbesluit 2027-2031, tab 12, cel FS2612</t>
  </si>
  <si>
    <t>GAW-model bij inkomstenbesluit 2027-2031, tab 12, cel FS2613</t>
  </si>
  <si>
    <t>GAW-model bij inkomstenbesluit 2027-2031, tab 12, cel FS2614</t>
  </si>
  <si>
    <t>GAW-model bij inkomstenbesluit 2027-2031, tab 12, cel FS2615</t>
  </si>
  <si>
    <t>GAW-model bij inkomstenbesluit 2027-2031, tab 12, cel FS2616</t>
  </si>
  <si>
    <t>GAW-model bij inkomstenbesluit 2027-2031, tab 12, cel FS2617</t>
  </si>
  <si>
    <t>GAW-model bij inkomstenbesluit 2027-2031, tab 12, cel FS2618</t>
  </si>
  <si>
    <t>GAW-model bij inkomstenbesluit 2027-2031, tab 12, cel FS2619</t>
  </si>
  <si>
    <t>GAW-model bij inkomstenbesluit 2027-2031, tab 12, cel FS2620</t>
  </si>
  <si>
    <t>GAW-model bij inkomstenbesluit 2027-2031, tab 12, cel FS2621</t>
  </si>
  <si>
    <t>GAW-model bij inkomstenbesluit 2027-2031, tab 12, cel FS2622</t>
  </si>
  <si>
    <t>GAW-model bij inkomstenbesluit 2027-2031, tab 12, cel FS2623</t>
  </si>
  <si>
    <t>GAW-model bij inkomstenbesluit 2027-2031, tab 12, cel FS2624</t>
  </si>
  <si>
    <t>GAW-model bij inkomstenbesluit 2027-2031, tab 12, cel FS2625</t>
  </si>
  <si>
    <t>GAW-model bij inkomstenbesluit 2027-2031, tab 12, cel FS2626</t>
  </si>
  <si>
    <t>GAW-model bij inkomstenbesluit 2027-2031, tab 12, cel FS2627</t>
  </si>
  <si>
    <t>GAW-model bij inkomstenbesluit 2027-2031, tab 12, cel FS2628</t>
  </si>
  <si>
    <t>GAW-model bij inkomstenbesluit 2027-2031, tab 12, cel FS2629</t>
  </si>
  <si>
    <t>GAW-model bij inkomstenbesluit 2027-2031, tab 12, cel FS2630</t>
  </si>
  <si>
    <t>GAW-model bij inkomstenbesluit 2027-2031, tab 12, cel FS2631</t>
  </si>
  <si>
    <t>GAW-model bij inkomstenbesluit 2027-2031, tab 12, cel FS2632</t>
  </si>
  <si>
    <t>GAW-model bij inkomstenbesluit 2027-2031, tab 12, cel FS2633</t>
  </si>
  <si>
    <t>GAW-model bij inkomstenbesluit 2027-2031, tab 12, cel FS2634</t>
  </si>
  <si>
    <t>GAW-model bij inkomstenbesluit 2027-2031, tab 12, cel FS2635</t>
  </si>
  <si>
    <t>GAW-model bij inkomstenbesluit 2027-2031, tab 12, cel FS2636</t>
  </si>
  <si>
    <t>GAW-model bij inkomstenbesluit 2027-2031, tab 12, cel FS2637</t>
  </si>
  <si>
    <t>GAW-model bij inkomstenbesluit 2027-2031, tab 12, cel FS2638</t>
  </si>
  <si>
    <t>GAW-model bij inkomstenbesluit 2027-2031, tab 12, cel FS2639</t>
  </si>
  <si>
    <t>GAW-model bij inkomstenbesluit 2027-2031, tab 12, cel FS2640</t>
  </si>
  <si>
    <t>GAW-model bij inkomstenbesluit 2027-2031, tab 12, cel FS2641</t>
  </si>
  <si>
    <t>GAW-model bij inkomstenbesluit 2027-2031, tab 12, cel FS2642</t>
  </si>
  <si>
    <t>GAW-model bij inkomstenbesluit 2027-2031, tab 12, cel FS2643</t>
  </si>
  <si>
    <t>GAW-model bij inkomstenbesluit 2027-2031, tab 12, cel FS2644</t>
  </si>
  <si>
    <t>GAW-model bij inkomstenbesluit 2027-2031, tab 12, cel FS2645</t>
  </si>
  <si>
    <t>GAW-model bij inkomstenbesluit 2027-2031, tab 12, cel FS2646</t>
  </si>
  <si>
    <t>GAW-model bij inkomstenbesluit 2027-2031, tab 12, cel FS2647</t>
  </si>
  <si>
    <t>GAW-model bij inkomstenbesluit 2027-2031, tab 12, cel FS2648</t>
  </si>
  <si>
    <t>GAW-model bij inkomstenbesluit 2027-2031, tab 12, cel FS2649</t>
  </si>
  <si>
    <t>GAW-model bij inkomstenbesluit 2027-2031, tab 12, cel FS2650</t>
  </si>
  <si>
    <t>GAW-model bij inkomstenbesluit 2027-2031, tab 12, cel FS2651</t>
  </si>
  <si>
    <t>GAW-model bij inkomstenbesluit 2027-2031, tab 12, cel FS2652</t>
  </si>
  <si>
    <t>GAW-model bij inkomstenbesluit 2027-2031, tab 12, cel FS2653</t>
  </si>
  <si>
    <t>GAW-model bij inkomstenbesluit 2027-2031, tab 12, cel FS2654</t>
  </si>
  <si>
    <t>GAW-model bij inkomstenbesluit 2027-2031, tab 12, cel FS2655</t>
  </si>
  <si>
    <t>GAW-model bij inkomstenbesluit 2027-2031, tab 12, cel FS2656</t>
  </si>
  <si>
    <t>GAW-model bij inkomstenbesluit 2027-2031, tab 12, cel FS2657</t>
  </si>
  <si>
    <t>GAW-model bij inkomstenbesluit 2027-2031, tab 12, cel FS2658</t>
  </si>
  <si>
    <t>GAW-model bij inkomstenbesluit 2027-2031, tab 12, cel FS2659</t>
  </si>
  <si>
    <t>GAW-model bij inkomstenbesluit 2027-2031, tab 12, cel FS2660</t>
  </si>
  <si>
    <t>GAW-model bij inkomstenbesluit 2027-2031, tab 12, cel FS2661</t>
  </si>
  <si>
    <t>GAW-model bij inkomstenbesluit 2027-2031, tab 12, cel FS2662</t>
  </si>
  <si>
    <t>GAW-model bij inkomstenbesluit 2027-2031, tab 12, cel FS2663</t>
  </si>
  <si>
    <t>GAW-model bij inkomstenbesluit 2027-2031, tab 12, cel FS2664</t>
  </si>
  <si>
    <t>GAW-model bij inkomstenbesluit 2027-2031, tab 12, cel FS2665</t>
  </si>
  <si>
    <t>GAW-model bij inkomstenbesluit 2027-2031, tab 12, cel FS2666</t>
  </si>
  <si>
    <t>GAW-model bij inkomstenbesluit 2027-2031, tab 12, cel FS2667</t>
  </si>
  <si>
    <t>GAW-model bij inkomstenbesluit 2027-2031, tab 12, cel FS2668</t>
  </si>
  <si>
    <t>GAW-model bij inkomstenbesluit 2027-2031, tab 12, cel FS2669</t>
  </si>
  <si>
    <t>GAW-model bij inkomstenbesluit 2027-2031, tab 12, cel FS2670</t>
  </si>
  <si>
    <t>GAW-model bij inkomstenbesluit 2027-2031, tab 12, cel FS2671</t>
  </si>
  <si>
    <t>GAW-model bij inkomstenbesluit 2027-2031, tab 12, cel FS2672</t>
  </si>
  <si>
    <t>GAW-model bij inkomstenbesluit 2027-2031, tab 12, cel FS2673</t>
  </si>
  <si>
    <t>GAW-model bij inkomstenbesluit 2027-2031, tab 12, cel FS2675</t>
  </si>
  <si>
    <t>GAW-model bij inkomstenbesluit 2027-2031, tab 12, cel FS2677</t>
  </si>
  <si>
    <t>GAW-model bij inkomstenbesluit 2027-2031, tab 12, cel FS2679</t>
  </si>
  <si>
    <t>GAW-model bij inkomstenbesluit 2027-2031, tab 12, cel FS2674</t>
  </si>
  <si>
    <t>GAW-model bij inkomstenbesluit 2027-2031, tab 12, cel FS2676</t>
  </si>
  <si>
    <t>GAW-model bij inkomstenbesluit 2027-2031, tab 12, cel FS2678</t>
  </si>
  <si>
    <t>GAW-model bij inkomstenbesluit 2027-2031, tab 12, cel FS2680</t>
  </si>
  <si>
    <t>GAW-model bij inkomstenbesluit 2027-2031, tab 12, cel FS2681</t>
  </si>
  <si>
    <t>GAW-model bij inkomstenbesluit 2027-2031, tab 12, cel FS2682</t>
  </si>
  <si>
    <t>GAW-model bij inkomstenbesluit 2027-2031, tab 12, cel FS2683</t>
  </si>
  <si>
    <t>GAW-model bij inkomstenbesluit 2027-2031, tab 12, cel FS2684</t>
  </si>
  <si>
    <t>GAW-model bij inkomstenbesluit 2027-2031, tab 12, cel FS2685</t>
  </si>
  <si>
    <t>GAW-model bij inkomstenbesluit 2027-2031, tab 12, cel FS2686</t>
  </si>
  <si>
    <t>GAW-model bij inkomstenbesluit 2027-2031, tab 12, cel FS2687</t>
  </si>
  <si>
    <t>GAW-model bij inkomstenbesluit 2027-2031, tab 12, cel FS2688</t>
  </si>
  <si>
    <t>GAW-model bij inkomstenbesluit 2027-2031, tab 12, cel FS2689</t>
  </si>
  <si>
    <t>GAW-model bij inkomstenbesluit 2027-2031, tab 12, cel FS2690</t>
  </si>
  <si>
    <t>GAW-model bij inkomstenbesluit 2027-2031, tab 12, cel FS2691</t>
  </si>
  <si>
    <t>GAW-model bij inkomstenbesluit 2027-2031, tab 12, cel FS2692</t>
  </si>
  <si>
    <t>GAW-model bij inkomstenbesluit 2027-2031, tab 12, cel FS2693</t>
  </si>
  <si>
    <t>GAW-model bij inkomstenbesluit 2027-2031, tab 12, cel FS2694</t>
  </si>
  <si>
    <t>GAW-model bij inkomstenbesluit 2027-2031, tab 12, cel FS2695</t>
  </si>
  <si>
    <t>GAW-model bij inkomstenbesluit 2027-2031, tab 12, cel FS2696</t>
  </si>
  <si>
    <t>GAW-model bij inkomstenbesluit 2027-2031, tab 12, cel FS2697</t>
  </si>
  <si>
    <t>GAW-model bij inkomstenbesluit 2027-2031, tab 12, cel FS2698</t>
  </si>
  <si>
    <t>GAW-model bij inkomstenbesluit 2027-2031, tab 12, cel FS2699</t>
  </si>
  <si>
    <t>GAW-model bij inkomstenbesluit 2027-2031, tab 12, cel FS2700</t>
  </si>
  <si>
    <t>GAW-model bij inkomstenbesluit 2027-2031, tab 12, cel FS2701</t>
  </si>
  <si>
    <t>GAW-model bij inkomstenbesluit 2027-2031, tab 12, cel FS2702</t>
  </si>
  <si>
    <t>GAW-model bij inkomstenbesluit 2027-2031, tab 12, cel FS2703</t>
  </si>
  <si>
    <t>GAW-model bij inkomstenbesluit 2027-2031, tab 12, cel FS2704</t>
  </si>
  <si>
    <t>GAW-model bij inkomstenbesluit 2027-2031, tab 12, cel FS2705</t>
  </si>
  <si>
    <t>GAW-model bij inkomstenbesluit 2027-2031, tab 12, cel FS2706</t>
  </si>
  <si>
    <t>GAW-model bij inkomstenbesluit 2027-2031, tab 12, cel FS2707</t>
  </si>
  <si>
    <t>GAW-model bij inkomstenbesluit 2027-2031, tab 12, cel FS2708</t>
  </si>
  <si>
    <t>GAW-model bij inkomstenbesluit 2027-2031, tab 12, cel FS2709</t>
  </si>
  <si>
    <t>GAW-model bij inkomstenbesluit 2027-2031, tab 12, cel FS2710</t>
  </si>
  <si>
    <t>GAW-model bij inkomstenbesluit 2027-2031, tab 12, cel FS2711</t>
  </si>
  <si>
    <t>GAW-model bij inkomstenbesluit 2027-2031, tab 12, cel FS2712</t>
  </si>
  <si>
    <t>GAW-model bij inkomstenbesluit 2027-2031, tab 12, cel FS2713</t>
  </si>
  <si>
    <t>GAW-model bij inkomstenbesluit 2027-2031, tab 12, cel FS2714</t>
  </si>
  <si>
    <t>GAW-model bij inkomstenbesluit 2027-2031, tab 12, cel FS2715</t>
  </si>
  <si>
    <t>GAW-model bij inkomstenbesluit 2027-2031, tab 12, cel FS2716</t>
  </si>
  <si>
    <t>GAW-model bij inkomstenbesluit 2027-2031, tab 12, cel FS2717</t>
  </si>
  <si>
    <t>GAW-model bij inkomstenbesluit 2027-2031, tab 12, cel FS2718</t>
  </si>
  <si>
    <t>GAW-model bij inkomstenbesluit 2027-2031, tab 12, cel FS2719</t>
  </si>
  <si>
    <t>GAW-model bij inkomstenbesluit 2027-2031, tab 12, cel FS2720</t>
  </si>
  <si>
    <t>GAW-model bij inkomstenbesluit 2027-2031, tab 12, cel FS2721</t>
  </si>
  <si>
    <t>GAW-model bij inkomstenbesluit 2027-2031, tab 12, cel FS2722</t>
  </si>
  <si>
    <t>GAW-model bij inkomstenbesluit 2027-2031, tab 12, cel FS2723</t>
  </si>
  <si>
    <t>GAW-model bij inkomstenbesluit 2027-2031, tab 12, cel FS2724</t>
  </si>
  <si>
    <t>GAW-model bij inkomstenbesluit 2027-2031, tab 12, cel FS2725</t>
  </si>
  <si>
    <t>GAW-model bij inkomstenbesluit 2027-2031, tab 12, cel FS2726</t>
  </si>
  <si>
    <t>GAW-model bij inkomstenbesluit 2027-2031, tab 12, cel FS2727</t>
  </si>
  <si>
    <t>GAW-model bij inkomstenbesluit 2027-2031, tab 12, cel FS2728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</si>
</sst>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3">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
      <sz val="9"/>
      <color indexed="81"/>
      <name val="Tahoma"/>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4" applyNumberFormat="0" applyAlignment="0" applyProtection="0"/>
    <xf numFmtId="0" fontId="17" fillId="18" borderId="5" applyNumberFormat="0" applyAlignment="0" applyProtection="0"/>
    <xf numFmtId="0" fontId="18" fillId="18" borderId="4" applyNumberFormat="0" applyAlignment="0" applyProtection="0"/>
    <xf numFmtId="0" fontId="19" fillId="0" borderId="6" applyNumberFormat="0" applyFill="0" applyAlignment="0" applyProtection="0"/>
    <xf numFmtId="0" fontId="13" fillId="19" borderId="7" applyNumberFormat="0" applyAlignment="0" applyProtection="0"/>
    <xf numFmtId="0" fontId="15" fillId="20" borderId="8"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97" borderId="27" applyNumberFormat="0">
      <protection locked="0"/>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4" fontId="62" fillId="97" borderId="16"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4" applyNumberFormat="0" applyAlignment="0" applyProtection="0"/>
    <xf numFmtId="0" fontId="56" fillId="86" borderId="0" applyNumberFormat="0" applyBorder="0" applyAlignment="0" applyProtection="0"/>
    <xf numFmtId="0" fontId="73" fillId="52" borderId="15" applyNumberFormat="0" applyAlignment="0" applyProtection="0"/>
    <xf numFmtId="0" fontId="43" fillId="52" borderId="15"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51" fillId="51" borderId="15" applyNumberFormat="0" applyAlignment="0" applyProtection="0"/>
    <xf numFmtId="168" fontId="6" fillId="0" borderId="0" applyFont="0" applyFill="0" applyBorder="0" applyAlignment="0" applyProtection="0"/>
    <xf numFmtId="0" fontId="48" fillId="0" borderId="18"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70" fillId="85" borderId="23" applyNumberFormat="0" applyFont="0" applyAlignment="0" applyProtection="0"/>
    <xf numFmtId="0" fontId="57" fillId="52" borderId="24"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29" applyNumberFormat="0" applyFill="0" applyAlignment="0" applyProtection="0"/>
    <xf numFmtId="0" fontId="64" fillId="0" borderId="0" applyNumberFormat="0" applyFill="0" applyBorder="0" applyAlignment="0" applyProtection="0"/>
    <xf numFmtId="0" fontId="79" fillId="0" borderId="19"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2" fillId="0" borderId="18"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7" applyNumberFormat="0" applyAlignment="0" applyProtection="0"/>
    <xf numFmtId="0" fontId="6" fillId="0" borderId="0"/>
    <xf numFmtId="0" fontId="1" fillId="0" borderId="0"/>
    <xf numFmtId="4" fontId="40" fillId="88" borderId="16"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5" applyNumberFormat="0" applyAlignment="0" applyProtection="0"/>
    <xf numFmtId="0" fontId="45" fillId="79" borderId="17" applyNumberFormat="0" applyAlignment="0" applyProtection="0"/>
    <xf numFmtId="0" fontId="48" fillId="0" borderId="18" applyNumberFormat="0" applyFill="0" applyAlignment="0" applyProtection="0"/>
    <xf numFmtId="0" fontId="49" fillId="83" borderId="0" applyNumberFormat="0" applyBorder="0" applyAlignment="0" applyProtection="0"/>
    <xf numFmtId="0" fontId="51" fillId="51" borderId="15" applyNumberFormat="0" applyAlignment="0" applyProtection="0"/>
    <xf numFmtId="168"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112" borderId="16"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29" applyNumberFormat="0" applyFill="0" applyAlignment="0" applyProtection="0"/>
    <xf numFmtId="0" fontId="57" fillId="52" borderId="2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5" applyNumberFormat="0" applyAlignment="0" applyProtection="0"/>
    <xf numFmtId="0" fontId="44" fillId="78" borderId="16" applyNumberFormat="0" applyAlignment="0" applyProtection="0"/>
    <xf numFmtId="0" fontId="86" fillId="0" borderId="0" applyNumberFormat="0" applyFill="0" applyBorder="0" applyAlignment="0" applyProtection="0">
      <alignment vertical="top"/>
      <protection locked="0"/>
    </xf>
    <xf numFmtId="0" fontId="50" fillId="76" borderId="16"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165" fontId="6" fillId="10" borderId="36" applyBorder="0" applyProtection="0">
      <alignment horizontal="center" vertical="center"/>
    </xf>
    <xf numFmtId="9" fontId="37"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0" fontId="40" fillId="99" borderId="2"/>
    <xf numFmtId="4" fontId="62" fillId="97" borderId="16"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29"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73" fontId="6"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89" fillId="125" borderId="0"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90" fillId="0" borderId="0"/>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4" applyNumberFormat="0" applyAlignment="0" applyProtection="0"/>
    <xf numFmtId="169" fontId="47" fillId="0" borderId="0" applyFont="0" applyFill="0" applyBorder="0" applyAlignment="0" applyProtection="0"/>
    <xf numFmtId="0" fontId="101" fillId="0" borderId="6"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8"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2"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4"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5" applyNumberFormat="0" applyAlignment="0" applyProtection="0"/>
    <xf numFmtId="0" fontId="100" fillId="18" borderId="4"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5" fillId="70" borderId="17" applyNumberFormat="0" applyAlignment="0" applyProtection="0"/>
    <xf numFmtId="0" fontId="45" fillId="70" borderId="17"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2"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38" applyNumberFormat="0" applyFill="0" applyAlignment="0" applyProtection="0"/>
    <xf numFmtId="0" fontId="106" fillId="0" borderId="38" applyNumberFormat="0" applyFill="0" applyAlignment="0" applyProtection="0"/>
    <xf numFmtId="0" fontId="107" fillId="0" borderId="39"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108" fillId="0" borderId="4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56" fillId="86" borderId="0" applyNumberFormat="0" applyBorder="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111"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113"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112" borderId="0"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9" fillId="0" borderId="22"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3"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4" fillId="3" borderId="0" applyNumberFormat="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97" fillId="19" borderId="7" applyNumberFormat="0" applyAlignment="0" applyProtection="0"/>
    <xf numFmtId="168" fontId="6" fillId="0" borderId="0" applyFont="0" applyFill="0" applyBorder="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9" applyNumberFormat="0" applyFill="0" applyAlignment="0" applyProtection="0"/>
    <xf numFmtId="0" fontId="93" fillId="0" borderId="10" applyNumberFormat="0" applyFill="0" applyAlignment="0" applyProtection="0"/>
    <xf numFmtId="0" fontId="94" fillId="0" borderId="11"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95" fillId="17" borderId="4"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112" borderId="0"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2">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3"/>
    <xf numFmtId="187" fontId="6" fillId="111" borderId="43"/>
    <xf numFmtId="187" fontId="6" fillId="111" borderId="43"/>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4"/>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3" applyBorder="0"/>
    <xf numFmtId="0" fontId="131" fillId="0" borderId="33" applyBorder="0"/>
    <xf numFmtId="0" fontId="131" fillId="0" borderId="33" applyBorder="0"/>
    <xf numFmtId="0" fontId="131" fillId="0" borderId="33"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6">
      <alignment horizontal="center" vertical="center"/>
    </xf>
    <xf numFmtId="0" fontId="110" fillId="0" borderId="32"/>
    <xf numFmtId="0" fontId="6" fillId="0" borderId="0"/>
    <xf numFmtId="0" fontId="110" fillId="0" borderId="14" applyBorder="0"/>
    <xf numFmtId="0" fontId="110" fillId="0" borderId="14"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59" fillId="0" borderId="47" applyNumberFormat="0" applyFill="0" applyBorder="0" applyAlignment="0" applyProtection="0"/>
    <xf numFmtId="0" fontId="59" fillId="0" borderId="47" applyNumberFormat="0" applyFill="0" applyBorder="0" applyAlignment="0" applyProtection="0"/>
    <xf numFmtId="0" fontId="132" fillId="0" borderId="47" applyNumberFormat="0" applyFill="0" applyBorder="0" applyAlignment="0" applyProtection="0"/>
    <xf numFmtId="0" fontId="132" fillId="0" borderId="47" applyNumberFormat="0" applyFill="0" applyBorder="0" applyAlignment="0" applyProtection="0"/>
    <xf numFmtId="0" fontId="40" fillId="0" borderId="47" applyNumberFormat="0" applyFill="0" applyAlignment="0" applyProtection="0"/>
    <xf numFmtId="0" fontId="133" fillId="0" borderId="48">
      <protection hidden="1"/>
    </xf>
    <xf numFmtId="0" fontId="134" fillId="52" borderId="48" applyNumberFormat="0" applyFont="0" applyBorder="0" applyAlignment="0" applyProtection="0">
      <protection hidden="1"/>
    </xf>
    <xf numFmtId="0" fontId="133" fillId="0" borderId="48">
      <protection hidden="1"/>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9" fillId="0" borderId="35" applyNumberFormat="0" applyFont="0" applyFill="0" applyAlignment="0" applyProtection="0"/>
    <xf numFmtId="0" fontId="139" fillId="0" borderId="41" applyNumberFormat="0" applyFont="0" applyFill="0" applyAlignment="0" applyProtection="0"/>
    <xf numFmtId="0" fontId="144" fillId="0" borderId="49" applyNumberFormat="0" applyFont="0" applyFill="0" applyAlignment="0" applyProtection="0">
      <alignment horizontal="centerContinuous"/>
    </xf>
    <xf numFmtId="0" fontId="139" fillId="0" borderId="35"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1" applyNumberFormat="0"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50" fillId="97"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203" fontId="151" fillId="0" borderId="31"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7" applyNumberFormat="0" applyAlignment="0" applyProtection="0"/>
    <xf numFmtId="0" fontId="45" fillId="79" borderId="17" applyNumberFormat="0" applyAlignment="0" applyProtection="0"/>
    <xf numFmtId="0" fontId="97" fillId="19" borderId="7"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3">
      <alignment horizontal="center"/>
    </xf>
    <xf numFmtId="0" fontId="155" fillId="0" borderId="33">
      <alignment horizontal="center"/>
    </xf>
    <xf numFmtId="0" fontId="155" fillId="0" borderId="33">
      <alignment horizontal="center"/>
    </xf>
    <xf numFmtId="0" fontId="155" fillId="0" borderId="33">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2">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4">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3"/>
    <xf numFmtId="221" fontId="59" fillId="0" borderId="33"/>
    <xf numFmtId="221" fontId="59" fillId="0" borderId="33"/>
    <xf numFmtId="221" fontId="59" fillId="0" borderId="33"/>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0" applyNumberFormat="0" applyFont="0" applyFill="0" applyAlignment="0" applyProtection="0"/>
    <xf numFmtId="212" fontId="166" fillId="0" borderId="0" applyFill="0" applyBorder="0" applyAlignment="0" applyProtection="0"/>
    <xf numFmtId="38" fontId="145" fillId="0" borderId="51">
      <alignment horizontal="right"/>
    </xf>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9" fillId="0" borderId="22"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2">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1">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3"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4" applyProtection="0">
      <alignment horizontal="right" wrapText="1"/>
    </xf>
    <xf numFmtId="0" fontId="52" fillId="0" borderId="19" applyNumberFormat="0" applyFill="0" applyAlignment="0" applyProtection="0"/>
    <xf numFmtId="0" fontId="106" fillId="0" borderId="38"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49" fontId="188" fillId="0" borderId="0" applyProtection="0">
      <alignment wrapText="1"/>
    </xf>
    <xf numFmtId="0" fontId="53" fillId="0" borderId="20" applyNumberFormat="0" applyFill="0" applyAlignment="0" applyProtection="0"/>
    <xf numFmtId="0" fontId="107" fillId="0" borderId="39" applyNumberFormat="0" applyFill="0" applyAlignment="0" applyProtection="0"/>
    <xf numFmtId="0" fontId="93" fillId="0" borderId="10" applyNumberFormat="0" applyFill="0" applyAlignment="0" applyProtection="0"/>
    <xf numFmtId="0" fontId="93" fillId="0" borderId="10" applyNumberFormat="0" applyFill="0" applyAlignment="0" applyProtection="0"/>
    <xf numFmtId="49" fontId="189" fillId="0" borderId="55" applyProtection="0">
      <alignment horizontal="right" wrapText="1"/>
    </xf>
    <xf numFmtId="0" fontId="54" fillId="0" borderId="21" applyNumberFormat="0" applyFill="0" applyAlignment="0" applyProtection="0"/>
    <xf numFmtId="0" fontId="108" fillId="0" borderId="40"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5"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195" fillId="10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95" fillId="1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95" fillId="17" borderId="4" applyNumberFormat="0" applyAlignment="0" applyProtection="0"/>
    <xf numFmtId="0" fontId="6" fillId="98" borderId="0"/>
    <xf numFmtId="0" fontId="51" fillId="107" borderId="15"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110" fillId="0" borderId="0"/>
    <xf numFmtId="0" fontId="167" fillId="113" borderId="56"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0" applyFill="0" applyProtection="0">
      <alignment horizontal="centerContinuous"/>
    </xf>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xf numFmtId="0" fontId="59" fillId="0" borderId="33"/>
    <xf numFmtId="0" fontId="59" fillId="0" borderId="33"/>
    <xf numFmtId="0" fontId="59" fillId="0" borderId="33"/>
    <xf numFmtId="0" fontId="59" fillId="0" borderId="33"/>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3" fontId="196" fillId="0" borderId="33"/>
    <xf numFmtId="243" fontId="196" fillId="0" borderId="33"/>
    <xf numFmtId="243" fontId="196" fillId="0" borderId="33"/>
    <xf numFmtId="243" fontId="196" fillId="0" borderId="33"/>
    <xf numFmtId="243" fontId="196"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4" fontId="40" fillId="0" borderId="0" applyFill="0" applyBorder="0" applyProtection="0">
      <alignment horizontal="right"/>
    </xf>
    <xf numFmtId="242" fontId="40" fillId="0" borderId="33"/>
    <xf numFmtId="242" fontId="40" fillId="0" borderId="33"/>
    <xf numFmtId="242" fontId="40" fillId="0" borderId="33"/>
    <xf numFmtId="242" fontId="40" fillId="0" borderId="33"/>
    <xf numFmtId="242" fontId="40" fillId="0" borderId="33"/>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2">
      <protection locked="0"/>
    </xf>
    <xf numFmtId="0" fontId="36" fillId="0" borderId="0" applyFill="0" applyProtection="0">
      <alignment horizontal="centerContinuous"/>
    </xf>
    <xf numFmtId="0" fontId="8" fillId="0" borderId="0" applyFill="0" applyProtection="0">
      <alignment horizontal="centerContinuous"/>
    </xf>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0" applyFill="0" applyBorder="0" applyProtection="0"/>
    <xf numFmtId="242" fontId="40" fillId="0" borderId="57" applyFill="0" applyProtection="0"/>
    <xf numFmtId="242" fontId="40" fillId="0" borderId="58"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59"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6" fillId="89" borderId="0"/>
    <xf numFmtId="0" fontId="110" fillId="0" borderId="0"/>
    <xf numFmtId="0" fontId="202" fillId="0" borderId="48">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36" fillId="0" borderId="0"/>
    <xf numFmtId="0" fontId="111" fillId="0" borderId="0"/>
    <xf numFmtId="0" fontId="213" fillId="0" borderId="0"/>
    <xf numFmtId="0" fontId="214" fillId="0" borderId="60"/>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216" fillId="0" borderId="48"/>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97"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40" fontId="217" fillId="101" borderId="0">
      <alignment horizontal="right"/>
    </xf>
    <xf numFmtId="0" fontId="218" fillId="101" borderId="0">
      <alignment horizontal="right"/>
    </xf>
    <xf numFmtId="0" fontId="219" fillId="101" borderId="32"/>
    <xf numFmtId="0" fontId="219" fillId="0" borderId="0" applyBorder="0">
      <alignment horizontal="centerContinuous"/>
    </xf>
    <xf numFmtId="0" fontId="220" fillId="0" borderId="0" applyBorder="0">
      <alignment horizontal="centerContinuous"/>
    </xf>
    <xf numFmtId="0" fontId="57" fillId="97" borderId="24"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3"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1">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2">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1">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48"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110" fillId="0" borderId="0">
      <alignment horizontal="center"/>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0" fillId="0" borderId="0">
      <alignment horizontal="center"/>
    </xf>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6"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111"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113" borderId="27" applyNumberFormat="0">
      <protection locked="0"/>
    </xf>
    <xf numFmtId="0" fontId="40" fillId="97"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112" borderId="0"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227" fillId="0" borderId="64"/>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4" applyProtection="0">
      <alignment horizontal="right" wrapText="1"/>
    </xf>
    <xf numFmtId="0" fontId="188" fillId="0" borderId="54"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5" applyNumberFormat="0" applyFill="0" applyAlignment="0" applyProtection="0"/>
    <xf numFmtId="250" fontId="238" fillId="0" borderId="66" applyNumberFormat="0" applyFill="0" applyAlignment="0" applyProtection="0"/>
    <xf numFmtId="250" fontId="238" fillId="0" borderId="66"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7" applyNumberFormat="0" applyFill="0" applyAlignment="0" applyProtection="0"/>
    <xf numFmtId="250" fontId="239" fillId="0" borderId="68"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2">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7" applyNumberFormat="0" applyFill="0" applyBorder="0" applyAlignment="0" applyProtection="0"/>
    <xf numFmtId="0" fontId="6" fillId="0" borderId="47" applyNumberFormat="0" applyFill="0" applyBorder="0" applyAlignment="0" applyProtection="0"/>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0" fontId="245" fillId="151" borderId="0"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69"/>
    <xf numFmtId="0" fontId="115" fillId="0" borderId="0">
      <alignment horizontal="centerContinuous"/>
      <protection locked="0"/>
    </xf>
    <xf numFmtId="0" fontId="115" fillId="0" borderId="0">
      <alignment horizontal="left"/>
    </xf>
    <xf numFmtId="0" fontId="250" fillId="150" borderId="42">
      <alignment vertical="center"/>
    </xf>
    <xf numFmtId="0" fontId="251" fillId="0" borderId="0">
      <alignment horizontal="center"/>
    </xf>
    <xf numFmtId="195" fontId="226" fillId="0" borderId="0" applyNumberFormat="0" applyFill="0" applyBorder="0" applyAlignment="0" applyProtection="0"/>
    <xf numFmtId="0" fontId="128" fillId="52" borderId="48"/>
    <xf numFmtId="0" fontId="252" fillId="0" borderId="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37" fontId="40" fillId="87" borderId="0" applyNumberFormat="0" applyBorder="0" applyAlignment="0" applyProtection="0"/>
    <xf numFmtId="37" fontId="40" fillId="0" borderId="0"/>
    <xf numFmtId="3" fontId="197" fillId="0" borderId="70"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5" applyNumberFormat="0" applyAlignment="0" applyProtection="0"/>
    <xf numFmtId="0" fontId="51" fillId="51" borderId="15"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4" fontId="40" fillId="88" borderId="16" applyNumberFormat="0" applyProtection="0">
      <alignment horizontal="left" vertical="center" indent="1"/>
    </xf>
    <xf numFmtId="4" fontId="40" fillId="88" borderId="16"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2" fillId="68" borderId="0" applyNumberFormat="0" applyBorder="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1" fillId="0" borderId="0"/>
    <xf numFmtId="4" fontId="40" fillId="88" borderId="16" applyNumberFormat="0" applyProtection="0">
      <alignment horizontal="left" vertical="center" indent="1"/>
    </xf>
    <xf numFmtId="0" fontId="1" fillId="0" borderId="0"/>
    <xf numFmtId="0" fontId="1" fillId="0" borderId="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113" borderId="26" applyNumberFormat="0" applyProtection="0">
      <alignment horizontal="left" vertical="center" indent="1"/>
    </xf>
    <xf numFmtId="4" fontId="40" fillId="113"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66">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3" xfId="4" applyBorder="1" applyAlignment="1">
      <alignment horizontal="left" vertical="top" wrapText="1"/>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66" fontId="6" fillId="15" borderId="0" xfId="63" applyNumberFormat="1" applyFill="1">
      <alignment vertical="top"/>
    </xf>
    <xf numFmtId="49" fontId="7" fillId="21" borderId="3" xfId="6" applyBorder="1">
      <alignment vertical="top"/>
    </xf>
    <xf numFmtId="49" fontId="7" fillId="21" borderId="33" xfId="6" applyBorder="1">
      <alignment vertical="top"/>
    </xf>
    <xf numFmtId="49" fontId="7" fillId="21" borderId="33"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3" xfId="6" applyBorder="1" applyAlignment="1"/>
    <xf numFmtId="49" fontId="7" fillId="21" borderId="33" xfId="6" applyBorder="1" applyAlignment="1">
      <alignment horizontal="center"/>
    </xf>
    <xf numFmtId="49" fontId="7" fillId="21" borderId="33"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3"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1" xfId="0" applyFont="1" applyFill="1" applyBorder="1">
      <alignment vertical="top"/>
    </xf>
    <xf numFmtId="0" fontId="32" fillId="154" borderId="72" xfId="0" applyFont="1" applyFill="1" applyBorder="1">
      <alignment vertical="top"/>
    </xf>
    <xf numFmtId="0" fontId="32" fillId="154" borderId="73" xfId="0" applyFont="1" applyFill="1" applyBorder="1">
      <alignment vertical="top"/>
    </xf>
    <xf numFmtId="0" fontId="32" fillId="154" borderId="0" xfId="0" applyFont="1" applyFill="1">
      <alignment vertical="top"/>
    </xf>
    <xf numFmtId="0" fontId="32" fillId="154" borderId="74" xfId="0" applyFont="1" applyFill="1" applyBorder="1">
      <alignment vertical="top"/>
    </xf>
    <xf numFmtId="0" fontId="32" fillId="7" borderId="0" xfId="0" applyFont="1" applyFill="1" applyAlignment="1">
      <alignment horizontal="center" vertical="top"/>
    </xf>
    <xf numFmtId="0" fontId="32" fillId="154" borderId="75" xfId="0" applyFont="1" applyFill="1" applyBorder="1">
      <alignment vertical="top"/>
    </xf>
    <xf numFmtId="0" fontId="32" fillId="154" borderId="76" xfId="0" applyFont="1" applyFill="1" applyBorder="1">
      <alignment vertical="top"/>
    </xf>
    <xf numFmtId="0" fontId="32" fillId="154" borderId="77" xfId="0" applyFont="1" applyFill="1" applyBorder="1">
      <alignment vertical="top"/>
    </xf>
    <xf numFmtId="0" fontId="32" fillId="154" borderId="78"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3" xfId="6" applyBorder="1" applyAlignment="1">
      <alignment vertical="center"/>
    </xf>
    <xf numFmtId="49" fontId="7" fillId="21" borderId="0" xfId="6" applyBorder="1" applyAlignment="1">
      <alignment vertical="center"/>
    </xf>
    <xf numFmtId="49" fontId="7" fillId="21" borderId="33" xfId="6" applyBorder="1" applyAlignment="1">
      <alignment vertical="center"/>
    </xf>
    <xf numFmtId="0" fontId="6" fillId="13" borderId="0" xfId="0" applyFont="1" applyFill="1" applyAlignment="1">
      <alignment horizontal="center"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3" xfId="61" applyBorder="1" applyAlignment="1">
      <alignment vertical="top" wrapText="1"/>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79" xfId="6" applyBorder="1">
      <alignment vertical="top"/>
    </xf>
    <xf numFmtId="49" fontId="7" fillId="21" borderId="14" xfId="6" applyBorder="1">
      <alignment vertical="top"/>
    </xf>
    <xf numFmtId="0" fontId="7" fillId="21" borderId="33" xfId="6" applyNumberFormat="1" applyBorder="1" applyAlignment="1">
      <alignment horizontal="right" vertical="top"/>
    </xf>
    <xf numFmtId="0" fontId="7" fillId="21" borderId="33"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3" xfId="6" applyNumberFormat="1" applyBorder="1" applyAlignment="1">
      <alignment horizontal="center" vertical="top"/>
    </xf>
    <xf numFmtId="0" fontId="0" fillId="0" borderId="3" xfId="0" applyBorder="1">
      <alignment vertical="top"/>
    </xf>
    <xf numFmtId="0" fontId="7"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0"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3"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49" fontId="259" fillId="0" borderId="2" xfId="61" applyFont="1" applyBorder="1" applyAlignment="1">
      <alignment vertical="top" wrapText="1"/>
    </xf>
    <xf numFmtId="49" fontId="7" fillId="21" borderId="3"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7" fillId="0" borderId="0" xfId="6" applyNumberFormat="1" applyFill="1" applyBorder="1" applyAlignment="1"/>
    <xf numFmtId="239" fontId="6" fillId="0" borderId="0" xfId="4" applyNumberFormat="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0"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3"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3" xfId="6" applyNumberFormat="1" applyBorder="1">
      <alignment vertical="top"/>
    </xf>
    <xf numFmtId="269" fontId="7" fillId="21" borderId="0" xfId="6" applyNumberFormat="1" applyBorder="1">
      <alignment vertical="top"/>
    </xf>
    <xf numFmtId="269" fontId="7" fillId="21" borderId="33" xfId="6" applyNumberFormat="1" applyBorder="1">
      <alignment vertical="top"/>
    </xf>
    <xf numFmtId="213" fontId="6" fillId="11" borderId="0" xfId="10" applyNumberFormat="1">
      <alignment vertical="top"/>
    </xf>
    <xf numFmtId="213" fontId="7" fillId="21" borderId="3" xfId="6" applyNumberFormat="1" applyBorder="1">
      <alignment vertical="top"/>
    </xf>
    <xf numFmtId="213" fontId="7" fillId="21" borderId="0" xfId="6" applyNumberFormat="1" applyBorder="1">
      <alignment vertical="top"/>
    </xf>
    <xf numFmtId="213" fontId="7" fillId="21" borderId="33"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3" xfId="6" applyNumberFormat="1" applyBorder="1" applyAlignment="1">
      <alignment vertical="center"/>
    </xf>
    <xf numFmtId="269" fontId="7" fillId="21" borderId="0" xfId="6" applyNumberFormat="1" applyBorder="1" applyAlignment="1">
      <alignment vertical="center"/>
    </xf>
    <xf numFmtId="269" fontId="7" fillId="21" borderId="33"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0" borderId="0" xfId="4" applyNumberFormat="1" applyAlignment="1">
      <alignment vertical="center"/>
    </xf>
    <xf numFmtId="270" fontId="7" fillId="21" borderId="3" xfId="6" applyNumberFormat="1" applyBorder="1" applyAlignment="1">
      <alignment vertical="center"/>
    </xf>
    <xf numFmtId="270" fontId="7" fillId="21" borderId="0" xfId="6" applyNumberFormat="1" applyBorder="1" applyAlignment="1">
      <alignment vertical="center"/>
    </xf>
    <xf numFmtId="270" fontId="7" fillId="21" borderId="33" xfId="6" applyNumberFormat="1" applyBorder="1" applyAlignment="1">
      <alignment vertical="center"/>
    </xf>
    <xf numFmtId="270" fontId="6" fillId="0" borderId="0" xfId="63" applyNumberFormat="1" applyFill="1" applyAlignment="1">
      <alignment vertical="center"/>
    </xf>
    <xf numFmtId="270" fontId="7" fillId="21" borderId="3" xfId="6" applyNumberFormat="1" applyBorder="1">
      <alignment vertical="top"/>
    </xf>
    <xf numFmtId="270" fontId="7" fillId="21" borderId="0" xfId="6" applyNumberFormat="1" applyBorder="1">
      <alignment vertical="top"/>
    </xf>
    <xf numFmtId="270" fontId="7" fillId="21" borderId="33" xfId="6" applyNumberFormat="1" applyBorder="1">
      <alignment vertical="top"/>
    </xf>
    <xf numFmtId="270" fontId="6" fillId="0" borderId="0" xfId="4" applyNumberFormat="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 fontId="6" fillId="7"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49" fontId="10" fillId="0" borderId="0" xfId="61" applyFont="1" applyBorder="1" applyAlignment="1">
      <alignment vertical="top" wrapText="1"/>
    </xf>
    <xf numFmtId="0" fontId="260" fillId="0" borderId="0" xfId="0" applyFont="1">
      <alignment vertical="top"/>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262" fontId="6" fillId="7" borderId="0" xfId="4" applyNumberFormat="1" applyFill="1">
      <alignment vertical="top"/>
    </xf>
    <xf numFmtId="3" fontId="6" fillId="7" borderId="0" xfId="63" applyNumberFormat="1" applyFill="1">
      <alignment vertical="top"/>
    </xf>
    <xf numFmtId="0" fontId="7" fillId="11" borderId="0" xfId="4" applyFont="1" applyFill="1">
      <alignment vertical="top"/>
    </xf>
    <xf numFmtId="0" fontId="160" fillId="0" borderId="0" xfId="0" applyFont="1">
      <alignment vertical="top"/>
    </xf>
    <xf numFmtId="0" fontId="7" fillId="0" borderId="0" xfId="6" applyNumberFormat="1" applyFill="1" applyBorder="1" applyAlignment="1"/>
    <xf numFmtId="49" fontId="22" fillId="21" borderId="3" xfId="6" applyFont="1" applyBorder="1">
      <alignment vertical="top"/>
    </xf>
    <xf numFmtId="49" fontId="22" fillId="21" borderId="33" xfId="6" applyFont="1" applyBorder="1">
      <alignment vertical="top"/>
    </xf>
    <xf numFmtId="0" fontId="22" fillId="21" borderId="33"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49" fontId="22" fillId="21" borderId="79" xfId="6" applyFont="1" applyBorder="1">
      <alignment vertical="top"/>
    </xf>
    <xf numFmtId="49" fontId="22" fillId="21" borderId="14" xfId="6" applyFont="1" applyBorder="1">
      <alignment vertical="top"/>
    </xf>
    <xf numFmtId="10" fontId="6" fillId="11" borderId="0" xfId="64" applyFill="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0" fontId="7" fillId="11" borderId="0" xfId="4" applyFont="1" applyFill="1" applyAlignment="1">
      <alignment vertical="top" wrapText="1"/>
    </xf>
    <xf numFmtId="49" fontId="21" fillId="0" borderId="14" xfId="61" applyBorder="1" applyAlignment="1">
      <alignment vertical="top"/>
    </xf>
    <xf numFmtId="272" fontId="6" fillId="0" borderId="0" xfId="4" applyNumberFormat="1">
      <alignment vertical="top"/>
    </xf>
    <xf numFmtId="269" fontId="6" fillId="14" borderId="0" xfId="63" applyNumberFormat="1" applyFill="1" applyAlignment="1">
      <alignment vertical="top"/>
    </xf>
    <xf numFmtId="49" fontId="7" fillId="154" borderId="0" xfId="6" applyFill="1" applyBorder="1" applyAlignment="1"/>
    <xf numFmtId="239" fontId="6" fillId="154" borderId="0" xfId="4" applyNumberFormat="1" applyFill="1">
      <alignment vertical="top"/>
    </xf>
    <xf numFmtId="0" fontId="0" fillId="0" borderId="2" xfId="0" applyBorder="1">
      <alignment vertical="top"/>
    </xf>
    <xf numFmtId="166" fontId="261" fillId="0" borderId="0" xfId="63" applyNumberFormat="1" applyFont="1" applyFill="1">
      <alignment vertical="top"/>
    </xf>
    <xf numFmtId="164" fontId="7" fillId="21" borderId="1" xfId="63" applyNumberFormat="1" applyFont="1" applyFill="1" applyBorder="1">
      <alignment vertical="top"/>
    </xf>
    <xf numFmtId="164" fontId="6" fillId="0" borderId="0" xfId="64" applyNumberFormat="1">
      <alignment vertical="top"/>
    </xf>
    <xf numFmtId="0" fontId="6" fillId="0" borderId="0" xfId="4" applyAlignment="1">
      <alignment horizontal="left" vertical="top" wrapText="1"/>
    </xf>
    <xf numFmtId="164" fontId="6" fillId="11" borderId="0" xfId="10" applyNumberFormat="1">
      <alignment vertical="top"/>
    </xf>
    <xf numFmtId="0" fontId="0" fillId="0" borderId="0" xfId="0" applyNumberFormat="1">
      <alignment vertical="top"/>
    </xf>
    <xf numFmtId="265" fontId="6" fillId="8" borderId="0" xfId="63" applyNumberFormat="1" applyFill="1">
      <alignment vertical="top"/>
    </xf>
    <xf numFmtId="0" fontId="11" fillId="0" borderId="0" xfId="0" applyFont="1">
      <alignment vertical="top"/>
    </xf>
    <xf numFmtId="49" fontId="7" fillId="21" borderId="1" xfId="6" applyFont="1">
      <alignment vertical="top"/>
    </xf>
    <xf numFmtId="0" fontId="6" fillId="0" borderId="0" xfId="4" applyFont="1">
      <alignment vertical="top"/>
    </xf>
    <xf numFmtId="0" fontId="6" fillId="8" borderId="0" xfId="4" applyFont="1" applyFill="1">
      <alignment vertical="top"/>
    </xf>
    <xf numFmtId="164" fontId="6" fillId="7" borderId="0" xfId="4" applyNumberFormat="1" applyFont="1" applyFill="1">
      <alignment vertical="top"/>
    </xf>
    <xf numFmtId="164" fontId="6" fillId="11" borderId="0" xfId="63" applyNumberFormat="1" applyFont="1" applyFill="1">
      <alignment vertical="top"/>
    </xf>
    <xf numFmtId="164" fontId="6" fillId="156" borderId="0" xfId="63" applyNumberFormat="1" applyFont="1" applyFill="1">
      <alignment vertical="top"/>
    </xf>
    <xf numFmtId="0" fontId="6" fillId="0" borderId="0" xfId="4" applyAlignment="1">
      <alignment vertical="top"/>
    </xf>
    <xf numFmtId="49" fontId="21" fillId="0" borderId="81" xfId="61" applyBorder="1" applyAlignment="1">
      <alignment vertical="top"/>
    </xf>
    <xf numFmtId="0" fontId="0" fillId="157" borderId="0" xfId="0" applyNumberFormat="1" applyFill="1">
      <alignment vertical="top"/>
    </xf>
    <xf numFmtId="164" fontId="0" fillId="0" borderId="0" xfId="63" applyNumberFormat="1" applyFont="1" applyFill="1" applyAlignment="1">
      <alignment vertical="top"/>
    </xf>
    <xf numFmtId="0" fontId="6" fillId="0" borderId="0" xfId="4" applyAlignment="1">
      <alignment horizontal="left" vertical="top" wrapText="1"/>
    </xf>
    <xf numFmtId="262" fontId="6" fillId="14" borderId="0" xfId="4" applyNumberFormat="1" applyFill="1" applyAlignment="1">
      <alignment horizontal="right" vertical="center"/>
    </xf>
    <xf numFmtId="262" fontId="6" fillId="14" borderId="0" xfId="63" applyNumberFormat="1" applyFill="1" applyAlignment="1">
      <alignment horizontal="right" vertical="center"/>
    </xf>
    <xf numFmtId="262" fontId="6" fillId="14" borderId="0" xfId="4" applyNumberFormat="1" applyFill="1" applyAlignment="1">
      <alignment vertical="center"/>
    </xf>
    <xf numFmtId="262" fontId="6" fillId="14" borderId="0" xfId="63" applyNumberFormat="1" applyFill="1" applyAlignment="1">
      <alignment vertical="center"/>
    </xf>
    <xf numFmtId="166" fontId="6" fillId="14" borderId="0" xfId="63" applyNumberFormat="1" applyFill="1" applyAlignment="1">
      <alignment horizontal="right" vertical="center"/>
    </xf>
    <xf numFmtId="166" fontId="6" fillId="14" borderId="0" xfId="63" applyNumberFormat="1" applyFill="1" applyAlignment="1">
      <alignment vertical="center"/>
    </xf>
    <xf numFmtId="0" fontId="6" fillId="0" borderId="0" xfId="4" applyAlignment="1">
      <alignment horizontal="left" vertical="top"/>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40">
    <dxf>
      <fill>
        <patternFill patternType="solid">
          <fgColor indexed="64"/>
          <bgColor rgb="FFCCCCFF"/>
        </patternFill>
      </fill>
    </dxf>
    <dxf>
      <numFmt numFmtId="0" formatCode="General"/>
      <fill>
        <patternFill patternType="solid">
          <fgColor indexed="64"/>
          <bgColor rgb="FFCCCCFF"/>
        </patternFill>
      </fill>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ill>
        <patternFill patternType="solid">
          <fgColor indexed="64"/>
          <bgColor rgb="FFCCCCFF"/>
        </patternFill>
      </fill>
    </dxf>
    <dxf>
      <numFmt numFmtId="0" formatCode="General"/>
      <fill>
        <patternFill patternType="solid">
          <fgColor indexed="64"/>
          <bgColor rgb="FFCCCCFF"/>
        </patternFill>
      </fill>
    </dxf>
    <dxf>
      <numFmt numFmtId="0" formatCode="General"/>
      <fill>
        <patternFill patternType="solid">
          <fgColor indexed="64"/>
          <bgColor rgb="FFCCCCFF"/>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numFmt numFmtId="3" formatCode="#,##0"/>
      <fill>
        <patternFill patternType="solid">
          <fgColor indexed="64"/>
          <bgColor rgb="FF99FF99"/>
        </patternFill>
      </fill>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none">
          <fgColor indexed="64"/>
          <bgColor indexed="65"/>
        </patternFill>
      </fill>
    </dxf>
    <dxf>
      <fill>
        <patternFill patternType="solid">
          <fgColor indexed="64"/>
          <bgColor rgb="FF99FF99"/>
        </patternFill>
      </fill>
    </dxf>
    <dxf>
      <border outline="0">
        <bottom style="thin">
          <color indexed="64"/>
        </bottom>
      </border>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solid">
          <fgColor indexed="64"/>
          <bgColor rgb="FF99FF99"/>
        </patternFill>
      </fill>
    </dxf>
    <dxf>
      <fill>
        <patternFill patternType="solid">
          <fgColor indexed="64"/>
          <bgColor rgb="FF99FF99"/>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9"/>
    </tableStyle>
  </tableStyles>
  <colors>
    <mruColors>
      <color rgb="FFFFCCFF"/>
      <color rgb="FF99FF99"/>
      <color rgb="FFFFFFCC"/>
      <color rgb="FFCCFFCC"/>
      <color rgb="FFCCFF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8" tableType="queryTable" totalsRowShown="0" headerRowCellStyle="_kop2 Bloktitel">
  <autoFilter ref="B19:H58" xr:uid="{E7DA7C93-B450-460F-971C-4E09B7976CA4}"/>
  <sortState xmlns:xlrd2="http://schemas.microsoft.com/office/spreadsheetml/2017/richdata2" ref="B20:H58">
    <sortCondition ref="D19:D39"/>
  </sortState>
  <tableColumns count="7">
    <tableColumn id="1" xr3:uid="{7EEB421B-CC9A-4CE7-BCAE-B63F69C68E8E}" uniqueName="1" name="Index" queryTableFieldId="1" dataDxfId="38"/>
    <tableColumn id="2" xr3:uid="{FD41C2D7-6835-40E6-A9A5-3814881A6D19}" uniqueName="2" name="Investeringsbedrag" queryTableFieldId="2" dataDxfId="37" dataCellStyle="Komma"/>
    <tableColumn id="3" xr3:uid="{AA1173C8-5786-4999-B694-3FFC0560A270}" uniqueName="3" name="Jaar begin afschrijven" queryTableFieldId="3" dataDxfId="36"/>
    <tableColumn id="4" xr3:uid="{3A7FCBED-2EAC-4409-AB04-C96A08F772E6}" uniqueName="4" name="Activacategorie" queryTableFieldId="4" dataDxfId="35"/>
    <tableColumn id="5" xr3:uid="{0821367A-ACED-4AA8-89AB-D5A1DAC1ABE7}" uniqueName="5" name="Vervanging / uitbreiding" queryTableFieldId="5" dataDxfId="34"/>
    <tableColumn id="6" xr3:uid="{13AC745B-711A-4B7A-838C-0B8B8DA04C3F}" uniqueName="6" name="Ombouwtaak" queryTableFieldId="6" dataDxfId="33"/>
    <tableColumn id="7" xr3:uid="{D6351E6A-652D-4FFE-A686-1564C909C4FE}" uniqueName="7" name="Bestandsnaam" queryTableFieldId="7" dataDxfId="32"/>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42" tableType="queryTable" totalsRowShown="0" headerRowBorderDxfId="31" headerRowCellStyle="_kop2 Bloktitel">
  <autoFilter ref="B19:G142" xr:uid="{E6DC1CB6-3DB3-4CDA-8E67-B24E47D5606F}"/>
  <tableColumns count="6">
    <tableColumn id="1" xr3:uid="{14DB8885-7602-4D19-99E4-091E101C795F}" uniqueName="1" name="Index" queryTableFieldId="1" dataDxfId="30"/>
    <tableColumn id="2" xr3:uid="{E7BDA9CB-D694-4ED4-94CF-33E2A25CEFDD}" uniqueName="2" name="Investeringsbedrag" queryTableFieldId="2" dataDxfId="29" dataCellStyle="Komma"/>
    <tableColumn id="3" xr3:uid="{74C5678D-BED5-4D51-82F8-CB57C4CDE794}" uniqueName="3" name="Jaar begin afschrijven" queryTableFieldId="3" dataDxfId="28"/>
    <tableColumn id="4" xr3:uid="{6C014AE5-1C7F-4839-AC66-C9602F636B39}" uniqueName="4" name="Activacategorie" queryTableFieldId="4" dataDxfId="27"/>
    <tableColumn id="5" xr3:uid="{263AD9B9-093A-4277-9A29-0FD417142C06}" uniqueName="5" name="Bestandsnaam" queryTableFieldId="5" dataDxfId="26"/>
    <tableColumn id="6" xr3:uid="{2FD7DD34-1CA4-40C4-A31A-506B085DCCE8}" uniqueName="6" name="Versie" queryTableFieldId="6" dataDxfId="25"/>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804" tableType="queryTable" totalsRowShown="0" headerRowBorderDxfId="24" headerRowCellStyle="_kop2 Bloktitel">
  <autoFilter ref="B19:I804"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5" tableType="queryTable" totalsRowShown="0" headerRowBorderDxfId="15" headerRowCellStyle="_kop2 Bloktitel">
  <autoFilter ref="B19:J25"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31" tableType="queryTable" totalsRowShown="0" headerRowBorderDxfId="7" headerRowCellStyle="_kop2 Bloktitel">
  <autoFilter ref="B19:H31"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18" Type="http://schemas.openxmlformats.org/officeDocument/2006/relationships/printerSettings" Target="../printerSettings/printerSettings3.bin"/><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17" Type="http://schemas.openxmlformats.org/officeDocument/2006/relationships/hyperlink" Target="https://www.acm.nl/nl/publicaties/inkomstenbesluit-gts-2027-2031" TargetMode="External"/><Relationship Id="rId2" Type="http://schemas.openxmlformats.org/officeDocument/2006/relationships/hyperlink" Target="https://www.acm.nl/nl/publicaties/gewijzigd-methodebesluit-gts-2017-2021" TargetMode="External"/><Relationship Id="rId16" Type="http://schemas.openxmlformats.org/officeDocument/2006/relationships/hyperlink" Target="https://www.acm.nl/nl/publicaties/tarievenbesluit-gts-2025"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hyperlink" Target="https://www.acm.nl/nl/publicaties/tarievenbesluit-gts-2026" TargetMode="External"/><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tabSelected="1" zoomScale="85" zoomScaleNormal="85" workbookViewId="0">
      <pane ySplit="3" topLeftCell="A4" activePane="bottomLeft" state="frozen"/>
      <selection activeCell="A4" sqref="A4"/>
      <selection pane="bottomLeft" activeCell="A4" sqref="A4"/>
    </sheetView>
  </sheetViews>
  <sheetFormatPr defaultColWidth="9.1796875" defaultRowHeight="12.5"/>
  <cols>
    <col min="1" max="1" width="2.54296875" style="3" customWidth="1"/>
    <col min="2" max="2" width="39.81640625" style="3" customWidth="1"/>
    <col min="3" max="3" width="91.81640625" style="3" customWidth="1"/>
    <col min="4" max="16384" width="9.1796875" style="3"/>
  </cols>
  <sheetData>
    <row r="2" spans="2:3" s="7" customFormat="1" ht="18">
      <c r="B2" s="7" t="s">
        <v>1117</v>
      </c>
    </row>
    <row r="13" spans="2:3" s="8" customFormat="1" ht="13">
      <c r="B13" s="8" t="s">
        <v>0</v>
      </c>
    </row>
    <row r="15" spans="2:3">
      <c r="B15" s="9" t="s">
        <v>1</v>
      </c>
      <c r="C15" s="9" t="s">
        <v>1132</v>
      </c>
    </row>
    <row r="16" spans="2:3">
      <c r="B16" s="9" t="s">
        <v>2</v>
      </c>
      <c r="C16" s="9" t="s">
        <v>1117</v>
      </c>
    </row>
    <row r="17" spans="2:3">
      <c r="B17" s="9" t="s">
        <v>3</v>
      </c>
      <c r="C17" s="9" t="s">
        <v>4</v>
      </c>
    </row>
    <row r="18" spans="2:3">
      <c r="B18" s="9" t="s">
        <v>5</v>
      </c>
      <c r="C18" s="9" t="s">
        <v>1118</v>
      </c>
    </row>
    <row r="19" spans="2:3">
      <c r="B19" s="9" t="s">
        <v>6</v>
      </c>
      <c r="C19" s="24" t="s">
        <v>7</v>
      </c>
    </row>
    <row r="20" spans="2:3">
      <c r="B20" s="9" t="s">
        <v>8</v>
      </c>
      <c r="C20" s="333" t="s">
        <v>1165</v>
      </c>
    </row>
    <row r="21" spans="2:3">
      <c r="B21" s="9" t="s">
        <v>9</v>
      </c>
      <c r="C21" s="9" t="s">
        <v>1164</v>
      </c>
    </row>
    <row r="22" spans="2:3">
      <c r="B22" s="9" t="s">
        <v>10</v>
      </c>
      <c r="C22" s="9" t="s">
        <v>4</v>
      </c>
    </row>
    <row r="25" spans="2:3" s="8" customFormat="1" ht="13">
      <c r="B25" s="8" t="s">
        <v>11</v>
      </c>
    </row>
    <row r="27" spans="2:3">
      <c r="B27" s="9" t="s">
        <v>12</v>
      </c>
      <c r="C27" s="9" t="s">
        <v>798</v>
      </c>
    </row>
    <row r="28" spans="2:3">
      <c r="B28" s="9" t="s">
        <v>14</v>
      </c>
      <c r="C28" s="9" t="s">
        <v>798</v>
      </c>
    </row>
    <row r="29" spans="2:3" ht="25">
      <c r="B29" s="9" t="s">
        <v>15</v>
      </c>
      <c r="C29" s="150" t="s">
        <v>798</v>
      </c>
    </row>
    <row r="30" spans="2:3">
      <c r="B30" s="9" t="s">
        <v>16</v>
      </c>
      <c r="C30" s="57" t="s">
        <v>13</v>
      </c>
    </row>
    <row r="31" spans="2:3">
      <c r="B31" s="9" t="s">
        <v>17</v>
      </c>
      <c r="C31" s="57" t="s">
        <v>7</v>
      </c>
    </row>
    <row r="32" spans="2:3">
      <c r="B32" s="9" t="s">
        <v>10</v>
      </c>
      <c r="C32" s="9" t="s">
        <v>4</v>
      </c>
    </row>
    <row r="34" spans="2:4" ht="13">
      <c r="B34" s="352" t="s">
        <v>18</v>
      </c>
      <c r="C34" s="352"/>
      <c r="D34" s="5"/>
    </row>
    <row r="36" spans="2:4" s="8" customFormat="1" ht="13">
      <c r="B36" s="8" t="s">
        <v>19</v>
      </c>
      <c r="C36" s="8" t="s">
        <v>20</v>
      </c>
      <c r="D36" s="8" t="s">
        <v>21</v>
      </c>
    </row>
    <row r="38" spans="2:4">
      <c r="C38" s="135" t="s">
        <v>22</v>
      </c>
    </row>
    <row r="39" spans="2:4" ht="13.5" customHeight="1">
      <c r="C39" s="135"/>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6"/>
  <sheetViews>
    <sheetView showGridLines="0" zoomScale="85" zoomScaleNormal="85" workbookViewId="0">
      <pane xSplit="4" ySplit="6" topLeftCell="E7" activePane="bottomRight" state="frozen"/>
      <selection pane="topRight"/>
      <selection pane="bottomLeft"/>
      <selection pane="bottomRight" activeCell="E7" sqref="E7"/>
    </sheetView>
  </sheetViews>
  <sheetFormatPr defaultColWidth="9.1796875" defaultRowHeight="12.5"/>
  <cols>
    <col min="1" max="1" width="2.54296875" style="199" customWidth="1"/>
    <col min="2" max="2" width="62.1796875" style="3" customWidth="1"/>
    <col min="3" max="3" width="2.54296875" style="3" customWidth="1"/>
    <col min="4" max="4" width="13.54296875" style="3" customWidth="1"/>
    <col min="5" max="5" width="2.54296875" style="3" customWidth="1"/>
    <col min="6" max="6" width="19.54296875" style="3" bestFit="1" customWidth="1"/>
    <col min="7" max="7" width="2.54296875" style="3" customWidth="1"/>
    <col min="8" max="9" width="21.54296875" style="3" bestFit="1" customWidth="1"/>
    <col min="10" max="10" width="16.54296875" style="3" bestFit="1" customWidth="1"/>
    <col min="11" max="16" width="14.54296875" style="3" customWidth="1"/>
    <col min="17" max="17" width="2.54296875" style="3" customWidth="1"/>
    <col min="18" max="18" width="73.54296875" style="3" bestFit="1" customWidth="1"/>
    <col min="19" max="19" width="2.54296875" style="3" customWidth="1"/>
    <col min="20" max="20" width="13.54296875" style="3" customWidth="1"/>
    <col min="21" max="33" width="13.54296875" style="199" customWidth="1"/>
    <col min="34" max="16384" width="9.1796875" style="3"/>
  </cols>
  <sheetData>
    <row r="2" spans="2:20" s="12" customFormat="1" ht="18">
      <c r="B2" s="12" t="s">
        <v>487</v>
      </c>
    </row>
    <row r="4" spans="2:20" ht="13">
      <c r="B4" s="16" t="s">
        <v>183</v>
      </c>
      <c r="C4" s="2"/>
    </row>
    <row r="5" spans="2:20" ht="71.25" customHeight="1">
      <c r="B5" s="352" t="s">
        <v>488</v>
      </c>
      <c r="C5" s="352"/>
      <c r="D5" s="352"/>
      <c r="F5" s="13"/>
    </row>
    <row r="8" spans="2:20" s="8" customFormat="1" ht="12.75" customHeight="1">
      <c r="B8" s="8" t="s">
        <v>143</v>
      </c>
    </row>
    <row r="9" spans="2:20" s="200" customFormat="1" ht="12.75" customHeight="1"/>
    <row r="10" spans="2:20" s="8" customFormat="1" ht="12.75" customHeight="1">
      <c r="B10" s="8" t="s">
        <v>489</v>
      </c>
      <c r="F10" s="8" t="s">
        <v>353</v>
      </c>
      <c r="H10" s="8" t="s">
        <v>275</v>
      </c>
      <c r="I10" s="8" t="s">
        <v>490</v>
      </c>
      <c r="J10" s="8" t="s">
        <v>484</v>
      </c>
      <c r="R10" s="8" t="s">
        <v>186</v>
      </c>
      <c r="T10" s="8" t="s">
        <v>187</v>
      </c>
    </row>
    <row r="11" spans="2:20">
      <c r="B11" s="199"/>
    </row>
    <row r="12" spans="2:20">
      <c r="B12" s="3" t="s">
        <v>491</v>
      </c>
      <c r="F12" s="201">
        <v>2011</v>
      </c>
      <c r="H12" s="202">
        <v>30</v>
      </c>
      <c r="I12" s="202">
        <v>22704728.687201399</v>
      </c>
      <c r="J12" s="203">
        <v>17376205.576952007</v>
      </c>
      <c r="R12" s="3" t="s">
        <v>492</v>
      </c>
      <c r="T12" s="3" t="s">
        <v>493</v>
      </c>
    </row>
    <row r="13" spans="2:20">
      <c r="B13" s="3" t="s">
        <v>494</v>
      </c>
      <c r="F13" s="201">
        <v>2012</v>
      </c>
      <c r="H13" s="202">
        <v>30</v>
      </c>
      <c r="I13" s="202">
        <v>1408497.2920886443</v>
      </c>
      <c r="J13" s="203">
        <v>1104502.0714844635</v>
      </c>
      <c r="L13" s="208"/>
      <c r="M13" s="208"/>
      <c r="N13" s="208"/>
      <c r="O13" s="208"/>
      <c r="P13" s="208"/>
      <c r="R13" s="13"/>
    </row>
    <row r="14" spans="2:20">
      <c r="B14" s="3" t="s">
        <v>495</v>
      </c>
      <c r="F14" s="201">
        <v>2013</v>
      </c>
      <c r="H14" s="202">
        <v>30</v>
      </c>
      <c r="I14" s="202">
        <v>337946.31023100798</v>
      </c>
      <c r="J14" s="203">
        <v>271685.95797538623</v>
      </c>
      <c r="L14" s="208"/>
      <c r="M14" s="208"/>
      <c r="N14" s="208"/>
      <c r="O14" s="208"/>
      <c r="P14" s="208"/>
      <c r="R14" s="13"/>
    </row>
    <row r="15" spans="2:20">
      <c r="B15" s="3" t="s">
        <v>496</v>
      </c>
      <c r="F15" s="201">
        <v>2014</v>
      </c>
      <c r="H15" s="202">
        <v>30</v>
      </c>
      <c r="I15" s="202">
        <v>167929.59201100032</v>
      </c>
      <c r="J15" s="203">
        <v>137435.09908722798</v>
      </c>
      <c r="L15" s="208"/>
      <c r="M15" s="208"/>
      <c r="N15" s="208"/>
      <c r="O15" s="208"/>
      <c r="P15" s="208"/>
      <c r="R15" s="13"/>
    </row>
    <row r="16" spans="2:20">
      <c r="B16" s="3" t="s">
        <v>497</v>
      </c>
      <c r="F16" s="201">
        <v>2015</v>
      </c>
      <c r="H16" s="202">
        <v>30</v>
      </c>
      <c r="I16" s="202">
        <v>2621.3116059707399</v>
      </c>
      <c r="J16" s="203">
        <v>2218.4673824688466</v>
      </c>
    </row>
    <row r="18" spans="1:20" s="8" customFormat="1" ht="12" customHeight="1">
      <c r="B18" s="8" t="s">
        <v>498</v>
      </c>
      <c r="D18" s="8" t="s">
        <v>184</v>
      </c>
      <c r="F18" s="8" t="s">
        <v>185</v>
      </c>
      <c r="H18" s="46">
        <v>2018</v>
      </c>
      <c r="I18" s="46">
        <v>2019</v>
      </c>
      <c r="J18" s="46">
        <v>2020</v>
      </c>
      <c r="K18" s="46">
        <v>2021</v>
      </c>
      <c r="L18" s="46">
        <v>2022</v>
      </c>
      <c r="M18" s="46">
        <v>2023</v>
      </c>
      <c r="N18" s="46">
        <v>2024</v>
      </c>
      <c r="O18" s="46">
        <v>2025</v>
      </c>
      <c r="P18" s="46">
        <v>2026</v>
      </c>
      <c r="R18" s="8" t="s">
        <v>186</v>
      </c>
      <c r="T18" s="8" t="s">
        <v>187</v>
      </c>
    </row>
    <row r="19" spans="1:20">
      <c r="N19" s="89"/>
    </row>
    <row r="20" spans="1:20" ht="13">
      <c r="B20" s="2" t="s">
        <v>499</v>
      </c>
      <c r="N20" s="89"/>
    </row>
    <row r="21" spans="1:20" ht="13">
      <c r="B21" s="3" t="s">
        <v>500</v>
      </c>
      <c r="D21" s="3" t="s">
        <v>189</v>
      </c>
      <c r="H21" s="204"/>
      <c r="I21" s="204"/>
      <c r="K21" s="206"/>
      <c r="L21" s="207"/>
      <c r="N21" s="89"/>
      <c r="O21" s="281">
        <v>545420.19400000002</v>
      </c>
      <c r="R21" s="341"/>
    </row>
    <row r="22" spans="1:20">
      <c r="A22" s="3"/>
      <c r="N22" s="89"/>
    </row>
    <row r="23" spans="1:20" ht="13">
      <c r="A23" s="3"/>
      <c r="B23" s="2" t="s">
        <v>501</v>
      </c>
      <c r="N23" s="89"/>
    </row>
    <row r="24" spans="1:20" ht="13">
      <c r="B24" s="3" t="s">
        <v>502</v>
      </c>
      <c r="D24" s="3" t="s">
        <v>189</v>
      </c>
      <c r="H24" s="205"/>
      <c r="I24" s="205"/>
      <c r="J24" s="207"/>
      <c r="K24" s="206"/>
      <c r="L24" s="207"/>
      <c r="N24" s="89"/>
      <c r="O24" s="281">
        <v>3477699</v>
      </c>
      <c r="R24" s="341"/>
    </row>
    <row r="25" spans="1:20">
      <c r="N25" s="89"/>
    </row>
    <row r="26" spans="1:20">
      <c r="N26" s="89"/>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topRight"/>
      <selection pane="bottomLeft"/>
      <selection pane="bottomRight" activeCell="E11" sqref="E11"/>
    </sheetView>
  </sheetViews>
  <sheetFormatPr defaultColWidth="9.1796875" defaultRowHeight="12.5"/>
  <cols>
    <col min="1" max="1" width="2.54296875" style="3" customWidth="1"/>
    <col min="2" max="2" width="70" style="3" bestFit="1" customWidth="1"/>
    <col min="3" max="3" width="2.54296875" style="3" customWidth="1"/>
    <col min="4" max="4" width="11.54296875" style="3" bestFit="1" customWidth="1"/>
    <col min="5" max="5" width="2.54296875" style="3" customWidth="1"/>
    <col min="6" max="6" width="14.81640625" style="3" customWidth="1"/>
    <col min="7" max="7" width="12.81640625" style="3" customWidth="1"/>
    <col min="8" max="10" width="11.453125" style="3" customWidth="1"/>
    <col min="11" max="11" width="22.54296875" style="3" customWidth="1"/>
    <col min="12" max="17" width="12.453125" style="3" bestFit="1" customWidth="1"/>
    <col min="18" max="19" width="16.453125" style="3" bestFit="1" customWidth="1"/>
    <col min="20" max="21" width="12.453125" style="3" bestFit="1" customWidth="1"/>
    <col min="22" max="33" width="13.54296875" style="3" customWidth="1"/>
    <col min="34" max="16384" width="9.1796875" style="3"/>
  </cols>
  <sheetData>
    <row r="2" spans="1:22" s="12" customFormat="1" ht="18">
      <c r="B2" s="12" t="s">
        <v>503</v>
      </c>
    </row>
    <row r="4" spans="1:22" ht="13">
      <c r="B4" s="16" t="s">
        <v>183</v>
      </c>
      <c r="C4" s="2"/>
    </row>
    <row r="5" spans="1:22" ht="15.75" customHeight="1">
      <c r="B5" s="359" t="s">
        <v>504</v>
      </c>
      <c r="C5" s="359"/>
      <c r="D5" s="359"/>
      <c r="F5" s="13"/>
    </row>
    <row r="7" spans="1:22" ht="13">
      <c r="B7" s="17" t="s">
        <v>140</v>
      </c>
    </row>
    <row r="8" spans="1:22" ht="69.75" customHeight="1">
      <c r="B8" s="352" t="s">
        <v>505</v>
      </c>
      <c r="C8" s="352"/>
      <c r="D8" s="352"/>
    </row>
    <row r="10" spans="1:22" s="8" customFormat="1" ht="12.75" customHeight="1">
      <c r="I10" s="46"/>
      <c r="J10" s="46"/>
      <c r="K10" s="46"/>
      <c r="L10" s="46"/>
      <c r="M10" s="46"/>
      <c r="N10" s="46"/>
      <c r="O10" s="46"/>
      <c r="P10" s="46"/>
      <c r="Q10" s="46"/>
    </row>
    <row r="11" spans="1:22" ht="13">
      <c r="B11" s="2"/>
    </row>
    <row r="12" spans="1:22" s="33" customFormat="1" ht="12.75" customHeight="1">
      <c r="A12" s="96"/>
      <c r="B12" s="33" t="s">
        <v>477</v>
      </c>
      <c r="J12" s="184"/>
      <c r="K12" s="184"/>
      <c r="L12" s="184"/>
      <c r="M12" s="184"/>
      <c r="N12" s="184"/>
      <c r="O12" s="184"/>
      <c r="P12" s="184"/>
      <c r="Q12" s="184"/>
      <c r="R12" s="184"/>
      <c r="T12" s="33" t="s">
        <v>186</v>
      </c>
      <c r="V12" s="33" t="s">
        <v>187</v>
      </c>
    </row>
    <row r="13" spans="1:22" s="34" customFormat="1" ht="12.75" customHeight="1">
      <c r="A13" s="97"/>
      <c r="B13" s="34" t="s">
        <v>143</v>
      </c>
      <c r="D13" s="34" t="s">
        <v>184</v>
      </c>
      <c r="F13" s="34" t="s">
        <v>506</v>
      </c>
      <c r="H13" s="99">
        <v>2017</v>
      </c>
      <c r="I13" s="99">
        <v>2018</v>
      </c>
      <c r="J13" s="99">
        <v>2019</v>
      </c>
      <c r="K13" s="99">
        <v>2020</v>
      </c>
      <c r="L13" s="99">
        <v>2021</v>
      </c>
      <c r="M13" s="99">
        <v>2022</v>
      </c>
      <c r="N13" s="99">
        <v>2023</v>
      </c>
      <c r="O13" s="99">
        <v>2024</v>
      </c>
      <c r="P13" s="99">
        <v>2025</v>
      </c>
      <c r="Q13" s="99">
        <v>2026</v>
      </c>
    </row>
    <row r="15" spans="1:22" s="240" customFormat="1" ht="13">
      <c r="B15" s="8" t="s">
        <v>507</v>
      </c>
      <c r="C15" s="8"/>
      <c r="D15" s="8"/>
    </row>
    <row r="17" spans="2:20">
      <c r="B17" s="3" t="s">
        <v>508</v>
      </c>
      <c r="D17" s="3" t="s">
        <v>188</v>
      </c>
      <c r="F17" s="245">
        <v>0.77</v>
      </c>
      <c r="T17" s="3" t="s">
        <v>509</v>
      </c>
    </row>
    <row r="19" spans="2:20" s="240" customFormat="1" ht="13">
      <c r="B19" s="8" t="s">
        <v>510</v>
      </c>
      <c r="C19" s="8"/>
      <c r="D19" s="8"/>
    </row>
    <row r="21" spans="2:20">
      <c r="B21" s="3" t="s">
        <v>511</v>
      </c>
      <c r="D21" s="3" t="s">
        <v>189</v>
      </c>
      <c r="H21" s="10"/>
      <c r="I21" s="10"/>
      <c r="J21" s="10"/>
      <c r="K21" s="10"/>
      <c r="L21" s="10"/>
      <c r="M21" s="244">
        <v>7339829.2418518746</v>
      </c>
      <c r="N21" s="244">
        <v>6662159.7393988082</v>
      </c>
      <c r="O21" s="244">
        <v>6117183.5197096057</v>
      </c>
      <c r="P21" s="244">
        <v>5719048.4597574808</v>
      </c>
      <c r="Q21" s="244">
        <v>5428026.4892949341</v>
      </c>
      <c r="T21" s="3" t="s">
        <v>278</v>
      </c>
    </row>
    <row r="22" spans="2:20">
      <c r="B22" s="3" t="s">
        <v>512</v>
      </c>
      <c r="D22" s="3" t="s">
        <v>189</v>
      </c>
      <c r="H22" s="10"/>
      <c r="I22" s="10"/>
      <c r="J22" s="10"/>
      <c r="K22" s="10"/>
      <c r="L22" s="10"/>
      <c r="M22" s="244">
        <v>92112966.285529599</v>
      </c>
      <c r="N22" s="244">
        <v>85450806.546130821</v>
      </c>
      <c r="O22" s="244">
        <v>79333623.026421189</v>
      </c>
      <c r="P22" s="244">
        <v>73614574.566663712</v>
      </c>
      <c r="Q22" s="244">
        <v>68186548.077368766</v>
      </c>
      <c r="T22" s="3" t="s">
        <v>278</v>
      </c>
    </row>
    <row r="24" spans="2:20" s="8" customFormat="1" ht="13">
      <c r="B24" s="8" t="s">
        <v>498</v>
      </c>
    </row>
    <row r="26" spans="2:20" ht="13">
      <c r="B26" s="2" t="s">
        <v>513</v>
      </c>
    </row>
    <row r="27" spans="2:20">
      <c r="B27" t="s">
        <v>514</v>
      </c>
      <c r="D27" s="3" t="s">
        <v>189</v>
      </c>
      <c r="H27" s="10"/>
      <c r="I27" s="10"/>
      <c r="J27" s="244">
        <v>4311221.7573385285</v>
      </c>
      <c r="K27" s="10"/>
      <c r="L27" s="10"/>
      <c r="M27" s="10"/>
      <c r="N27" s="10"/>
      <c r="O27" s="10"/>
      <c r="P27" s="10"/>
      <c r="Q27" s="10"/>
      <c r="T27" s="3" t="s">
        <v>515</v>
      </c>
    </row>
    <row r="28" spans="2:20">
      <c r="B28" s="117" t="s">
        <v>516</v>
      </c>
      <c r="D28" s="3" t="s">
        <v>189</v>
      </c>
      <c r="H28" s="10"/>
      <c r="I28" s="10"/>
      <c r="J28" s="244">
        <v>5089135.5900731999</v>
      </c>
      <c r="K28" s="10"/>
      <c r="L28" s="10"/>
      <c r="M28" s="10"/>
      <c r="N28" s="10"/>
      <c r="O28" s="10"/>
      <c r="P28" s="10"/>
      <c r="Q28" s="10"/>
      <c r="T28" s="3" t="s">
        <v>515</v>
      </c>
    </row>
    <row r="30" spans="2:20" ht="13">
      <c r="B30" s="2" t="s">
        <v>517</v>
      </c>
    </row>
    <row r="31" spans="2:20">
      <c r="B31" s="3" t="s">
        <v>518</v>
      </c>
      <c r="D31" s="3" t="s">
        <v>189</v>
      </c>
      <c r="H31" s="244">
        <v>1320509.5900000001</v>
      </c>
      <c r="I31" s="244">
        <v>1966066.3200000003</v>
      </c>
      <c r="J31" s="244">
        <v>1575548.13</v>
      </c>
      <c r="K31" s="10"/>
      <c r="L31" s="10"/>
      <c r="M31" s="10"/>
      <c r="N31" s="10"/>
      <c r="O31" s="10"/>
      <c r="P31" s="10"/>
      <c r="Q31" s="10"/>
      <c r="T31" s="3" t="s">
        <v>515</v>
      </c>
    </row>
    <row r="33" spans="2:16" ht="13">
      <c r="B33" s="2"/>
    </row>
    <row r="34" spans="2:16">
      <c r="B34" s="89"/>
      <c r="C34" s="89"/>
      <c r="D34" s="89"/>
      <c r="E34" s="89"/>
      <c r="F34" s="89"/>
      <c r="G34" s="89"/>
      <c r="H34" s="185"/>
      <c r="I34" s="89"/>
      <c r="J34" s="185"/>
      <c r="K34" s="186"/>
    </row>
    <row r="35" spans="2:16">
      <c r="B35" s="89"/>
      <c r="C35" s="89"/>
      <c r="D35" s="89"/>
      <c r="E35" s="89"/>
      <c r="F35" s="89"/>
      <c r="G35" s="89"/>
      <c r="H35" s="185"/>
      <c r="I35" s="89"/>
      <c r="J35" s="185"/>
      <c r="K35" s="186"/>
    </row>
    <row r="37" spans="2:16">
      <c r="B37" s="89"/>
      <c r="C37" s="89"/>
      <c r="D37" s="89"/>
      <c r="E37" s="89"/>
      <c r="F37" s="89"/>
      <c r="G37" s="89"/>
      <c r="H37" s="185"/>
      <c r="I37" s="89"/>
      <c r="J37" s="185"/>
      <c r="K37" s="186"/>
      <c r="O37" s="88"/>
      <c r="P37" s="88"/>
    </row>
    <row r="38" spans="2:16">
      <c r="B38" s="89"/>
      <c r="C38" s="89"/>
      <c r="D38" s="89"/>
      <c r="E38" s="89"/>
      <c r="F38" s="89"/>
      <c r="G38" s="89"/>
      <c r="H38" s="185"/>
      <c r="I38" s="89"/>
      <c r="J38" s="185"/>
      <c r="K38" s="186"/>
      <c r="O38" s="88"/>
      <c r="P38" s="88"/>
    </row>
    <row r="39" spans="2:16">
      <c r="B39" s="89"/>
      <c r="C39" s="89"/>
      <c r="D39" s="89"/>
      <c r="E39" s="89"/>
      <c r="F39" s="89"/>
      <c r="G39" s="89"/>
      <c r="H39" s="185"/>
      <c r="I39" s="89"/>
      <c r="J39" s="185"/>
      <c r="K39" s="186"/>
      <c r="O39" s="88"/>
      <c r="P39" s="88"/>
    </row>
    <row r="40" spans="2:16">
      <c r="B40" s="89"/>
      <c r="C40" s="89"/>
      <c r="D40" s="89"/>
      <c r="E40" s="89"/>
      <c r="F40" s="89"/>
      <c r="G40" s="89"/>
      <c r="H40" s="185"/>
      <c r="I40" s="89"/>
      <c r="J40" s="185"/>
      <c r="K40" s="186"/>
    </row>
    <row r="41" spans="2:16">
      <c r="B41" s="89"/>
      <c r="C41" s="89"/>
      <c r="D41" s="89"/>
      <c r="E41" s="89"/>
      <c r="F41" s="89"/>
      <c r="G41" s="89"/>
      <c r="H41" s="185"/>
      <c r="I41" s="89"/>
      <c r="J41" s="185"/>
      <c r="K41" s="186"/>
    </row>
    <row r="42" spans="2:16">
      <c r="B42" s="89"/>
      <c r="C42" s="89"/>
      <c r="D42" s="89"/>
      <c r="E42" s="89"/>
      <c r="F42" s="89"/>
      <c r="G42" s="89"/>
      <c r="H42" s="185"/>
      <c r="I42" s="89"/>
      <c r="J42" s="185"/>
      <c r="K42" s="186"/>
    </row>
    <row r="43" spans="2:16">
      <c r="B43" s="89"/>
      <c r="C43" s="89"/>
      <c r="D43" s="89"/>
      <c r="E43" s="89"/>
      <c r="F43" s="89"/>
      <c r="G43" s="89"/>
      <c r="H43" s="185"/>
      <c r="I43" s="89"/>
      <c r="J43" s="185"/>
      <c r="K43" s="186"/>
    </row>
    <row r="44" spans="2:16">
      <c r="B44" s="89"/>
      <c r="C44" s="89"/>
      <c r="D44" s="89"/>
      <c r="E44" s="89"/>
      <c r="F44" s="89"/>
      <c r="G44" s="89"/>
      <c r="H44" s="185"/>
      <c r="I44" s="89"/>
      <c r="J44" s="185"/>
      <c r="K44" s="186"/>
    </row>
    <row r="45" spans="2:16">
      <c r="B45" s="89"/>
      <c r="C45" s="89"/>
      <c r="D45" s="89"/>
      <c r="E45" s="89"/>
      <c r="F45" s="89"/>
      <c r="G45" s="89"/>
      <c r="H45" s="185"/>
      <c r="I45" s="89"/>
      <c r="J45" s="185"/>
      <c r="K45" s="186"/>
    </row>
    <row r="46" spans="2:16">
      <c r="B46" s="89"/>
      <c r="C46" s="89"/>
      <c r="D46" s="89"/>
      <c r="E46" s="89"/>
      <c r="F46" s="89"/>
      <c r="G46" s="89"/>
      <c r="H46" s="185"/>
      <c r="I46" s="89"/>
      <c r="J46" s="185"/>
      <c r="K46" s="186"/>
    </row>
    <row r="47" spans="2:16">
      <c r="B47" s="89"/>
      <c r="C47" s="89"/>
      <c r="D47" s="89"/>
      <c r="E47" s="89"/>
      <c r="F47" s="89"/>
      <c r="G47" s="89"/>
      <c r="H47" s="185"/>
      <c r="I47" s="89"/>
      <c r="J47" s="185"/>
      <c r="K47" s="186"/>
    </row>
    <row r="48" spans="2:16">
      <c r="B48" s="89"/>
      <c r="C48" s="89"/>
      <c r="D48" s="89"/>
      <c r="E48" s="89"/>
      <c r="F48" s="89"/>
      <c r="G48" s="89"/>
      <c r="H48" s="185"/>
      <c r="I48" s="89"/>
      <c r="J48" s="185"/>
      <c r="K48" s="186"/>
    </row>
    <row r="49" spans="2:11">
      <c r="B49" s="89"/>
      <c r="C49" s="89"/>
      <c r="D49" s="89"/>
      <c r="E49" s="89"/>
      <c r="F49" s="89"/>
      <c r="G49" s="89"/>
      <c r="H49" s="185"/>
      <c r="I49" s="89"/>
      <c r="J49" s="185"/>
      <c r="K49" s="186"/>
    </row>
    <row r="50" spans="2:11">
      <c r="B50" s="89"/>
      <c r="C50" s="89"/>
      <c r="D50" s="89"/>
      <c r="E50" s="89"/>
      <c r="F50" s="89"/>
      <c r="G50" s="89"/>
      <c r="H50" s="185"/>
      <c r="I50" s="89"/>
      <c r="J50" s="185"/>
      <c r="K50" s="186"/>
    </row>
    <row r="51" spans="2:11">
      <c r="B51" s="89"/>
      <c r="C51" s="89"/>
      <c r="D51" s="89"/>
      <c r="E51" s="89"/>
      <c r="F51" s="89"/>
      <c r="G51" s="89"/>
      <c r="H51" s="185"/>
      <c r="I51" s="89"/>
      <c r="J51" s="185"/>
      <c r="K51" s="186"/>
    </row>
    <row r="52" spans="2:11">
      <c r="B52" s="89"/>
      <c r="C52" s="89"/>
      <c r="D52" s="89"/>
      <c r="E52" s="89"/>
      <c r="F52" s="89"/>
      <c r="G52" s="89"/>
      <c r="H52" s="185"/>
      <c r="I52" s="89"/>
      <c r="J52" s="185"/>
      <c r="K52" s="186"/>
    </row>
    <row r="53" spans="2:11">
      <c r="B53" s="89"/>
      <c r="C53" s="89"/>
      <c r="D53" s="89"/>
      <c r="E53" s="89"/>
      <c r="F53" s="89"/>
      <c r="G53" s="89"/>
      <c r="H53" s="185"/>
      <c r="I53" s="89"/>
      <c r="J53" s="185"/>
      <c r="K53" s="186"/>
    </row>
    <row r="54" spans="2:11">
      <c r="B54" s="89"/>
      <c r="C54" s="89"/>
      <c r="D54" s="89"/>
      <c r="E54" s="89"/>
      <c r="F54" s="89"/>
      <c r="G54" s="89"/>
      <c r="H54" s="185"/>
      <c r="I54" s="89"/>
      <c r="J54" s="185"/>
      <c r="K54" s="186"/>
    </row>
    <row r="55" spans="2:11">
      <c r="B55" s="89"/>
      <c r="C55" s="89"/>
      <c r="D55" s="89"/>
      <c r="E55" s="89"/>
      <c r="F55" s="89"/>
      <c r="G55" s="89"/>
      <c r="H55" s="185"/>
      <c r="I55" s="89"/>
      <c r="J55" s="185"/>
      <c r="K55" s="186"/>
    </row>
    <row r="56" spans="2:11">
      <c r="B56" s="89"/>
      <c r="C56" s="89"/>
      <c r="D56" s="89"/>
      <c r="E56" s="89"/>
      <c r="F56" s="89"/>
      <c r="G56" s="89"/>
      <c r="H56" s="185"/>
      <c r="I56" s="89"/>
      <c r="J56" s="185"/>
      <c r="K56" s="186"/>
    </row>
    <row r="57" spans="2:11">
      <c r="B57" s="89"/>
      <c r="C57" s="89"/>
      <c r="D57" s="89"/>
      <c r="E57" s="89"/>
      <c r="F57" s="89"/>
      <c r="G57" s="89"/>
      <c r="H57" s="185"/>
      <c r="I57" s="89"/>
      <c r="J57" s="185"/>
      <c r="K57" s="186"/>
    </row>
    <row r="58" spans="2:11">
      <c r="B58" s="89"/>
      <c r="C58" s="89"/>
      <c r="D58" s="89"/>
      <c r="E58" s="89"/>
      <c r="F58" s="89"/>
      <c r="G58" s="89"/>
      <c r="H58" s="185"/>
      <c r="I58" s="89"/>
      <c r="J58" s="185"/>
      <c r="K58" s="186"/>
    </row>
    <row r="59" spans="2:11">
      <c r="B59" s="89"/>
      <c r="C59" s="89"/>
      <c r="D59" s="89"/>
      <c r="E59" s="89"/>
      <c r="F59" s="89"/>
      <c r="G59" s="89"/>
      <c r="H59" s="185"/>
      <c r="I59" s="89"/>
      <c r="J59" s="185"/>
      <c r="K59" s="186"/>
    </row>
    <row r="60" spans="2:11">
      <c r="B60" s="89"/>
      <c r="C60" s="89"/>
      <c r="D60" s="89"/>
      <c r="E60" s="89"/>
      <c r="F60" s="89"/>
      <c r="G60" s="89"/>
      <c r="H60" s="185"/>
      <c r="I60" s="89"/>
      <c r="J60" s="185"/>
      <c r="K60" s="186"/>
    </row>
    <row r="61" spans="2:11">
      <c r="B61" s="89"/>
      <c r="C61" s="89"/>
      <c r="D61" s="89"/>
      <c r="E61" s="89"/>
      <c r="F61" s="89"/>
      <c r="G61" s="89"/>
      <c r="H61" s="185"/>
      <c r="I61" s="89"/>
      <c r="J61" s="185"/>
      <c r="K61" s="186"/>
    </row>
    <row r="62" spans="2:11">
      <c r="B62" s="89"/>
      <c r="C62" s="89"/>
      <c r="D62" s="89"/>
      <c r="E62" s="89"/>
      <c r="F62" s="89"/>
      <c r="G62" s="89"/>
      <c r="H62" s="185"/>
      <c r="I62" s="89"/>
      <c r="J62" s="185"/>
      <c r="K62" s="186"/>
    </row>
    <row r="63" spans="2:11">
      <c r="B63" s="89"/>
      <c r="C63" s="89"/>
      <c r="D63" s="89"/>
      <c r="E63" s="89"/>
      <c r="F63" s="89"/>
      <c r="G63" s="89"/>
      <c r="H63" s="185"/>
      <c r="I63" s="89"/>
      <c r="J63" s="185"/>
      <c r="K63" s="186"/>
    </row>
    <row r="64" spans="2:11">
      <c r="B64" s="89"/>
      <c r="C64" s="89"/>
      <c r="D64" s="89"/>
      <c r="E64" s="89"/>
      <c r="F64" s="89"/>
      <c r="G64" s="89"/>
      <c r="H64" s="185"/>
      <c r="I64" s="89"/>
      <c r="J64" s="185"/>
      <c r="K64" s="186"/>
    </row>
    <row r="65" spans="2:11">
      <c r="B65" s="89"/>
      <c r="C65" s="89"/>
      <c r="D65" s="89"/>
      <c r="E65" s="89"/>
      <c r="F65" s="89"/>
      <c r="G65" s="89"/>
      <c r="H65" s="185"/>
      <c r="I65" s="89"/>
      <c r="J65" s="185"/>
      <c r="K65" s="186"/>
    </row>
    <row r="66" spans="2:11">
      <c r="B66" s="89"/>
      <c r="C66" s="89"/>
      <c r="D66" s="89"/>
      <c r="E66" s="89"/>
      <c r="F66" s="89"/>
      <c r="G66" s="89"/>
      <c r="H66" s="185"/>
      <c r="I66" s="89"/>
      <c r="J66" s="185"/>
      <c r="K66" s="186"/>
    </row>
    <row r="67" spans="2:11">
      <c r="B67" s="89"/>
      <c r="C67" s="89"/>
      <c r="D67" s="89"/>
      <c r="E67" s="89"/>
      <c r="F67" s="89"/>
      <c r="G67" s="89"/>
      <c r="H67" s="185"/>
      <c r="I67" s="89"/>
      <c r="J67" s="185"/>
      <c r="K67" s="186"/>
    </row>
    <row r="68" spans="2:11">
      <c r="B68" s="89"/>
      <c r="C68" s="89"/>
      <c r="D68" s="89"/>
      <c r="E68" s="89"/>
      <c r="F68" s="89"/>
      <c r="G68" s="89"/>
      <c r="H68" s="185"/>
      <c r="I68" s="89"/>
      <c r="J68" s="185"/>
      <c r="K68" s="186"/>
    </row>
    <row r="69" spans="2:11">
      <c r="B69" s="89"/>
      <c r="C69" s="89"/>
      <c r="D69" s="89"/>
      <c r="E69" s="89"/>
      <c r="F69" s="89"/>
      <c r="G69" s="89"/>
      <c r="H69" s="185"/>
      <c r="I69" s="89"/>
      <c r="J69" s="185"/>
      <c r="K69" s="186"/>
    </row>
    <row r="70" spans="2:11">
      <c r="B70" s="89"/>
      <c r="C70" s="89"/>
      <c r="D70" s="89"/>
      <c r="E70" s="89"/>
      <c r="F70" s="89"/>
      <c r="G70" s="89"/>
      <c r="H70" s="185"/>
      <c r="I70" s="89"/>
      <c r="J70" s="185"/>
      <c r="K70" s="186"/>
    </row>
    <row r="71" spans="2:11">
      <c r="B71" s="89"/>
      <c r="C71" s="89"/>
      <c r="D71" s="89"/>
      <c r="E71" s="89"/>
      <c r="F71" s="89"/>
      <c r="G71" s="89"/>
      <c r="H71" s="185"/>
      <c r="I71" s="89"/>
      <c r="J71" s="185"/>
      <c r="K71" s="186"/>
    </row>
    <row r="72" spans="2:11">
      <c r="B72" s="89"/>
      <c r="C72" s="89"/>
      <c r="D72" s="89"/>
      <c r="E72" s="89"/>
      <c r="F72" s="89"/>
      <c r="G72" s="89"/>
      <c r="H72" s="185"/>
      <c r="I72" s="89"/>
      <c r="J72" s="185"/>
      <c r="K72" s="186"/>
    </row>
    <row r="73" spans="2:11">
      <c r="B73" s="89"/>
      <c r="C73" s="89"/>
      <c r="D73" s="89"/>
      <c r="E73" s="89"/>
      <c r="F73" s="89"/>
      <c r="G73" s="89"/>
      <c r="H73" s="185"/>
      <c r="I73" s="89"/>
      <c r="J73" s="185"/>
      <c r="K73" s="186"/>
    </row>
    <row r="74" spans="2:11">
      <c r="B74" s="89"/>
      <c r="C74" s="89"/>
      <c r="D74" s="89"/>
      <c r="E74" s="89"/>
      <c r="F74" s="89"/>
      <c r="G74" s="89"/>
      <c r="H74" s="185"/>
      <c r="I74" s="89"/>
      <c r="J74" s="185"/>
      <c r="K74" s="186"/>
    </row>
    <row r="75" spans="2:11">
      <c r="B75" s="89"/>
      <c r="C75" s="89"/>
      <c r="D75" s="89"/>
      <c r="E75" s="89"/>
      <c r="F75" s="89"/>
      <c r="G75" s="89"/>
      <c r="H75" s="185"/>
      <c r="I75" s="89"/>
      <c r="J75" s="185"/>
      <c r="K75" s="186"/>
    </row>
    <row r="76" spans="2:11">
      <c r="B76" s="89"/>
      <c r="C76" s="89"/>
      <c r="D76" s="89"/>
      <c r="E76" s="89"/>
      <c r="F76" s="89"/>
      <c r="G76" s="89"/>
      <c r="H76" s="185"/>
      <c r="I76" s="89"/>
      <c r="J76" s="185"/>
      <c r="K76" s="186"/>
    </row>
    <row r="77" spans="2:11">
      <c r="B77" s="89"/>
      <c r="C77" s="89"/>
      <c r="D77" s="89"/>
      <c r="E77" s="89"/>
      <c r="F77" s="89"/>
      <c r="G77" s="89"/>
      <c r="H77" s="185"/>
      <c r="I77" s="89"/>
      <c r="J77" s="185"/>
      <c r="K77" s="186"/>
    </row>
    <row r="78" spans="2:11">
      <c r="B78" s="89"/>
      <c r="C78" s="89"/>
      <c r="D78" s="89"/>
      <c r="E78" s="89"/>
      <c r="F78" s="89"/>
      <c r="G78" s="89"/>
      <c r="H78" s="185"/>
      <c r="I78" s="89"/>
      <c r="J78" s="185"/>
      <c r="K78" s="186"/>
    </row>
    <row r="79" spans="2:11">
      <c r="B79" s="89"/>
      <c r="C79" s="89"/>
      <c r="D79" s="89"/>
      <c r="E79" s="89"/>
      <c r="F79" s="89"/>
      <c r="G79" s="89"/>
      <c r="H79" s="185"/>
      <c r="I79" s="89"/>
      <c r="J79" s="185"/>
      <c r="K79" s="186"/>
    </row>
    <row r="80" spans="2:11">
      <c r="B80" s="89"/>
      <c r="C80" s="89"/>
      <c r="D80" s="89"/>
      <c r="E80" s="89"/>
      <c r="F80" s="89"/>
      <c r="G80" s="89"/>
      <c r="H80" s="185"/>
      <c r="I80" s="89"/>
      <c r="J80" s="185"/>
      <c r="K80" s="186"/>
    </row>
    <row r="81" spans="2:11">
      <c r="B81" s="89"/>
      <c r="C81" s="89"/>
      <c r="D81" s="89"/>
      <c r="E81" s="89"/>
      <c r="F81" s="89"/>
      <c r="G81" s="89"/>
      <c r="H81" s="185"/>
      <c r="I81" s="89"/>
      <c r="J81" s="185"/>
      <c r="K81" s="186"/>
    </row>
    <row r="82" spans="2:11">
      <c r="B82" s="89"/>
      <c r="C82" s="89"/>
      <c r="D82" s="89"/>
      <c r="E82" s="89"/>
      <c r="F82" s="89"/>
      <c r="G82" s="89"/>
      <c r="H82" s="185"/>
      <c r="I82" s="89"/>
      <c r="J82" s="185"/>
      <c r="K82" s="186"/>
    </row>
    <row r="83" spans="2:11">
      <c r="B83" s="89"/>
      <c r="C83" s="89"/>
      <c r="D83" s="89"/>
      <c r="E83" s="89"/>
      <c r="F83" s="89"/>
      <c r="G83" s="89"/>
      <c r="H83" s="185"/>
      <c r="I83" s="89"/>
      <c r="J83" s="185"/>
      <c r="K83" s="186"/>
    </row>
    <row r="84" spans="2:11">
      <c r="B84" s="89"/>
      <c r="C84" s="89"/>
      <c r="D84" s="89"/>
      <c r="E84" s="89"/>
      <c r="F84" s="89"/>
      <c r="G84" s="89"/>
      <c r="H84" s="185"/>
      <c r="I84" s="89"/>
      <c r="J84" s="185"/>
      <c r="K84" s="186"/>
    </row>
    <row r="85" spans="2:11">
      <c r="B85" s="89"/>
      <c r="C85" s="89"/>
      <c r="D85" s="89"/>
      <c r="E85" s="89"/>
      <c r="F85" s="89"/>
      <c r="G85" s="89"/>
      <c r="H85" s="185"/>
      <c r="I85" s="89"/>
      <c r="J85" s="185"/>
      <c r="K85" s="186"/>
    </row>
    <row r="86" spans="2:11">
      <c r="B86" s="89"/>
      <c r="C86" s="89"/>
      <c r="D86" s="89"/>
      <c r="E86" s="89"/>
      <c r="F86" s="89"/>
      <c r="G86" s="89"/>
      <c r="H86" s="185"/>
      <c r="I86" s="89"/>
      <c r="J86" s="185"/>
      <c r="K86" s="186"/>
    </row>
    <row r="87" spans="2:11">
      <c r="B87" s="89"/>
      <c r="C87" s="89"/>
      <c r="D87" s="89"/>
      <c r="E87" s="89"/>
      <c r="F87" s="89"/>
      <c r="G87" s="89"/>
      <c r="H87" s="185"/>
      <c r="I87" s="89"/>
      <c r="J87" s="185"/>
      <c r="K87" s="186"/>
    </row>
    <row r="88" spans="2:11">
      <c r="B88" s="89"/>
      <c r="C88" s="89"/>
      <c r="D88" s="89"/>
      <c r="E88" s="89"/>
      <c r="F88" s="89"/>
      <c r="G88" s="89"/>
      <c r="H88" s="185"/>
      <c r="I88" s="89"/>
      <c r="J88" s="185"/>
      <c r="K88" s="186"/>
    </row>
    <row r="89" spans="2:11">
      <c r="B89" s="89"/>
      <c r="C89" s="89"/>
      <c r="D89" s="89"/>
      <c r="E89" s="89"/>
      <c r="F89" s="89"/>
      <c r="G89" s="89"/>
      <c r="H89" s="185"/>
      <c r="I89" s="89"/>
      <c r="J89" s="185"/>
      <c r="K89" s="186"/>
    </row>
    <row r="90" spans="2:11">
      <c r="B90" s="89"/>
      <c r="C90" s="89"/>
      <c r="D90" s="89"/>
      <c r="E90" s="89"/>
      <c r="F90" s="89"/>
      <c r="G90" s="89"/>
      <c r="H90" s="185"/>
      <c r="I90" s="89"/>
      <c r="J90" s="185"/>
      <c r="K90" s="186"/>
    </row>
    <row r="91" spans="2:11">
      <c r="B91" s="89"/>
      <c r="C91" s="89"/>
      <c r="D91" s="89"/>
      <c r="E91" s="89"/>
      <c r="F91" s="89"/>
      <c r="G91" s="89"/>
      <c r="H91" s="185"/>
      <c r="I91" s="89"/>
      <c r="J91" s="185"/>
      <c r="K91" s="186"/>
    </row>
    <row r="92" spans="2:11">
      <c r="B92" s="89"/>
      <c r="C92" s="89"/>
      <c r="D92" s="89"/>
      <c r="E92" s="89"/>
      <c r="F92" s="89"/>
      <c r="G92" s="89"/>
      <c r="H92" s="185"/>
      <c r="I92" s="89"/>
      <c r="J92" s="185"/>
      <c r="K92" s="186"/>
    </row>
    <row r="93" spans="2:11">
      <c r="B93" s="89"/>
      <c r="C93" s="89"/>
      <c r="D93" s="89"/>
      <c r="E93" s="89"/>
      <c r="F93" s="89"/>
      <c r="G93" s="89"/>
      <c r="H93" s="185"/>
      <c r="I93" s="89"/>
      <c r="J93" s="185"/>
      <c r="K93" s="186"/>
    </row>
    <row r="94" spans="2:11">
      <c r="B94" s="89"/>
      <c r="C94" s="89"/>
      <c r="D94" s="89"/>
      <c r="E94" s="89"/>
      <c r="F94" s="89"/>
      <c r="G94" s="89"/>
      <c r="H94" s="185"/>
      <c r="I94" s="89"/>
      <c r="J94" s="185"/>
      <c r="K94" s="186"/>
    </row>
    <row r="95" spans="2:11">
      <c r="B95" s="89"/>
      <c r="C95" s="89"/>
      <c r="D95" s="89"/>
      <c r="E95" s="89"/>
      <c r="F95" s="89"/>
      <c r="G95" s="89"/>
      <c r="H95" s="185"/>
      <c r="I95" s="89"/>
      <c r="J95" s="185"/>
      <c r="K95" s="186"/>
    </row>
    <row r="96" spans="2:11">
      <c r="B96" s="89"/>
      <c r="C96" s="89"/>
      <c r="D96" s="89"/>
      <c r="E96" s="89"/>
      <c r="F96" s="89"/>
      <c r="G96" s="89"/>
      <c r="H96" s="185"/>
      <c r="I96" s="89"/>
      <c r="J96" s="185"/>
      <c r="K96" s="186"/>
    </row>
    <row r="97" spans="2:11">
      <c r="B97" s="89"/>
      <c r="C97" s="89"/>
      <c r="D97" s="89"/>
      <c r="E97" s="89"/>
      <c r="F97" s="89"/>
      <c r="G97" s="89"/>
      <c r="H97" s="185"/>
      <c r="I97" s="89"/>
      <c r="J97" s="185"/>
      <c r="K97" s="186"/>
    </row>
    <row r="98" spans="2:11">
      <c r="B98" s="89"/>
      <c r="C98" s="89"/>
      <c r="D98" s="89"/>
      <c r="E98" s="89"/>
      <c r="F98" s="89"/>
      <c r="G98" s="89"/>
      <c r="H98" s="185"/>
      <c r="I98" s="89"/>
      <c r="J98" s="185"/>
      <c r="K98" s="186"/>
    </row>
    <row r="99" spans="2:11">
      <c r="B99" s="89"/>
      <c r="C99" s="89"/>
      <c r="D99" s="89"/>
      <c r="E99" s="89"/>
      <c r="F99" s="89"/>
      <c r="G99" s="89"/>
      <c r="H99" s="185"/>
      <c r="I99" s="89"/>
      <c r="J99" s="185"/>
      <c r="K99" s="186"/>
    </row>
    <row r="100" spans="2:11">
      <c r="B100" s="89"/>
      <c r="C100" s="89"/>
      <c r="D100" s="89"/>
      <c r="E100" s="89"/>
      <c r="F100" s="89"/>
      <c r="G100" s="89"/>
      <c r="H100" s="185"/>
      <c r="I100" s="89"/>
      <c r="J100" s="185"/>
      <c r="K100" s="186"/>
    </row>
    <row r="101" spans="2:11">
      <c r="B101" s="89"/>
      <c r="C101" s="89"/>
      <c r="D101" s="89"/>
      <c r="E101" s="89"/>
      <c r="F101" s="89"/>
      <c r="G101" s="89"/>
      <c r="H101" s="185"/>
      <c r="I101" s="89"/>
      <c r="J101" s="185"/>
      <c r="K101" s="186"/>
    </row>
    <row r="102" spans="2:11">
      <c r="B102" s="89"/>
      <c r="C102" s="89"/>
      <c r="D102" s="89"/>
      <c r="E102" s="89"/>
      <c r="F102" s="89"/>
      <c r="G102" s="89"/>
      <c r="H102" s="185"/>
      <c r="I102" s="89"/>
      <c r="J102" s="185"/>
      <c r="K102" s="186"/>
    </row>
    <row r="103" spans="2:11">
      <c r="B103" s="89"/>
      <c r="C103" s="89"/>
      <c r="D103" s="89"/>
      <c r="E103" s="89"/>
      <c r="F103" s="89"/>
      <c r="G103" s="89"/>
      <c r="H103" s="185"/>
      <c r="I103" s="89"/>
      <c r="J103" s="185"/>
      <c r="K103" s="186"/>
    </row>
    <row r="104" spans="2:11">
      <c r="B104" s="89"/>
      <c r="C104" s="89"/>
      <c r="D104" s="89"/>
      <c r="E104" s="89"/>
      <c r="F104" s="89"/>
      <c r="G104" s="89"/>
      <c r="H104" s="185"/>
      <c r="I104" s="89"/>
      <c r="J104" s="185"/>
      <c r="K104" s="186"/>
    </row>
    <row r="105" spans="2:11">
      <c r="B105" s="89"/>
      <c r="C105" s="89"/>
      <c r="D105" s="89"/>
      <c r="E105" s="89"/>
      <c r="F105" s="89"/>
      <c r="G105" s="89"/>
      <c r="H105" s="185"/>
      <c r="I105" s="89"/>
      <c r="J105" s="185"/>
      <c r="K105" s="186"/>
    </row>
    <row r="106" spans="2:11">
      <c r="B106" s="89"/>
      <c r="C106" s="89"/>
      <c r="D106" s="89"/>
      <c r="E106" s="89"/>
      <c r="F106" s="89"/>
      <c r="G106" s="89"/>
      <c r="H106" s="185"/>
      <c r="I106" s="89"/>
      <c r="J106" s="185"/>
      <c r="K106" s="186"/>
    </row>
    <row r="107" spans="2:11">
      <c r="B107" s="89"/>
      <c r="C107" s="89"/>
      <c r="D107" s="89"/>
      <c r="E107" s="89"/>
      <c r="F107" s="89"/>
      <c r="G107" s="89"/>
      <c r="H107" s="185"/>
      <c r="I107" s="89"/>
      <c r="J107" s="185"/>
      <c r="K107" s="186"/>
    </row>
    <row r="108" spans="2:11">
      <c r="B108" s="89"/>
      <c r="C108" s="89"/>
      <c r="D108" s="89"/>
      <c r="E108" s="89"/>
      <c r="F108" s="89"/>
      <c r="G108" s="89"/>
      <c r="H108" s="185"/>
      <c r="I108" s="89"/>
      <c r="J108" s="185"/>
      <c r="K108" s="186"/>
    </row>
    <row r="109" spans="2:11">
      <c r="B109" s="89"/>
      <c r="C109" s="89"/>
      <c r="D109" s="89"/>
      <c r="E109" s="89"/>
      <c r="F109" s="89"/>
      <c r="G109" s="89"/>
      <c r="H109" s="185"/>
      <c r="I109" s="89"/>
      <c r="J109" s="185"/>
      <c r="K109" s="186"/>
    </row>
    <row r="110" spans="2:11">
      <c r="B110" s="89"/>
      <c r="C110" s="89"/>
      <c r="D110" s="89"/>
      <c r="E110" s="89"/>
      <c r="F110" s="89"/>
      <c r="G110" s="89"/>
      <c r="H110" s="185"/>
      <c r="I110" s="89"/>
      <c r="J110" s="185"/>
      <c r="K110" s="186"/>
    </row>
    <row r="111" spans="2:11">
      <c r="B111" s="89"/>
      <c r="C111" s="89"/>
      <c r="D111" s="89"/>
      <c r="E111" s="89"/>
      <c r="F111" s="89"/>
      <c r="G111" s="89"/>
      <c r="H111" s="185"/>
      <c r="I111" s="89"/>
      <c r="J111" s="185"/>
      <c r="K111" s="186"/>
    </row>
    <row r="112" spans="2:11">
      <c r="B112" s="89"/>
      <c r="C112" s="89"/>
      <c r="D112" s="89"/>
      <c r="E112" s="89"/>
      <c r="F112" s="89"/>
      <c r="G112" s="89"/>
      <c r="H112" s="185"/>
      <c r="I112" s="89"/>
      <c r="J112" s="185"/>
      <c r="K112" s="186"/>
    </row>
    <row r="113" spans="2:11">
      <c r="B113" s="89"/>
      <c r="C113" s="89"/>
      <c r="D113" s="89"/>
      <c r="E113" s="89"/>
      <c r="F113" s="89"/>
      <c r="G113" s="89"/>
      <c r="H113" s="185"/>
      <c r="I113" s="89"/>
      <c r="J113" s="185"/>
      <c r="K113" s="186"/>
    </row>
    <row r="114" spans="2:11">
      <c r="B114" s="89"/>
      <c r="C114" s="89"/>
      <c r="D114" s="89"/>
      <c r="E114" s="89"/>
      <c r="F114" s="89"/>
      <c r="G114" s="89"/>
      <c r="H114" s="185"/>
      <c r="I114" s="89"/>
      <c r="J114" s="185"/>
      <c r="K114" s="186"/>
    </row>
    <row r="115" spans="2:11">
      <c r="B115" s="89"/>
      <c r="C115" s="89"/>
      <c r="D115" s="89"/>
      <c r="E115" s="89"/>
      <c r="F115" s="89"/>
      <c r="G115" s="89"/>
      <c r="H115" s="185"/>
      <c r="I115" s="89"/>
      <c r="J115" s="185"/>
      <c r="K115" s="186"/>
    </row>
    <row r="116" spans="2:11">
      <c r="B116" s="89"/>
      <c r="C116" s="89"/>
      <c r="D116" s="89"/>
      <c r="E116" s="89"/>
      <c r="F116" s="89"/>
      <c r="G116" s="89"/>
      <c r="H116" s="185"/>
      <c r="I116" s="89"/>
      <c r="J116" s="185"/>
      <c r="K116" s="186"/>
    </row>
    <row r="117" spans="2:11">
      <c r="B117" s="89"/>
      <c r="C117" s="89"/>
      <c r="D117" s="89"/>
      <c r="E117" s="89"/>
      <c r="F117" s="89"/>
      <c r="G117" s="89"/>
      <c r="H117" s="185"/>
      <c r="I117" s="89"/>
      <c r="J117" s="185"/>
      <c r="K117" s="186"/>
    </row>
    <row r="118" spans="2:11">
      <c r="B118" s="89"/>
      <c r="C118" s="89"/>
      <c r="D118" s="89"/>
      <c r="E118" s="89"/>
      <c r="F118" s="89"/>
      <c r="G118" s="89"/>
      <c r="H118" s="185"/>
      <c r="I118" s="89"/>
      <c r="J118" s="185"/>
      <c r="K118" s="186"/>
    </row>
    <row r="119" spans="2:11">
      <c r="B119" s="89"/>
      <c r="C119" s="89"/>
      <c r="D119" s="89"/>
      <c r="E119" s="89"/>
      <c r="F119" s="89"/>
      <c r="G119" s="89"/>
      <c r="H119" s="185"/>
      <c r="I119" s="89"/>
      <c r="J119" s="185"/>
      <c r="K119" s="186"/>
    </row>
    <row r="120" spans="2:11">
      <c r="B120" s="89"/>
      <c r="C120" s="89"/>
      <c r="D120" s="89"/>
      <c r="E120" s="89"/>
      <c r="F120" s="89"/>
      <c r="G120" s="89"/>
      <c r="H120" s="185"/>
      <c r="I120" s="89"/>
      <c r="J120" s="185"/>
      <c r="K120" s="186"/>
    </row>
    <row r="121" spans="2:11">
      <c r="B121" s="89"/>
      <c r="C121" s="89"/>
      <c r="D121" s="89"/>
      <c r="E121" s="89"/>
      <c r="F121" s="89"/>
      <c r="G121" s="89"/>
      <c r="H121" s="185"/>
      <c r="I121" s="89"/>
      <c r="J121" s="185"/>
      <c r="K121" s="186"/>
    </row>
    <row r="122" spans="2:11">
      <c r="B122" s="89"/>
      <c r="C122" s="89"/>
      <c r="D122" s="89"/>
      <c r="E122" s="89"/>
      <c r="F122" s="89"/>
      <c r="G122" s="89"/>
      <c r="H122" s="185"/>
      <c r="I122" s="89"/>
      <c r="J122" s="185"/>
      <c r="K122" s="186"/>
    </row>
    <row r="123" spans="2:11">
      <c r="B123" s="89"/>
      <c r="C123" s="89"/>
      <c r="D123" s="89"/>
      <c r="E123" s="89"/>
      <c r="F123" s="89"/>
      <c r="G123" s="89"/>
      <c r="H123" s="185"/>
      <c r="I123" s="89"/>
      <c r="J123" s="185"/>
      <c r="K123" s="186"/>
    </row>
    <row r="124" spans="2:11">
      <c r="B124" s="89"/>
      <c r="C124" s="89"/>
      <c r="D124" s="89"/>
      <c r="E124" s="89"/>
      <c r="F124" s="89"/>
      <c r="G124" s="89"/>
      <c r="H124" s="185"/>
      <c r="I124" s="89"/>
      <c r="J124" s="185"/>
      <c r="K124" s="186"/>
    </row>
    <row r="125" spans="2:11">
      <c r="B125" s="89"/>
      <c r="C125" s="89"/>
      <c r="D125" s="89"/>
      <c r="E125" s="89"/>
      <c r="F125" s="89"/>
      <c r="G125" s="89"/>
      <c r="H125" s="185"/>
      <c r="I125" s="89"/>
      <c r="J125" s="185"/>
      <c r="K125" s="186"/>
    </row>
    <row r="126" spans="2:11">
      <c r="B126" s="89"/>
      <c r="C126" s="89"/>
      <c r="D126" s="89"/>
      <c r="E126" s="89"/>
      <c r="F126" s="89"/>
      <c r="G126" s="89"/>
      <c r="H126" s="185"/>
      <c r="I126" s="89"/>
      <c r="J126" s="185"/>
      <c r="K126" s="186"/>
    </row>
    <row r="127" spans="2:11">
      <c r="B127" s="89"/>
      <c r="C127" s="89"/>
      <c r="D127" s="89"/>
      <c r="E127" s="89"/>
      <c r="F127" s="89"/>
      <c r="G127" s="89"/>
      <c r="H127" s="185"/>
      <c r="I127" s="89"/>
      <c r="J127" s="185"/>
      <c r="K127" s="186"/>
    </row>
    <row r="128" spans="2:11">
      <c r="B128" s="89"/>
      <c r="C128" s="89"/>
      <c r="D128" s="89"/>
      <c r="E128" s="89"/>
      <c r="F128" s="89"/>
      <c r="G128" s="89"/>
      <c r="H128" s="185"/>
      <c r="I128" s="89"/>
      <c r="J128" s="185"/>
      <c r="K128" s="186"/>
    </row>
    <row r="129" spans="2:11">
      <c r="B129" s="89"/>
      <c r="C129" s="89"/>
      <c r="D129" s="89"/>
      <c r="E129" s="89"/>
      <c r="F129" s="89"/>
      <c r="G129" s="89"/>
      <c r="H129" s="185"/>
      <c r="I129" s="89"/>
      <c r="J129" s="185"/>
      <c r="K129" s="186"/>
    </row>
    <row r="130" spans="2:11">
      <c r="B130" s="89"/>
      <c r="C130" s="89"/>
      <c r="D130" s="89"/>
      <c r="E130" s="89"/>
      <c r="F130" s="89"/>
      <c r="G130" s="89"/>
      <c r="H130" s="185"/>
      <c r="I130" s="89"/>
      <c r="J130" s="185"/>
      <c r="K130" s="186"/>
    </row>
    <row r="131" spans="2:11">
      <c r="B131" s="89"/>
      <c r="C131" s="89"/>
      <c r="D131" s="89"/>
      <c r="E131" s="89"/>
      <c r="F131" s="89"/>
      <c r="G131" s="89"/>
      <c r="H131" s="185"/>
      <c r="I131" s="89"/>
      <c r="J131" s="185"/>
      <c r="K131" s="186"/>
    </row>
    <row r="132" spans="2:11">
      <c r="B132" s="89"/>
      <c r="C132" s="89"/>
      <c r="D132" s="89"/>
      <c r="E132" s="89"/>
      <c r="F132" s="89"/>
      <c r="G132" s="89"/>
      <c r="H132" s="185"/>
      <c r="I132" s="89"/>
      <c r="J132" s="185"/>
      <c r="K132" s="186"/>
    </row>
    <row r="133" spans="2:11">
      <c r="B133" s="89"/>
      <c r="C133" s="89"/>
      <c r="D133" s="89"/>
      <c r="E133" s="89"/>
      <c r="F133" s="89"/>
      <c r="G133" s="89"/>
      <c r="H133" s="185"/>
      <c r="I133" s="89"/>
      <c r="J133" s="185"/>
      <c r="K133" s="186"/>
    </row>
    <row r="134" spans="2:11">
      <c r="B134" s="89"/>
      <c r="C134" s="89"/>
      <c r="D134" s="89"/>
      <c r="E134" s="89"/>
      <c r="F134" s="89"/>
      <c r="G134" s="89"/>
      <c r="H134" s="185"/>
      <c r="I134" s="89"/>
      <c r="J134" s="185"/>
      <c r="K134" s="186"/>
    </row>
    <row r="135" spans="2:11">
      <c r="B135" s="89"/>
      <c r="C135" s="89"/>
      <c r="D135" s="89"/>
      <c r="E135" s="89"/>
      <c r="F135" s="89"/>
      <c r="G135" s="89"/>
      <c r="H135" s="185"/>
      <c r="I135" s="89"/>
      <c r="J135" s="185"/>
      <c r="K135" s="186"/>
    </row>
    <row r="136" spans="2:11">
      <c r="B136" s="89"/>
      <c r="C136" s="89"/>
      <c r="D136" s="89"/>
      <c r="E136" s="89"/>
      <c r="F136" s="89"/>
      <c r="G136" s="89"/>
      <c r="H136" s="185"/>
      <c r="I136" s="89"/>
      <c r="J136" s="185"/>
      <c r="K136" s="186"/>
    </row>
    <row r="137" spans="2:11">
      <c r="B137" s="89"/>
      <c r="C137" s="89"/>
      <c r="D137" s="89"/>
      <c r="E137" s="89"/>
      <c r="F137" s="89"/>
      <c r="G137" s="89"/>
      <c r="H137" s="185"/>
      <c r="I137" s="89"/>
      <c r="J137" s="185"/>
      <c r="K137" s="186"/>
    </row>
    <row r="138" spans="2:11">
      <c r="B138" s="89"/>
      <c r="C138" s="89"/>
      <c r="D138" s="89"/>
      <c r="E138" s="89"/>
      <c r="F138" s="89"/>
      <c r="G138" s="89"/>
      <c r="H138" s="185"/>
      <c r="I138" s="89"/>
      <c r="J138" s="185"/>
      <c r="K138" s="186"/>
    </row>
    <row r="139" spans="2:11">
      <c r="B139" s="89"/>
      <c r="C139" s="89"/>
      <c r="D139" s="89"/>
      <c r="E139" s="89"/>
      <c r="F139" s="89"/>
      <c r="G139" s="89"/>
      <c r="H139" s="185"/>
      <c r="I139" s="89"/>
      <c r="J139" s="185"/>
      <c r="K139" s="186"/>
    </row>
    <row r="140" spans="2:11">
      <c r="B140" s="89"/>
      <c r="C140" s="89"/>
      <c r="D140" s="89"/>
      <c r="E140" s="89"/>
      <c r="F140" s="89"/>
      <c r="G140" s="89"/>
      <c r="H140" s="185"/>
      <c r="I140" s="89"/>
      <c r="J140" s="185"/>
      <c r="K140" s="186"/>
    </row>
    <row r="141" spans="2:11">
      <c r="B141" s="89"/>
      <c r="C141" s="89"/>
      <c r="D141" s="89"/>
      <c r="E141" s="89"/>
      <c r="F141" s="89"/>
      <c r="G141" s="89"/>
      <c r="H141" s="185"/>
      <c r="I141" s="89"/>
      <c r="J141" s="185"/>
      <c r="K141" s="186"/>
    </row>
    <row r="142" spans="2:11">
      <c r="B142" s="89"/>
      <c r="C142" s="89"/>
      <c r="D142" s="89"/>
      <c r="E142" s="89"/>
      <c r="F142" s="89"/>
      <c r="G142" s="89"/>
      <c r="H142" s="185"/>
      <c r="I142" s="89"/>
      <c r="J142" s="185"/>
      <c r="K142" s="186"/>
    </row>
    <row r="143" spans="2:11">
      <c r="B143" s="89"/>
      <c r="C143" s="89"/>
      <c r="D143" s="89"/>
      <c r="E143" s="89"/>
      <c r="F143" s="89"/>
      <c r="G143" s="89"/>
      <c r="H143" s="185"/>
      <c r="I143" s="89"/>
      <c r="J143" s="185"/>
      <c r="K143" s="186"/>
    </row>
    <row r="144" spans="2:11">
      <c r="B144" s="89"/>
      <c r="C144" s="89"/>
      <c r="D144" s="89"/>
      <c r="E144" s="89"/>
      <c r="F144" s="89"/>
      <c r="G144" s="89"/>
      <c r="H144" s="185"/>
      <c r="I144" s="89"/>
      <c r="J144" s="185"/>
      <c r="K144" s="186"/>
    </row>
    <row r="145" spans="2:11">
      <c r="B145" s="89"/>
      <c r="C145" s="89"/>
      <c r="D145" s="89"/>
      <c r="E145" s="89"/>
      <c r="F145" s="89"/>
      <c r="G145" s="89"/>
      <c r="H145" s="185"/>
      <c r="I145" s="89"/>
      <c r="J145" s="185"/>
      <c r="K145" s="186"/>
    </row>
    <row r="146" spans="2:11">
      <c r="B146" s="89"/>
      <c r="C146" s="89"/>
      <c r="D146" s="89"/>
      <c r="E146" s="89"/>
      <c r="F146" s="89"/>
      <c r="G146" s="89"/>
      <c r="H146" s="185"/>
      <c r="I146" s="89"/>
      <c r="J146" s="185"/>
      <c r="K146" s="186"/>
    </row>
    <row r="147" spans="2:11">
      <c r="B147" s="89"/>
      <c r="C147" s="89"/>
      <c r="D147" s="89"/>
      <c r="E147" s="89"/>
      <c r="F147" s="89"/>
      <c r="G147" s="89"/>
      <c r="H147" s="185"/>
      <c r="I147" s="89"/>
      <c r="J147" s="185"/>
      <c r="K147" s="186"/>
    </row>
    <row r="148" spans="2:11">
      <c r="B148" s="89"/>
      <c r="C148" s="89"/>
      <c r="D148" s="89"/>
      <c r="E148" s="89"/>
      <c r="F148" s="89"/>
      <c r="G148" s="89"/>
      <c r="H148" s="185"/>
      <c r="I148" s="89"/>
      <c r="J148" s="185"/>
      <c r="K148" s="186"/>
    </row>
    <row r="149" spans="2:11">
      <c r="B149" s="89"/>
      <c r="C149" s="89"/>
      <c r="D149" s="89"/>
      <c r="E149" s="89"/>
      <c r="F149" s="89"/>
      <c r="G149" s="89"/>
      <c r="H149" s="185"/>
      <c r="I149" s="89"/>
      <c r="J149" s="185"/>
      <c r="K149" s="186"/>
    </row>
    <row r="150" spans="2:11">
      <c r="B150" s="89"/>
      <c r="C150" s="89"/>
      <c r="D150" s="89"/>
      <c r="E150" s="89"/>
      <c r="F150" s="89"/>
      <c r="G150" s="89"/>
      <c r="H150" s="185"/>
      <c r="I150" s="89"/>
      <c r="J150" s="185"/>
      <c r="K150" s="186"/>
    </row>
    <row r="151" spans="2:11">
      <c r="B151" s="89"/>
      <c r="C151" s="89"/>
      <c r="D151" s="89"/>
      <c r="E151" s="89"/>
      <c r="F151" s="89"/>
      <c r="G151" s="89"/>
      <c r="H151" s="185"/>
      <c r="I151" s="89"/>
      <c r="J151" s="185"/>
      <c r="K151" s="186"/>
    </row>
    <row r="152" spans="2:11">
      <c r="B152" s="89"/>
      <c r="C152" s="89"/>
      <c r="D152" s="89"/>
      <c r="E152" s="89"/>
      <c r="F152" s="89"/>
      <c r="G152" s="89"/>
      <c r="H152" s="185"/>
      <c r="I152" s="89"/>
      <c r="J152" s="185"/>
      <c r="K152" s="186"/>
    </row>
    <row r="153" spans="2:11">
      <c r="B153" s="89"/>
      <c r="C153" s="89"/>
      <c r="D153" s="89"/>
      <c r="E153" s="89"/>
      <c r="F153" s="89"/>
      <c r="G153" s="89"/>
      <c r="H153" s="185"/>
      <c r="I153" s="89"/>
      <c r="J153" s="185"/>
      <c r="K153" s="186"/>
    </row>
    <row r="154" spans="2:11">
      <c r="B154" s="89"/>
      <c r="C154" s="89"/>
      <c r="D154" s="89"/>
      <c r="E154" s="89"/>
      <c r="F154" s="89"/>
      <c r="G154" s="89"/>
      <c r="H154" s="185"/>
      <c r="I154" s="89"/>
      <c r="J154" s="185"/>
      <c r="K154" s="186"/>
    </row>
    <row r="155" spans="2:11">
      <c r="B155" s="89"/>
      <c r="C155" s="89"/>
      <c r="D155" s="89"/>
      <c r="E155" s="89"/>
      <c r="F155" s="89"/>
      <c r="G155" s="89"/>
      <c r="H155" s="185"/>
      <c r="I155" s="89"/>
      <c r="J155" s="185"/>
      <c r="K155" s="186"/>
    </row>
    <row r="156" spans="2:11">
      <c r="B156" s="89"/>
      <c r="C156" s="89"/>
      <c r="D156" s="89"/>
      <c r="E156" s="89"/>
      <c r="F156" s="89"/>
      <c r="G156" s="89"/>
      <c r="H156" s="185"/>
      <c r="I156" s="89"/>
      <c r="J156" s="185"/>
      <c r="K156" s="186"/>
    </row>
    <row r="157" spans="2:11">
      <c r="B157" s="89"/>
      <c r="C157" s="89"/>
      <c r="D157" s="89"/>
      <c r="E157" s="89"/>
      <c r="F157" s="89"/>
      <c r="G157" s="89"/>
      <c r="H157" s="185"/>
      <c r="I157" s="89"/>
      <c r="J157" s="185"/>
      <c r="K157" s="186"/>
    </row>
    <row r="158" spans="2:11">
      <c r="B158" s="89"/>
      <c r="C158" s="89"/>
      <c r="D158" s="89"/>
      <c r="E158" s="89"/>
      <c r="F158" s="89"/>
      <c r="G158" s="89"/>
      <c r="H158" s="185"/>
      <c r="I158" s="89"/>
      <c r="J158" s="185"/>
      <c r="K158" s="186"/>
    </row>
    <row r="159" spans="2:11">
      <c r="B159" s="89"/>
      <c r="C159" s="89"/>
      <c r="D159" s="89"/>
      <c r="E159" s="89"/>
      <c r="F159" s="89"/>
      <c r="G159" s="89"/>
      <c r="H159" s="185"/>
      <c r="I159" s="89"/>
      <c r="J159" s="185"/>
      <c r="K159" s="186"/>
    </row>
    <row r="160" spans="2:11">
      <c r="B160" s="89"/>
      <c r="C160" s="89"/>
      <c r="D160" s="89"/>
      <c r="E160" s="89"/>
      <c r="F160" s="89"/>
      <c r="G160" s="89"/>
      <c r="H160" s="185"/>
      <c r="I160" s="89"/>
      <c r="J160" s="185"/>
      <c r="K160" s="186"/>
    </row>
    <row r="161" spans="2:11">
      <c r="B161" s="89"/>
      <c r="C161" s="89"/>
      <c r="D161" s="89"/>
      <c r="E161" s="89"/>
      <c r="F161" s="89"/>
      <c r="G161" s="89"/>
      <c r="H161" s="185"/>
      <c r="I161" s="89"/>
      <c r="J161" s="185"/>
      <c r="K161" s="186"/>
    </row>
    <row r="162" spans="2:11">
      <c r="B162" s="89"/>
      <c r="C162" s="89"/>
      <c r="D162" s="89"/>
      <c r="E162" s="89"/>
      <c r="F162" s="89"/>
      <c r="G162" s="89"/>
      <c r="H162" s="185"/>
      <c r="I162" s="89"/>
      <c r="J162" s="185"/>
      <c r="K162" s="186"/>
    </row>
    <row r="163" spans="2:11">
      <c r="B163" s="89"/>
      <c r="C163" s="89"/>
      <c r="D163" s="89"/>
      <c r="E163" s="89"/>
      <c r="F163" s="89"/>
      <c r="G163" s="89"/>
      <c r="H163" s="185"/>
      <c r="I163" s="89"/>
      <c r="J163" s="185"/>
      <c r="K163" s="186"/>
    </row>
    <row r="164" spans="2:11">
      <c r="B164" s="89"/>
      <c r="C164" s="89"/>
      <c r="D164" s="89"/>
      <c r="E164" s="89"/>
      <c r="F164" s="89"/>
      <c r="G164" s="89"/>
      <c r="H164" s="185"/>
      <c r="I164" s="89"/>
      <c r="J164" s="185"/>
      <c r="K164" s="186"/>
    </row>
    <row r="165" spans="2:11">
      <c r="B165" s="89"/>
      <c r="C165" s="89"/>
      <c r="D165" s="89"/>
      <c r="E165" s="89"/>
      <c r="F165" s="89"/>
      <c r="G165" s="89"/>
      <c r="H165" s="185"/>
      <c r="I165" s="89"/>
      <c r="J165" s="185"/>
      <c r="K165" s="186"/>
    </row>
    <row r="166" spans="2:11">
      <c r="B166" s="89"/>
      <c r="C166" s="89"/>
      <c r="D166" s="89"/>
      <c r="E166" s="89"/>
      <c r="F166" s="89"/>
      <c r="G166" s="89"/>
      <c r="H166" s="185"/>
      <c r="I166" s="89"/>
      <c r="J166" s="185"/>
      <c r="K166" s="186"/>
    </row>
    <row r="167" spans="2:11">
      <c r="B167" s="89"/>
      <c r="C167" s="89"/>
      <c r="D167" s="89"/>
      <c r="E167" s="89"/>
      <c r="F167" s="89"/>
      <c r="G167" s="89"/>
      <c r="H167" s="185"/>
      <c r="I167" s="89"/>
      <c r="J167" s="185"/>
      <c r="K167" s="186"/>
    </row>
    <row r="168" spans="2:11">
      <c r="B168" s="89"/>
      <c r="C168" s="89"/>
      <c r="D168" s="89"/>
      <c r="E168" s="89"/>
      <c r="F168" s="89"/>
      <c r="G168" s="89"/>
      <c r="H168" s="185"/>
      <c r="I168" s="89"/>
      <c r="J168" s="185"/>
      <c r="K168" s="186"/>
    </row>
    <row r="169" spans="2:11">
      <c r="B169" s="89"/>
      <c r="C169" s="89"/>
      <c r="D169" s="89"/>
      <c r="E169" s="89"/>
      <c r="F169" s="89"/>
      <c r="G169" s="89"/>
      <c r="H169" s="185"/>
      <c r="I169" s="89"/>
      <c r="J169" s="185"/>
      <c r="K169" s="186"/>
    </row>
    <row r="170" spans="2:11">
      <c r="B170" s="89"/>
      <c r="C170" s="89"/>
      <c r="D170" s="89"/>
      <c r="E170" s="89"/>
      <c r="F170" s="89"/>
      <c r="G170" s="89"/>
      <c r="H170" s="185"/>
      <c r="I170" s="89"/>
      <c r="J170" s="185"/>
      <c r="K170" s="186"/>
    </row>
    <row r="171" spans="2:11">
      <c r="B171" s="89"/>
      <c r="C171" s="89"/>
      <c r="D171" s="89"/>
      <c r="E171" s="89"/>
      <c r="F171" s="89"/>
      <c r="G171" s="89"/>
      <c r="H171" s="185"/>
      <c r="I171" s="89"/>
      <c r="J171" s="185"/>
      <c r="K171" s="186"/>
    </row>
    <row r="172" spans="2:11">
      <c r="B172" s="89"/>
      <c r="C172" s="89"/>
      <c r="D172" s="89"/>
      <c r="E172" s="89"/>
      <c r="F172" s="89"/>
      <c r="G172" s="89"/>
      <c r="H172" s="185"/>
      <c r="I172" s="89"/>
      <c r="J172" s="185"/>
      <c r="K172" s="186"/>
    </row>
    <row r="173" spans="2:11">
      <c r="B173" s="89"/>
      <c r="C173" s="89"/>
      <c r="D173" s="89"/>
      <c r="E173" s="89"/>
      <c r="F173" s="89"/>
      <c r="G173" s="89"/>
      <c r="H173" s="185"/>
      <c r="I173" s="89"/>
      <c r="J173" s="185"/>
      <c r="K173" s="186"/>
    </row>
    <row r="174" spans="2:11">
      <c r="B174" s="89"/>
      <c r="C174" s="89"/>
      <c r="D174" s="89"/>
      <c r="E174" s="89"/>
      <c r="F174" s="89"/>
      <c r="G174" s="89"/>
      <c r="H174" s="185"/>
      <c r="I174" s="89"/>
      <c r="J174" s="185"/>
      <c r="K174" s="186"/>
    </row>
    <row r="175" spans="2:11">
      <c r="B175" s="89"/>
      <c r="C175" s="89"/>
      <c r="D175" s="89"/>
      <c r="E175" s="89"/>
      <c r="F175" s="89"/>
      <c r="G175" s="89"/>
      <c r="H175" s="185"/>
      <c r="I175" s="89"/>
      <c r="J175" s="185"/>
      <c r="K175" s="186"/>
    </row>
    <row r="176" spans="2:11">
      <c r="B176" s="89"/>
      <c r="C176" s="89"/>
      <c r="D176" s="89"/>
      <c r="E176" s="89"/>
      <c r="F176" s="89"/>
      <c r="G176" s="89"/>
      <c r="H176" s="185"/>
      <c r="I176" s="89"/>
      <c r="J176" s="185"/>
      <c r="K176" s="186"/>
    </row>
    <row r="177" spans="2:11">
      <c r="B177" s="89"/>
      <c r="C177" s="89"/>
      <c r="D177" s="89"/>
      <c r="E177" s="89"/>
      <c r="F177" s="89"/>
      <c r="G177" s="89"/>
      <c r="H177" s="185"/>
      <c r="I177" s="89"/>
      <c r="J177" s="185"/>
      <c r="K177" s="186"/>
    </row>
    <row r="178" spans="2:11">
      <c r="B178" s="89"/>
      <c r="C178" s="89"/>
      <c r="D178" s="89"/>
      <c r="E178" s="89"/>
      <c r="F178" s="89"/>
      <c r="G178" s="89"/>
      <c r="H178" s="185"/>
      <c r="I178" s="89"/>
      <c r="J178" s="185"/>
      <c r="K178" s="186"/>
    </row>
    <row r="179" spans="2:11">
      <c r="B179" s="89"/>
      <c r="C179" s="89"/>
      <c r="D179" s="89"/>
      <c r="E179" s="89"/>
      <c r="F179" s="89"/>
      <c r="G179" s="89"/>
      <c r="H179" s="185"/>
      <c r="I179" s="89"/>
      <c r="J179" s="185"/>
      <c r="K179" s="186"/>
    </row>
    <row r="180" spans="2:11">
      <c r="B180" s="89"/>
      <c r="C180" s="89"/>
      <c r="D180" s="89"/>
      <c r="E180" s="89"/>
      <c r="F180" s="89"/>
      <c r="G180" s="89"/>
      <c r="H180" s="185"/>
      <c r="I180" s="89"/>
      <c r="J180" s="185"/>
      <c r="K180" s="186"/>
    </row>
    <row r="181" spans="2:11">
      <c r="B181" s="89"/>
      <c r="C181" s="89"/>
      <c r="D181" s="89"/>
      <c r="E181" s="89"/>
      <c r="F181" s="89"/>
      <c r="G181" s="89"/>
      <c r="H181" s="185"/>
      <c r="I181" s="89"/>
      <c r="J181" s="185"/>
      <c r="K181" s="186"/>
    </row>
    <row r="182" spans="2:11">
      <c r="B182" s="89"/>
      <c r="C182" s="89"/>
      <c r="D182" s="89"/>
      <c r="E182" s="89"/>
      <c r="F182" s="89"/>
      <c r="G182" s="89"/>
      <c r="H182" s="185"/>
      <c r="I182" s="89"/>
      <c r="J182" s="185"/>
      <c r="K182" s="186"/>
    </row>
    <row r="183" spans="2:11">
      <c r="B183" s="89"/>
      <c r="C183" s="89"/>
      <c r="D183" s="89"/>
      <c r="E183" s="89"/>
      <c r="F183" s="89"/>
      <c r="G183" s="89"/>
      <c r="H183" s="185"/>
      <c r="I183" s="89"/>
      <c r="J183" s="185"/>
      <c r="K183" s="186"/>
    </row>
    <row r="184" spans="2:11">
      <c r="B184" s="89"/>
      <c r="C184" s="89"/>
      <c r="D184" s="89"/>
      <c r="E184" s="89"/>
      <c r="F184" s="89"/>
      <c r="G184" s="89"/>
      <c r="H184" s="185"/>
      <c r="I184" s="89"/>
      <c r="J184" s="185"/>
      <c r="K184" s="186"/>
    </row>
    <row r="185" spans="2:11">
      <c r="B185" s="89"/>
      <c r="C185" s="89"/>
      <c r="D185" s="89"/>
      <c r="E185" s="89"/>
      <c r="F185" s="89"/>
      <c r="G185" s="89"/>
      <c r="H185" s="185"/>
      <c r="I185" s="89"/>
      <c r="J185" s="185"/>
      <c r="K185" s="186"/>
    </row>
    <row r="186" spans="2:11">
      <c r="B186" s="89"/>
      <c r="C186" s="89"/>
      <c r="D186" s="89"/>
      <c r="E186" s="89"/>
      <c r="F186" s="89"/>
      <c r="G186" s="89"/>
      <c r="H186" s="185"/>
      <c r="I186" s="89"/>
      <c r="J186" s="185"/>
      <c r="K186" s="186"/>
    </row>
    <row r="187" spans="2:11">
      <c r="B187" s="89"/>
      <c r="C187" s="89"/>
      <c r="D187" s="89"/>
      <c r="E187" s="89"/>
      <c r="F187" s="89"/>
      <c r="G187" s="89"/>
      <c r="H187" s="185"/>
      <c r="I187" s="89"/>
      <c r="J187" s="185"/>
      <c r="K187" s="186"/>
    </row>
    <row r="188" spans="2:11">
      <c r="B188" s="89"/>
      <c r="C188" s="89"/>
      <c r="D188" s="89"/>
      <c r="E188" s="89"/>
      <c r="F188" s="89"/>
      <c r="G188" s="89"/>
      <c r="H188" s="185"/>
      <c r="I188" s="89"/>
      <c r="J188" s="185"/>
      <c r="K188" s="186"/>
    </row>
    <row r="189" spans="2:11">
      <c r="B189" s="89"/>
      <c r="C189" s="89"/>
      <c r="D189" s="89"/>
      <c r="E189" s="89"/>
      <c r="F189" s="89"/>
      <c r="G189" s="89"/>
      <c r="H189" s="185"/>
      <c r="I189" s="89"/>
      <c r="J189" s="185"/>
      <c r="K189" s="186"/>
    </row>
    <row r="190" spans="2:11">
      <c r="B190" s="89"/>
      <c r="C190" s="89"/>
      <c r="D190" s="89"/>
      <c r="E190" s="89"/>
      <c r="F190" s="89"/>
      <c r="G190" s="89"/>
      <c r="H190" s="185"/>
      <c r="I190" s="89"/>
      <c r="J190" s="185"/>
      <c r="K190" s="186"/>
    </row>
    <row r="191" spans="2:11">
      <c r="B191" s="89"/>
      <c r="C191" s="89"/>
      <c r="D191" s="89"/>
      <c r="E191" s="89"/>
      <c r="F191" s="89"/>
      <c r="G191" s="89"/>
      <c r="H191" s="185"/>
      <c r="I191" s="89"/>
      <c r="J191" s="185"/>
      <c r="K191" s="186"/>
    </row>
    <row r="192" spans="2:11">
      <c r="B192" s="89"/>
      <c r="C192" s="89"/>
      <c r="D192" s="89"/>
      <c r="E192" s="89"/>
      <c r="F192" s="89"/>
      <c r="G192" s="89"/>
      <c r="H192" s="185"/>
      <c r="I192" s="89"/>
      <c r="J192" s="185"/>
      <c r="K192" s="186"/>
    </row>
    <row r="193" spans="2:11">
      <c r="B193" s="89"/>
      <c r="C193" s="89"/>
      <c r="D193" s="89"/>
      <c r="E193" s="89"/>
      <c r="F193" s="89"/>
      <c r="G193" s="89"/>
      <c r="H193" s="185"/>
      <c r="I193" s="89"/>
      <c r="J193" s="185"/>
      <c r="K193" s="186"/>
    </row>
    <row r="194" spans="2:11">
      <c r="B194" s="89"/>
      <c r="C194" s="89"/>
      <c r="D194" s="89"/>
      <c r="E194" s="89"/>
      <c r="F194" s="89"/>
      <c r="G194" s="89"/>
      <c r="H194" s="185"/>
      <c r="I194" s="89"/>
      <c r="J194" s="185"/>
      <c r="K194" s="186"/>
    </row>
    <row r="195" spans="2:11">
      <c r="B195" s="89"/>
      <c r="C195" s="89"/>
      <c r="D195" s="89"/>
      <c r="E195" s="89"/>
      <c r="F195" s="89"/>
      <c r="G195" s="89"/>
      <c r="H195" s="185"/>
      <c r="I195" s="89"/>
      <c r="J195" s="185"/>
      <c r="K195" s="186"/>
    </row>
    <row r="196" spans="2:11">
      <c r="B196" s="89"/>
      <c r="C196" s="89"/>
      <c r="D196" s="89"/>
      <c r="E196" s="89"/>
      <c r="F196" s="89"/>
      <c r="G196" s="89"/>
      <c r="H196" s="185"/>
      <c r="I196" s="89"/>
      <c r="J196" s="185"/>
      <c r="K196" s="186"/>
    </row>
    <row r="197" spans="2:11">
      <c r="B197" s="89"/>
      <c r="C197" s="89"/>
      <c r="D197" s="89"/>
      <c r="E197" s="89"/>
      <c r="F197" s="89"/>
      <c r="G197" s="89"/>
      <c r="H197" s="185"/>
      <c r="I197" s="89"/>
      <c r="J197" s="185"/>
      <c r="K197" s="186"/>
    </row>
    <row r="198" spans="2:11">
      <c r="B198" s="89"/>
      <c r="C198" s="89"/>
      <c r="D198" s="89"/>
      <c r="E198" s="89"/>
      <c r="F198" s="89"/>
      <c r="G198" s="89"/>
      <c r="H198" s="185"/>
      <c r="I198" s="89"/>
      <c r="J198" s="185"/>
      <c r="K198" s="186"/>
    </row>
    <row r="199" spans="2:11">
      <c r="B199" s="89"/>
      <c r="C199" s="89"/>
      <c r="D199" s="89"/>
      <c r="E199" s="89"/>
      <c r="F199" s="89"/>
      <c r="G199" s="89"/>
      <c r="H199" s="185"/>
      <c r="I199" s="89"/>
      <c r="J199" s="185"/>
      <c r="K199" s="186"/>
    </row>
    <row r="200" spans="2:11">
      <c r="B200" s="89"/>
      <c r="C200" s="89"/>
      <c r="D200" s="89"/>
      <c r="E200" s="89"/>
      <c r="F200" s="89"/>
      <c r="G200" s="89"/>
      <c r="H200" s="185"/>
      <c r="I200" s="89"/>
      <c r="J200" s="185"/>
      <c r="K200" s="186"/>
    </row>
    <row r="201" spans="2:11">
      <c r="B201" s="89"/>
      <c r="C201" s="89"/>
      <c r="D201" s="89"/>
      <c r="E201" s="89"/>
      <c r="F201" s="89"/>
      <c r="G201" s="89"/>
      <c r="H201" s="185"/>
      <c r="I201" s="89"/>
      <c r="J201" s="185"/>
      <c r="K201" s="186"/>
    </row>
    <row r="202" spans="2:11">
      <c r="B202" s="89"/>
      <c r="C202" s="89"/>
      <c r="D202" s="89"/>
      <c r="E202" s="89"/>
      <c r="F202" s="89"/>
      <c r="G202" s="89"/>
      <c r="H202" s="185"/>
      <c r="I202" s="89"/>
      <c r="J202" s="185"/>
      <c r="K202" s="186"/>
    </row>
    <row r="203" spans="2:11">
      <c r="B203" s="89"/>
      <c r="C203" s="89"/>
      <c r="D203" s="89"/>
      <c r="E203" s="89"/>
      <c r="F203" s="89"/>
      <c r="G203" s="89"/>
      <c r="H203" s="185"/>
      <c r="I203" s="89"/>
      <c r="J203" s="185"/>
      <c r="K203" s="186"/>
    </row>
    <row r="204" spans="2:11">
      <c r="B204" s="89"/>
      <c r="C204" s="89"/>
      <c r="D204" s="89"/>
      <c r="E204" s="89"/>
      <c r="F204" s="89"/>
      <c r="G204" s="89"/>
      <c r="H204" s="185"/>
      <c r="I204" s="89"/>
      <c r="J204" s="185"/>
      <c r="K204" s="186"/>
    </row>
    <row r="205" spans="2:11">
      <c r="B205" s="89"/>
      <c r="C205" s="89"/>
      <c r="D205" s="89"/>
      <c r="E205" s="89"/>
      <c r="F205" s="89"/>
      <c r="G205" s="89"/>
      <c r="H205" s="185"/>
      <c r="I205" s="89"/>
      <c r="J205" s="185"/>
      <c r="K205" s="186"/>
    </row>
    <row r="206" spans="2:11">
      <c r="B206" s="89"/>
      <c r="C206" s="89"/>
      <c r="D206" s="89"/>
      <c r="E206" s="89"/>
      <c r="F206" s="89"/>
      <c r="G206" s="89"/>
      <c r="H206" s="185"/>
      <c r="I206" s="89"/>
      <c r="J206" s="185"/>
      <c r="K206" s="186"/>
    </row>
    <row r="207" spans="2:11">
      <c r="B207" s="89"/>
      <c r="C207" s="89"/>
      <c r="D207" s="89"/>
      <c r="E207" s="89"/>
      <c r="F207" s="89"/>
      <c r="G207" s="89"/>
      <c r="H207" s="185"/>
      <c r="I207" s="89"/>
      <c r="J207" s="185"/>
      <c r="K207" s="186"/>
    </row>
    <row r="208" spans="2:11">
      <c r="B208" s="89"/>
      <c r="C208" s="89"/>
      <c r="D208" s="89"/>
      <c r="E208" s="89"/>
      <c r="F208" s="89"/>
      <c r="G208" s="89"/>
      <c r="H208" s="185"/>
      <c r="I208" s="89"/>
      <c r="J208" s="185"/>
      <c r="K208" s="186"/>
    </row>
    <row r="209" spans="2:11">
      <c r="B209" s="89"/>
      <c r="C209" s="89"/>
      <c r="D209" s="89"/>
      <c r="E209" s="89"/>
      <c r="F209" s="89"/>
      <c r="G209" s="89"/>
      <c r="H209" s="185"/>
      <c r="I209" s="89"/>
      <c r="J209" s="185"/>
      <c r="K209" s="186"/>
    </row>
    <row r="210" spans="2:11">
      <c r="B210" s="89"/>
      <c r="C210" s="89"/>
      <c r="D210" s="89"/>
      <c r="E210" s="89"/>
      <c r="F210" s="89"/>
      <c r="G210" s="89"/>
      <c r="H210" s="185"/>
      <c r="I210" s="89"/>
      <c r="J210" s="185"/>
      <c r="K210" s="186"/>
    </row>
    <row r="211" spans="2:11">
      <c r="B211" s="89"/>
      <c r="C211" s="89"/>
      <c r="D211" s="89"/>
      <c r="E211" s="89"/>
      <c r="F211" s="89"/>
      <c r="G211" s="89"/>
      <c r="H211" s="185"/>
      <c r="I211" s="89"/>
      <c r="J211" s="185"/>
      <c r="K211" s="186"/>
    </row>
    <row r="212" spans="2:11">
      <c r="B212" s="89"/>
      <c r="C212" s="89"/>
      <c r="D212" s="89"/>
      <c r="E212" s="89"/>
      <c r="F212" s="89"/>
      <c r="G212" s="89"/>
      <c r="H212" s="185"/>
      <c r="I212" s="89"/>
      <c r="J212" s="185"/>
      <c r="K212" s="186"/>
    </row>
    <row r="213" spans="2:11">
      <c r="B213" s="89"/>
      <c r="C213" s="89"/>
      <c r="D213" s="89"/>
      <c r="E213" s="89"/>
      <c r="F213" s="89"/>
      <c r="G213" s="89"/>
      <c r="H213" s="185"/>
      <c r="I213" s="89"/>
      <c r="J213" s="185"/>
      <c r="K213" s="186"/>
    </row>
    <row r="214" spans="2:11">
      <c r="B214" s="89"/>
      <c r="C214" s="89"/>
      <c r="D214" s="89"/>
      <c r="E214" s="89"/>
      <c r="F214" s="89"/>
      <c r="G214" s="89"/>
      <c r="H214" s="185"/>
      <c r="I214" s="89"/>
      <c r="J214" s="185"/>
      <c r="K214" s="186"/>
    </row>
    <row r="215" spans="2:11">
      <c r="B215" s="89"/>
      <c r="C215" s="89"/>
      <c r="D215" s="89"/>
      <c r="E215" s="89"/>
      <c r="F215" s="89"/>
      <c r="G215" s="89"/>
      <c r="H215" s="185"/>
      <c r="I215" s="89"/>
      <c r="J215" s="185"/>
      <c r="K215" s="186"/>
    </row>
    <row r="216" spans="2:11">
      <c r="B216" s="89"/>
      <c r="C216" s="89"/>
      <c r="D216" s="89"/>
      <c r="E216" s="89"/>
      <c r="F216" s="89"/>
      <c r="G216" s="89"/>
      <c r="H216" s="185"/>
      <c r="I216" s="89"/>
      <c r="J216" s="185"/>
      <c r="K216" s="186"/>
    </row>
    <row r="217" spans="2:11">
      <c r="B217" s="89"/>
      <c r="C217" s="89"/>
      <c r="D217" s="89"/>
      <c r="E217" s="89"/>
      <c r="F217" s="89"/>
      <c r="G217" s="89"/>
      <c r="H217" s="185"/>
      <c r="I217" s="89"/>
      <c r="J217" s="185"/>
      <c r="K217" s="186"/>
    </row>
    <row r="218" spans="2:11">
      <c r="B218" s="89"/>
      <c r="C218" s="89"/>
      <c r="D218" s="89"/>
      <c r="E218" s="89"/>
      <c r="F218" s="89"/>
      <c r="G218" s="89"/>
      <c r="H218" s="185"/>
      <c r="I218" s="89"/>
      <c r="J218" s="185"/>
      <c r="K218" s="186"/>
    </row>
    <row r="219" spans="2:11">
      <c r="B219" s="89"/>
      <c r="C219" s="89"/>
      <c r="D219" s="89"/>
      <c r="E219" s="89"/>
      <c r="F219" s="89"/>
      <c r="G219" s="89"/>
      <c r="H219" s="185"/>
      <c r="I219" s="89"/>
      <c r="J219" s="185"/>
      <c r="K219" s="186"/>
    </row>
    <row r="220" spans="2:11">
      <c r="B220" s="89"/>
      <c r="C220" s="89"/>
      <c r="D220" s="89"/>
      <c r="E220" s="89"/>
      <c r="F220" s="89"/>
      <c r="G220" s="89"/>
      <c r="H220" s="185"/>
      <c r="I220" s="89"/>
      <c r="J220" s="185"/>
      <c r="K220" s="186"/>
    </row>
    <row r="221" spans="2:11">
      <c r="B221" s="89"/>
      <c r="C221" s="89"/>
      <c r="D221" s="89"/>
      <c r="E221" s="89"/>
      <c r="F221" s="89"/>
      <c r="G221" s="89"/>
      <c r="H221" s="185"/>
      <c r="I221" s="89"/>
      <c r="J221" s="185"/>
      <c r="K221" s="186"/>
    </row>
    <row r="222" spans="2:11">
      <c r="B222" s="89"/>
      <c r="C222" s="89"/>
      <c r="D222" s="89"/>
      <c r="E222" s="89"/>
      <c r="F222" s="89"/>
      <c r="G222" s="89"/>
      <c r="H222" s="185"/>
      <c r="I222" s="89"/>
      <c r="J222" s="185"/>
      <c r="K222" s="186"/>
    </row>
    <row r="223" spans="2:11">
      <c r="B223" s="89"/>
      <c r="C223" s="89"/>
      <c r="D223" s="89"/>
      <c r="E223" s="89"/>
      <c r="F223" s="89"/>
      <c r="G223" s="89"/>
      <c r="H223" s="185"/>
      <c r="I223" s="89"/>
      <c r="J223" s="185"/>
      <c r="K223" s="186"/>
    </row>
    <row r="224" spans="2:11">
      <c r="B224" s="89"/>
      <c r="C224" s="89"/>
      <c r="D224" s="89"/>
      <c r="E224" s="89"/>
      <c r="F224" s="89"/>
      <c r="G224" s="89"/>
      <c r="H224" s="185"/>
      <c r="I224" s="89"/>
      <c r="J224" s="185"/>
      <c r="K224" s="186"/>
    </row>
    <row r="225" spans="2:11">
      <c r="B225" s="89"/>
      <c r="C225" s="89"/>
      <c r="D225" s="89"/>
      <c r="E225" s="89"/>
      <c r="F225" s="89"/>
      <c r="G225" s="89"/>
      <c r="H225" s="185"/>
      <c r="I225" s="89"/>
      <c r="J225" s="185"/>
      <c r="K225" s="186"/>
    </row>
    <row r="226" spans="2:11">
      <c r="B226" s="89"/>
      <c r="C226" s="89"/>
      <c r="D226" s="89"/>
      <c r="E226" s="89"/>
      <c r="F226" s="89"/>
      <c r="G226" s="89"/>
      <c r="H226" s="185"/>
      <c r="I226" s="89"/>
      <c r="J226" s="185"/>
      <c r="K226" s="186"/>
    </row>
    <row r="227" spans="2:11">
      <c r="B227" s="89"/>
      <c r="C227" s="89"/>
      <c r="D227" s="89"/>
      <c r="E227" s="89"/>
      <c r="F227" s="89"/>
      <c r="G227" s="89"/>
      <c r="H227" s="185"/>
      <c r="I227" s="89"/>
      <c r="J227" s="185"/>
      <c r="K227" s="186"/>
    </row>
    <row r="228" spans="2:11">
      <c r="B228" s="89"/>
      <c r="C228" s="89"/>
      <c r="D228" s="89"/>
      <c r="E228" s="89"/>
      <c r="F228" s="89"/>
      <c r="G228" s="89"/>
      <c r="H228" s="185"/>
      <c r="I228" s="89"/>
      <c r="J228" s="185"/>
      <c r="K228" s="186"/>
    </row>
    <row r="229" spans="2:11">
      <c r="B229" s="89"/>
      <c r="C229" s="89"/>
      <c r="D229" s="89"/>
      <c r="E229" s="89"/>
      <c r="F229" s="89"/>
      <c r="G229" s="89"/>
      <c r="H229" s="185"/>
      <c r="I229" s="89"/>
      <c r="J229" s="185"/>
      <c r="K229" s="186"/>
    </row>
    <row r="230" spans="2:11">
      <c r="B230" s="89"/>
      <c r="C230" s="89"/>
      <c r="D230" s="89"/>
      <c r="E230" s="89"/>
      <c r="F230" s="89"/>
      <c r="G230" s="89"/>
      <c r="H230" s="185"/>
      <c r="I230" s="89"/>
      <c r="J230" s="185"/>
      <c r="K230" s="186"/>
    </row>
    <row r="231" spans="2:11">
      <c r="B231" s="89"/>
      <c r="C231" s="89"/>
      <c r="D231" s="89"/>
      <c r="E231" s="89"/>
      <c r="F231" s="89"/>
      <c r="G231" s="89"/>
      <c r="H231" s="185"/>
      <c r="I231" s="89"/>
      <c r="J231" s="185"/>
      <c r="K231" s="186"/>
    </row>
    <row r="232" spans="2:11">
      <c r="B232" s="89"/>
      <c r="C232" s="89"/>
      <c r="D232" s="89"/>
      <c r="E232" s="89"/>
      <c r="F232" s="89"/>
      <c r="G232" s="89"/>
      <c r="H232" s="185"/>
      <c r="I232" s="89"/>
      <c r="J232" s="185"/>
      <c r="K232" s="186"/>
    </row>
    <row r="233" spans="2:11">
      <c r="B233" s="89"/>
      <c r="C233" s="89"/>
      <c r="D233" s="89"/>
      <c r="E233" s="89"/>
      <c r="F233" s="89"/>
      <c r="G233" s="89"/>
      <c r="H233" s="185"/>
      <c r="I233" s="89"/>
      <c r="J233" s="185"/>
      <c r="K233" s="186"/>
    </row>
    <row r="234" spans="2:11">
      <c r="B234" s="89"/>
      <c r="C234" s="89"/>
      <c r="D234" s="89"/>
      <c r="E234" s="89"/>
      <c r="F234" s="89"/>
      <c r="G234" s="89"/>
      <c r="H234" s="185"/>
      <c r="I234" s="89"/>
      <c r="J234" s="185"/>
      <c r="K234" s="186"/>
    </row>
    <row r="235" spans="2:11">
      <c r="B235" s="89"/>
      <c r="C235" s="89"/>
      <c r="D235" s="89"/>
      <c r="E235" s="89"/>
      <c r="F235" s="89"/>
      <c r="G235" s="89"/>
      <c r="H235" s="185"/>
      <c r="I235" s="89"/>
      <c r="J235" s="185"/>
      <c r="K235" s="186"/>
    </row>
    <row r="236" spans="2:11">
      <c r="B236" s="89"/>
      <c r="C236" s="89"/>
      <c r="D236" s="89"/>
      <c r="E236" s="89"/>
      <c r="F236" s="89"/>
      <c r="G236" s="89"/>
      <c r="H236" s="185"/>
      <c r="I236" s="89"/>
      <c r="J236" s="185"/>
      <c r="K236" s="186"/>
    </row>
    <row r="237" spans="2:11">
      <c r="B237" s="89"/>
      <c r="C237" s="89"/>
      <c r="D237" s="89"/>
      <c r="E237" s="89"/>
      <c r="F237" s="89"/>
      <c r="G237" s="89"/>
      <c r="H237" s="185"/>
      <c r="I237" s="89"/>
      <c r="J237" s="185"/>
      <c r="K237" s="186"/>
    </row>
    <row r="238" spans="2:11">
      <c r="B238" s="89"/>
      <c r="C238" s="89"/>
      <c r="D238" s="89"/>
      <c r="E238" s="89"/>
      <c r="F238" s="89"/>
      <c r="G238" s="89"/>
      <c r="H238" s="185"/>
      <c r="I238" s="89"/>
      <c r="J238" s="185"/>
      <c r="K238" s="186"/>
    </row>
    <row r="239" spans="2:11">
      <c r="B239" s="89"/>
      <c r="C239" s="89"/>
      <c r="D239" s="89"/>
      <c r="E239" s="89"/>
      <c r="F239" s="89"/>
      <c r="G239" s="89"/>
      <c r="H239" s="185"/>
      <c r="I239" s="89"/>
      <c r="J239" s="185"/>
      <c r="K239" s="186"/>
    </row>
    <row r="240" spans="2:11">
      <c r="B240" s="89"/>
      <c r="C240" s="89"/>
      <c r="D240" s="89"/>
      <c r="E240" s="89"/>
      <c r="F240" s="89"/>
      <c r="G240" s="89"/>
      <c r="H240" s="185"/>
      <c r="I240" s="89"/>
      <c r="J240" s="185"/>
      <c r="K240" s="186"/>
    </row>
    <row r="241" spans="2:11">
      <c r="B241" s="89"/>
      <c r="C241" s="89"/>
      <c r="D241" s="89"/>
      <c r="E241" s="89"/>
      <c r="F241" s="89"/>
      <c r="G241" s="89"/>
      <c r="H241" s="185"/>
      <c r="I241" s="89"/>
      <c r="J241" s="185"/>
      <c r="K241" s="186"/>
    </row>
    <row r="242" spans="2:11">
      <c r="B242" s="89"/>
      <c r="C242" s="89"/>
      <c r="D242" s="89"/>
      <c r="E242" s="89"/>
      <c r="F242" s="89"/>
      <c r="G242" s="89"/>
      <c r="H242" s="185"/>
      <c r="I242" s="89"/>
      <c r="J242" s="185"/>
      <c r="K242" s="186"/>
    </row>
    <row r="243" spans="2:11">
      <c r="B243" s="89"/>
      <c r="C243" s="89"/>
      <c r="D243" s="89"/>
      <c r="E243" s="89"/>
      <c r="F243" s="89"/>
      <c r="G243" s="89"/>
      <c r="H243" s="185"/>
      <c r="I243" s="89"/>
      <c r="J243" s="185"/>
      <c r="K243" s="186"/>
    </row>
    <row r="244" spans="2:11">
      <c r="B244" s="89"/>
      <c r="C244" s="89"/>
      <c r="D244" s="89"/>
      <c r="E244" s="89"/>
      <c r="F244" s="89"/>
      <c r="G244" s="89"/>
      <c r="H244" s="185"/>
      <c r="I244" s="89"/>
      <c r="J244" s="185"/>
      <c r="K244" s="186"/>
    </row>
    <row r="245" spans="2:11">
      <c r="B245" s="89"/>
      <c r="C245" s="89"/>
      <c r="D245" s="89"/>
      <c r="E245" s="89"/>
      <c r="F245" s="89"/>
      <c r="G245" s="89"/>
      <c r="H245" s="185"/>
      <c r="I245" s="89"/>
      <c r="J245" s="185"/>
      <c r="K245" s="186"/>
    </row>
    <row r="246" spans="2:11">
      <c r="B246" s="89"/>
      <c r="C246" s="89"/>
      <c r="D246" s="89"/>
      <c r="E246" s="89"/>
      <c r="F246" s="89"/>
      <c r="G246" s="89"/>
      <c r="H246" s="185"/>
      <c r="I246" s="89"/>
      <c r="J246" s="185"/>
      <c r="K246" s="186"/>
    </row>
    <row r="247" spans="2:11">
      <c r="B247" s="89"/>
      <c r="C247" s="89"/>
      <c r="D247" s="89"/>
      <c r="E247" s="89"/>
      <c r="F247" s="89"/>
      <c r="G247" s="89"/>
      <c r="H247" s="185"/>
      <c r="I247" s="89"/>
      <c r="J247" s="185"/>
      <c r="K247" s="186"/>
    </row>
    <row r="248" spans="2:11">
      <c r="B248" s="89"/>
      <c r="C248" s="89"/>
      <c r="D248" s="89"/>
      <c r="E248" s="89"/>
      <c r="F248" s="89"/>
      <c r="G248" s="89"/>
      <c r="H248" s="185"/>
      <c r="I248" s="89"/>
      <c r="J248" s="185"/>
      <c r="K248" s="186"/>
    </row>
    <row r="249" spans="2:11">
      <c r="B249" s="89"/>
      <c r="C249" s="89"/>
      <c r="D249" s="89"/>
      <c r="E249" s="89"/>
      <c r="F249" s="89"/>
      <c r="G249" s="89"/>
      <c r="H249" s="185"/>
      <c r="I249" s="89"/>
      <c r="J249" s="185"/>
      <c r="K249" s="186"/>
    </row>
    <row r="250" spans="2:11">
      <c r="B250" s="89"/>
      <c r="C250" s="89"/>
      <c r="D250" s="89"/>
      <c r="E250" s="89"/>
      <c r="F250" s="89"/>
      <c r="G250" s="89"/>
      <c r="H250" s="185"/>
      <c r="I250" s="89"/>
      <c r="J250" s="185"/>
      <c r="K250" s="186"/>
    </row>
    <row r="251" spans="2:11">
      <c r="B251" s="89"/>
      <c r="C251" s="89"/>
      <c r="D251" s="89"/>
      <c r="E251" s="89"/>
      <c r="F251" s="89"/>
      <c r="G251" s="89"/>
      <c r="H251" s="185"/>
      <c r="I251" s="89"/>
      <c r="J251" s="185"/>
      <c r="K251" s="186"/>
    </row>
    <row r="252" spans="2:11">
      <c r="B252" s="89"/>
      <c r="C252" s="89"/>
      <c r="D252" s="89"/>
      <c r="E252" s="89"/>
      <c r="F252" s="89"/>
      <c r="G252" s="89"/>
      <c r="H252" s="185"/>
      <c r="I252" s="89"/>
      <c r="J252" s="185"/>
      <c r="K252" s="186"/>
    </row>
    <row r="253" spans="2:11">
      <c r="B253" s="89"/>
      <c r="C253" s="89"/>
      <c r="D253" s="89"/>
      <c r="E253" s="89"/>
      <c r="F253" s="89"/>
      <c r="G253" s="89"/>
      <c r="H253" s="185"/>
      <c r="I253" s="89"/>
      <c r="J253" s="185"/>
      <c r="K253" s="186"/>
    </row>
    <row r="254" spans="2:11">
      <c r="B254" s="89"/>
      <c r="C254" s="89"/>
      <c r="D254" s="89"/>
      <c r="E254" s="89"/>
      <c r="F254" s="89"/>
      <c r="G254" s="89"/>
      <c r="H254" s="185"/>
      <c r="I254" s="89"/>
      <c r="J254" s="185"/>
      <c r="K254" s="186"/>
    </row>
    <row r="255" spans="2:11">
      <c r="B255" s="89"/>
      <c r="C255" s="89"/>
      <c r="D255" s="89"/>
      <c r="E255" s="89"/>
      <c r="F255" s="89"/>
      <c r="G255" s="89"/>
      <c r="H255" s="185"/>
      <c r="I255" s="89"/>
      <c r="J255" s="185"/>
      <c r="K255" s="186"/>
    </row>
    <row r="256" spans="2:11">
      <c r="B256" s="89"/>
      <c r="C256" s="89"/>
      <c r="D256" s="89"/>
      <c r="E256" s="89"/>
      <c r="F256" s="89"/>
      <c r="G256" s="89"/>
      <c r="H256" s="185"/>
      <c r="I256" s="89"/>
      <c r="J256" s="185"/>
      <c r="K256" s="186"/>
    </row>
    <row r="257" spans="2:11">
      <c r="B257" s="89"/>
      <c r="C257" s="89"/>
      <c r="D257" s="89"/>
      <c r="E257" s="89"/>
      <c r="F257" s="89"/>
      <c r="G257" s="89"/>
      <c r="H257" s="185"/>
      <c r="I257" s="89"/>
      <c r="J257" s="185"/>
      <c r="K257" s="186"/>
    </row>
    <row r="258" spans="2:11">
      <c r="B258" s="89"/>
      <c r="C258" s="89"/>
      <c r="D258" s="89"/>
      <c r="E258" s="89"/>
      <c r="F258" s="89"/>
      <c r="G258" s="89"/>
      <c r="H258" s="185"/>
      <c r="I258" s="89"/>
      <c r="J258" s="185"/>
      <c r="K258" s="186"/>
    </row>
    <row r="259" spans="2:11">
      <c r="B259" s="89"/>
      <c r="C259" s="89"/>
      <c r="D259" s="89"/>
      <c r="E259" s="89"/>
      <c r="F259" s="89"/>
      <c r="G259" s="89"/>
      <c r="H259" s="185"/>
      <c r="I259" s="89"/>
      <c r="J259" s="185"/>
      <c r="K259" s="186"/>
    </row>
    <row r="260" spans="2:11">
      <c r="B260" s="89"/>
      <c r="C260" s="89"/>
      <c r="D260" s="89"/>
      <c r="E260" s="89"/>
      <c r="F260" s="89"/>
      <c r="G260" s="89"/>
      <c r="H260" s="185"/>
      <c r="I260" s="89"/>
      <c r="J260" s="185"/>
      <c r="K260" s="186"/>
    </row>
    <row r="261" spans="2:11">
      <c r="B261" s="89"/>
      <c r="C261" s="89"/>
      <c r="D261" s="89"/>
      <c r="E261" s="89"/>
      <c r="F261" s="89"/>
      <c r="G261" s="89"/>
      <c r="H261" s="185"/>
      <c r="I261" s="89"/>
      <c r="J261" s="185"/>
      <c r="K261" s="186"/>
    </row>
    <row r="262" spans="2:11">
      <c r="B262" s="89"/>
      <c r="C262" s="89"/>
      <c r="D262" s="89"/>
      <c r="E262" s="89"/>
      <c r="F262" s="89"/>
      <c r="G262" s="89"/>
      <c r="H262" s="185"/>
      <c r="I262" s="89"/>
      <c r="J262" s="185"/>
      <c r="K262" s="186"/>
    </row>
    <row r="263" spans="2:11">
      <c r="B263" s="89"/>
      <c r="C263" s="89"/>
      <c r="D263" s="89"/>
      <c r="E263" s="89"/>
      <c r="F263" s="89"/>
      <c r="G263" s="89"/>
      <c r="H263" s="185"/>
      <c r="I263" s="89"/>
      <c r="J263" s="185"/>
      <c r="K263" s="186"/>
    </row>
    <row r="264" spans="2:11">
      <c r="B264" s="89"/>
      <c r="C264" s="89"/>
      <c r="D264" s="89"/>
      <c r="E264" s="89"/>
      <c r="F264" s="89"/>
      <c r="G264" s="89"/>
      <c r="H264" s="185"/>
      <c r="I264" s="89"/>
      <c r="J264" s="185"/>
      <c r="K264" s="186"/>
    </row>
    <row r="265" spans="2:11">
      <c r="B265" s="89"/>
      <c r="C265" s="89"/>
      <c r="D265" s="89"/>
      <c r="E265" s="89"/>
      <c r="F265" s="89"/>
      <c r="G265" s="89"/>
      <c r="H265" s="185"/>
      <c r="I265" s="89"/>
      <c r="J265" s="185"/>
      <c r="K265" s="186"/>
    </row>
    <row r="266" spans="2:11">
      <c r="B266" s="89"/>
      <c r="C266" s="89"/>
      <c r="D266" s="89"/>
      <c r="E266" s="89"/>
      <c r="F266" s="89"/>
      <c r="G266" s="89"/>
      <c r="H266" s="185"/>
      <c r="I266" s="89"/>
      <c r="J266" s="185"/>
      <c r="K266" s="186"/>
    </row>
    <row r="267" spans="2:11">
      <c r="B267" s="89"/>
      <c r="C267" s="89"/>
      <c r="D267" s="89"/>
      <c r="E267" s="89"/>
      <c r="F267" s="89"/>
      <c r="G267" s="89"/>
      <c r="H267" s="185"/>
      <c r="I267" s="89"/>
      <c r="J267" s="185"/>
      <c r="K267" s="186"/>
    </row>
    <row r="268" spans="2:11">
      <c r="B268" s="89"/>
      <c r="C268" s="89"/>
      <c r="D268" s="89"/>
      <c r="E268" s="89"/>
      <c r="F268" s="89"/>
      <c r="G268" s="89"/>
      <c r="H268" s="185"/>
      <c r="I268" s="89"/>
      <c r="J268" s="185"/>
      <c r="K268" s="186"/>
    </row>
    <row r="269" spans="2:11">
      <c r="B269" s="89"/>
      <c r="C269" s="89"/>
      <c r="D269" s="89"/>
      <c r="E269" s="89"/>
      <c r="F269" s="89"/>
      <c r="G269" s="89"/>
      <c r="H269" s="185"/>
      <c r="I269" s="89"/>
      <c r="J269" s="185"/>
      <c r="K269" s="186"/>
    </row>
    <row r="270" spans="2:11">
      <c r="B270" s="89"/>
      <c r="C270" s="89"/>
      <c r="D270" s="89"/>
      <c r="E270" s="89"/>
      <c r="F270" s="89"/>
      <c r="G270" s="89"/>
      <c r="H270" s="185"/>
      <c r="I270" s="89"/>
      <c r="J270" s="185"/>
      <c r="K270" s="186"/>
    </row>
    <row r="271" spans="2:11">
      <c r="B271" s="89"/>
      <c r="C271" s="89"/>
      <c r="D271" s="89"/>
      <c r="E271" s="89"/>
      <c r="F271" s="89"/>
      <c r="G271" s="89"/>
      <c r="H271" s="185"/>
      <c r="I271" s="89"/>
      <c r="J271" s="185"/>
      <c r="K271" s="186"/>
    </row>
    <row r="272" spans="2:11">
      <c r="B272" s="89"/>
      <c r="C272" s="89"/>
      <c r="D272" s="89"/>
      <c r="E272" s="89"/>
      <c r="F272" s="89"/>
      <c r="G272" s="89"/>
      <c r="H272" s="185"/>
      <c r="I272" s="89"/>
      <c r="J272" s="185"/>
      <c r="K272" s="186"/>
    </row>
    <row r="273" spans="2:11">
      <c r="B273" s="89"/>
      <c r="C273" s="89"/>
      <c r="D273" s="89"/>
      <c r="E273" s="89"/>
      <c r="F273" s="89"/>
      <c r="G273" s="89"/>
      <c r="H273" s="185"/>
      <c r="I273" s="89"/>
      <c r="J273" s="185"/>
      <c r="K273" s="186"/>
    </row>
    <row r="274" spans="2:11">
      <c r="B274" s="89"/>
      <c r="C274" s="89"/>
      <c r="D274" s="89"/>
      <c r="E274" s="89"/>
      <c r="F274" s="89"/>
      <c r="G274" s="89"/>
      <c r="H274" s="185"/>
      <c r="I274" s="89"/>
      <c r="J274" s="185"/>
      <c r="K274" s="186"/>
    </row>
    <row r="275" spans="2:11">
      <c r="B275" s="89"/>
      <c r="C275" s="89"/>
      <c r="D275" s="89"/>
      <c r="E275" s="89"/>
      <c r="F275" s="89"/>
      <c r="G275" s="89"/>
      <c r="H275" s="185"/>
      <c r="I275" s="89"/>
      <c r="J275" s="185"/>
      <c r="K275" s="186"/>
    </row>
    <row r="276" spans="2:11">
      <c r="B276" s="89"/>
      <c r="C276" s="89"/>
      <c r="D276" s="89"/>
      <c r="E276" s="89"/>
      <c r="F276" s="89"/>
      <c r="G276" s="89"/>
      <c r="H276" s="185"/>
      <c r="I276" s="89"/>
      <c r="J276" s="185"/>
      <c r="K276" s="186"/>
    </row>
    <row r="277" spans="2:11">
      <c r="B277" s="89"/>
      <c r="C277" s="89"/>
      <c r="D277" s="89"/>
      <c r="E277" s="89"/>
      <c r="F277" s="89"/>
      <c r="G277" s="89"/>
      <c r="H277" s="185"/>
      <c r="I277" s="89"/>
      <c r="J277" s="185"/>
      <c r="K277" s="186"/>
    </row>
    <row r="278" spans="2:11">
      <c r="B278" s="89"/>
      <c r="C278" s="89"/>
      <c r="D278" s="89"/>
      <c r="E278" s="89"/>
      <c r="F278" s="89"/>
      <c r="G278" s="89"/>
      <c r="H278" s="185"/>
      <c r="I278" s="89"/>
      <c r="J278" s="185"/>
      <c r="K278" s="186"/>
    </row>
    <row r="279" spans="2:11">
      <c r="B279" s="89"/>
      <c r="C279" s="89"/>
      <c r="D279" s="89"/>
      <c r="E279" s="89"/>
      <c r="F279" s="89"/>
      <c r="G279" s="89"/>
      <c r="H279" s="185"/>
      <c r="I279" s="89"/>
      <c r="J279" s="185"/>
      <c r="K279" s="186"/>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325"/>
  <sheetViews>
    <sheetView showGridLines="0" zoomScale="85" zoomScaleNormal="85" workbookViewId="0"/>
  </sheetViews>
  <sheetFormatPr defaultColWidth="9.1796875" defaultRowHeight="12.5"/>
  <cols>
    <col min="1" max="1" width="2.54296875" style="3" customWidth="1"/>
    <col min="2" max="2" width="62.54296875" style="3" customWidth="1"/>
    <col min="3" max="3" width="2.54296875" style="3" customWidth="1"/>
    <col min="4" max="4" width="9.81640625" style="3" customWidth="1"/>
    <col min="5" max="5" width="2.54296875" style="3" customWidth="1"/>
    <col min="6" max="6" width="34.54296875" style="3" customWidth="1"/>
    <col min="7" max="7" width="20.54296875" style="3" customWidth="1"/>
    <col min="8" max="8" width="24.453125" style="3" customWidth="1"/>
    <col min="9" max="9" width="21.54296875" style="3" bestFit="1" customWidth="1"/>
    <col min="10" max="10" width="26" style="3" bestFit="1" customWidth="1"/>
    <col min="11" max="11" width="44.54296875" style="3" bestFit="1" customWidth="1"/>
    <col min="12" max="12" width="10.453125" style="3" customWidth="1"/>
    <col min="13" max="13" width="7.453125" style="3" customWidth="1"/>
    <col min="14" max="14" width="14.54296875" style="3" customWidth="1"/>
    <col min="15" max="15" width="2.54296875" style="3" customWidth="1"/>
    <col min="16" max="16" width="20.54296875" style="3" customWidth="1"/>
    <col min="17" max="17" width="2.54296875" style="3" customWidth="1"/>
    <col min="18" max="31" width="13.54296875" style="3" customWidth="1"/>
    <col min="32" max="16384" width="9.1796875" style="3"/>
  </cols>
  <sheetData>
    <row r="2" spans="1:20" s="12" customFormat="1" ht="18">
      <c r="B2" s="12" t="s">
        <v>519</v>
      </c>
    </row>
    <row r="4" spans="1:20" ht="13">
      <c r="B4" s="16" t="s">
        <v>183</v>
      </c>
      <c r="C4" s="2"/>
    </row>
    <row r="5" spans="1:20" ht="15.75" customHeight="1">
      <c r="B5" s="359" t="s">
        <v>504</v>
      </c>
      <c r="C5" s="359"/>
      <c r="D5" s="359"/>
      <c r="F5" s="13"/>
    </row>
    <row r="7" spans="1:20" ht="13">
      <c r="B7" s="17" t="s">
        <v>140</v>
      </c>
    </row>
    <row r="8" spans="1:20" ht="33" customHeight="1">
      <c r="B8" s="360" t="s">
        <v>520</v>
      </c>
      <c r="C8" s="360"/>
      <c r="D8" s="360"/>
    </row>
    <row r="9" spans="1:20" s="33" customFormat="1" ht="12.75" customHeight="1">
      <c r="A9" s="96"/>
      <c r="B9" s="33" t="s">
        <v>521</v>
      </c>
      <c r="H9" s="184"/>
      <c r="I9" s="184"/>
      <c r="J9" s="184"/>
      <c r="K9" s="184"/>
      <c r="L9" s="184"/>
      <c r="M9" s="184"/>
      <c r="N9" s="184"/>
      <c r="O9" s="184"/>
      <c r="P9" s="184"/>
      <c r="R9" s="33" t="s">
        <v>186</v>
      </c>
      <c r="T9" s="33" t="s">
        <v>187</v>
      </c>
    </row>
    <row r="10" spans="1:20" s="34" customFormat="1" ht="12.75" customHeight="1">
      <c r="A10" s="97"/>
      <c r="B10" s="34" t="s">
        <v>143</v>
      </c>
      <c r="D10" s="34" t="s">
        <v>184</v>
      </c>
      <c r="F10" s="34" t="s">
        <v>274</v>
      </c>
      <c r="G10" s="34" t="s">
        <v>522</v>
      </c>
      <c r="H10" s="99" t="s">
        <v>523</v>
      </c>
      <c r="I10" s="99" t="s">
        <v>524</v>
      </c>
      <c r="J10" s="99" t="s">
        <v>525</v>
      </c>
      <c r="K10" s="99" t="s">
        <v>526</v>
      </c>
      <c r="L10" s="99"/>
      <c r="M10" s="99"/>
      <c r="N10" s="99"/>
      <c r="O10" s="99"/>
      <c r="P10" s="99"/>
    </row>
    <row r="12" spans="1:20">
      <c r="B12" s="91" t="s">
        <v>527</v>
      </c>
      <c r="C12" s="89"/>
      <c r="D12" s="89"/>
      <c r="E12" s="89"/>
      <c r="F12" s="91" t="s">
        <v>286</v>
      </c>
      <c r="G12" s="91">
        <v>1971</v>
      </c>
      <c r="H12" s="322">
        <v>47083.78</v>
      </c>
      <c r="I12" s="91">
        <v>2021</v>
      </c>
      <c r="J12" s="322">
        <v>0</v>
      </c>
      <c r="K12" s="145">
        <v>38383584.379999995</v>
      </c>
      <c r="O12" s="88"/>
      <c r="P12" s="88"/>
      <c r="R12" s="3" t="s">
        <v>458</v>
      </c>
    </row>
    <row r="13" spans="1:20">
      <c r="B13" s="91" t="s">
        <v>528</v>
      </c>
      <c r="C13" s="89"/>
      <c r="D13" s="89"/>
      <c r="E13" s="89"/>
      <c r="F13" s="91" t="s">
        <v>290</v>
      </c>
      <c r="G13" s="91">
        <v>1961</v>
      </c>
      <c r="H13" s="322">
        <v>50334.43</v>
      </c>
      <c r="I13" s="91">
        <v>2021</v>
      </c>
      <c r="J13" s="322">
        <v>0</v>
      </c>
      <c r="K13" s="322"/>
      <c r="O13" s="88"/>
      <c r="P13" s="88"/>
      <c r="R13" s="3" t="s">
        <v>458</v>
      </c>
    </row>
    <row r="14" spans="1:20">
      <c r="B14" s="91" t="s">
        <v>529</v>
      </c>
      <c r="C14" s="89"/>
      <c r="D14" s="89"/>
      <c r="E14" s="89"/>
      <c r="F14" s="91" t="s">
        <v>290</v>
      </c>
      <c r="G14" s="91">
        <v>1972</v>
      </c>
      <c r="H14" s="322">
        <v>2621.49</v>
      </c>
      <c r="I14" s="91">
        <v>2021</v>
      </c>
      <c r="J14" s="322">
        <v>0</v>
      </c>
      <c r="K14" s="145"/>
      <c r="O14" s="88"/>
      <c r="P14" s="88"/>
      <c r="R14" s="3" t="s">
        <v>458</v>
      </c>
    </row>
    <row r="15" spans="1:20">
      <c r="B15" s="91" t="s">
        <v>530</v>
      </c>
      <c r="C15" s="89"/>
      <c r="D15" s="89"/>
      <c r="E15" s="89"/>
      <c r="F15" s="91" t="s">
        <v>294</v>
      </c>
      <c r="G15" s="91">
        <v>1997</v>
      </c>
      <c r="H15" s="322">
        <v>151227.48000000004</v>
      </c>
      <c r="I15" s="91">
        <v>2021</v>
      </c>
      <c r="J15" s="322">
        <v>0</v>
      </c>
      <c r="K15" s="145"/>
      <c r="R15" s="3" t="s">
        <v>458</v>
      </c>
    </row>
    <row r="16" spans="1:20">
      <c r="B16" s="91" t="s">
        <v>531</v>
      </c>
      <c r="C16" s="89"/>
      <c r="D16" s="89"/>
      <c r="E16" s="89"/>
      <c r="F16" s="91" t="s">
        <v>300</v>
      </c>
      <c r="G16" s="91">
        <v>2009</v>
      </c>
      <c r="H16" s="322">
        <v>1313895.18</v>
      </c>
      <c r="I16" s="91">
        <v>2021</v>
      </c>
      <c r="J16" s="322">
        <v>0</v>
      </c>
      <c r="K16" s="145"/>
      <c r="R16" s="3" t="s">
        <v>458</v>
      </c>
    </row>
    <row r="17" spans="2:18">
      <c r="B17" s="91" t="s">
        <v>532</v>
      </c>
      <c r="C17" s="89"/>
      <c r="D17" s="89"/>
      <c r="E17" s="89"/>
      <c r="F17" s="91" t="s">
        <v>334</v>
      </c>
      <c r="G17" s="91">
        <v>2009</v>
      </c>
      <c r="H17" s="322">
        <v>3658553.4539964925</v>
      </c>
      <c r="I17" s="91">
        <v>2021</v>
      </c>
      <c r="J17" s="322">
        <v>0</v>
      </c>
      <c r="K17" s="145">
        <v>114985168</v>
      </c>
      <c r="R17" s="3" t="s">
        <v>458</v>
      </c>
    </row>
    <row r="18" spans="2:18">
      <c r="B18" s="91" t="s">
        <v>533</v>
      </c>
      <c r="C18" s="89"/>
      <c r="D18" s="89"/>
      <c r="E18" s="89"/>
      <c r="F18" s="91" t="s">
        <v>334</v>
      </c>
      <c r="G18" s="91">
        <v>2010</v>
      </c>
      <c r="H18" s="322">
        <v>17379179.522018339</v>
      </c>
      <c r="I18" s="91">
        <v>2021</v>
      </c>
      <c r="J18" s="322">
        <v>0</v>
      </c>
      <c r="K18" s="145"/>
      <c r="R18" s="3" t="s">
        <v>458</v>
      </c>
    </row>
    <row r="19" spans="2:18">
      <c r="B19" s="91" t="s">
        <v>534</v>
      </c>
      <c r="C19" s="89"/>
      <c r="D19" s="89"/>
      <c r="E19" s="89"/>
      <c r="F19" s="91" t="s">
        <v>296</v>
      </c>
      <c r="G19" s="91">
        <v>2010</v>
      </c>
      <c r="H19" s="322">
        <v>2369604.1752097155</v>
      </c>
      <c r="I19" s="91">
        <v>2021</v>
      </c>
      <c r="J19" s="322">
        <v>0</v>
      </c>
      <c r="K19" s="145"/>
      <c r="R19" s="3" t="s">
        <v>458</v>
      </c>
    </row>
    <row r="20" spans="2:18">
      <c r="B20" s="91" t="s">
        <v>535</v>
      </c>
      <c r="C20" s="89"/>
      <c r="D20" s="89"/>
      <c r="E20" s="89"/>
      <c r="F20" s="91" t="s">
        <v>335</v>
      </c>
      <c r="G20" s="91">
        <v>2010</v>
      </c>
      <c r="H20" s="322">
        <v>137063.35897796138</v>
      </c>
      <c r="I20" s="91">
        <v>2021</v>
      </c>
      <c r="J20" s="322">
        <v>0</v>
      </c>
      <c r="K20" s="145"/>
      <c r="R20" s="3" t="s">
        <v>458</v>
      </c>
    </row>
    <row r="21" spans="2:18">
      <c r="B21" s="91" t="s">
        <v>536</v>
      </c>
      <c r="C21" s="89"/>
      <c r="D21" s="89"/>
      <c r="E21" s="89"/>
      <c r="F21" s="91" t="s">
        <v>301</v>
      </c>
      <c r="G21" s="91">
        <v>2011</v>
      </c>
      <c r="H21" s="322">
        <v>852201.48356837523</v>
      </c>
      <c r="I21" s="91">
        <v>2021</v>
      </c>
      <c r="J21" s="322">
        <v>0</v>
      </c>
      <c r="K21" s="145"/>
      <c r="R21" s="3" t="s">
        <v>458</v>
      </c>
    </row>
    <row r="22" spans="2:18">
      <c r="B22" s="91" t="s">
        <v>537</v>
      </c>
      <c r="C22" s="89"/>
      <c r="D22" s="89"/>
      <c r="E22" s="89"/>
      <c r="F22" s="91" t="s">
        <v>317</v>
      </c>
      <c r="G22" s="91">
        <v>2011</v>
      </c>
      <c r="H22" s="322">
        <v>3100554.2541983742</v>
      </c>
      <c r="I22" s="91">
        <v>2021</v>
      </c>
      <c r="J22" s="322">
        <v>2372891.9585730941</v>
      </c>
      <c r="K22" s="145">
        <v>56326732</v>
      </c>
      <c r="R22" s="3" t="s">
        <v>458</v>
      </c>
    </row>
    <row r="23" spans="2:18">
      <c r="B23" s="91" t="s">
        <v>538</v>
      </c>
      <c r="C23" s="89"/>
      <c r="D23" s="89"/>
      <c r="E23" s="89"/>
      <c r="F23" s="91" t="s">
        <v>334</v>
      </c>
      <c r="G23" s="91">
        <v>2011</v>
      </c>
      <c r="H23" s="322">
        <v>30115806.268534236</v>
      </c>
      <c r="I23" s="91">
        <v>2021</v>
      </c>
      <c r="J23" s="322">
        <v>0</v>
      </c>
      <c r="K23" s="145"/>
      <c r="R23" s="3" t="s">
        <v>458</v>
      </c>
    </row>
    <row r="24" spans="2:18">
      <c r="B24" s="91" t="s">
        <v>539</v>
      </c>
      <c r="C24" s="89"/>
      <c r="D24" s="89"/>
      <c r="E24" s="89"/>
      <c r="F24" s="91" t="s">
        <v>290</v>
      </c>
      <c r="G24" s="91">
        <v>2011</v>
      </c>
      <c r="H24" s="322">
        <v>2437521.6070272112</v>
      </c>
      <c r="I24" s="91">
        <v>2021</v>
      </c>
      <c r="J24" s="322">
        <v>1865464.9930189459</v>
      </c>
      <c r="K24" s="145"/>
      <c r="R24" s="3" t="s">
        <v>458</v>
      </c>
    </row>
    <row r="25" spans="2:18">
      <c r="B25" s="91" t="s">
        <v>540</v>
      </c>
      <c r="C25" s="89"/>
      <c r="D25" s="89"/>
      <c r="E25" s="89"/>
      <c r="F25" s="91" t="s">
        <v>296</v>
      </c>
      <c r="G25" s="91">
        <v>2011</v>
      </c>
      <c r="H25" s="322">
        <v>322323.48030063207</v>
      </c>
      <c r="I25" s="91">
        <v>2021</v>
      </c>
      <c r="J25" s="322">
        <v>0</v>
      </c>
      <c r="K25" s="145"/>
      <c r="R25" s="3" t="s">
        <v>458</v>
      </c>
    </row>
    <row r="26" spans="2:18">
      <c r="B26" s="91" t="s">
        <v>541</v>
      </c>
      <c r="C26" s="89"/>
      <c r="D26" s="89"/>
      <c r="E26" s="89"/>
      <c r="F26" s="91" t="s">
        <v>307</v>
      </c>
      <c r="G26" s="91">
        <v>2011</v>
      </c>
      <c r="H26" s="322">
        <v>4126005.7948834877</v>
      </c>
      <c r="I26" s="91">
        <v>2021</v>
      </c>
      <c r="J26" s="322">
        <v>0</v>
      </c>
      <c r="K26" s="145"/>
      <c r="R26" s="3" t="s">
        <v>458</v>
      </c>
    </row>
    <row r="27" spans="2:18">
      <c r="B27" s="91" t="s">
        <v>542</v>
      </c>
      <c r="C27" s="89"/>
      <c r="D27" s="89"/>
      <c r="E27" s="89"/>
      <c r="F27" s="91" t="s">
        <v>334</v>
      </c>
      <c r="G27" s="91">
        <v>2012</v>
      </c>
      <c r="H27" s="322">
        <v>22695798.709637098</v>
      </c>
      <c r="I27" s="91">
        <v>2021</v>
      </c>
      <c r="J27" s="322">
        <v>0</v>
      </c>
      <c r="K27" s="145"/>
      <c r="R27" s="3" t="s">
        <v>458</v>
      </c>
    </row>
    <row r="28" spans="2:18">
      <c r="B28" s="91" t="s">
        <v>543</v>
      </c>
      <c r="C28" s="89"/>
      <c r="D28" s="89"/>
      <c r="E28" s="89"/>
      <c r="F28" s="91" t="s">
        <v>334</v>
      </c>
      <c r="G28" s="91">
        <v>2013</v>
      </c>
      <c r="H28" s="322">
        <v>18719949.80436749</v>
      </c>
      <c r="I28" s="91">
        <v>2021</v>
      </c>
      <c r="J28" s="322">
        <v>0</v>
      </c>
      <c r="K28" s="145"/>
      <c r="R28" s="3" t="s">
        <v>458</v>
      </c>
    </row>
    <row r="29" spans="2:18">
      <c r="B29" s="91" t="s">
        <v>544</v>
      </c>
      <c r="C29" s="89"/>
      <c r="D29" s="89"/>
      <c r="E29" s="89"/>
      <c r="F29" s="91" t="s">
        <v>307</v>
      </c>
      <c r="G29" s="91">
        <v>2013</v>
      </c>
      <c r="H29" s="322">
        <v>14233.766853302437</v>
      </c>
      <c r="I29" s="91">
        <v>2021</v>
      </c>
      <c r="J29" s="322">
        <v>2395.0433871794298</v>
      </c>
      <c r="K29" s="145"/>
      <c r="R29" s="3" t="s">
        <v>458</v>
      </c>
    </row>
    <row r="30" spans="2:18">
      <c r="B30" s="91" t="s">
        <v>545</v>
      </c>
      <c r="C30" s="89"/>
      <c r="D30" s="89"/>
      <c r="E30" s="89"/>
      <c r="F30" s="91" t="s">
        <v>296</v>
      </c>
      <c r="G30" s="91">
        <v>2013</v>
      </c>
      <c r="H30" s="322">
        <v>717715.3058753697</v>
      </c>
      <c r="I30" s="91">
        <v>2021</v>
      </c>
      <c r="J30" s="322">
        <v>120766.29573396736</v>
      </c>
      <c r="K30" s="145"/>
      <c r="R30" s="3" t="s">
        <v>458</v>
      </c>
    </row>
    <row r="31" spans="2:18">
      <c r="B31" s="91" t="s">
        <v>546</v>
      </c>
      <c r="C31" s="89"/>
      <c r="D31" s="89"/>
      <c r="E31" s="89"/>
      <c r="F31" s="91" t="s">
        <v>334</v>
      </c>
      <c r="G31" s="91">
        <v>2014</v>
      </c>
      <c r="H31" s="322">
        <v>29278944.009914741</v>
      </c>
      <c r="I31" s="91">
        <v>2021</v>
      </c>
      <c r="J31" s="322">
        <v>0</v>
      </c>
      <c r="K31" s="145"/>
      <c r="R31" s="3" t="s">
        <v>458</v>
      </c>
    </row>
    <row r="32" spans="2:18">
      <c r="B32" s="91" t="s">
        <v>547</v>
      </c>
      <c r="C32" s="89"/>
      <c r="D32" s="89"/>
      <c r="E32" s="89"/>
      <c r="F32" s="91" t="s">
        <v>339</v>
      </c>
      <c r="G32" s="91">
        <v>2014</v>
      </c>
      <c r="H32" s="322">
        <v>149619.99545874962</v>
      </c>
      <c r="I32" s="91">
        <v>2021</v>
      </c>
      <c r="J32" s="322">
        <v>40816.786477904512</v>
      </c>
      <c r="K32" s="145"/>
      <c r="R32" s="3" t="s">
        <v>458</v>
      </c>
    </row>
    <row r="33" spans="2:18">
      <c r="B33" s="91" t="s">
        <v>548</v>
      </c>
      <c r="C33" s="89"/>
      <c r="D33" s="89"/>
      <c r="E33" s="89"/>
      <c r="F33" s="91" t="s">
        <v>335</v>
      </c>
      <c r="G33" s="91">
        <v>2014</v>
      </c>
      <c r="H33" s="322">
        <v>180341</v>
      </c>
      <c r="I33" s="91">
        <v>2021</v>
      </c>
      <c r="J33" s="322">
        <v>0</v>
      </c>
      <c r="K33" s="145"/>
      <c r="R33" s="3" t="s">
        <v>458</v>
      </c>
    </row>
    <row r="34" spans="2:18">
      <c r="B34" s="91" t="s">
        <v>549</v>
      </c>
      <c r="C34" s="89"/>
      <c r="D34" s="89"/>
      <c r="E34" s="89"/>
      <c r="F34" s="91" t="s">
        <v>334</v>
      </c>
      <c r="G34" s="91">
        <v>2015</v>
      </c>
      <c r="H34" s="322">
        <v>16219637.049707994</v>
      </c>
      <c r="I34" s="91">
        <v>2021</v>
      </c>
      <c r="J34" s="322">
        <v>0</v>
      </c>
      <c r="K34" s="145"/>
      <c r="R34" s="3" t="s">
        <v>458</v>
      </c>
    </row>
    <row r="35" spans="2:18">
      <c r="B35" s="91" t="s">
        <v>550</v>
      </c>
      <c r="C35" s="89"/>
      <c r="D35" s="89"/>
      <c r="E35" s="89"/>
      <c r="F35" s="91" t="s">
        <v>307</v>
      </c>
      <c r="G35" s="91">
        <v>2015</v>
      </c>
      <c r="H35" s="322">
        <v>9111235.8707030155</v>
      </c>
      <c r="I35" s="91">
        <v>2021</v>
      </c>
      <c r="J35" s="322">
        <v>3445348.23215965</v>
      </c>
      <c r="K35" s="145"/>
      <c r="R35" s="3" t="s">
        <v>458</v>
      </c>
    </row>
    <row r="36" spans="2:18">
      <c r="B36" s="91" t="s">
        <v>551</v>
      </c>
      <c r="C36" s="89"/>
      <c r="D36" s="89"/>
      <c r="E36" s="89"/>
      <c r="F36" s="91" t="s">
        <v>296</v>
      </c>
      <c r="G36" s="91">
        <v>2015</v>
      </c>
      <c r="H36" s="322">
        <v>1215996.3265953835</v>
      </c>
      <c r="I36" s="91">
        <v>2021</v>
      </c>
      <c r="J36" s="322">
        <v>459820.25420057232</v>
      </c>
      <c r="K36" s="145"/>
      <c r="R36" s="3" t="s">
        <v>458</v>
      </c>
    </row>
    <row r="37" spans="2:18">
      <c r="B37" s="91" t="s">
        <v>552</v>
      </c>
      <c r="C37" s="89"/>
      <c r="D37" s="89"/>
      <c r="E37" s="89"/>
      <c r="F37" s="91" t="s">
        <v>306</v>
      </c>
      <c r="G37" s="91">
        <v>2015</v>
      </c>
      <c r="H37" s="322">
        <v>7968.6502792695001</v>
      </c>
      <c r="I37" s="91">
        <v>2021</v>
      </c>
      <c r="J37" s="322">
        <v>3013.2877188110033</v>
      </c>
      <c r="K37" s="145"/>
      <c r="R37" s="3" t="s">
        <v>458</v>
      </c>
    </row>
    <row r="38" spans="2:18">
      <c r="B38" s="91" t="s">
        <v>553</v>
      </c>
      <c r="C38" s="89"/>
      <c r="D38" s="89"/>
      <c r="E38" s="89"/>
      <c r="F38" s="91" t="s">
        <v>334</v>
      </c>
      <c r="G38" s="91">
        <v>2016</v>
      </c>
      <c r="H38" s="322">
        <v>15289349.60564645</v>
      </c>
      <c r="I38" s="91">
        <v>2021</v>
      </c>
      <c r="J38" s="322">
        <v>0</v>
      </c>
      <c r="K38" s="145"/>
      <c r="R38" s="3" t="s">
        <v>458</v>
      </c>
    </row>
    <row r="39" spans="2:18">
      <c r="B39" s="91" t="s">
        <v>554</v>
      </c>
      <c r="C39" s="89"/>
      <c r="D39" s="89"/>
      <c r="E39" s="89"/>
      <c r="F39" s="91" t="s">
        <v>300</v>
      </c>
      <c r="G39" s="91">
        <v>2016</v>
      </c>
      <c r="H39" s="322">
        <v>1481397.6896878041</v>
      </c>
      <c r="I39" s="91">
        <v>2021</v>
      </c>
      <c r="J39" s="322">
        <v>714515.13830443297</v>
      </c>
      <c r="K39" s="145"/>
      <c r="R39" s="3" t="s">
        <v>458</v>
      </c>
    </row>
    <row r="40" spans="2:18">
      <c r="B40" s="91" t="s">
        <v>555</v>
      </c>
      <c r="C40" s="89"/>
      <c r="D40" s="89"/>
      <c r="E40" s="89"/>
      <c r="F40" s="91" t="s">
        <v>307</v>
      </c>
      <c r="G40" s="91">
        <v>2016</v>
      </c>
      <c r="H40" s="322">
        <v>5338260.5379699524</v>
      </c>
      <c r="I40" s="91">
        <v>2021</v>
      </c>
      <c r="J40" s="322">
        <v>2574776.5054207225</v>
      </c>
      <c r="K40" s="145"/>
      <c r="R40" s="3" t="s">
        <v>458</v>
      </c>
    </row>
    <row r="41" spans="2:18">
      <c r="B41" s="91" t="s">
        <v>556</v>
      </c>
      <c r="C41" s="89"/>
      <c r="D41" s="89"/>
      <c r="E41" s="89"/>
      <c r="F41" s="91" t="s">
        <v>334</v>
      </c>
      <c r="G41" s="91">
        <v>2017</v>
      </c>
      <c r="H41" s="322">
        <v>17348227.126304951</v>
      </c>
      <c r="I41" s="91">
        <v>2021</v>
      </c>
      <c r="J41" s="322">
        <v>1855729.3459505453</v>
      </c>
      <c r="K41" s="145"/>
      <c r="R41" s="3" t="s">
        <v>458</v>
      </c>
    </row>
    <row r="42" spans="2:18">
      <c r="B42" s="91" t="s">
        <v>557</v>
      </c>
      <c r="C42" s="89"/>
      <c r="D42" s="89"/>
      <c r="E42" s="89"/>
      <c r="F42" s="91" t="s">
        <v>286</v>
      </c>
      <c r="G42" s="91">
        <v>2012</v>
      </c>
      <c r="H42" s="322">
        <v>56189.23</v>
      </c>
      <c r="I42" s="91">
        <v>2021</v>
      </c>
      <c r="J42" s="322">
        <v>3224.0442736663617</v>
      </c>
      <c r="K42" s="145"/>
      <c r="R42" s="3" t="s">
        <v>458</v>
      </c>
    </row>
    <row r="43" spans="2:18">
      <c r="B43" s="91" t="s">
        <v>558</v>
      </c>
      <c r="C43" s="89"/>
      <c r="D43" s="89"/>
      <c r="E43" s="89"/>
      <c r="F43" s="91" t="s">
        <v>334</v>
      </c>
      <c r="G43" s="91">
        <v>2018</v>
      </c>
      <c r="H43" s="322">
        <v>20811887.293785572</v>
      </c>
      <c r="I43" s="91">
        <v>2021</v>
      </c>
      <c r="J43" s="322">
        <v>6586494.0110704908</v>
      </c>
      <c r="K43" s="145"/>
      <c r="R43" s="3" t="s">
        <v>458</v>
      </c>
    </row>
    <row r="44" spans="2:18">
      <c r="B44" s="91" t="s">
        <v>559</v>
      </c>
      <c r="C44" s="89"/>
      <c r="D44" s="89"/>
      <c r="E44" s="89"/>
      <c r="F44" s="91" t="s">
        <v>334</v>
      </c>
      <c r="G44" s="91">
        <v>2005</v>
      </c>
      <c r="H44" s="322">
        <v>3284081.86</v>
      </c>
      <c r="I44" s="91">
        <v>2021</v>
      </c>
      <c r="J44" s="322">
        <v>0</v>
      </c>
      <c r="K44" s="145"/>
      <c r="R44" s="3" t="s">
        <v>458</v>
      </c>
    </row>
    <row r="45" spans="2:18">
      <c r="B45" s="91" t="s">
        <v>560</v>
      </c>
      <c r="C45" s="89"/>
      <c r="D45" s="89"/>
      <c r="E45" s="89"/>
      <c r="F45" s="91" t="s">
        <v>307</v>
      </c>
      <c r="G45" s="91">
        <v>2005</v>
      </c>
      <c r="H45" s="322">
        <v>1438517.3199999998</v>
      </c>
      <c r="I45" s="91">
        <v>2021</v>
      </c>
      <c r="J45" s="322">
        <v>0</v>
      </c>
      <c r="K45" s="145"/>
      <c r="R45" s="3" t="s">
        <v>458</v>
      </c>
    </row>
    <row r="46" spans="2:18">
      <c r="B46" s="91" t="s">
        <v>561</v>
      </c>
      <c r="C46" s="89"/>
      <c r="D46" s="89"/>
      <c r="E46" s="89"/>
      <c r="F46" s="91" t="s">
        <v>300</v>
      </c>
      <c r="G46" s="91">
        <v>2005</v>
      </c>
      <c r="H46" s="322">
        <v>499809.02999999997</v>
      </c>
      <c r="I46" s="91">
        <v>2021</v>
      </c>
      <c r="J46" s="322">
        <v>0</v>
      </c>
      <c r="K46" s="145"/>
      <c r="R46" s="3" t="s">
        <v>458</v>
      </c>
    </row>
    <row r="47" spans="2:18">
      <c r="B47" s="91" t="s">
        <v>562</v>
      </c>
      <c r="C47" s="89"/>
      <c r="D47" s="89"/>
      <c r="E47" s="89"/>
      <c r="F47" s="91" t="s">
        <v>308</v>
      </c>
      <c r="G47" s="91">
        <v>2005</v>
      </c>
      <c r="H47" s="322">
        <v>245809.3</v>
      </c>
      <c r="I47" s="91">
        <v>2021</v>
      </c>
      <c r="J47" s="322">
        <v>0</v>
      </c>
      <c r="K47" s="145"/>
      <c r="R47" s="3" t="s">
        <v>458</v>
      </c>
    </row>
    <row r="48" spans="2:18">
      <c r="B48" s="91" t="s">
        <v>563</v>
      </c>
      <c r="C48" s="89"/>
      <c r="D48" s="89"/>
      <c r="E48" s="89"/>
      <c r="F48" s="91" t="s">
        <v>296</v>
      </c>
      <c r="G48" s="91">
        <v>2005</v>
      </c>
      <c r="H48" s="322">
        <v>58217.59</v>
      </c>
      <c r="I48" s="91">
        <v>2021</v>
      </c>
      <c r="J48" s="322">
        <v>0</v>
      </c>
      <c r="K48" s="145"/>
      <c r="R48" s="3" t="s">
        <v>458</v>
      </c>
    </row>
    <row r="49" spans="2:18">
      <c r="B49" s="91" t="s">
        <v>564</v>
      </c>
      <c r="C49" s="89"/>
      <c r="D49" s="89"/>
      <c r="E49" s="89"/>
      <c r="F49" s="91" t="s">
        <v>334</v>
      </c>
      <c r="G49" s="91">
        <v>2006</v>
      </c>
      <c r="H49" s="322">
        <v>4639319.7116944697</v>
      </c>
      <c r="I49" s="91">
        <v>2021</v>
      </c>
      <c r="J49" s="322">
        <v>0</v>
      </c>
      <c r="K49" s="145"/>
      <c r="R49" s="3" t="s">
        <v>458</v>
      </c>
    </row>
    <row r="50" spans="2:18">
      <c r="B50" s="91" t="s">
        <v>565</v>
      </c>
      <c r="C50" s="89"/>
      <c r="D50" s="89"/>
      <c r="E50" s="89"/>
      <c r="F50" s="91" t="s">
        <v>294</v>
      </c>
      <c r="G50" s="91">
        <v>2006</v>
      </c>
      <c r="H50" s="322">
        <v>68586.959999999992</v>
      </c>
      <c r="I50" s="91">
        <v>2021</v>
      </c>
      <c r="J50" s="322">
        <v>0</v>
      </c>
      <c r="K50" s="145"/>
      <c r="R50" s="3" t="s">
        <v>458</v>
      </c>
    </row>
    <row r="51" spans="2:18">
      <c r="B51" s="91" t="s">
        <v>566</v>
      </c>
      <c r="C51" s="89"/>
      <c r="D51" s="89"/>
      <c r="E51" s="89"/>
      <c r="F51" s="91" t="s">
        <v>317</v>
      </c>
      <c r="G51" s="91">
        <v>2006</v>
      </c>
      <c r="H51" s="322">
        <v>104600</v>
      </c>
      <c r="I51" s="91">
        <v>2021</v>
      </c>
      <c r="J51" s="322">
        <v>64112.024048213396</v>
      </c>
      <c r="K51" s="145"/>
      <c r="R51" s="3" t="s">
        <v>458</v>
      </c>
    </row>
    <row r="52" spans="2:18">
      <c r="B52" s="91" t="s">
        <v>567</v>
      </c>
      <c r="C52" s="89"/>
      <c r="D52" s="89"/>
      <c r="E52" s="89"/>
      <c r="F52" s="91" t="s">
        <v>295</v>
      </c>
      <c r="G52" s="91">
        <v>2006</v>
      </c>
      <c r="H52" s="322">
        <v>243251.93</v>
      </c>
      <c r="I52" s="91">
        <v>2021</v>
      </c>
      <c r="J52" s="322">
        <v>0</v>
      </c>
      <c r="K52" s="145"/>
      <c r="R52" s="3" t="s">
        <v>458</v>
      </c>
    </row>
    <row r="53" spans="2:18">
      <c r="B53" s="91" t="s">
        <v>568</v>
      </c>
      <c r="C53" s="89"/>
      <c r="D53" s="89"/>
      <c r="E53" s="89"/>
      <c r="F53" s="91" t="s">
        <v>296</v>
      </c>
      <c r="G53" s="91">
        <v>2006</v>
      </c>
      <c r="H53" s="322">
        <v>585474.13</v>
      </c>
      <c r="I53" s="91">
        <v>2021</v>
      </c>
      <c r="J53" s="322">
        <v>0</v>
      </c>
      <c r="K53" s="145"/>
      <c r="R53" s="3" t="s">
        <v>458</v>
      </c>
    </row>
    <row r="54" spans="2:18">
      <c r="B54" s="91" t="s">
        <v>569</v>
      </c>
      <c r="C54" s="89"/>
      <c r="D54" s="89"/>
      <c r="E54" s="89"/>
      <c r="F54" s="91" t="s">
        <v>294</v>
      </c>
      <c r="G54" s="91">
        <v>2007</v>
      </c>
      <c r="H54" s="322">
        <v>332079.90999999997</v>
      </c>
      <c r="I54" s="91">
        <v>2021</v>
      </c>
      <c r="J54" s="322">
        <v>0</v>
      </c>
      <c r="K54" s="145"/>
      <c r="R54" s="3" t="s">
        <v>458</v>
      </c>
    </row>
    <row r="55" spans="2:18">
      <c r="B55" s="91" t="s">
        <v>570</v>
      </c>
      <c r="C55" s="89"/>
      <c r="D55" s="89"/>
      <c r="E55" s="89"/>
      <c r="F55" s="91" t="s">
        <v>317</v>
      </c>
      <c r="G55" s="91">
        <v>2007</v>
      </c>
      <c r="H55" s="322">
        <v>163550.16999999998</v>
      </c>
      <c r="I55" s="91">
        <v>2021</v>
      </c>
      <c r="J55" s="322">
        <v>105677.9899746046</v>
      </c>
      <c r="K55" s="145"/>
      <c r="R55" s="3" t="s">
        <v>458</v>
      </c>
    </row>
    <row r="56" spans="2:18">
      <c r="B56" s="91" t="s">
        <v>571</v>
      </c>
      <c r="C56" s="89"/>
      <c r="D56" s="89"/>
      <c r="E56" s="89"/>
      <c r="F56" s="91" t="s">
        <v>334</v>
      </c>
      <c r="G56" s="91">
        <v>2007</v>
      </c>
      <c r="H56" s="322">
        <v>21517730.71653875</v>
      </c>
      <c r="I56" s="91">
        <v>2021</v>
      </c>
      <c r="J56" s="322">
        <v>0</v>
      </c>
      <c r="K56" s="145"/>
      <c r="R56" s="3" t="s">
        <v>458</v>
      </c>
    </row>
    <row r="57" spans="2:18">
      <c r="B57" s="91" t="s">
        <v>572</v>
      </c>
      <c r="C57" s="89"/>
      <c r="D57" s="89"/>
      <c r="E57" s="89"/>
      <c r="F57" s="91" t="s">
        <v>296</v>
      </c>
      <c r="G57" s="91">
        <v>2007</v>
      </c>
      <c r="H57" s="322">
        <v>611283.49</v>
      </c>
      <c r="I57" s="91">
        <v>2021</v>
      </c>
      <c r="J57" s="322">
        <v>0</v>
      </c>
      <c r="K57" s="145"/>
      <c r="R57" s="3" t="s">
        <v>458</v>
      </c>
    </row>
    <row r="58" spans="2:18">
      <c r="B58" s="91" t="s">
        <v>573</v>
      </c>
      <c r="C58" s="89"/>
      <c r="D58" s="89"/>
      <c r="E58" s="89"/>
      <c r="F58" s="91" t="s">
        <v>295</v>
      </c>
      <c r="G58" s="91">
        <v>2007</v>
      </c>
      <c r="H58" s="322">
        <v>87193.72</v>
      </c>
      <c r="I58" s="91">
        <v>2021</v>
      </c>
      <c r="J58" s="322">
        <v>0</v>
      </c>
      <c r="K58" s="145"/>
      <c r="R58" s="3" t="s">
        <v>458</v>
      </c>
    </row>
    <row r="59" spans="2:18">
      <c r="B59" s="91" t="s">
        <v>574</v>
      </c>
      <c r="C59" s="89"/>
      <c r="D59" s="89"/>
      <c r="E59" s="89"/>
      <c r="F59" s="91" t="s">
        <v>305</v>
      </c>
      <c r="G59" s="91">
        <v>2007</v>
      </c>
      <c r="H59" s="322">
        <v>25760.58</v>
      </c>
      <c r="I59" s="91">
        <v>2021</v>
      </c>
      <c r="J59" s="322">
        <v>0</v>
      </c>
      <c r="K59" s="145"/>
      <c r="R59" s="3" t="s">
        <v>458</v>
      </c>
    </row>
    <row r="60" spans="2:18">
      <c r="B60" s="91" t="s">
        <v>575</v>
      </c>
      <c r="C60" s="89"/>
      <c r="D60" s="89"/>
      <c r="E60" s="89"/>
      <c r="F60" s="91" t="s">
        <v>336</v>
      </c>
      <c r="G60" s="91">
        <v>2007</v>
      </c>
      <c r="H60" s="322">
        <v>140047.50693888956</v>
      </c>
      <c r="I60" s="91">
        <v>2021</v>
      </c>
      <c r="J60" s="322">
        <v>0</v>
      </c>
      <c r="K60" s="145"/>
      <c r="R60" s="3" t="s">
        <v>458</v>
      </c>
    </row>
    <row r="61" spans="2:18">
      <c r="B61" s="91" t="s">
        <v>576</v>
      </c>
      <c r="C61" s="89"/>
      <c r="D61" s="89"/>
      <c r="E61" s="89"/>
      <c r="F61" s="91" t="s">
        <v>334</v>
      </c>
      <c r="G61" s="91">
        <v>2008</v>
      </c>
      <c r="H61" s="322">
        <v>1405801.5634173665</v>
      </c>
      <c r="I61" s="91">
        <v>2021</v>
      </c>
      <c r="J61" s="322">
        <v>0</v>
      </c>
      <c r="K61" s="145"/>
      <c r="R61" s="3" t="s">
        <v>458</v>
      </c>
    </row>
    <row r="62" spans="2:18">
      <c r="B62" s="91" t="s">
        <v>577</v>
      </c>
      <c r="C62" s="89"/>
      <c r="D62" s="89"/>
      <c r="E62" s="89"/>
      <c r="F62" s="91" t="s">
        <v>305</v>
      </c>
      <c r="G62" s="91">
        <v>2008</v>
      </c>
      <c r="H62" s="322">
        <v>6485.6</v>
      </c>
      <c r="I62" s="91">
        <v>2021</v>
      </c>
      <c r="J62" s="322">
        <v>0</v>
      </c>
      <c r="K62" s="145"/>
      <c r="R62" s="3" t="s">
        <v>458</v>
      </c>
    </row>
    <row r="63" spans="2:18">
      <c r="B63" s="91" t="s">
        <v>578</v>
      </c>
      <c r="C63" s="89"/>
      <c r="D63" s="89"/>
      <c r="E63" s="89"/>
      <c r="F63" s="91" t="s">
        <v>284</v>
      </c>
      <c r="G63" s="91">
        <v>1956</v>
      </c>
      <c r="H63" s="322">
        <v>32433.599999999999</v>
      </c>
      <c r="I63" s="91">
        <v>2021</v>
      </c>
      <c r="J63" s="322">
        <v>275057.7098199001</v>
      </c>
      <c r="K63" s="145"/>
      <c r="R63" s="3" t="s">
        <v>458</v>
      </c>
    </row>
    <row r="64" spans="2:18">
      <c r="B64" s="91" t="s">
        <v>579</v>
      </c>
      <c r="C64" s="89"/>
      <c r="D64" s="89"/>
      <c r="E64" s="89"/>
      <c r="F64" s="91" t="s">
        <v>284</v>
      </c>
      <c r="G64" s="91">
        <v>1968</v>
      </c>
      <c r="H64" s="322">
        <v>219516.18</v>
      </c>
      <c r="I64" s="91">
        <v>2021</v>
      </c>
      <c r="J64" s="322">
        <v>1219692.8562955547</v>
      </c>
      <c r="K64" s="145"/>
      <c r="R64" s="3" t="s">
        <v>458</v>
      </c>
    </row>
    <row r="65" spans="2:18">
      <c r="B65" s="91" t="s">
        <v>580</v>
      </c>
      <c r="C65" s="89"/>
      <c r="D65" s="89"/>
      <c r="E65" s="89"/>
      <c r="F65" s="91" t="s">
        <v>284</v>
      </c>
      <c r="G65" s="91">
        <v>1972</v>
      </c>
      <c r="H65" s="322">
        <v>411128.51</v>
      </c>
      <c r="I65" s="91">
        <v>2021</v>
      </c>
      <c r="J65" s="322">
        <v>1824024.3386379536</v>
      </c>
      <c r="K65" s="145"/>
      <c r="R65" s="3" t="s">
        <v>458</v>
      </c>
    </row>
    <row r="66" spans="2:18">
      <c r="B66" s="91" t="s">
        <v>581</v>
      </c>
      <c r="C66" s="89"/>
      <c r="D66" s="89"/>
      <c r="E66" s="89"/>
      <c r="F66" s="91" t="s">
        <v>286</v>
      </c>
      <c r="G66" s="91">
        <v>1970</v>
      </c>
      <c r="H66" s="322">
        <v>65342.54</v>
      </c>
      <c r="I66" s="91">
        <v>2021</v>
      </c>
      <c r="J66" s="322">
        <v>0</v>
      </c>
      <c r="K66" s="145"/>
      <c r="R66" s="3" t="s">
        <v>458</v>
      </c>
    </row>
    <row r="67" spans="2:18">
      <c r="B67" s="91" t="s">
        <v>582</v>
      </c>
      <c r="C67" s="89"/>
      <c r="D67" s="89"/>
      <c r="E67" s="89"/>
      <c r="F67" s="91" t="s">
        <v>290</v>
      </c>
      <c r="G67" s="91">
        <v>1980</v>
      </c>
      <c r="H67" s="322">
        <v>1188787.02</v>
      </c>
      <c r="I67" s="91">
        <v>2021</v>
      </c>
      <c r="J67" s="322">
        <v>0</v>
      </c>
      <c r="K67" s="145"/>
      <c r="R67" s="3" t="s">
        <v>458</v>
      </c>
    </row>
    <row r="68" spans="2:18">
      <c r="B68" s="91" t="s">
        <v>583</v>
      </c>
      <c r="C68" s="89"/>
      <c r="D68" s="89"/>
      <c r="E68" s="89"/>
      <c r="F68" s="91" t="s">
        <v>290</v>
      </c>
      <c r="G68" s="91">
        <v>1971</v>
      </c>
      <c r="H68" s="322">
        <v>1287617.6299999999</v>
      </c>
      <c r="I68" s="91">
        <v>2021</v>
      </c>
      <c r="J68" s="322">
        <v>0</v>
      </c>
      <c r="K68" s="145"/>
      <c r="R68" s="3" t="s">
        <v>458</v>
      </c>
    </row>
    <row r="69" spans="2:18">
      <c r="B69" s="91" t="s">
        <v>584</v>
      </c>
      <c r="C69" s="89"/>
      <c r="D69" s="89"/>
      <c r="E69" s="89"/>
      <c r="F69" s="91" t="s">
        <v>290</v>
      </c>
      <c r="G69" s="91">
        <v>1986</v>
      </c>
      <c r="H69" s="322">
        <v>986052.31</v>
      </c>
      <c r="I69" s="91">
        <v>2021</v>
      </c>
      <c r="J69" s="322">
        <v>0</v>
      </c>
      <c r="K69" s="145"/>
      <c r="R69" s="3" t="s">
        <v>458</v>
      </c>
    </row>
    <row r="70" spans="2:18">
      <c r="B70" s="91" t="s">
        <v>585</v>
      </c>
      <c r="C70" s="89"/>
      <c r="D70" s="89"/>
      <c r="E70" s="89"/>
      <c r="F70" s="91" t="s">
        <v>290</v>
      </c>
      <c r="G70" s="91">
        <v>1988</v>
      </c>
      <c r="H70" s="322">
        <v>45049.48</v>
      </c>
      <c r="I70" s="91">
        <v>2021</v>
      </c>
      <c r="J70" s="322">
        <v>0</v>
      </c>
      <c r="K70" s="145"/>
      <c r="R70" s="3" t="s">
        <v>458</v>
      </c>
    </row>
    <row r="71" spans="2:18">
      <c r="B71" s="91" t="s">
        <v>586</v>
      </c>
      <c r="C71" s="89"/>
      <c r="D71" s="89"/>
      <c r="E71" s="89"/>
      <c r="F71" s="91" t="s">
        <v>284</v>
      </c>
      <c r="G71" s="91">
        <v>1969</v>
      </c>
      <c r="H71" s="322">
        <v>35732.019999999997</v>
      </c>
      <c r="I71" s="91">
        <v>2021</v>
      </c>
      <c r="J71" s="322">
        <v>192194.60406110552</v>
      </c>
      <c r="K71" s="145"/>
      <c r="R71" s="3" t="s">
        <v>458</v>
      </c>
    </row>
    <row r="72" spans="2:18">
      <c r="B72" s="91" t="s">
        <v>587</v>
      </c>
      <c r="C72" s="89"/>
      <c r="D72" s="89"/>
      <c r="E72" s="89"/>
      <c r="F72" s="91" t="s">
        <v>290</v>
      </c>
      <c r="G72" s="91">
        <v>1993</v>
      </c>
      <c r="H72" s="322">
        <v>4915025</v>
      </c>
      <c r="I72" s="91">
        <v>2021</v>
      </c>
      <c r="J72" s="322">
        <v>420683.7813984917</v>
      </c>
      <c r="K72" s="145"/>
      <c r="R72" s="3" t="s">
        <v>458</v>
      </c>
    </row>
    <row r="73" spans="2:18">
      <c r="B73" s="91" t="s">
        <v>588</v>
      </c>
      <c r="C73" s="89"/>
      <c r="D73" s="89"/>
      <c r="E73" s="89"/>
      <c r="F73" s="91" t="s">
        <v>284</v>
      </c>
      <c r="G73" s="91">
        <v>1990</v>
      </c>
      <c r="H73" s="322">
        <v>4936129.59</v>
      </c>
      <c r="I73" s="91">
        <v>2021</v>
      </c>
      <c r="J73" s="322">
        <v>9367389.4688880406</v>
      </c>
      <c r="K73" s="145"/>
      <c r="R73" s="3" t="s">
        <v>458</v>
      </c>
    </row>
    <row r="74" spans="2:18">
      <c r="B74" s="91" t="s">
        <v>589</v>
      </c>
      <c r="C74" s="89"/>
      <c r="D74" s="89"/>
      <c r="E74" s="89"/>
      <c r="F74" s="91" t="s">
        <v>295</v>
      </c>
      <c r="G74" s="91">
        <v>1994</v>
      </c>
      <c r="H74" s="322">
        <v>5646696.2199999997</v>
      </c>
      <c r="I74" s="91">
        <v>2021</v>
      </c>
      <c r="J74" s="322">
        <v>0</v>
      </c>
      <c r="K74" s="145"/>
      <c r="R74" s="3" t="s">
        <v>458</v>
      </c>
    </row>
    <row r="75" spans="2:18">
      <c r="B75" s="91" t="s">
        <v>590</v>
      </c>
      <c r="C75" s="89"/>
      <c r="D75" s="89"/>
      <c r="E75" s="89"/>
      <c r="F75" s="91" t="s">
        <v>290</v>
      </c>
      <c r="G75" s="91">
        <v>1994</v>
      </c>
      <c r="H75" s="322">
        <v>326095.09000000003</v>
      </c>
      <c r="I75" s="91">
        <v>2021</v>
      </c>
      <c r="J75" s="322">
        <v>45606.0937185246</v>
      </c>
      <c r="K75" s="145"/>
      <c r="R75" s="3" t="s">
        <v>458</v>
      </c>
    </row>
    <row r="76" spans="2:18">
      <c r="B76" s="91" t="s">
        <v>591</v>
      </c>
      <c r="C76" s="89"/>
      <c r="D76" s="89"/>
      <c r="E76" s="89"/>
      <c r="F76" s="91" t="s">
        <v>286</v>
      </c>
      <c r="G76" s="91">
        <v>1993</v>
      </c>
      <c r="H76" s="322">
        <v>174007.47</v>
      </c>
      <c r="I76" s="91">
        <v>2021</v>
      </c>
      <c r="J76" s="322">
        <v>0</v>
      </c>
      <c r="K76" s="145"/>
      <c r="R76" s="3" t="s">
        <v>458</v>
      </c>
    </row>
    <row r="77" spans="2:18">
      <c r="B77" s="91" t="s">
        <v>592</v>
      </c>
      <c r="C77" s="89"/>
      <c r="D77" s="89"/>
      <c r="E77" s="89"/>
      <c r="F77" s="91" t="s">
        <v>317</v>
      </c>
      <c r="G77" s="91">
        <v>1991</v>
      </c>
      <c r="H77" s="322">
        <v>475302.12</v>
      </c>
      <c r="I77" s="91">
        <v>2021</v>
      </c>
      <c r="J77" s="322">
        <v>0</v>
      </c>
      <c r="K77" s="145"/>
      <c r="R77" s="3" t="s">
        <v>458</v>
      </c>
    </row>
    <row r="78" spans="2:18">
      <c r="B78" s="91" t="s">
        <v>593</v>
      </c>
      <c r="C78" s="89"/>
      <c r="D78" s="89"/>
      <c r="E78" s="89"/>
      <c r="F78" s="91" t="s">
        <v>294</v>
      </c>
      <c r="G78" s="91">
        <v>1995</v>
      </c>
      <c r="H78" s="322">
        <v>365539.92999999993</v>
      </c>
      <c r="I78" s="91">
        <v>2021</v>
      </c>
      <c r="J78" s="322">
        <v>0</v>
      </c>
      <c r="K78" s="145"/>
      <c r="R78" s="3" t="s">
        <v>458</v>
      </c>
    </row>
    <row r="79" spans="2:18">
      <c r="B79" s="91" t="s">
        <v>594</v>
      </c>
      <c r="C79" s="89"/>
      <c r="D79" s="89"/>
      <c r="E79" s="89"/>
      <c r="F79" s="91" t="s">
        <v>294</v>
      </c>
      <c r="G79" s="91">
        <v>1994</v>
      </c>
      <c r="H79" s="322">
        <v>6615395.4499999993</v>
      </c>
      <c r="I79" s="91">
        <v>2021</v>
      </c>
      <c r="J79" s="322">
        <v>0</v>
      </c>
      <c r="K79" s="145"/>
      <c r="R79" s="3" t="s">
        <v>458</v>
      </c>
    </row>
    <row r="80" spans="2:18">
      <c r="B80" s="91" t="s">
        <v>595</v>
      </c>
      <c r="C80" s="89"/>
      <c r="D80" s="89"/>
      <c r="E80" s="89"/>
      <c r="F80" s="91" t="s">
        <v>317</v>
      </c>
      <c r="G80" s="91">
        <v>1998</v>
      </c>
      <c r="H80" s="322">
        <v>789493.11</v>
      </c>
      <c r="I80" s="91">
        <v>2021</v>
      </c>
      <c r="J80" s="322">
        <v>263672.8175889462</v>
      </c>
      <c r="K80" s="145"/>
      <c r="R80" s="3" t="s">
        <v>458</v>
      </c>
    </row>
    <row r="81" spans="2:18">
      <c r="B81" s="91" t="s">
        <v>596</v>
      </c>
      <c r="C81" s="89"/>
      <c r="D81" s="89"/>
      <c r="E81" s="89"/>
      <c r="F81" s="91" t="s">
        <v>317</v>
      </c>
      <c r="G81" s="91">
        <v>1995</v>
      </c>
      <c r="H81" s="322">
        <v>93310335.520000011</v>
      </c>
      <c r="I81" s="91">
        <v>2021</v>
      </c>
      <c r="J81" s="322">
        <v>17806929.596040629</v>
      </c>
      <c r="K81" s="145"/>
      <c r="R81" s="3" t="s">
        <v>458</v>
      </c>
    </row>
    <row r="82" spans="2:18">
      <c r="B82" s="91" t="s">
        <v>597</v>
      </c>
      <c r="C82" s="89"/>
      <c r="D82" s="89"/>
      <c r="E82" s="89"/>
      <c r="F82" s="91" t="s">
        <v>295</v>
      </c>
      <c r="G82" s="91">
        <v>1997</v>
      </c>
      <c r="H82" s="322">
        <v>3767.74</v>
      </c>
      <c r="I82" s="91">
        <v>2021</v>
      </c>
      <c r="J82" s="322">
        <v>0</v>
      </c>
      <c r="K82" s="145"/>
      <c r="R82" s="3" t="s">
        <v>458</v>
      </c>
    </row>
    <row r="83" spans="2:18">
      <c r="B83" s="91" t="s">
        <v>598</v>
      </c>
      <c r="C83" s="89"/>
      <c r="D83" s="89"/>
      <c r="E83" s="89"/>
      <c r="F83" s="91" t="s">
        <v>294</v>
      </c>
      <c r="G83" s="91">
        <v>2002</v>
      </c>
      <c r="H83" s="322">
        <v>257167.26</v>
      </c>
      <c r="I83" s="91">
        <v>2021</v>
      </c>
      <c r="J83" s="322">
        <v>0</v>
      </c>
      <c r="K83" s="145"/>
      <c r="R83" s="3" t="s">
        <v>458</v>
      </c>
    </row>
    <row r="84" spans="2:18">
      <c r="B84" s="91" t="s">
        <v>599</v>
      </c>
      <c r="C84" s="89"/>
      <c r="D84" s="89"/>
      <c r="E84" s="89"/>
      <c r="F84" s="91" t="s">
        <v>317</v>
      </c>
      <c r="G84" s="91">
        <v>1997</v>
      </c>
      <c r="H84" s="322">
        <v>9956.39</v>
      </c>
      <c r="I84" s="91">
        <v>2021</v>
      </c>
      <c r="J84" s="322">
        <v>2886.7927731398736</v>
      </c>
      <c r="K84" s="145"/>
      <c r="R84" s="3" t="s">
        <v>458</v>
      </c>
    </row>
    <row r="85" spans="2:18">
      <c r="B85" s="91" t="s">
        <v>600</v>
      </c>
      <c r="C85" s="89"/>
      <c r="D85" s="89"/>
      <c r="E85" s="89"/>
      <c r="F85" s="91" t="s">
        <v>295</v>
      </c>
      <c r="G85" s="91">
        <v>2002</v>
      </c>
      <c r="H85" s="322">
        <v>259859.76</v>
      </c>
      <c r="I85" s="91">
        <v>2021</v>
      </c>
      <c r="J85" s="322">
        <v>0</v>
      </c>
      <c r="K85" s="145"/>
      <c r="R85" s="3" t="s">
        <v>458</v>
      </c>
    </row>
    <row r="86" spans="2:18">
      <c r="B86" s="91" t="s">
        <v>601</v>
      </c>
      <c r="C86" s="89"/>
      <c r="D86" s="89"/>
      <c r="E86" s="89"/>
      <c r="F86" s="91" t="s">
        <v>334</v>
      </c>
      <c r="G86" s="91">
        <v>1998</v>
      </c>
      <c r="H86" s="322">
        <v>194674.43</v>
      </c>
      <c r="I86" s="91">
        <v>2021</v>
      </c>
      <c r="J86" s="322">
        <v>0</v>
      </c>
      <c r="K86" s="145"/>
      <c r="R86" s="3" t="s">
        <v>458</v>
      </c>
    </row>
    <row r="87" spans="2:18">
      <c r="B87" s="91" t="s">
        <v>602</v>
      </c>
      <c r="C87" s="89"/>
      <c r="D87" s="89"/>
      <c r="E87" s="89"/>
      <c r="F87" s="91" t="s">
        <v>305</v>
      </c>
      <c r="G87" s="91">
        <v>2000</v>
      </c>
      <c r="H87" s="322">
        <v>5437.76</v>
      </c>
      <c r="I87" s="91">
        <v>2021</v>
      </c>
      <c r="J87" s="322">
        <v>0</v>
      </c>
      <c r="K87" s="145"/>
      <c r="R87" s="3" t="s">
        <v>458</v>
      </c>
    </row>
    <row r="88" spans="2:18">
      <c r="B88" s="91" t="s">
        <v>603</v>
      </c>
      <c r="C88" s="89"/>
      <c r="D88" s="89"/>
      <c r="E88" s="89"/>
      <c r="F88" s="91" t="s">
        <v>295</v>
      </c>
      <c r="G88" s="91">
        <v>1998</v>
      </c>
      <c r="H88" s="322">
        <v>159402.09</v>
      </c>
      <c r="I88" s="91">
        <v>2021</v>
      </c>
      <c r="J88" s="322">
        <v>0</v>
      </c>
      <c r="K88" s="145"/>
      <c r="R88" s="3" t="s">
        <v>458</v>
      </c>
    </row>
    <row r="89" spans="2:18">
      <c r="B89" s="91" t="s">
        <v>604</v>
      </c>
      <c r="C89" s="89"/>
      <c r="D89" s="89"/>
      <c r="E89" s="89"/>
      <c r="F89" s="91" t="s">
        <v>294</v>
      </c>
      <c r="G89" s="91">
        <v>1998</v>
      </c>
      <c r="H89" s="322">
        <v>120568.99000000002</v>
      </c>
      <c r="I89" s="91">
        <v>2021</v>
      </c>
      <c r="J89" s="322">
        <v>0</v>
      </c>
      <c r="K89" s="145"/>
      <c r="R89" s="3" t="s">
        <v>458</v>
      </c>
    </row>
    <row r="90" spans="2:18">
      <c r="B90" s="91" t="s">
        <v>605</v>
      </c>
      <c r="C90" s="89"/>
      <c r="D90" s="89"/>
      <c r="E90" s="89"/>
      <c r="F90" s="91" t="s">
        <v>334</v>
      </c>
      <c r="G90" s="91">
        <v>2002</v>
      </c>
      <c r="H90" s="322">
        <v>342396.39</v>
      </c>
      <c r="I90" s="91">
        <v>2021</v>
      </c>
      <c r="J90" s="322">
        <v>0</v>
      </c>
      <c r="K90" s="145"/>
      <c r="R90" s="3" t="s">
        <v>458</v>
      </c>
    </row>
    <row r="91" spans="2:18">
      <c r="B91" s="91" t="s">
        <v>606</v>
      </c>
      <c r="C91" s="89"/>
      <c r="D91" s="89"/>
      <c r="E91" s="89"/>
      <c r="F91" s="91" t="s">
        <v>336</v>
      </c>
      <c r="G91" s="91">
        <v>2000</v>
      </c>
      <c r="H91" s="322">
        <v>717051.87</v>
      </c>
      <c r="I91" s="91">
        <v>2021</v>
      </c>
      <c r="J91" s="322">
        <v>0</v>
      </c>
      <c r="K91" s="145"/>
      <c r="R91" s="3" t="s">
        <v>458</v>
      </c>
    </row>
    <row r="92" spans="2:18">
      <c r="B92" s="91" t="s">
        <v>607</v>
      </c>
      <c r="C92" s="89"/>
      <c r="D92" s="89"/>
      <c r="E92" s="89"/>
      <c r="F92" s="91" t="s">
        <v>295</v>
      </c>
      <c r="G92" s="91">
        <v>1999</v>
      </c>
      <c r="H92" s="322">
        <v>64305.72</v>
      </c>
      <c r="I92" s="91">
        <v>2021</v>
      </c>
      <c r="J92" s="322">
        <v>0</v>
      </c>
      <c r="K92" s="145"/>
      <c r="R92" s="3" t="s">
        <v>458</v>
      </c>
    </row>
    <row r="93" spans="2:18">
      <c r="B93" s="91" t="s">
        <v>608</v>
      </c>
      <c r="C93" s="89"/>
      <c r="D93" s="89"/>
      <c r="E93" s="89"/>
      <c r="F93" s="91" t="s">
        <v>294</v>
      </c>
      <c r="G93" s="91">
        <v>1999</v>
      </c>
      <c r="H93" s="322">
        <v>41263.56</v>
      </c>
      <c r="I93" s="91">
        <v>2021</v>
      </c>
      <c r="J93" s="322">
        <v>0</v>
      </c>
      <c r="K93" s="145"/>
      <c r="R93" s="3" t="s">
        <v>458</v>
      </c>
    </row>
    <row r="94" spans="2:18">
      <c r="B94" s="91" t="s">
        <v>609</v>
      </c>
      <c r="C94" s="89"/>
      <c r="D94" s="89"/>
      <c r="E94" s="89"/>
      <c r="F94" s="91" t="s">
        <v>295</v>
      </c>
      <c r="G94" s="91">
        <v>2000</v>
      </c>
      <c r="H94" s="322">
        <v>5312.4</v>
      </c>
      <c r="I94" s="91">
        <v>2021</v>
      </c>
      <c r="J94" s="322">
        <v>0</v>
      </c>
      <c r="K94" s="145"/>
      <c r="R94" s="3" t="s">
        <v>458</v>
      </c>
    </row>
    <row r="95" spans="2:18">
      <c r="B95" s="91" t="s">
        <v>610</v>
      </c>
      <c r="C95" s="89"/>
      <c r="D95" s="89"/>
      <c r="E95" s="89"/>
      <c r="F95" s="91" t="s">
        <v>334</v>
      </c>
      <c r="G95" s="91">
        <v>2001</v>
      </c>
      <c r="H95" s="322">
        <v>1754908.7700000003</v>
      </c>
      <c r="I95" s="91">
        <v>2021</v>
      </c>
      <c r="J95" s="322">
        <v>0</v>
      </c>
      <c r="K95" s="145"/>
      <c r="R95" s="3" t="s">
        <v>458</v>
      </c>
    </row>
    <row r="96" spans="2:18">
      <c r="B96" s="91" t="s">
        <v>611</v>
      </c>
      <c r="C96" s="89"/>
      <c r="D96" s="89"/>
      <c r="E96" s="89"/>
      <c r="F96" s="91" t="s">
        <v>300</v>
      </c>
      <c r="G96" s="91">
        <v>2000</v>
      </c>
      <c r="H96" s="322">
        <v>86461.709999999992</v>
      </c>
      <c r="I96" s="91">
        <v>2021</v>
      </c>
      <c r="J96" s="322">
        <v>0</v>
      </c>
      <c r="K96" s="145"/>
      <c r="R96" s="3" t="s">
        <v>458</v>
      </c>
    </row>
    <row r="97" spans="2:18">
      <c r="B97" s="91" t="s">
        <v>612</v>
      </c>
      <c r="C97" s="89"/>
      <c r="D97" s="89"/>
      <c r="E97" s="89"/>
      <c r="F97" s="91" t="s">
        <v>305</v>
      </c>
      <c r="G97" s="91">
        <v>1998</v>
      </c>
      <c r="H97" s="322">
        <v>3630.24</v>
      </c>
      <c r="I97" s="91">
        <v>2021</v>
      </c>
      <c r="J97" s="322">
        <v>0</v>
      </c>
      <c r="K97" s="145"/>
      <c r="R97" s="3" t="s">
        <v>458</v>
      </c>
    </row>
    <row r="98" spans="2:18">
      <c r="B98" s="91" t="s">
        <v>613</v>
      </c>
      <c r="C98" s="89"/>
      <c r="D98" s="89"/>
      <c r="E98" s="89"/>
      <c r="F98" s="91" t="s">
        <v>334</v>
      </c>
      <c r="G98" s="91">
        <v>2000</v>
      </c>
      <c r="H98" s="322">
        <v>63690.75</v>
      </c>
      <c r="I98" s="91">
        <v>2021</v>
      </c>
      <c r="J98" s="322">
        <v>0</v>
      </c>
      <c r="K98" s="145"/>
      <c r="R98" s="3" t="s">
        <v>458</v>
      </c>
    </row>
    <row r="99" spans="2:18">
      <c r="B99" s="91" t="s">
        <v>614</v>
      </c>
      <c r="C99" s="89"/>
      <c r="D99" s="89"/>
      <c r="E99" s="89"/>
      <c r="F99" s="91" t="s">
        <v>294</v>
      </c>
      <c r="G99" s="91">
        <v>2000</v>
      </c>
      <c r="H99" s="322">
        <v>53314.77</v>
      </c>
      <c r="I99" s="91">
        <v>2021</v>
      </c>
      <c r="J99" s="322">
        <v>0</v>
      </c>
      <c r="K99" s="145"/>
      <c r="R99" s="3" t="s">
        <v>458</v>
      </c>
    </row>
    <row r="100" spans="2:18">
      <c r="B100" s="91" t="s">
        <v>615</v>
      </c>
      <c r="C100" s="89"/>
      <c r="D100" s="89"/>
      <c r="E100" s="89"/>
      <c r="F100" s="91" t="s">
        <v>307</v>
      </c>
      <c r="G100" s="91">
        <v>2000</v>
      </c>
      <c r="H100" s="322">
        <v>36334.86</v>
      </c>
      <c r="I100" s="91">
        <v>2021</v>
      </c>
      <c r="J100" s="322">
        <v>0</v>
      </c>
      <c r="K100" s="145"/>
      <c r="R100" s="3" t="s">
        <v>458</v>
      </c>
    </row>
    <row r="101" spans="2:18">
      <c r="B101" s="91" t="s">
        <v>616</v>
      </c>
      <c r="C101" s="89"/>
      <c r="D101" s="89"/>
      <c r="E101" s="89"/>
      <c r="F101" s="91" t="s">
        <v>290</v>
      </c>
      <c r="G101" s="91">
        <v>2000</v>
      </c>
      <c r="H101" s="322">
        <v>61022.52</v>
      </c>
      <c r="I101" s="91">
        <v>2021</v>
      </c>
      <c r="J101" s="322">
        <v>25541.383007029126</v>
      </c>
      <c r="K101" s="145"/>
      <c r="R101" s="3" t="s">
        <v>458</v>
      </c>
    </row>
    <row r="102" spans="2:18">
      <c r="B102" s="91" t="s">
        <v>617</v>
      </c>
      <c r="C102" s="89"/>
      <c r="D102" s="89"/>
      <c r="E102" s="89"/>
      <c r="F102" s="91" t="s">
        <v>300</v>
      </c>
      <c r="G102" s="91">
        <v>2001</v>
      </c>
      <c r="H102" s="322">
        <v>11928.48</v>
      </c>
      <c r="I102" s="91">
        <v>2021</v>
      </c>
      <c r="J102" s="322">
        <v>0</v>
      </c>
      <c r="K102" s="145"/>
      <c r="R102" s="3" t="s">
        <v>458</v>
      </c>
    </row>
    <row r="103" spans="2:18">
      <c r="B103" s="91" t="s">
        <v>618</v>
      </c>
      <c r="C103" s="89"/>
      <c r="D103" s="89"/>
      <c r="E103" s="89"/>
      <c r="F103" s="91" t="s">
        <v>307</v>
      </c>
      <c r="G103" s="91">
        <v>2001</v>
      </c>
      <c r="H103" s="322">
        <v>70639.289999999994</v>
      </c>
      <c r="I103" s="91">
        <v>2021</v>
      </c>
      <c r="J103" s="322">
        <v>0</v>
      </c>
      <c r="K103" s="145"/>
      <c r="R103" s="3" t="s">
        <v>458</v>
      </c>
    </row>
    <row r="104" spans="2:18">
      <c r="B104" s="91" t="s">
        <v>619</v>
      </c>
      <c r="C104" s="89"/>
      <c r="D104" s="89"/>
      <c r="E104" s="89"/>
      <c r="F104" s="91" t="s">
        <v>295</v>
      </c>
      <c r="G104" s="91">
        <v>2001</v>
      </c>
      <c r="H104" s="322">
        <v>55051.729999999996</v>
      </c>
      <c r="I104" s="91">
        <v>2021</v>
      </c>
      <c r="J104" s="322">
        <v>0</v>
      </c>
      <c r="K104" s="145"/>
      <c r="R104" s="3" t="s">
        <v>458</v>
      </c>
    </row>
    <row r="105" spans="2:18">
      <c r="B105" s="91" t="s">
        <v>620</v>
      </c>
      <c r="C105" s="89"/>
      <c r="D105" s="89"/>
      <c r="E105" s="89"/>
      <c r="F105" s="91" t="s">
        <v>296</v>
      </c>
      <c r="G105" s="91">
        <v>2002</v>
      </c>
      <c r="H105" s="322">
        <v>26546</v>
      </c>
      <c r="I105" s="91">
        <v>2021</v>
      </c>
      <c r="J105" s="322">
        <v>0</v>
      </c>
      <c r="K105" s="145"/>
      <c r="R105" s="3" t="s">
        <v>458</v>
      </c>
    </row>
    <row r="106" spans="2:18">
      <c r="B106" s="91" t="s">
        <v>621</v>
      </c>
      <c r="C106" s="89"/>
      <c r="D106" s="89"/>
      <c r="E106" s="89"/>
      <c r="F106" s="91" t="s">
        <v>283</v>
      </c>
      <c r="G106" s="91">
        <v>2001</v>
      </c>
      <c r="H106" s="322">
        <v>16968.61</v>
      </c>
      <c r="I106" s="91">
        <v>2021</v>
      </c>
      <c r="J106" s="322">
        <v>0</v>
      </c>
      <c r="K106" s="145"/>
      <c r="R106" s="3" t="s">
        <v>458</v>
      </c>
    </row>
    <row r="107" spans="2:18">
      <c r="B107" s="91" t="s">
        <v>622</v>
      </c>
      <c r="C107" s="89"/>
      <c r="D107" s="89"/>
      <c r="E107" s="89"/>
      <c r="F107" s="91" t="s">
        <v>294</v>
      </c>
      <c r="G107" s="91">
        <v>2001</v>
      </c>
      <c r="H107" s="322">
        <v>7752.83</v>
      </c>
      <c r="I107" s="91">
        <v>2021</v>
      </c>
      <c r="J107" s="322">
        <v>0</v>
      </c>
      <c r="K107" s="145"/>
      <c r="R107" s="3" t="s">
        <v>458</v>
      </c>
    </row>
    <row r="108" spans="2:18">
      <c r="B108" s="91" t="s">
        <v>623</v>
      </c>
      <c r="C108" s="89"/>
      <c r="D108" s="89"/>
      <c r="E108" s="89"/>
      <c r="F108" s="91" t="s">
        <v>336</v>
      </c>
      <c r="G108" s="91">
        <v>2001</v>
      </c>
      <c r="H108" s="322">
        <v>757040.92</v>
      </c>
      <c r="I108" s="91">
        <v>2021</v>
      </c>
      <c r="J108" s="322">
        <v>0</v>
      </c>
      <c r="K108" s="145"/>
      <c r="R108" s="3" t="s">
        <v>458</v>
      </c>
    </row>
    <row r="109" spans="2:18">
      <c r="B109" s="91" t="s">
        <v>624</v>
      </c>
      <c r="C109" s="89"/>
      <c r="D109" s="89"/>
      <c r="E109" s="89"/>
      <c r="F109" s="91" t="s">
        <v>305</v>
      </c>
      <c r="G109" s="91">
        <v>2001</v>
      </c>
      <c r="H109" s="322">
        <v>2746.92</v>
      </c>
      <c r="I109" s="91">
        <v>2021</v>
      </c>
      <c r="J109" s="322">
        <v>0</v>
      </c>
      <c r="K109" s="145"/>
      <c r="R109" s="3" t="s">
        <v>458</v>
      </c>
    </row>
    <row r="110" spans="2:18">
      <c r="B110" s="91" t="s">
        <v>625</v>
      </c>
      <c r="C110" s="89"/>
      <c r="D110" s="89"/>
      <c r="E110" s="89"/>
      <c r="F110" s="91" t="s">
        <v>300</v>
      </c>
      <c r="G110" s="91">
        <v>2002</v>
      </c>
      <c r="H110" s="322">
        <v>108571.05</v>
      </c>
      <c r="I110" s="91">
        <v>2021</v>
      </c>
      <c r="J110" s="322">
        <v>0</v>
      </c>
      <c r="K110" s="145"/>
      <c r="R110" s="3" t="s">
        <v>458</v>
      </c>
    </row>
    <row r="111" spans="2:18">
      <c r="B111" s="91" t="s">
        <v>626</v>
      </c>
      <c r="C111" s="89"/>
      <c r="D111" s="89"/>
      <c r="E111" s="89"/>
      <c r="F111" s="91" t="s">
        <v>336</v>
      </c>
      <c r="G111" s="91">
        <v>2002</v>
      </c>
      <c r="H111" s="322">
        <v>27589.78</v>
      </c>
      <c r="I111" s="91">
        <v>2021</v>
      </c>
      <c r="J111" s="322">
        <v>0</v>
      </c>
      <c r="K111" s="145"/>
      <c r="R111" s="3" t="s">
        <v>458</v>
      </c>
    </row>
    <row r="112" spans="2:18">
      <c r="B112" s="91" t="s">
        <v>627</v>
      </c>
      <c r="C112" s="89"/>
      <c r="D112" s="89"/>
      <c r="E112" s="89"/>
      <c r="F112" s="91" t="s">
        <v>307</v>
      </c>
      <c r="G112" s="91">
        <v>2002</v>
      </c>
      <c r="H112" s="322">
        <v>7905</v>
      </c>
      <c r="I112" s="91">
        <v>2021</v>
      </c>
      <c r="J112" s="322">
        <v>0</v>
      </c>
      <c r="K112" s="145"/>
      <c r="R112" s="3" t="s">
        <v>458</v>
      </c>
    </row>
    <row r="113" spans="2:18">
      <c r="B113" s="91" t="s">
        <v>628</v>
      </c>
      <c r="C113" s="89"/>
      <c r="D113" s="89"/>
      <c r="E113" s="89"/>
      <c r="F113" s="91" t="s">
        <v>305</v>
      </c>
      <c r="G113" s="91">
        <v>2002</v>
      </c>
      <c r="H113" s="322">
        <v>1243</v>
      </c>
      <c r="I113" s="91">
        <v>2021</v>
      </c>
      <c r="J113" s="322">
        <v>0</v>
      </c>
      <c r="K113" s="145"/>
      <c r="R113" s="3" t="s">
        <v>458</v>
      </c>
    </row>
    <row r="114" spans="2:18">
      <c r="B114" s="91" t="s">
        <v>629</v>
      </c>
      <c r="C114" s="89"/>
      <c r="D114" s="89"/>
      <c r="E114" s="89"/>
      <c r="F114" s="91" t="s">
        <v>290</v>
      </c>
      <c r="G114" s="91">
        <v>2002</v>
      </c>
      <c r="H114" s="322">
        <v>68637.27</v>
      </c>
      <c r="I114" s="91">
        <v>2021</v>
      </c>
      <c r="J114" s="322">
        <v>33068.469795601901</v>
      </c>
      <c r="K114" s="145"/>
      <c r="R114" s="3" t="s">
        <v>458</v>
      </c>
    </row>
    <row r="115" spans="2:18">
      <c r="B115" s="91" t="s">
        <v>630</v>
      </c>
      <c r="C115" s="89"/>
      <c r="D115" s="89"/>
      <c r="E115" s="89"/>
      <c r="F115" s="91" t="s">
        <v>295</v>
      </c>
      <c r="G115" s="91">
        <v>2003</v>
      </c>
      <c r="H115" s="322">
        <v>108222.26</v>
      </c>
      <c r="I115" s="91">
        <v>2021</v>
      </c>
      <c r="J115" s="322">
        <v>0</v>
      </c>
      <c r="K115" s="145"/>
      <c r="R115" s="3" t="s">
        <v>458</v>
      </c>
    </row>
    <row r="116" spans="2:18">
      <c r="B116" s="91" t="s">
        <v>631</v>
      </c>
      <c r="C116" s="89"/>
      <c r="D116" s="89"/>
      <c r="E116" s="89"/>
      <c r="F116" s="91" t="s">
        <v>300</v>
      </c>
      <c r="G116" s="91">
        <v>2003</v>
      </c>
      <c r="H116" s="322">
        <v>135681.9</v>
      </c>
      <c r="I116" s="91">
        <v>2021</v>
      </c>
      <c r="J116" s="322">
        <v>0</v>
      </c>
      <c r="K116" s="145"/>
      <c r="R116" s="3" t="s">
        <v>458</v>
      </c>
    </row>
    <row r="117" spans="2:18">
      <c r="B117" s="91" t="s">
        <v>632</v>
      </c>
      <c r="C117" s="89"/>
      <c r="D117" s="89"/>
      <c r="E117" s="89"/>
      <c r="F117" s="91" t="s">
        <v>334</v>
      </c>
      <c r="G117" s="91">
        <v>2003</v>
      </c>
      <c r="H117" s="322">
        <v>869353.66999999993</v>
      </c>
      <c r="I117" s="91">
        <v>2021</v>
      </c>
      <c r="J117" s="322">
        <v>0</v>
      </c>
      <c r="K117" s="145"/>
      <c r="R117" s="3" t="s">
        <v>458</v>
      </c>
    </row>
    <row r="118" spans="2:18">
      <c r="B118" s="91" t="s">
        <v>633</v>
      </c>
      <c r="C118" s="89"/>
      <c r="D118" s="89"/>
      <c r="E118" s="89"/>
      <c r="F118" s="91" t="s">
        <v>336</v>
      </c>
      <c r="G118" s="91">
        <v>2003</v>
      </c>
      <c r="H118" s="322">
        <v>1210667.97</v>
      </c>
      <c r="I118" s="91">
        <v>2021</v>
      </c>
      <c r="J118" s="322">
        <v>0</v>
      </c>
      <c r="K118" s="145"/>
      <c r="R118" s="3" t="s">
        <v>458</v>
      </c>
    </row>
    <row r="119" spans="2:18">
      <c r="B119" s="91" t="s">
        <v>634</v>
      </c>
      <c r="C119" s="89"/>
      <c r="D119" s="89"/>
      <c r="E119" s="89"/>
      <c r="F119" s="91" t="s">
        <v>296</v>
      </c>
      <c r="G119" s="91">
        <v>2003</v>
      </c>
      <c r="H119" s="322">
        <v>62325</v>
      </c>
      <c r="I119" s="91">
        <v>2021</v>
      </c>
      <c r="J119" s="322">
        <v>0</v>
      </c>
      <c r="K119" s="145"/>
      <c r="R119" s="3" t="s">
        <v>458</v>
      </c>
    </row>
    <row r="120" spans="2:18">
      <c r="B120" s="91" t="s">
        <v>635</v>
      </c>
      <c r="C120" s="89"/>
      <c r="D120" s="89"/>
      <c r="E120" s="89"/>
      <c r="F120" s="91" t="s">
        <v>290</v>
      </c>
      <c r="G120" s="91">
        <v>2003</v>
      </c>
      <c r="H120" s="322">
        <v>206366.74</v>
      </c>
      <c r="I120" s="91">
        <v>2021</v>
      </c>
      <c r="J120" s="322">
        <v>105414.90479883776</v>
      </c>
      <c r="K120" s="145"/>
      <c r="R120" s="3" t="s">
        <v>458</v>
      </c>
    </row>
    <row r="121" spans="2:18">
      <c r="B121" s="91" t="s">
        <v>636</v>
      </c>
      <c r="C121" s="89"/>
      <c r="D121" s="89"/>
      <c r="E121" s="89"/>
      <c r="F121" s="91" t="s">
        <v>305</v>
      </c>
      <c r="G121" s="91">
        <v>2003</v>
      </c>
      <c r="H121" s="322">
        <v>1830.54</v>
      </c>
      <c r="I121" s="91">
        <v>2021</v>
      </c>
      <c r="J121" s="322">
        <v>0</v>
      </c>
      <c r="K121" s="145"/>
      <c r="R121" s="3" t="s">
        <v>458</v>
      </c>
    </row>
    <row r="122" spans="2:18">
      <c r="B122" s="91" t="s">
        <v>637</v>
      </c>
      <c r="C122" s="89"/>
      <c r="D122" s="89"/>
      <c r="E122" s="89"/>
      <c r="F122" s="91" t="s">
        <v>334</v>
      </c>
      <c r="G122" s="91">
        <v>2004</v>
      </c>
      <c r="H122" s="322">
        <v>2583848.4300000002</v>
      </c>
      <c r="I122" s="91">
        <v>2021</v>
      </c>
      <c r="J122" s="322">
        <v>0</v>
      </c>
      <c r="K122" s="145"/>
      <c r="R122" s="3" t="s">
        <v>458</v>
      </c>
    </row>
    <row r="123" spans="2:18">
      <c r="B123" s="91" t="s">
        <v>638</v>
      </c>
      <c r="C123" s="89"/>
      <c r="D123" s="89"/>
      <c r="E123" s="89"/>
      <c r="F123" s="91" t="s">
        <v>336</v>
      </c>
      <c r="G123" s="91">
        <v>2004</v>
      </c>
      <c r="H123" s="322">
        <v>263122.5</v>
      </c>
      <c r="I123" s="91">
        <v>2021</v>
      </c>
      <c r="J123" s="322">
        <v>0</v>
      </c>
      <c r="K123" s="145"/>
      <c r="R123" s="3" t="s">
        <v>458</v>
      </c>
    </row>
    <row r="124" spans="2:18">
      <c r="B124" s="91" t="s">
        <v>639</v>
      </c>
      <c r="C124" s="89"/>
      <c r="D124" s="89"/>
      <c r="E124" s="89"/>
      <c r="F124" s="91" t="s">
        <v>295</v>
      </c>
      <c r="G124" s="91">
        <v>2004</v>
      </c>
      <c r="H124" s="322">
        <v>142655</v>
      </c>
      <c r="I124" s="91">
        <v>2021</v>
      </c>
      <c r="J124" s="322">
        <v>0</v>
      </c>
      <c r="K124" s="145"/>
      <c r="R124" s="3" t="s">
        <v>458</v>
      </c>
    </row>
    <row r="125" spans="2:18">
      <c r="B125" s="91" t="s">
        <v>640</v>
      </c>
      <c r="C125" s="89"/>
      <c r="D125" s="89"/>
      <c r="E125" s="89"/>
      <c r="F125" s="91" t="s">
        <v>300</v>
      </c>
      <c r="G125" s="91">
        <v>2004</v>
      </c>
      <c r="H125" s="322">
        <v>77020.09</v>
      </c>
      <c r="I125" s="91">
        <v>2021</v>
      </c>
      <c r="J125" s="322">
        <v>0</v>
      </c>
      <c r="K125" s="145"/>
      <c r="R125" s="3" t="s">
        <v>458</v>
      </c>
    </row>
    <row r="126" spans="2:18">
      <c r="B126" s="91" t="s">
        <v>641</v>
      </c>
      <c r="C126" s="89"/>
      <c r="D126" s="89"/>
      <c r="E126" s="89"/>
      <c r="F126" s="91" t="s">
        <v>307</v>
      </c>
      <c r="G126" s="91">
        <v>2004</v>
      </c>
      <c r="H126" s="322">
        <v>195332.07</v>
      </c>
      <c r="I126" s="91">
        <v>2021</v>
      </c>
      <c r="J126" s="322">
        <v>0</v>
      </c>
      <c r="K126" s="145"/>
      <c r="R126" s="3" t="s">
        <v>458</v>
      </c>
    </row>
    <row r="127" spans="2:18">
      <c r="B127" s="91" t="s">
        <v>642</v>
      </c>
      <c r="C127" s="89"/>
      <c r="D127" s="89"/>
      <c r="E127" s="89"/>
      <c r="F127" s="91" t="s">
        <v>305</v>
      </c>
      <c r="G127" s="91">
        <v>2004</v>
      </c>
      <c r="H127" s="322">
        <v>1265</v>
      </c>
      <c r="I127" s="91">
        <v>2021</v>
      </c>
      <c r="J127" s="322">
        <v>0</v>
      </c>
      <c r="K127" s="145"/>
      <c r="R127" s="3" t="s">
        <v>458</v>
      </c>
    </row>
    <row r="128" spans="2:18">
      <c r="B128" s="91" t="s">
        <v>643</v>
      </c>
      <c r="C128" s="89"/>
      <c r="D128" s="89"/>
      <c r="E128" s="89"/>
      <c r="F128" s="91" t="s">
        <v>294</v>
      </c>
      <c r="G128" s="91">
        <v>2004</v>
      </c>
      <c r="H128" s="322">
        <v>62865.23</v>
      </c>
      <c r="I128" s="91">
        <v>2021</v>
      </c>
      <c r="J128" s="322">
        <v>0</v>
      </c>
      <c r="K128" s="145"/>
      <c r="R128" s="3" t="s">
        <v>458</v>
      </c>
    </row>
    <row r="129" spans="2:18">
      <c r="B129" s="91" t="s">
        <v>644</v>
      </c>
      <c r="C129" s="89"/>
      <c r="D129" s="89"/>
      <c r="E129" s="89"/>
      <c r="F129" s="91" t="s">
        <v>304</v>
      </c>
      <c r="G129" s="91">
        <v>2004</v>
      </c>
      <c r="H129" s="322">
        <v>47369.03</v>
      </c>
      <c r="I129" s="91">
        <v>2021</v>
      </c>
      <c r="J129" s="322">
        <v>0</v>
      </c>
      <c r="K129" s="145"/>
      <c r="R129" s="3" t="s">
        <v>458</v>
      </c>
    </row>
    <row r="130" spans="2:18">
      <c r="B130" s="91" t="s">
        <v>645</v>
      </c>
      <c r="C130" s="89"/>
      <c r="D130" s="89"/>
      <c r="E130" s="89"/>
      <c r="F130" s="91" t="s">
        <v>290</v>
      </c>
      <c r="G130" s="91">
        <v>2005</v>
      </c>
      <c r="H130" s="322">
        <v>13716.41</v>
      </c>
      <c r="I130" s="91">
        <v>2021</v>
      </c>
      <c r="J130" s="322">
        <v>7968.2289834864932</v>
      </c>
      <c r="K130" s="145"/>
      <c r="R130" s="3" t="s">
        <v>458</v>
      </c>
    </row>
    <row r="131" spans="2:18">
      <c r="B131" s="91" t="s">
        <v>646</v>
      </c>
      <c r="C131" s="89"/>
      <c r="D131" s="89"/>
      <c r="E131" s="89"/>
      <c r="F131" s="91" t="s">
        <v>305</v>
      </c>
      <c r="G131" s="91">
        <v>2005</v>
      </c>
      <c r="H131" s="322">
        <v>5690.5</v>
      </c>
      <c r="I131" s="91">
        <v>2021</v>
      </c>
      <c r="J131" s="322">
        <v>0</v>
      </c>
      <c r="K131" s="145"/>
      <c r="R131" s="3" t="s">
        <v>458</v>
      </c>
    </row>
    <row r="132" spans="2:18">
      <c r="B132" s="91" t="s">
        <v>647</v>
      </c>
      <c r="C132" s="89"/>
      <c r="D132" s="89"/>
      <c r="E132" s="89"/>
      <c r="F132" s="91" t="s">
        <v>294</v>
      </c>
      <c r="G132" s="91">
        <v>2005</v>
      </c>
      <c r="H132" s="322">
        <v>149702.98000000001</v>
      </c>
      <c r="I132" s="91">
        <v>2021</v>
      </c>
      <c r="J132" s="322">
        <v>0</v>
      </c>
      <c r="K132" s="145"/>
      <c r="R132" s="3" t="s">
        <v>458</v>
      </c>
    </row>
    <row r="133" spans="2:18">
      <c r="B133" s="91" t="s">
        <v>648</v>
      </c>
      <c r="C133" s="89"/>
      <c r="D133" s="89"/>
      <c r="E133" s="89"/>
      <c r="F133" s="91" t="s">
        <v>304</v>
      </c>
      <c r="G133" s="91">
        <v>2005</v>
      </c>
      <c r="H133" s="322">
        <v>144500</v>
      </c>
      <c r="I133" s="91">
        <v>2021</v>
      </c>
      <c r="J133" s="322">
        <v>0</v>
      </c>
      <c r="K133" s="145"/>
      <c r="R133" s="3" t="s">
        <v>458</v>
      </c>
    </row>
    <row r="134" spans="2:18">
      <c r="B134" s="91" t="s">
        <v>649</v>
      </c>
      <c r="C134" s="89"/>
      <c r="D134" s="89"/>
      <c r="E134" s="89"/>
      <c r="F134" s="91" t="s">
        <v>295</v>
      </c>
      <c r="G134" s="91">
        <v>2005</v>
      </c>
      <c r="H134" s="322">
        <v>22500</v>
      </c>
      <c r="I134" s="91">
        <v>2021</v>
      </c>
      <c r="J134" s="322">
        <v>0</v>
      </c>
      <c r="K134" s="145"/>
      <c r="R134" s="3" t="s">
        <v>458</v>
      </c>
    </row>
    <row r="135" spans="2:18">
      <c r="B135" s="91" t="s">
        <v>650</v>
      </c>
      <c r="C135" s="89"/>
      <c r="D135" s="89"/>
      <c r="E135" s="89"/>
      <c r="F135" s="91" t="s">
        <v>307</v>
      </c>
      <c r="G135" s="91">
        <v>2006</v>
      </c>
      <c r="H135" s="322">
        <v>23374</v>
      </c>
      <c r="I135" s="91">
        <v>2021</v>
      </c>
      <c r="J135" s="322">
        <v>0</v>
      </c>
      <c r="K135" s="145"/>
      <c r="R135" s="3" t="s">
        <v>458</v>
      </c>
    </row>
    <row r="136" spans="2:18">
      <c r="B136" s="91" t="s">
        <v>651</v>
      </c>
      <c r="C136" s="89"/>
      <c r="D136" s="89"/>
      <c r="E136" s="89"/>
      <c r="F136" s="91" t="s">
        <v>290</v>
      </c>
      <c r="G136" s="91">
        <v>2006</v>
      </c>
      <c r="H136" s="322">
        <v>216791.4</v>
      </c>
      <c r="I136" s="91">
        <v>2021</v>
      </c>
      <c r="J136" s="322">
        <v>132877.0119526372</v>
      </c>
      <c r="K136" s="145"/>
      <c r="R136" s="3" t="s">
        <v>458</v>
      </c>
    </row>
    <row r="137" spans="2:18">
      <c r="B137" s="91" t="s">
        <v>652</v>
      </c>
      <c r="C137" s="89"/>
      <c r="D137" s="89"/>
      <c r="E137" s="89"/>
      <c r="F137" s="91" t="s">
        <v>300</v>
      </c>
      <c r="G137" s="91">
        <v>2006</v>
      </c>
      <c r="H137" s="322">
        <v>39984.959999999999</v>
      </c>
      <c r="I137" s="91">
        <v>2021</v>
      </c>
      <c r="J137" s="322">
        <v>0</v>
      </c>
      <c r="K137" s="145"/>
      <c r="R137" s="3" t="s">
        <v>458</v>
      </c>
    </row>
    <row r="138" spans="2:18">
      <c r="B138" s="91" t="s">
        <v>653</v>
      </c>
      <c r="C138" s="89"/>
      <c r="D138" s="89"/>
      <c r="E138" s="89"/>
      <c r="F138" s="91" t="s">
        <v>290</v>
      </c>
      <c r="G138" s="91">
        <v>2007</v>
      </c>
      <c r="H138" s="322">
        <v>25858.771191949236</v>
      </c>
      <c r="I138" s="91">
        <v>2021</v>
      </c>
      <c r="J138" s="322">
        <v>16708.652536273155</v>
      </c>
      <c r="K138" s="145"/>
      <c r="R138" s="3" t="s">
        <v>458</v>
      </c>
    </row>
    <row r="139" spans="2:18">
      <c r="B139" s="91" t="s">
        <v>654</v>
      </c>
      <c r="C139" s="89"/>
      <c r="D139" s="89"/>
      <c r="E139" s="89"/>
      <c r="F139" s="91" t="s">
        <v>300</v>
      </c>
      <c r="G139" s="91">
        <v>2007</v>
      </c>
      <c r="H139" s="322">
        <v>1088351.8199999998</v>
      </c>
      <c r="I139" s="91">
        <v>2021</v>
      </c>
      <c r="J139" s="322">
        <v>0</v>
      </c>
      <c r="K139" s="145"/>
      <c r="R139" s="3" t="s">
        <v>458</v>
      </c>
    </row>
    <row r="140" spans="2:18">
      <c r="B140" s="91" t="s">
        <v>655</v>
      </c>
      <c r="C140" s="89"/>
      <c r="D140" s="89"/>
      <c r="E140" s="89"/>
      <c r="F140" s="91" t="s">
        <v>307</v>
      </c>
      <c r="G140" s="91">
        <v>2007</v>
      </c>
      <c r="H140" s="322">
        <v>661943.85</v>
      </c>
      <c r="I140" s="91">
        <v>2021</v>
      </c>
      <c r="J140" s="322">
        <v>0</v>
      </c>
      <c r="K140" s="145"/>
      <c r="R140" s="3" t="s">
        <v>458</v>
      </c>
    </row>
    <row r="141" spans="2:18">
      <c r="B141" s="91" t="s">
        <v>656</v>
      </c>
      <c r="C141" s="89"/>
      <c r="D141" s="89"/>
      <c r="E141" s="89"/>
      <c r="F141" s="91" t="s">
        <v>304</v>
      </c>
      <c r="G141" s="91">
        <v>2007</v>
      </c>
      <c r="H141" s="322">
        <v>154091.65000000002</v>
      </c>
      <c r="I141" s="91">
        <v>2021</v>
      </c>
      <c r="J141" s="322">
        <v>0</v>
      </c>
      <c r="K141" s="145"/>
      <c r="R141" s="3" t="s">
        <v>458</v>
      </c>
    </row>
    <row r="142" spans="2:18">
      <c r="B142" s="91" t="s">
        <v>657</v>
      </c>
      <c r="C142" s="89"/>
      <c r="D142" s="89"/>
      <c r="E142" s="89"/>
      <c r="F142" s="91" t="s">
        <v>286</v>
      </c>
      <c r="G142" s="91">
        <v>2007</v>
      </c>
      <c r="H142" s="322">
        <v>79744.08</v>
      </c>
      <c r="I142" s="91">
        <v>2021</v>
      </c>
      <c r="J142" s="322">
        <v>0</v>
      </c>
      <c r="K142" s="145"/>
      <c r="R142" s="3" t="s">
        <v>458</v>
      </c>
    </row>
    <row r="143" spans="2:18">
      <c r="B143" s="91" t="s">
        <v>658</v>
      </c>
      <c r="C143" s="89"/>
      <c r="D143" s="89"/>
      <c r="E143" s="89"/>
      <c r="F143" s="91" t="s">
        <v>317</v>
      </c>
      <c r="G143" s="91">
        <v>2008</v>
      </c>
      <c r="H143" s="322">
        <v>4978200.5000000009</v>
      </c>
      <c r="I143" s="91">
        <v>2021</v>
      </c>
      <c r="J143" s="322">
        <v>3386936.2239016104</v>
      </c>
      <c r="K143" s="145"/>
      <c r="R143" s="3" t="s">
        <v>458</v>
      </c>
    </row>
    <row r="144" spans="2:18">
      <c r="B144" s="91" t="s">
        <v>659</v>
      </c>
      <c r="C144" s="89"/>
      <c r="D144" s="89"/>
      <c r="E144" s="89"/>
      <c r="F144" s="91" t="s">
        <v>290</v>
      </c>
      <c r="G144" s="91">
        <v>2008</v>
      </c>
      <c r="H144" s="322">
        <v>233293.04544821067</v>
      </c>
      <c r="I144" s="91">
        <v>2021</v>
      </c>
      <c r="J144" s="322">
        <v>158721.74421517763</v>
      </c>
      <c r="K144" s="145"/>
      <c r="R144" s="3" t="s">
        <v>458</v>
      </c>
    </row>
    <row r="145" spans="2:18">
      <c r="B145" s="91" t="s">
        <v>660</v>
      </c>
      <c r="C145" s="89"/>
      <c r="D145" s="89"/>
      <c r="E145" s="89"/>
      <c r="F145" s="91" t="s">
        <v>296</v>
      </c>
      <c r="G145" s="91">
        <v>2008</v>
      </c>
      <c r="H145" s="322">
        <v>178157.88</v>
      </c>
      <c r="I145" s="91">
        <v>2021</v>
      </c>
      <c r="J145" s="322">
        <v>0</v>
      </c>
      <c r="K145" s="145"/>
      <c r="R145" s="3" t="s">
        <v>458</v>
      </c>
    </row>
    <row r="146" spans="2:18">
      <c r="B146" s="91" t="s">
        <v>661</v>
      </c>
      <c r="C146" s="89"/>
      <c r="D146" s="89"/>
      <c r="E146" s="89"/>
      <c r="F146" s="91" t="s">
        <v>307</v>
      </c>
      <c r="G146" s="91">
        <v>2008</v>
      </c>
      <c r="H146" s="322">
        <v>1299449.8500000001</v>
      </c>
      <c r="I146" s="91">
        <v>2021</v>
      </c>
      <c r="J146" s="322">
        <v>0</v>
      </c>
      <c r="K146" s="145"/>
      <c r="R146" s="3" t="s">
        <v>458</v>
      </c>
    </row>
    <row r="147" spans="2:18">
      <c r="B147" s="91" t="s">
        <v>662</v>
      </c>
      <c r="C147" s="89"/>
      <c r="D147" s="89"/>
      <c r="E147" s="89"/>
      <c r="F147" s="91" t="s">
        <v>336</v>
      </c>
      <c r="G147" s="91">
        <v>2008</v>
      </c>
      <c r="H147" s="322">
        <v>8310.1200000000008</v>
      </c>
      <c r="I147" s="91">
        <v>2021</v>
      </c>
      <c r="J147" s="322">
        <v>0</v>
      </c>
      <c r="K147" s="145"/>
      <c r="R147" s="3" t="s">
        <v>458</v>
      </c>
    </row>
    <row r="148" spans="2:18">
      <c r="B148" s="91" t="s">
        <v>663</v>
      </c>
      <c r="C148" s="89"/>
      <c r="D148" s="89"/>
      <c r="E148" s="89"/>
      <c r="F148" s="91" t="s">
        <v>300</v>
      </c>
      <c r="G148" s="91">
        <v>2008</v>
      </c>
      <c r="H148" s="322">
        <v>427546.18</v>
      </c>
      <c r="I148" s="91">
        <v>2021</v>
      </c>
      <c r="J148" s="322">
        <v>0</v>
      </c>
      <c r="K148" s="145"/>
      <c r="R148" s="3" t="s">
        <v>458</v>
      </c>
    </row>
    <row r="149" spans="2:18">
      <c r="B149" s="91" t="s">
        <v>664</v>
      </c>
      <c r="C149" s="89"/>
      <c r="D149" s="89"/>
      <c r="E149" s="89"/>
      <c r="F149" s="91" t="s">
        <v>294</v>
      </c>
      <c r="G149" s="91">
        <v>2008</v>
      </c>
      <c r="H149" s="322">
        <v>1194171.3899999999</v>
      </c>
      <c r="I149" s="91">
        <v>2021</v>
      </c>
      <c r="J149" s="322">
        <v>0</v>
      </c>
      <c r="K149" s="145"/>
      <c r="R149" s="3" t="s">
        <v>458</v>
      </c>
    </row>
    <row r="150" spans="2:18">
      <c r="B150" s="91" t="s">
        <v>665</v>
      </c>
      <c r="C150" s="89"/>
      <c r="D150" s="89"/>
      <c r="E150" s="89"/>
      <c r="F150" s="91" t="s">
        <v>294</v>
      </c>
      <c r="G150" s="91">
        <v>2009</v>
      </c>
      <c r="H150" s="322">
        <v>124506.82</v>
      </c>
      <c r="I150" s="91">
        <v>2021</v>
      </c>
      <c r="J150" s="322">
        <v>0</v>
      </c>
      <c r="K150" s="145"/>
      <c r="R150" s="3" t="s">
        <v>458</v>
      </c>
    </row>
    <row r="151" spans="2:18">
      <c r="B151" s="91" t="s">
        <v>666</v>
      </c>
      <c r="C151" s="89"/>
      <c r="D151" s="89"/>
      <c r="E151" s="89"/>
      <c r="F151" s="91" t="s">
        <v>307</v>
      </c>
      <c r="G151" s="91">
        <v>2009</v>
      </c>
      <c r="H151" s="322">
        <v>285378.59999999998</v>
      </c>
      <c r="I151" s="91">
        <v>2021</v>
      </c>
      <c r="J151" s="322">
        <v>0</v>
      </c>
      <c r="K151" s="145"/>
      <c r="R151" s="3" t="s">
        <v>458</v>
      </c>
    </row>
    <row r="152" spans="2:18">
      <c r="B152" s="91" t="s">
        <v>667</v>
      </c>
      <c r="C152" s="89"/>
      <c r="D152" s="89"/>
      <c r="E152" s="89"/>
      <c r="F152" s="91" t="s">
        <v>290</v>
      </c>
      <c r="G152" s="91">
        <v>2009</v>
      </c>
      <c r="H152" s="322">
        <v>35389.120000000003</v>
      </c>
      <c r="I152" s="91">
        <v>2021</v>
      </c>
      <c r="J152" s="322">
        <v>24744.506996892218</v>
      </c>
      <c r="K152" s="145"/>
      <c r="R152" s="3" t="s">
        <v>458</v>
      </c>
    </row>
    <row r="153" spans="2:18">
      <c r="B153" s="91" t="s">
        <v>668</v>
      </c>
      <c r="C153" s="89"/>
      <c r="D153" s="89"/>
      <c r="E153" s="89"/>
      <c r="F153" s="91" t="s">
        <v>295</v>
      </c>
      <c r="G153" s="91">
        <v>2009</v>
      </c>
      <c r="H153" s="322">
        <v>537011.27</v>
      </c>
      <c r="I153" s="91">
        <v>2021</v>
      </c>
      <c r="J153" s="322">
        <v>0</v>
      </c>
      <c r="K153" s="145"/>
      <c r="R153" s="3" t="s">
        <v>458</v>
      </c>
    </row>
    <row r="154" spans="2:18">
      <c r="B154" s="91" t="s">
        <v>669</v>
      </c>
      <c r="C154" s="89"/>
      <c r="D154" s="89"/>
      <c r="E154" s="89"/>
      <c r="F154" s="91" t="s">
        <v>317</v>
      </c>
      <c r="G154" s="91">
        <v>2009</v>
      </c>
      <c r="H154" s="322">
        <v>2416053.9300000006</v>
      </c>
      <c r="I154" s="91">
        <v>2021</v>
      </c>
      <c r="J154" s="322">
        <v>1689334.5575067692</v>
      </c>
      <c r="K154" s="145"/>
      <c r="R154" s="3" t="s">
        <v>458</v>
      </c>
    </row>
    <row r="155" spans="2:18">
      <c r="B155" s="91" t="s">
        <v>670</v>
      </c>
      <c r="C155" s="89"/>
      <c r="D155" s="89"/>
      <c r="E155" s="89"/>
      <c r="F155" s="91" t="s">
        <v>286</v>
      </c>
      <c r="G155" s="91">
        <v>2009</v>
      </c>
      <c r="H155" s="322">
        <v>97690.9</v>
      </c>
      <c r="I155" s="91">
        <v>2021</v>
      </c>
      <c r="J155" s="322">
        <v>0</v>
      </c>
      <c r="K155" s="145"/>
      <c r="R155" s="3" t="s">
        <v>458</v>
      </c>
    </row>
    <row r="156" spans="2:18">
      <c r="B156" s="91" t="s">
        <v>671</v>
      </c>
      <c r="C156" s="89"/>
      <c r="D156" s="89"/>
      <c r="E156" s="89"/>
      <c r="F156" s="91" t="s">
        <v>305</v>
      </c>
      <c r="G156" s="91">
        <v>2009</v>
      </c>
      <c r="H156" s="322">
        <v>655669.05999999994</v>
      </c>
      <c r="I156" s="91">
        <v>2021</v>
      </c>
      <c r="J156" s="322">
        <v>0</v>
      </c>
      <c r="K156" s="145"/>
      <c r="R156" s="3" t="s">
        <v>458</v>
      </c>
    </row>
    <row r="157" spans="2:18">
      <c r="B157" s="91" t="s">
        <v>672</v>
      </c>
      <c r="C157" s="89"/>
      <c r="D157" s="89"/>
      <c r="E157" s="89"/>
      <c r="F157" s="91" t="s">
        <v>300</v>
      </c>
      <c r="G157" s="91">
        <v>2010</v>
      </c>
      <c r="H157" s="322">
        <v>453194.78213502961</v>
      </c>
      <c r="I157" s="91">
        <v>2021</v>
      </c>
      <c r="J157" s="322">
        <v>0</v>
      </c>
      <c r="K157" s="145"/>
      <c r="R157" s="3" t="s">
        <v>458</v>
      </c>
    </row>
    <row r="158" spans="2:18">
      <c r="B158" s="91" t="s">
        <v>673</v>
      </c>
      <c r="C158" s="89"/>
      <c r="D158" s="89"/>
      <c r="E158" s="89"/>
      <c r="F158" s="91" t="s">
        <v>307</v>
      </c>
      <c r="G158" s="91">
        <v>2010</v>
      </c>
      <c r="H158" s="322">
        <v>179634.02000000002</v>
      </c>
      <c r="I158" s="91">
        <v>2021</v>
      </c>
      <c r="J158" s="322">
        <v>0</v>
      </c>
      <c r="K158" s="145"/>
      <c r="R158" s="3" t="s">
        <v>458</v>
      </c>
    </row>
    <row r="159" spans="2:18">
      <c r="B159" s="91" t="s">
        <v>674</v>
      </c>
      <c r="C159" s="89"/>
      <c r="D159" s="89"/>
      <c r="E159" s="89"/>
      <c r="F159" s="91" t="s">
        <v>304</v>
      </c>
      <c r="G159" s="91">
        <v>2011</v>
      </c>
      <c r="H159" s="322">
        <v>293470.62269139342</v>
      </c>
      <c r="I159" s="91">
        <v>2021</v>
      </c>
      <c r="J159" s="322">
        <v>0</v>
      </c>
      <c r="K159" s="145"/>
      <c r="R159" s="3" t="s">
        <v>458</v>
      </c>
    </row>
    <row r="160" spans="2:18">
      <c r="B160" s="91" t="s">
        <v>675</v>
      </c>
      <c r="C160" s="89"/>
      <c r="D160" s="89"/>
      <c r="E160" s="89"/>
      <c r="F160" s="91" t="s">
        <v>294</v>
      </c>
      <c r="G160" s="91">
        <v>2011</v>
      </c>
      <c r="H160" s="322">
        <v>309147.61872011481</v>
      </c>
      <c r="I160" s="91">
        <v>2021</v>
      </c>
      <c r="J160" s="322">
        <v>0</v>
      </c>
      <c r="K160" s="145"/>
      <c r="R160" s="3" t="s">
        <v>458</v>
      </c>
    </row>
    <row r="161" spans="2:18">
      <c r="B161" s="91" t="s">
        <v>676</v>
      </c>
      <c r="C161" s="89"/>
      <c r="D161" s="89"/>
      <c r="E161" s="89"/>
      <c r="F161" s="91" t="s">
        <v>339</v>
      </c>
      <c r="G161" s="91">
        <v>2011</v>
      </c>
      <c r="H161" s="322">
        <v>24343500.983545668</v>
      </c>
      <c r="I161" s="91">
        <v>2021</v>
      </c>
      <c r="J161" s="322">
        <v>0</v>
      </c>
      <c r="K161" s="145"/>
      <c r="R161" s="3" t="s">
        <v>458</v>
      </c>
    </row>
    <row r="162" spans="2:18">
      <c r="B162" s="91" t="s">
        <v>677</v>
      </c>
      <c r="C162" s="89"/>
      <c r="D162" s="89"/>
      <c r="E162" s="89"/>
      <c r="F162" s="91" t="s">
        <v>300</v>
      </c>
      <c r="G162" s="91">
        <v>2011</v>
      </c>
      <c r="H162" s="322">
        <v>345005.47060998465</v>
      </c>
      <c r="I162" s="91">
        <v>2021</v>
      </c>
      <c r="J162" s="322">
        <v>0</v>
      </c>
      <c r="K162" s="145"/>
      <c r="R162" s="3" t="s">
        <v>458</v>
      </c>
    </row>
    <row r="163" spans="2:18">
      <c r="B163" s="91" t="s">
        <v>678</v>
      </c>
      <c r="C163" s="89"/>
      <c r="D163" s="89"/>
      <c r="E163" s="89"/>
      <c r="F163" s="91" t="s">
        <v>305</v>
      </c>
      <c r="G163" s="91">
        <v>2011</v>
      </c>
      <c r="H163" s="322">
        <v>10931.96</v>
      </c>
      <c r="I163" s="91">
        <v>2021</v>
      </c>
      <c r="J163" s="322">
        <v>0</v>
      </c>
      <c r="K163" s="145"/>
      <c r="R163" s="3" t="s">
        <v>458</v>
      </c>
    </row>
    <row r="164" spans="2:18">
      <c r="B164" s="91" t="s">
        <v>679</v>
      </c>
      <c r="C164" s="89"/>
      <c r="D164" s="89"/>
      <c r="E164" s="89"/>
      <c r="F164" s="91" t="s">
        <v>335</v>
      </c>
      <c r="G164" s="91">
        <v>2012</v>
      </c>
      <c r="H164" s="322">
        <v>817297.73457401327</v>
      </c>
      <c r="I164" s="91">
        <v>2021</v>
      </c>
      <c r="J164" s="322">
        <v>0</v>
      </c>
      <c r="K164" s="145"/>
      <c r="R164" s="3" t="s">
        <v>458</v>
      </c>
    </row>
    <row r="165" spans="2:18">
      <c r="B165" s="91" t="s">
        <v>680</v>
      </c>
      <c r="C165" s="89"/>
      <c r="D165" s="89"/>
      <c r="E165" s="89"/>
      <c r="F165" s="91" t="s">
        <v>300</v>
      </c>
      <c r="G165" s="91">
        <v>2012</v>
      </c>
      <c r="H165" s="322">
        <v>237528.30775638262</v>
      </c>
      <c r="I165" s="91">
        <v>2021</v>
      </c>
      <c r="J165" s="322">
        <v>13628.978016883706</v>
      </c>
      <c r="K165" s="145"/>
      <c r="R165" s="3" t="s">
        <v>458</v>
      </c>
    </row>
    <row r="166" spans="2:18">
      <c r="B166" s="91" t="s">
        <v>681</v>
      </c>
      <c r="C166" s="89"/>
      <c r="D166" s="89"/>
      <c r="E166" s="89"/>
      <c r="F166" s="91" t="s">
        <v>305</v>
      </c>
      <c r="G166" s="91">
        <v>2012</v>
      </c>
      <c r="H166" s="322">
        <v>20000</v>
      </c>
      <c r="I166" s="91">
        <v>2021</v>
      </c>
      <c r="J166" s="322">
        <v>1147.5666328463135</v>
      </c>
      <c r="K166" s="145"/>
      <c r="R166" s="3" t="s">
        <v>458</v>
      </c>
    </row>
    <row r="167" spans="2:18">
      <c r="B167" s="91" t="s">
        <v>682</v>
      </c>
      <c r="C167" s="89"/>
      <c r="D167" s="89"/>
      <c r="E167" s="89"/>
      <c r="F167" s="91" t="s">
        <v>317</v>
      </c>
      <c r="G167" s="91">
        <v>2012</v>
      </c>
      <c r="H167" s="322">
        <v>701380.67501665035</v>
      </c>
      <c r="I167" s="91">
        <v>2021</v>
      </c>
      <c r="J167" s="322">
        <v>550002.05737442558</v>
      </c>
      <c r="K167" s="145"/>
      <c r="R167" s="3" t="s">
        <v>458</v>
      </c>
    </row>
    <row r="168" spans="2:18">
      <c r="B168" s="91" t="s">
        <v>683</v>
      </c>
      <c r="C168" s="89"/>
      <c r="D168" s="89"/>
      <c r="E168" s="89"/>
      <c r="F168" s="91" t="s">
        <v>296</v>
      </c>
      <c r="G168" s="91">
        <v>2012</v>
      </c>
      <c r="H168" s="322">
        <v>102288.01000000001</v>
      </c>
      <c r="I168" s="91">
        <v>2021</v>
      </c>
      <c r="J168" s="322">
        <v>5869.1153608124732</v>
      </c>
      <c r="K168" s="145"/>
      <c r="R168" s="3" t="s">
        <v>458</v>
      </c>
    </row>
    <row r="169" spans="2:18">
      <c r="B169" s="91" t="s">
        <v>684</v>
      </c>
      <c r="C169" s="89"/>
      <c r="D169" s="89"/>
      <c r="E169" s="89"/>
      <c r="F169" s="91" t="s">
        <v>295</v>
      </c>
      <c r="G169" s="91">
        <v>2012</v>
      </c>
      <c r="H169" s="322">
        <v>321753.96830222307</v>
      </c>
      <c r="I169" s="91">
        <v>2021</v>
      </c>
      <c r="J169" s="322">
        <v>18461.705900476001</v>
      </c>
      <c r="K169" s="145"/>
      <c r="R169" s="3" t="s">
        <v>458</v>
      </c>
    </row>
    <row r="170" spans="2:18">
      <c r="B170" s="91" t="s">
        <v>685</v>
      </c>
      <c r="C170" s="89"/>
      <c r="D170" s="89"/>
      <c r="E170" s="89"/>
      <c r="F170" s="91" t="s">
        <v>307</v>
      </c>
      <c r="G170" s="91">
        <v>2012</v>
      </c>
      <c r="H170" s="322">
        <v>341738.83030935976</v>
      </c>
      <c r="I170" s="91">
        <v>2021</v>
      </c>
      <c r="J170" s="322">
        <v>19608.403940547396</v>
      </c>
      <c r="K170" s="145"/>
      <c r="R170" s="3" t="s">
        <v>458</v>
      </c>
    </row>
    <row r="171" spans="2:18">
      <c r="B171" s="91" t="s">
        <v>686</v>
      </c>
      <c r="C171" s="89"/>
      <c r="D171" s="89"/>
      <c r="E171" s="89"/>
      <c r="F171" s="91" t="s">
        <v>294</v>
      </c>
      <c r="G171" s="91">
        <v>2012</v>
      </c>
      <c r="H171" s="322">
        <v>737114.28212566266</v>
      </c>
      <c r="I171" s="91">
        <v>2021</v>
      </c>
      <c r="J171" s="322">
        <v>42294.387738093574</v>
      </c>
      <c r="K171" s="145"/>
      <c r="R171" s="3" t="s">
        <v>458</v>
      </c>
    </row>
    <row r="172" spans="2:18">
      <c r="B172" s="91" t="s">
        <v>687</v>
      </c>
      <c r="C172" s="89"/>
      <c r="D172" s="89"/>
      <c r="E172" s="89"/>
      <c r="F172" s="91" t="s">
        <v>300</v>
      </c>
      <c r="G172" s="91">
        <v>2013</v>
      </c>
      <c r="H172" s="322">
        <v>5005059.40396435</v>
      </c>
      <c r="I172" s="91">
        <v>2021</v>
      </c>
      <c r="J172" s="322">
        <v>842175.83099752699</v>
      </c>
      <c r="K172" s="145"/>
      <c r="R172" s="3" t="s">
        <v>458</v>
      </c>
    </row>
    <row r="173" spans="2:18">
      <c r="B173" s="91" t="s">
        <v>688</v>
      </c>
      <c r="C173" s="89"/>
      <c r="D173" s="89"/>
      <c r="E173" s="89"/>
      <c r="F173" s="91" t="s">
        <v>317</v>
      </c>
      <c r="G173" s="91">
        <v>2013</v>
      </c>
      <c r="H173" s="322">
        <v>1237826.9064472313</v>
      </c>
      <c r="I173" s="91">
        <v>2021</v>
      </c>
      <c r="J173" s="322">
        <v>995129.04477620148</v>
      </c>
      <c r="K173" s="145"/>
      <c r="R173" s="3" t="s">
        <v>458</v>
      </c>
    </row>
    <row r="174" spans="2:18">
      <c r="B174" s="91" t="s">
        <v>689</v>
      </c>
      <c r="C174" s="89"/>
      <c r="D174" s="89"/>
      <c r="E174" s="89"/>
      <c r="F174" s="91" t="s">
        <v>295</v>
      </c>
      <c r="G174" s="91">
        <v>2013</v>
      </c>
      <c r="H174" s="322">
        <v>292655.61609467439</v>
      </c>
      <c r="I174" s="91">
        <v>2021</v>
      </c>
      <c r="J174" s="322">
        <v>49243.668613684422</v>
      </c>
      <c r="K174" s="145"/>
      <c r="R174" s="3" t="s">
        <v>458</v>
      </c>
    </row>
    <row r="175" spans="2:18">
      <c r="B175" s="91" t="s">
        <v>690</v>
      </c>
      <c r="C175" s="89"/>
      <c r="D175" s="89"/>
      <c r="E175" s="89"/>
      <c r="F175" s="91" t="s">
        <v>317</v>
      </c>
      <c r="G175" s="91">
        <v>2014</v>
      </c>
      <c r="H175" s="322">
        <v>4973944.9463818558</v>
      </c>
      <c r="I175" s="91">
        <v>2021</v>
      </c>
      <c r="J175" s="322">
        <v>4070721.5945336674</v>
      </c>
      <c r="K175" s="145"/>
      <c r="R175" s="3" t="s">
        <v>458</v>
      </c>
    </row>
    <row r="176" spans="2:18">
      <c r="B176" s="91" t="s">
        <v>691</v>
      </c>
      <c r="C176" s="89"/>
      <c r="D176" s="89"/>
      <c r="E176" s="89"/>
      <c r="F176" s="91" t="s">
        <v>295</v>
      </c>
      <c r="G176" s="91">
        <v>2014</v>
      </c>
      <c r="H176" s="322">
        <v>332895.6529706032</v>
      </c>
      <c r="I176" s="91">
        <v>2021</v>
      </c>
      <c r="J176" s="322">
        <v>90814.939173486709</v>
      </c>
      <c r="K176" s="145"/>
      <c r="R176" s="3" t="s">
        <v>458</v>
      </c>
    </row>
    <row r="177" spans="2:18">
      <c r="B177" s="91" t="s">
        <v>692</v>
      </c>
      <c r="C177" s="89"/>
      <c r="D177" s="89"/>
      <c r="E177" s="89"/>
      <c r="F177" s="91" t="s">
        <v>296</v>
      </c>
      <c r="G177" s="91">
        <v>2014</v>
      </c>
      <c r="H177" s="322">
        <v>294123.8734031191</v>
      </c>
      <c r="I177" s="91">
        <v>2021</v>
      </c>
      <c r="J177" s="322">
        <v>80237.880651848885</v>
      </c>
      <c r="K177" s="145"/>
      <c r="R177" s="3" t="s">
        <v>458</v>
      </c>
    </row>
    <row r="178" spans="2:18">
      <c r="B178" s="91" t="s">
        <v>693</v>
      </c>
      <c r="C178" s="89"/>
      <c r="D178" s="89"/>
      <c r="E178" s="89"/>
      <c r="F178" s="91" t="s">
        <v>305</v>
      </c>
      <c r="G178" s="91">
        <v>2014</v>
      </c>
      <c r="H178" s="322">
        <v>24919.261718386999</v>
      </c>
      <c r="I178" s="91">
        <v>2021</v>
      </c>
      <c r="J178" s="322">
        <v>6798.0498303573586</v>
      </c>
      <c r="K178" s="145"/>
      <c r="R178" s="3" t="s">
        <v>458</v>
      </c>
    </row>
    <row r="179" spans="2:18">
      <c r="B179" s="91" t="s">
        <v>694</v>
      </c>
      <c r="C179" s="89"/>
      <c r="D179" s="89"/>
      <c r="E179" s="89"/>
      <c r="F179" s="91" t="s">
        <v>300</v>
      </c>
      <c r="G179" s="91">
        <v>2014</v>
      </c>
      <c r="H179" s="322">
        <v>264974.99557180319</v>
      </c>
      <c r="I179" s="91">
        <v>2021</v>
      </c>
      <c r="J179" s="322">
        <v>72285.978776277945</v>
      </c>
      <c r="K179" s="145"/>
      <c r="R179" s="3" t="s">
        <v>458</v>
      </c>
    </row>
    <row r="180" spans="2:18">
      <c r="B180" s="91" t="s">
        <v>695</v>
      </c>
      <c r="C180" s="89"/>
      <c r="D180" s="89"/>
      <c r="E180" s="89"/>
      <c r="F180" s="91" t="s">
        <v>294</v>
      </c>
      <c r="G180" s="91">
        <v>2014</v>
      </c>
      <c r="H180" s="322">
        <v>724167.86511950963</v>
      </c>
      <c r="I180" s="91">
        <v>2021</v>
      </c>
      <c r="J180" s="322">
        <v>197555.1799351057</v>
      </c>
      <c r="K180" s="145"/>
      <c r="R180" s="3" t="s">
        <v>458</v>
      </c>
    </row>
    <row r="181" spans="2:18">
      <c r="B181" s="91" t="s">
        <v>696</v>
      </c>
      <c r="C181" s="89"/>
      <c r="D181" s="89"/>
      <c r="E181" s="89"/>
      <c r="F181" s="91" t="s">
        <v>308</v>
      </c>
      <c r="G181" s="91">
        <v>2014</v>
      </c>
      <c r="H181" s="322">
        <v>1415.9999999999968</v>
      </c>
      <c r="I181" s="91">
        <v>2021</v>
      </c>
      <c r="J181" s="322">
        <v>386.28907503641284</v>
      </c>
      <c r="K181" s="145"/>
      <c r="R181" s="3" t="s">
        <v>458</v>
      </c>
    </row>
    <row r="182" spans="2:18">
      <c r="B182" s="91" t="s">
        <v>697</v>
      </c>
      <c r="C182" s="89"/>
      <c r="D182" s="89"/>
      <c r="E182" s="89"/>
      <c r="F182" s="91" t="s">
        <v>308</v>
      </c>
      <c r="G182" s="91">
        <v>2015</v>
      </c>
      <c r="H182" s="322">
        <v>43315.304046858677</v>
      </c>
      <c r="I182" s="91">
        <v>2021</v>
      </c>
      <c r="J182" s="322">
        <v>16379.370300704035</v>
      </c>
      <c r="K182" s="145"/>
      <c r="R182" s="3" t="s">
        <v>458</v>
      </c>
    </row>
    <row r="183" spans="2:18">
      <c r="B183" s="91" t="s">
        <v>698</v>
      </c>
      <c r="C183" s="89"/>
      <c r="D183" s="89"/>
      <c r="E183" s="89"/>
      <c r="F183" s="91" t="s">
        <v>305</v>
      </c>
      <c r="G183" s="91">
        <v>2015</v>
      </c>
      <c r="H183" s="322">
        <v>78424.550748692549</v>
      </c>
      <c r="I183" s="91">
        <v>2021</v>
      </c>
      <c r="J183" s="322">
        <v>29655.679110310892</v>
      </c>
      <c r="K183" s="145"/>
      <c r="R183" s="3" t="s">
        <v>458</v>
      </c>
    </row>
    <row r="184" spans="2:18">
      <c r="B184" s="91" t="s">
        <v>699</v>
      </c>
      <c r="C184" s="89"/>
      <c r="D184" s="89"/>
      <c r="E184" s="89"/>
      <c r="F184" s="91" t="s">
        <v>300</v>
      </c>
      <c r="G184" s="91">
        <v>2015</v>
      </c>
      <c r="H184" s="322">
        <v>481116.61247078225</v>
      </c>
      <c r="I184" s="91">
        <v>2021</v>
      </c>
      <c r="J184" s="322">
        <v>181930.78236168518</v>
      </c>
      <c r="K184" s="145"/>
      <c r="R184" s="3" t="s">
        <v>458</v>
      </c>
    </row>
    <row r="185" spans="2:18">
      <c r="B185" s="91" t="s">
        <v>700</v>
      </c>
      <c r="C185" s="89"/>
      <c r="D185" s="89"/>
      <c r="E185" s="89"/>
      <c r="F185" s="91" t="s">
        <v>340</v>
      </c>
      <c r="G185" s="91">
        <v>2015</v>
      </c>
      <c r="H185" s="322">
        <v>13785822.782425826</v>
      </c>
      <c r="I185" s="91">
        <v>2021</v>
      </c>
      <c r="J185" s="322">
        <v>8440110.7970265597</v>
      </c>
      <c r="K185" s="145"/>
      <c r="R185" s="3" t="s">
        <v>458</v>
      </c>
    </row>
    <row r="186" spans="2:18">
      <c r="B186" s="91" t="s">
        <v>701</v>
      </c>
      <c r="C186" s="89"/>
      <c r="D186" s="89"/>
      <c r="E186" s="89"/>
      <c r="F186" s="91" t="s">
        <v>304</v>
      </c>
      <c r="G186" s="91">
        <v>2015</v>
      </c>
      <c r="H186" s="322">
        <v>43877.173224174046</v>
      </c>
      <c r="I186" s="91">
        <v>2021</v>
      </c>
      <c r="J186" s="322">
        <v>16591.837083941773</v>
      </c>
      <c r="K186" s="145"/>
      <c r="R186" s="3" t="s">
        <v>458</v>
      </c>
    </row>
    <row r="187" spans="2:18">
      <c r="B187" s="91" t="s">
        <v>702</v>
      </c>
      <c r="C187" s="89"/>
      <c r="D187" s="89"/>
      <c r="E187" s="89"/>
      <c r="F187" s="91" t="s">
        <v>295</v>
      </c>
      <c r="G187" s="91">
        <v>2015</v>
      </c>
      <c r="H187" s="322">
        <v>153470.91831934603</v>
      </c>
      <c r="I187" s="91">
        <v>2021</v>
      </c>
      <c r="J187" s="322">
        <v>58033.922579009974</v>
      </c>
      <c r="K187" s="145"/>
      <c r="R187" s="3" t="s">
        <v>458</v>
      </c>
    </row>
    <row r="188" spans="2:18">
      <c r="B188" s="91" t="s">
        <v>703</v>
      </c>
      <c r="C188" s="89"/>
      <c r="D188" s="89"/>
      <c r="E188" s="89"/>
      <c r="F188" s="91" t="s">
        <v>317</v>
      </c>
      <c r="G188" s="91">
        <v>2015</v>
      </c>
      <c r="H188" s="322">
        <v>2375369.7957282378</v>
      </c>
      <c r="I188" s="91">
        <v>2021</v>
      </c>
      <c r="J188" s="322">
        <v>2010322.0086927759</v>
      </c>
      <c r="K188" s="145"/>
      <c r="R188" s="3" t="s">
        <v>458</v>
      </c>
    </row>
    <row r="189" spans="2:18">
      <c r="B189" s="91" t="s">
        <v>704</v>
      </c>
      <c r="C189" s="89"/>
      <c r="D189" s="89"/>
      <c r="E189" s="89"/>
      <c r="F189" s="91" t="s">
        <v>290</v>
      </c>
      <c r="G189" s="91">
        <v>2015</v>
      </c>
      <c r="H189" s="322">
        <v>516544.29057147249</v>
      </c>
      <c r="I189" s="91">
        <v>2021</v>
      </c>
      <c r="J189" s="322">
        <v>437161.55592610373</v>
      </c>
      <c r="K189" s="145"/>
      <c r="R189" s="3" t="s">
        <v>458</v>
      </c>
    </row>
    <row r="190" spans="2:18">
      <c r="B190" s="91" t="s">
        <v>705</v>
      </c>
      <c r="C190" s="89"/>
      <c r="D190" s="89"/>
      <c r="E190" s="89"/>
      <c r="F190" s="91" t="s">
        <v>294</v>
      </c>
      <c r="G190" s="91">
        <v>2015</v>
      </c>
      <c r="H190" s="322">
        <v>406758.82739129546</v>
      </c>
      <c r="I190" s="91">
        <v>2021</v>
      </c>
      <c r="J190" s="322">
        <v>153812.9214033616</v>
      </c>
      <c r="K190" s="145"/>
      <c r="R190" s="3" t="s">
        <v>458</v>
      </c>
    </row>
    <row r="191" spans="2:18">
      <c r="B191" s="91" t="s">
        <v>706</v>
      </c>
      <c r="C191" s="89"/>
      <c r="D191" s="89"/>
      <c r="E191" s="89"/>
      <c r="F191" s="91" t="s">
        <v>317</v>
      </c>
      <c r="G191" s="91">
        <v>2016</v>
      </c>
      <c r="H191" s="322">
        <v>229380.26938547671</v>
      </c>
      <c r="I191" s="91">
        <v>2021</v>
      </c>
      <c r="J191" s="322">
        <v>200783.5579674957</v>
      </c>
      <c r="K191" s="145"/>
      <c r="R191" s="3" t="s">
        <v>458</v>
      </c>
    </row>
    <row r="192" spans="2:18">
      <c r="B192" s="91" t="s">
        <v>707</v>
      </c>
      <c r="C192" s="89"/>
      <c r="D192" s="89"/>
      <c r="E192" s="89"/>
      <c r="F192" s="91" t="s">
        <v>340</v>
      </c>
      <c r="G192" s="91">
        <v>2016</v>
      </c>
      <c r="H192" s="322">
        <v>529286.5107518764</v>
      </c>
      <c r="I192" s="91">
        <v>2021</v>
      </c>
      <c r="J192" s="322">
        <v>359294.38470756344</v>
      </c>
      <c r="K192" s="145"/>
      <c r="R192" s="3" t="s">
        <v>458</v>
      </c>
    </row>
    <row r="193" spans="2:18">
      <c r="B193" s="91" t="s">
        <v>708</v>
      </c>
      <c r="C193" s="89"/>
      <c r="D193" s="89"/>
      <c r="E193" s="89"/>
      <c r="F193" s="91" t="s">
        <v>304</v>
      </c>
      <c r="G193" s="91">
        <v>2016</v>
      </c>
      <c r="H193" s="322">
        <v>28567.827468907908</v>
      </c>
      <c r="I193" s="91">
        <v>2021</v>
      </c>
      <c r="J193" s="322">
        <v>13778.977338155324</v>
      </c>
      <c r="K193" s="145"/>
      <c r="R193" s="3" t="s">
        <v>458</v>
      </c>
    </row>
    <row r="194" spans="2:18">
      <c r="B194" s="91" t="s">
        <v>709</v>
      </c>
      <c r="C194" s="89"/>
      <c r="D194" s="89"/>
      <c r="E194" s="89"/>
      <c r="F194" s="91" t="s">
        <v>290</v>
      </c>
      <c r="G194" s="91">
        <v>2016</v>
      </c>
      <c r="H194" s="322">
        <v>69569.550579382194</v>
      </c>
      <c r="I194" s="91">
        <v>2021</v>
      </c>
      <c r="J194" s="322">
        <v>60896.353156050573</v>
      </c>
      <c r="K194" s="145"/>
      <c r="R194" s="3" t="s">
        <v>458</v>
      </c>
    </row>
    <row r="195" spans="2:18">
      <c r="B195" s="91" t="s">
        <v>710</v>
      </c>
      <c r="C195" s="89"/>
      <c r="D195" s="89"/>
      <c r="E195" s="89"/>
      <c r="F195" s="91" t="s">
        <v>295</v>
      </c>
      <c r="G195" s="91">
        <v>2016</v>
      </c>
      <c r="H195" s="322">
        <v>285684.31746031862</v>
      </c>
      <c r="I195" s="91">
        <v>2021</v>
      </c>
      <c r="J195" s="322">
        <v>137792.68796118168</v>
      </c>
      <c r="K195" s="145"/>
      <c r="R195" s="3" t="s">
        <v>458</v>
      </c>
    </row>
    <row r="196" spans="2:18">
      <c r="B196" s="91" t="s">
        <v>711</v>
      </c>
      <c r="C196" s="89"/>
      <c r="D196" s="89"/>
      <c r="E196" s="89"/>
      <c r="F196" s="91" t="s">
        <v>294</v>
      </c>
      <c r="G196" s="91">
        <v>2016</v>
      </c>
      <c r="H196" s="322">
        <v>23169.006741347624</v>
      </c>
      <c r="I196" s="91">
        <v>2021</v>
      </c>
      <c r="J196" s="322">
        <v>11174.991139387506</v>
      </c>
      <c r="K196" s="145"/>
      <c r="R196" s="3" t="s">
        <v>458</v>
      </c>
    </row>
    <row r="197" spans="2:18">
      <c r="B197" s="91" t="s">
        <v>712</v>
      </c>
      <c r="C197" s="89"/>
      <c r="D197" s="89"/>
      <c r="E197" s="89"/>
      <c r="F197" s="91" t="s">
        <v>303</v>
      </c>
      <c r="G197" s="91">
        <v>2017</v>
      </c>
      <c r="H197" s="322">
        <v>42505.139899436123</v>
      </c>
      <c r="I197" s="91">
        <v>2021</v>
      </c>
      <c r="J197" s="322">
        <v>25007.119857240814</v>
      </c>
      <c r="K197" s="145"/>
      <c r="R197" s="3" t="s">
        <v>458</v>
      </c>
    </row>
    <row r="198" spans="2:18">
      <c r="B198" s="91" t="s">
        <v>713</v>
      </c>
      <c r="C198" s="89"/>
      <c r="D198" s="89"/>
      <c r="E198" s="89"/>
      <c r="F198" s="91" t="s">
        <v>296</v>
      </c>
      <c r="G198" s="91">
        <v>2017</v>
      </c>
      <c r="H198" s="322">
        <v>283180.78041617683</v>
      </c>
      <c r="I198" s="91">
        <v>2021</v>
      </c>
      <c r="J198" s="322">
        <v>166604.2208986652</v>
      </c>
      <c r="K198" s="145"/>
      <c r="R198" s="3" t="s">
        <v>458</v>
      </c>
    </row>
    <row r="199" spans="2:18">
      <c r="B199" s="91" t="s">
        <v>714</v>
      </c>
      <c r="C199" s="89"/>
      <c r="D199" s="89"/>
      <c r="E199" s="89"/>
      <c r="F199" s="91" t="s">
        <v>296</v>
      </c>
      <c r="G199" s="91">
        <v>2016</v>
      </c>
      <c r="H199" s="322">
        <v>59355.750635093973</v>
      </c>
      <c r="I199" s="91">
        <v>2021</v>
      </c>
      <c r="J199" s="322">
        <v>28628.76232994219</v>
      </c>
      <c r="K199" s="145"/>
      <c r="R199" s="3" t="s">
        <v>458</v>
      </c>
    </row>
    <row r="200" spans="2:18">
      <c r="B200" s="91" t="s">
        <v>715</v>
      </c>
      <c r="C200" s="89"/>
      <c r="D200" s="89"/>
      <c r="E200" s="89"/>
      <c r="F200" s="91" t="s">
        <v>317</v>
      </c>
      <c r="G200" s="91">
        <v>2017</v>
      </c>
      <c r="H200" s="322">
        <v>1235103.6006231268</v>
      </c>
      <c r="I200" s="91">
        <v>2021</v>
      </c>
      <c r="J200" s="322">
        <v>1123005.4133120223</v>
      </c>
      <c r="K200" s="145"/>
      <c r="R200" s="3" t="s">
        <v>458</v>
      </c>
    </row>
    <row r="201" spans="2:18">
      <c r="B201" s="91" t="s">
        <v>716</v>
      </c>
      <c r="C201" s="89"/>
      <c r="D201" s="89"/>
      <c r="E201" s="89"/>
      <c r="F201" s="91" t="s">
        <v>305</v>
      </c>
      <c r="G201" s="91">
        <v>2017</v>
      </c>
      <c r="H201" s="322">
        <v>251242.94461834809</v>
      </c>
      <c r="I201" s="91">
        <v>2021</v>
      </c>
      <c r="J201" s="322">
        <v>147814.18069019204</v>
      </c>
      <c r="K201" s="145"/>
      <c r="R201" s="3" t="s">
        <v>458</v>
      </c>
    </row>
    <row r="202" spans="2:18">
      <c r="B202" s="91" t="s">
        <v>717</v>
      </c>
      <c r="C202" s="89"/>
      <c r="D202" s="89"/>
      <c r="E202" s="89"/>
      <c r="F202" s="91" t="s">
        <v>304</v>
      </c>
      <c r="G202" s="91">
        <v>2017</v>
      </c>
      <c r="H202" s="322">
        <v>342149.84909853589</v>
      </c>
      <c r="I202" s="91">
        <v>2021</v>
      </c>
      <c r="J202" s="322">
        <v>201297.59143922853</v>
      </c>
      <c r="K202" s="145"/>
      <c r="R202" s="3" t="s">
        <v>458</v>
      </c>
    </row>
    <row r="203" spans="2:18">
      <c r="B203" s="91" t="s">
        <v>718</v>
      </c>
      <c r="C203" s="89"/>
      <c r="D203" s="89"/>
      <c r="E203" s="89"/>
      <c r="F203" s="91" t="s">
        <v>299</v>
      </c>
      <c r="G203" s="91">
        <v>2017</v>
      </c>
      <c r="H203" s="322">
        <v>492613.45921199484</v>
      </c>
      <c r="I203" s="91">
        <v>2021</v>
      </c>
      <c r="J203" s="322">
        <v>289820.09815635922</v>
      </c>
      <c r="K203" s="145"/>
      <c r="R203" s="3" t="s">
        <v>458</v>
      </c>
    </row>
    <row r="204" spans="2:18">
      <c r="B204" s="91" t="s">
        <v>719</v>
      </c>
      <c r="C204" s="89"/>
      <c r="D204" s="89"/>
      <c r="E204" s="89"/>
      <c r="F204" s="91" t="s">
        <v>300</v>
      </c>
      <c r="G204" s="91">
        <v>2017</v>
      </c>
      <c r="H204" s="322">
        <v>2185364.6124668787</v>
      </c>
      <c r="I204" s="91">
        <v>2021</v>
      </c>
      <c r="J204" s="322">
        <v>1285719.20772473</v>
      </c>
      <c r="K204" s="145"/>
      <c r="R204" s="3" t="s">
        <v>458</v>
      </c>
    </row>
    <row r="205" spans="2:18">
      <c r="B205" s="91" t="s">
        <v>720</v>
      </c>
      <c r="C205" s="89"/>
      <c r="D205" s="89"/>
      <c r="E205" s="89"/>
      <c r="F205" s="91" t="s">
        <v>307</v>
      </c>
      <c r="G205" s="91">
        <v>2017</v>
      </c>
      <c r="H205" s="322">
        <v>68624.022512808762</v>
      </c>
      <c r="I205" s="91">
        <v>2021</v>
      </c>
      <c r="J205" s="322">
        <v>40373.685632465487</v>
      </c>
      <c r="K205" s="145"/>
      <c r="R205" s="3" t="s">
        <v>458</v>
      </c>
    </row>
    <row r="206" spans="2:18">
      <c r="B206" s="91" t="s">
        <v>721</v>
      </c>
      <c r="C206" s="89"/>
      <c r="D206" s="89"/>
      <c r="E206" s="89"/>
      <c r="F206" s="91" t="s">
        <v>295</v>
      </c>
      <c r="G206" s="91">
        <v>2017</v>
      </c>
      <c r="H206" s="322">
        <v>75086.588886849713</v>
      </c>
      <c r="I206" s="91">
        <v>2021</v>
      </c>
      <c r="J206" s="322">
        <v>44175.81808711389</v>
      </c>
      <c r="K206" s="145"/>
      <c r="R206" s="3" t="s">
        <v>458</v>
      </c>
    </row>
    <row r="207" spans="2:18">
      <c r="B207" s="91" t="s">
        <v>722</v>
      </c>
      <c r="C207" s="89"/>
      <c r="D207" s="89"/>
      <c r="E207" s="89"/>
      <c r="F207" s="91" t="s">
        <v>294</v>
      </c>
      <c r="G207" s="91">
        <v>2017</v>
      </c>
      <c r="H207" s="322">
        <v>894081.48176313401</v>
      </c>
      <c r="I207" s="91">
        <v>2021</v>
      </c>
      <c r="J207" s="322">
        <v>526016.44952794898</v>
      </c>
      <c r="K207" s="145"/>
      <c r="R207" s="3" t="s">
        <v>458</v>
      </c>
    </row>
    <row r="208" spans="2:18">
      <c r="B208" s="91" t="s">
        <v>723</v>
      </c>
      <c r="C208" s="89"/>
      <c r="D208" s="89"/>
      <c r="E208" s="89"/>
      <c r="F208" s="91" t="s">
        <v>295</v>
      </c>
      <c r="G208" s="91">
        <v>2018</v>
      </c>
      <c r="H208" s="322">
        <v>490885.08786120504</v>
      </c>
      <c r="I208" s="91">
        <v>2021</v>
      </c>
      <c r="J208" s="322">
        <v>336600.51580018562</v>
      </c>
      <c r="K208" s="145"/>
      <c r="R208" s="3" t="s">
        <v>458</v>
      </c>
    </row>
    <row r="209" spans="2:18">
      <c r="B209" s="91" t="s">
        <v>724</v>
      </c>
      <c r="C209" s="89"/>
      <c r="D209" s="89"/>
      <c r="E209" s="89"/>
      <c r="F209" s="91" t="s">
        <v>294</v>
      </c>
      <c r="G209" s="91">
        <v>2018</v>
      </c>
      <c r="H209" s="322">
        <v>533703.76265516167</v>
      </c>
      <c r="I209" s="91">
        <v>2021</v>
      </c>
      <c r="J209" s="322">
        <v>365961.33440708811</v>
      </c>
      <c r="K209" s="145"/>
      <c r="R209" s="3" t="s">
        <v>458</v>
      </c>
    </row>
    <row r="210" spans="2:18">
      <c r="B210" s="91" t="s">
        <v>725</v>
      </c>
      <c r="C210" s="89"/>
      <c r="D210" s="89"/>
      <c r="E210" s="89"/>
      <c r="F210" s="91" t="s">
        <v>300</v>
      </c>
      <c r="G210" s="91">
        <v>2018</v>
      </c>
      <c r="H210" s="322">
        <v>2619455.826851733</v>
      </c>
      <c r="I210" s="91">
        <v>2021</v>
      </c>
      <c r="J210" s="322">
        <v>1796164.1211708463</v>
      </c>
      <c r="K210" s="145"/>
      <c r="R210" s="3" t="s">
        <v>458</v>
      </c>
    </row>
    <row r="211" spans="2:18">
      <c r="B211" s="91" t="s">
        <v>726</v>
      </c>
      <c r="C211" s="89"/>
      <c r="D211" s="89"/>
      <c r="E211" s="89"/>
      <c r="F211" s="91" t="s">
        <v>296</v>
      </c>
      <c r="G211" s="91">
        <v>2018</v>
      </c>
      <c r="H211" s="322">
        <v>252164.79428194632</v>
      </c>
      <c r="I211" s="91">
        <v>2021</v>
      </c>
      <c r="J211" s="322">
        <v>172909.7133338665</v>
      </c>
      <c r="K211" s="145"/>
      <c r="R211" s="3" t="s">
        <v>458</v>
      </c>
    </row>
    <row r="212" spans="2:18">
      <c r="B212" s="91" t="s">
        <v>727</v>
      </c>
      <c r="C212" s="89"/>
      <c r="D212" s="89"/>
      <c r="E212" s="89"/>
      <c r="F212" s="91" t="s">
        <v>303</v>
      </c>
      <c r="G212" s="91">
        <v>2018</v>
      </c>
      <c r="H212" s="322">
        <v>13021546.318391869</v>
      </c>
      <c r="I212" s="91">
        <v>2021</v>
      </c>
      <c r="J212" s="322">
        <v>8928890.519742161</v>
      </c>
      <c r="K212" s="145"/>
      <c r="R212" s="3" t="s">
        <v>458</v>
      </c>
    </row>
    <row r="213" spans="2:18">
      <c r="B213" s="91" t="s">
        <v>728</v>
      </c>
      <c r="C213" s="89"/>
      <c r="D213" s="89"/>
      <c r="E213" s="89"/>
      <c r="F213" s="91" t="s">
        <v>317</v>
      </c>
      <c r="G213" s="91">
        <v>2018</v>
      </c>
      <c r="H213" s="322">
        <v>5158473.573657441</v>
      </c>
      <c r="I213" s="91">
        <v>2021</v>
      </c>
      <c r="J213" s="322">
        <v>4806925.7125234623</v>
      </c>
      <c r="K213" s="145"/>
      <c r="R213" s="3" t="s">
        <v>458</v>
      </c>
    </row>
    <row r="214" spans="2:18">
      <c r="B214" s="91" t="s">
        <v>729</v>
      </c>
      <c r="C214" s="89"/>
      <c r="D214" s="89"/>
      <c r="E214" s="89"/>
      <c r="F214" s="91" t="s">
        <v>341</v>
      </c>
      <c r="G214" s="91">
        <v>2018</v>
      </c>
      <c r="H214" s="322">
        <v>21147142.000000007</v>
      </c>
      <c r="I214" s="91">
        <v>2021</v>
      </c>
      <c r="J214" s="322">
        <v>17103297.263965867</v>
      </c>
      <c r="K214" s="145"/>
      <c r="R214" s="3" t="s">
        <v>458</v>
      </c>
    </row>
    <row r="215" spans="2:18">
      <c r="B215" s="91" t="s">
        <v>730</v>
      </c>
      <c r="C215" s="89"/>
      <c r="D215" s="89"/>
      <c r="E215" s="89"/>
      <c r="F215" s="91" t="s">
        <v>337</v>
      </c>
      <c r="G215" s="91">
        <v>2018</v>
      </c>
      <c r="H215" s="322">
        <v>1669649.9999999995</v>
      </c>
      <c r="I215" s="91">
        <v>2021</v>
      </c>
      <c r="J215" s="322">
        <v>528406.65386783984</v>
      </c>
      <c r="K215" s="145"/>
      <c r="R215" s="3" t="s">
        <v>458</v>
      </c>
    </row>
    <row r="216" spans="2:18">
      <c r="B216" s="91" t="s">
        <v>731</v>
      </c>
      <c r="C216" s="89"/>
      <c r="D216" s="89"/>
      <c r="E216" s="89"/>
      <c r="F216" s="91" t="s">
        <v>286</v>
      </c>
      <c r="G216" s="91">
        <v>2017</v>
      </c>
      <c r="H216" s="322">
        <v>41129.587663444909</v>
      </c>
      <c r="I216" s="91">
        <v>2021</v>
      </c>
      <c r="J216" s="322">
        <v>24197.83891576614</v>
      </c>
      <c r="K216" s="145"/>
      <c r="R216" s="3" t="s">
        <v>458</v>
      </c>
    </row>
    <row r="217" spans="2:18">
      <c r="B217" s="91" t="s">
        <v>732</v>
      </c>
      <c r="C217" s="89"/>
      <c r="D217" s="89"/>
      <c r="E217" s="89"/>
      <c r="F217" s="91" t="s">
        <v>290</v>
      </c>
      <c r="G217" s="91">
        <v>2018</v>
      </c>
      <c r="H217" s="322">
        <v>1769813.2968497979</v>
      </c>
      <c r="I217" s="91">
        <v>2021</v>
      </c>
      <c r="J217" s="322">
        <v>1649201.2455850111</v>
      </c>
      <c r="K217" s="145"/>
      <c r="R217" s="3" t="s">
        <v>458</v>
      </c>
    </row>
    <row r="218" spans="2:18">
      <c r="B218" s="91" t="s">
        <v>733</v>
      </c>
      <c r="C218" s="89"/>
      <c r="D218" s="89"/>
      <c r="E218" s="89"/>
      <c r="F218" s="91" t="s">
        <v>307</v>
      </c>
      <c r="G218" s="91">
        <v>2018</v>
      </c>
      <c r="H218" s="322">
        <v>20291.448993786991</v>
      </c>
      <c r="I218" s="91">
        <v>2021</v>
      </c>
      <c r="J218" s="322">
        <v>13913.871833835448</v>
      </c>
      <c r="K218" s="145"/>
      <c r="R218" s="3" t="s">
        <v>458</v>
      </c>
    </row>
    <row r="219" spans="2:18">
      <c r="B219" s="91" t="s">
        <v>734</v>
      </c>
      <c r="C219" s="89"/>
      <c r="D219" s="89"/>
      <c r="E219" s="89"/>
      <c r="F219" s="91" t="s">
        <v>298</v>
      </c>
      <c r="G219" s="91">
        <v>2018</v>
      </c>
      <c r="H219" s="322">
        <v>59796.38767845487</v>
      </c>
      <c r="I219" s="91">
        <v>2021</v>
      </c>
      <c r="J219" s="322">
        <v>41002.457465659885</v>
      </c>
      <c r="K219" s="145"/>
      <c r="R219" s="3" t="s">
        <v>458</v>
      </c>
    </row>
    <row r="220" spans="2:18">
      <c r="B220" s="91" t="s">
        <v>735</v>
      </c>
      <c r="C220" s="89"/>
      <c r="D220" s="89"/>
      <c r="E220" s="89"/>
      <c r="F220" s="91" t="s">
        <v>286</v>
      </c>
      <c r="G220" s="91">
        <v>2018</v>
      </c>
      <c r="H220" s="322">
        <v>70537.619152208252</v>
      </c>
      <c r="I220" s="91">
        <v>2021</v>
      </c>
      <c r="J220" s="322">
        <v>48367.733257897518</v>
      </c>
      <c r="K220" s="145"/>
      <c r="R220" s="3" t="s">
        <v>458</v>
      </c>
    </row>
    <row r="221" spans="2:18">
      <c r="B221" s="91" t="s">
        <v>736</v>
      </c>
      <c r="C221" s="89"/>
      <c r="D221" s="89"/>
      <c r="E221" s="89"/>
      <c r="F221" s="91" t="s">
        <v>338</v>
      </c>
      <c r="G221" s="91">
        <v>2018</v>
      </c>
      <c r="H221" s="322">
        <v>1033593</v>
      </c>
      <c r="I221" s="91">
        <v>2021</v>
      </c>
      <c r="J221" s="322">
        <v>327108.92617687664</v>
      </c>
      <c r="K221" s="145"/>
      <c r="R221" s="3" t="s">
        <v>458</v>
      </c>
    </row>
    <row r="222" spans="2:18">
      <c r="B222" s="91" t="s">
        <v>737</v>
      </c>
      <c r="C222" s="89"/>
      <c r="D222" s="89"/>
      <c r="E222" s="89"/>
      <c r="F222" s="91" t="s">
        <v>334</v>
      </c>
      <c r="G222" s="91">
        <v>2019</v>
      </c>
      <c r="H222" s="322">
        <v>7023542.7917365544</v>
      </c>
      <c r="I222" s="91">
        <v>2021</v>
      </c>
      <c r="J222" s="322">
        <v>3660726.6913954271</v>
      </c>
      <c r="K222" s="145"/>
      <c r="R222" s="3" t="s">
        <v>458</v>
      </c>
    </row>
    <row r="223" spans="2:18">
      <c r="B223" s="91" t="s">
        <v>738</v>
      </c>
      <c r="C223" s="89"/>
      <c r="D223" s="89"/>
      <c r="E223" s="89"/>
      <c r="F223" s="91" t="s">
        <v>307</v>
      </c>
      <c r="G223" s="91">
        <v>2019</v>
      </c>
      <c r="H223" s="322">
        <v>857388.09237261105</v>
      </c>
      <c r="I223" s="91">
        <v>2021</v>
      </c>
      <c r="J223" s="322">
        <v>670316.29927401594</v>
      </c>
      <c r="K223" s="145"/>
      <c r="R223" s="3" t="s">
        <v>458</v>
      </c>
    </row>
    <row r="224" spans="2:18">
      <c r="B224" s="91" t="s">
        <v>739</v>
      </c>
      <c r="C224" s="89"/>
      <c r="D224" s="89"/>
      <c r="E224" s="89"/>
      <c r="F224" s="91" t="s">
        <v>294</v>
      </c>
      <c r="G224" s="91">
        <v>2019</v>
      </c>
      <c r="H224" s="322">
        <v>460067.29247706069</v>
      </c>
      <c r="I224" s="91">
        <v>2021</v>
      </c>
      <c r="J224" s="322">
        <v>359686.13006607577</v>
      </c>
      <c r="K224" s="145"/>
      <c r="R224" s="3" t="s">
        <v>458</v>
      </c>
    </row>
    <row r="225" spans="2:18">
      <c r="B225" s="91" t="s">
        <v>740</v>
      </c>
      <c r="C225" s="89"/>
      <c r="D225" s="89"/>
      <c r="E225" s="89"/>
      <c r="F225" s="91" t="s">
        <v>337</v>
      </c>
      <c r="G225" s="91">
        <v>2019</v>
      </c>
      <c r="H225" s="322">
        <v>119060</v>
      </c>
      <c r="I225" s="91">
        <v>2021</v>
      </c>
      <c r="J225" s="322">
        <v>62055.024479999985</v>
      </c>
      <c r="K225" s="145"/>
      <c r="R225" s="3" t="s">
        <v>458</v>
      </c>
    </row>
    <row r="226" spans="2:18">
      <c r="B226" s="91" t="s">
        <v>741</v>
      </c>
      <c r="C226" s="89"/>
      <c r="D226" s="89"/>
      <c r="E226" s="89"/>
      <c r="F226" s="91" t="s">
        <v>300</v>
      </c>
      <c r="G226" s="91">
        <v>2019</v>
      </c>
      <c r="H226" s="322">
        <v>288666.6970011855</v>
      </c>
      <c r="I226" s="91">
        <v>2021</v>
      </c>
      <c r="J226" s="322">
        <v>225683.08771589081</v>
      </c>
      <c r="K226" s="145"/>
      <c r="R226" s="3" t="s">
        <v>458</v>
      </c>
    </row>
    <row r="227" spans="2:18">
      <c r="B227" s="91" t="s">
        <v>742</v>
      </c>
      <c r="C227" s="89"/>
      <c r="D227" s="89"/>
      <c r="E227" s="89"/>
      <c r="F227" s="91" t="s">
        <v>317</v>
      </c>
      <c r="G227" s="91">
        <v>2019</v>
      </c>
      <c r="H227" s="322">
        <v>1170372.8470650064</v>
      </c>
      <c r="I227" s="91">
        <v>2021</v>
      </c>
      <c r="J227" s="322">
        <v>1118347.433267273</v>
      </c>
      <c r="K227" s="145"/>
      <c r="R227" s="3" t="s">
        <v>458</v>
      </c>
    </row>
    <row r="228" spans="2:18">
      <c r="B228" s="91" t="s">
        <v>743</v>
      </c>
      <c r="C228" s="89"/>
      <c r="D228" s="89"/>
      <c r="E228" s="89"/>
      <c r="F228" s="91" t="s">
        <v>338</v>
      </c>
      <c r="G228" s="91">
        <v>2019</v>
      </c>
      <c r="H228" s="322">
        <v>73704</v>
      </c>
      <c r="I228" s="91">
        <v>2021</v>
      </c>
      <c r="J228" s="322">
        <v>38415.114431999995</v>
      </c>
      <c r="K228" s="145"/>
      <c r="R228" s="3" t="s">
        <v>458</v>
      </c>
    </row>
    <row r="229" spans="2:18">
      <c r="B229" s="91" t="s">
        <v>744</v>
      </c>
      <c r="C229" s="89"/>
      <c r="D229" s="89"/>
      <c r="E229" s="89"/>
      <c r="F229" s="91" t="s">
        <v>336</v>
      </c>
      <c r="G229" s="91">
        <v>2019</v>
      </c>
      <c r="H229" s="322">
        <v>138775.45971332947</v>
      </c>
      <c r="I229" s="91">
        <v>2021</v>
      </c>
      <c r="J229" s="322">
        <v>72330.879806265031</v>
      </c>
      <c r="K229" s="145"/>
      <c r="R229" s="3" t="s">
        <v>458</v>
      </c>
    </row>
    <row r="230" spans="2:18">
      <c r="B230" s="91" t="s">
        <v>745</v>
      </c>
      <c r="C230" s="89"/>
      <c r="D230" s="89"/>
      <c r="E230" s="89"/>
      <c r="F230" s="91" t="s">
        <v>296</v>
      </c>
      <c r="G230" s="91">
        <v>2019</v>
      </c>
      <c r="H230" s="322">
        <v>142771.1801450084</v>
      </c>
      <c r="I230" s="91">
        <v>2021</v>
      </c>
      <c r="J230" s="322">
        <v>111620.22189152931</v>
      </c>
      <c r="K230" s="145"/>
      <c r="R230" s="3" t="s">
        <v>458</v>
      </c>
    </row>
    <row r="231" spans="2:18">
      <c r="B231" s="91" t="s">
        <v>746</v>
      </c>
      <c r="C231" s="89"/>
      <c r="D231" s="89"/>
      <c r="E231" s="89"/>
      <c r="F231" s="91" t="s">
        <v>340</v>
      </c>
      <c r="G231" s="91">
        <v>2018</v>
      </c>
      <c r="H231" s="322">
        <v>66462443.599999994</v>
      </c>
      <c r="I231" s="91">
        <v>2021</v>
      </c>
      <c r="J231" s="322">
        <v>53753217.800323352</v>
      </c>
      <c r="K231" s="145"/>
      <c r="R231" s="3" t="s">
        <v>458</v>
      </c>
    </row>
    <row r="232" spans="2:18">
      <c r="B232" s="91" t="s">
        <v>747</v>
      </c>
      <c r="C232" s="89"/>
      <c r="D232" s="89"/>
      <c r="E232" s="89"/>
      <c r="F232" s="91" t="s">
        <v>342</v>
      </c>
      <c r="G232" s="91">
        <v>2018</v>
      </c>
      <c r="H232" s="322">
        <v>13091088</v>
      </c>
      <c r="I232" s="91">
        <v>2021</v>
      </c>
      <c r="J232" s="322">
        <v>10587755.526147995</v>
      </c>
      <c r="K232" s="145"/>
      <c r="R232" s="3" t="s">
        <v>458</v>
      </c>
    </row>
    <row r="233" spans="2:18">
      <c r="B233" s="91" t="s">
        <v>748</v>
      </c>
      <c r="C233" s="89"/>
      <c r="D233" s="89"/>
      <c r="E233" s="89"/>
      <c r="F233" s="91" t="s">
        <v>341</v>
      </c>
      <c r="G233" s="91">
        <v>2019</v>
      </c>
      <c r="H233" s="322">
        <v>510273.00000000006</v>
      </c>
      <c r="I233" s="91">
        <v>2021</v>
      </c>
      <c r="J233" s="322">
        <v>443263.94964000006</v>
      </c>
      <c r="K233" s="145"/>
      <c r="R233" s="3" t="s">
        <v>458</v>
      </c>
    </row>
    <row r="234" spans="2:18">
      <c r="B234" s="91" t="s">
        <v>749</v>
      </c>
      <c r="C234" s="89"/>
      <c r="D234" s="89"/>
      <c r="E234" s="89"/>
      <c r="F234" s="91" t="s">
        <v>334</v>
      </c>
      <c r="G234" s="91">
        <v>2020</v>
      </c>
      <c r="H234" s="322">
        <v>4054436.8604233577</v>
      </c>
      <c r="I234" s="91">
        <v>2021</v>
      </c>
      <c r="J234" s="322">
        <v>2883515.4951330922</v>
      </c>
      <c r="K234" s="145"/>
      <c r="R234" s="3" t="s">
        <v>458</v>
      </c>
    </row>
    <row r="235" spans="2:18">
      <c r="B235" s="91" t="s">
        <v>750</v>
      </c>
      <c r="C235" s="89"/>
      <c r="D235" s="89"/>
      <c r="E235" s="89"/>
      <c r="F235" s="91" t="s">
        <v>300</v>
      </c>
      <c r="G235" s="91">
        <v>2021</v>
      </c>
      <c r="H235" s="322">
        <v>2667062.5363170211</v>
      </c>
      <c r="I235" s="91">
        <v>2021</v>
      </c>
      <c r="J235" s="322">
        <v>2533709.4095011703</v>
      </c>
      <c r="K235" s="145"/>
      <c r="R235" s="3" t="s">
        <v>458</v>
      </c>
    </row>
    <row r="236" spans="2:18">
      <c r="B236" s="91" t="s">
        <v>751</v>
      </c>
      <c r="C236" s="89"/>
      <c r="D236" s="89"/>
      <c r="E236" s="89"/>
      <c r="F236" s="91" t="s">
        <v>296</v>
      </c>
      <c r="G236" s="91">
        <v>2021</v>
      </c>
      <c r="H236" s="322">
        <v>467492.45719026914</v>
      </c>
      <c r="I236" s="91">
        <v>2021</v>
      </c>
      <c r="J236" s="322">
        <v>444117.83433075569</v>
      </c>
      <c r="K236" s="145"/>
      <c r="R236" s="3" t="s">
        <v>458</v>
      </c>
    </row>
    <row r="237" spans="2:18">
      <c r="B237" s="91" t="s">
        <v>752</v>
      </c>
      <c r="C237" s="89"/>
      <c r="D237" s="89"/>
      <c r="E237" s="89"/>
      <c r="F237" s="91" t="s">
        <v>339</v>
      </c>
      <c r="G237" s="91">
        <v>2021</v>
      </c>
      <c r="H237" s="322">
        <v>3432262.7310020467</v>
      </c>
      <c r="I237" s="91">
        <v>2021</v>
      </c>
      <c r="J237" s="322">
        <v>3260649.5944519443</v>
      </c>
      <c r="K237" s="145"/>
      <c r="R237" s="3" t="s">
        <v>458</v>
      </c>
    </row>
    <row r="238" spans="2:18">
      <c r="B238" s="91" t="s">
        <v>753</v>
      </c>
      <c r="C238" s="89"/>
      <c r="D238" s="89"/>
      <c r="E238" s="89"/>
      <c r="F238" s="91" t="s">
        <v>334</v>
      </c>
      <c r="G238" s="91">
        <v>2021</v>
      </c>
      <c r="H238" s="322">
        <v>8176022.700880779</v>
      </c>
      <c r="I238" s="91">
        <v>2021</v>
      </c>
      <c r="J238" s="322">
        <v>7358420.4307927005</v>
      </c>
      <c r="K238" s="145"/>
      <c r="R238" s="3" t="s">
        <v>458</v>
      </c>
    </row>
    <row r="239" spans="2:18">
      <c r="B239" s="91" t="s">
        <v>754</v>
      </c>
      <c r="C239" s="89"/>
      <c r="D239" s="89"/>
      <c r="E239" s="89"/>
      <c r="F239" s="91" t="s">
        <v>340</v>
      </c>
      <c r="G239" s="91">
        <v>2019</v>
      </c>
      <c r="H239" s="322">
        <v>1603714.1720507673</v>
      </c>
      <c r="I239" s="91">
        <v>2021</v>
      </c>
      <c r="J239" s="322">
        <v>1393114.426977061</v>
      </c>
      <c r="K239" s="145"/>
      <c r="R239" s="3" t="s">
        <v>458</v>
      </c>
    </row>
    <row r="240" spans="2:18">
      <c r="B240" s="91" t="s">
        <v>755</v>
      </c>
      <c r="C240" s="89"/>
      <c r="D240" s="89"/>
      <c r="E240" s="89"/>
      <c r="F240" s="91" t="s">
        <v>342</v>
      </c>
      <c r="G240" s="91">
        <v>2019</v>
      </c>
      <c r="H240" s="322">
        <v>315883</v>
      </c>
      <c r="I240" s="91">
        <v>2021</v>
      </c>
      <c r="J240" s="322">
        <v>274401.24443999998</v>
      </c>
      <c r="K240" s="145"/>
      <c r="R240" s="3" t="s">
        <v>458</v>
      </c>
    </row>
    <row r="241" spans="1:18">
      <c r="B241" s="91" t="s">
        <v>756</v>
      </c>
      <c r="C241" s="89"/>
      <c r="D241" s="89"/>
      <c r="E241" s="89"/>
      <c r="F241" s="91" t="s">
        <v>340</v>
      </c>
      <c r="G241" s="91">
        <v>2020</v>
      </c>
      <c r="H241" s="322">
        <v>437.7361508808076</v>
      </c>
      <c r="I241" s="91">
        <v>2021</v>
      </c>
      <c r="J241" s="322">
        <v>400.26593636541048</v>
      </c>
      <c r="K241" s="145"/>
      <c r="R241" s="3" t="s">
        <v>458</v>
      </c>
    </row>
    <row r="242" spans="1:18">
      <c r="B242" s="91" t="s">
        <v>757</v>
      </c>
      <c r="C242" s="89"/>
      <c r="D242" s="89"/>
      <c r="E242" s="89"/>
      <c r="F242" s="91" t="s">
        <v>286</v>
      </c>
      <c r="G242" s="91">
        <v>2020</v>
      </c>
      <c r="H242" s="322">
        <v>274981.09053004743</v>
      </c>
      <c r="I242" s="91">
        <v>2021</v>
      </c>
      <c r="J242" s="322">
        <v>237473.66978174893</v>
      </c>
      <c r="K242" s="145"/>
      <c r="R242" s="3" t="s">
        <v>458</v>
      </c>
    </row>
    <row r="243" spans="1:18">
      <c r="B243" s="91" t="s">
        <v>758</v>
      </c>
      <c r="C243" s="89"/>
      <c r="D243" s="89"/>
      <c r="E243" s="89"/>
      <c r="F243" s="91" t="s">
        <v>284</v>
      </c>
      <c r="G243" s="91">
        <v>2020</v>
      </c>
      <c r="H243" s="322">
        <v>1155506.2616599156</v>
      </c>
      <c r="I243" s="91">
        <v>2021</v>
      </c>
      <c r="J243" s="322">
        <v>1173994.3618464742</v>
      </c>
      <c r="K243" s="145"/>
      <c r="R243" s="3" t="s">
        <v>458</v>
      </c>
    </row>
    <row r="244" spans="1:18">
      <c r="B244" s="91" t="s">
        <v>759</v>
      </c>
      <c r="C244" s="89"/>
      <c r="D244" s="89"/>
      <c r="E244" s="89"/>
      <c r="F244" s="91" t="s">
        <v>294</v>
      </c>
      <c r="G244" s="91">
        <v>2020</v>
      </c>
      <c r="H244" s="322">
        <v>227204.18889764068</v>
      </c>
      <c r="I244" s="91">
        <v>2021</v>
      </c>
      <c r="J244" s="322">
        <v>196213.53753200249</v>
      </c>
      <c r="K244" s="145"/>
      <c r="R244" s="3" t="s">
        <v>458</v>
      </c>
    </row>
    <row r="245" spans="1:18">
      <c r="B245" s="91" t="s">
        <v>760</v>
      </c>
      <c r="C245" s="89"/>
      <c r="D245" s="89"/>
      <c r="E245" s="89"/>
      <c r="F245" s="91" t="s">
        <v>300</v>
      </c>
      <c r="G245" s="91">
        <v>2020</v>
      </c>
      <c r="H245" s="322">
        <v>880855.41897943604</v>
      </c>
      <c r="I245" s="91">
        <v>2021</v>
      </c>
      <c r="J245" s="322">
        <v>760706.73983064084</v>
      </c>
      <c r="K245" s="145"/>
      <c r="R245" s="3" t="s">
        <v>458</v>
      </c>
    </row>
    <row r="246" spans="1:18">
      <c r="B246" s="91" t="s">
        <v>761</v>
      </c>
      <c r="C246" s="89"/>
      <c r="D246" s="89"/>
      <c r="E246" s="89"/>
      <c r="F246" s="91" t="s">
        <v>307</v>
      </c>
      <c r="G246" s="91">
        <v>2020</v>
      </c>
      <c r="H246" s="322">
        <v>111163.8757407683</v>
      </c>
      <c r="I246" s="91">
        <v>2021</v>
      </c>
      <c r="J246" s="322">
        <v>96001.123089727509</v>
      </c>
      <c r="K246" s="145"/>
      <c r="R246" s="3" t="s">
        <v>458</v>
      </c>
    </row>
    <row r="247" spans="1:18">
      <c r="B247" s="91" t="s">
        <v>762</v>
      </c>
      <c r="C247" s="89"/>
      <c r="D247" s="89"/>
      <c r="E247" s="89"/>
      <c r="F247" s="91" t="s">
        <v>339</v>
      </c>
      <c r="G247" s="91">
        <v>2020</v>
      </c>
      <c r="H247" s="322">
        <v>2253829.6322485749</v>
      </c>
      <c r="I247" s="91">
        <v>2021</v>
      </c>
      <c r="J247" s="322">
        <v>1946407.2704098693</v>
      </c>
      <c r="K247" s="145"/>
      <c r="R247" s="3" t="s">
        <v>458</v>
      </c>
    </row>
    <row r="248" spans="1:18">
      <c r="B248" s="91" t="s">
        <v>763</v>
      </c>
      <c r="C248" s="89"/>
      <c r="D248" s="89"/>
      <c r="E248" s="89"/>
      <c r="F248" s="91" t="s">
        <v>317</v>
      </c>
      <c r="G248" s="91">
        <v>2020</v>
      </c>
      <c r="H248" s="322">
        <v>715175.01653112471</v>
      </c>
      <c r="I248" s="91">
        <v>2021</v>
      </c>
      <c r="J248" s="322">
        <v>690286.92595584155</v>
      </c>
      <c r="K248" s="145"/>
      <c r="R248" s="3" t="s">
        <v>458</v>
      </c>
    </row>
    <row r="249" spans="1:18">
      <c r="B249" s="91" t="s">
        <v>764</v>
      </c>
      <c r="C249" s="89"/>
      <c r="D249" s="89"/>
      <c r="E249" s="89"/>
      <c r="F249" s="91" t="s">
        <v>290</v>
      </c>
      <c r="G249" s="91">
        <v>2020</v>
      </c>
      <c r="H249" s="322">
        <v>611310.12783119339</v>
      </c>
      <c r="I249" s="91">
        <v>2021</v>
      </c>
      <c r="J249" s="322">
        <v>590036.53538266791</v>
      </c>
      <c r="K249" s="145"/>
      <c r="R249" s="3" t="s">
        <v>458</v>
      </c>
    </row>
    <row r="250" spans="1:18">
      <c r="B250" s="91" t="s">
        <v>765</v>
      </c>
      <c r="C250" s="89"/>
      <c r="D250" s="89"/>
      <c r="E250" s="89"/>
      <c r="F250" s="91" t="s">
        <v>294</v>
      </c>
      <c r="G250" s="91">
        <v>2021</v>
      </c>
      <c r="H250" s="322">
        <v>384242.51972392667</v>
      </c>
      <c r="I250" s="91">
        <v>2021</v>
      </c>
      <c r="J250" s="322">
        <v>365030.39373773034</v>
      </c>
      <c r="K250" s="145"/>
      <c r="R250" s="3" t="s">
        <v>458</v>
      </c>
    </row>
    <row r="251" spans="1:18">
      <c r="B251" s="91" t="s">
        <v>766</v>
      </c>
      <c r="C251" s="89"/>
      <c r="D251" s="89"/>
      <c r="E251" s="89"/>
      <c r="F251" s="91" t="s">
        <v>317</v>
      </c>
      <c r="G251" s="91">
        <v>2021</v>
      </c>
      <c r="H251" s="322">
        <v>1098657.1778898467</v>
      </c>
      <c r="I251" s="91">
        <v>2021</v>
      </c>
      <c r="J251" s="322">
        <v>1080346.2249250161</v>
      </c>
      <c r="K251" s="145"/>
      <c r="R251" s="3" t="s">
        <v>458</v>
      </c>
    </row>
    <row r="252" spans="1:18">
      <c r="B252" s="91" t="s">
        <v>767</v>
      </c>
      <c r="C252" s="89"/>
      <c r="D252" s="89"/>
      <c r="E252" s="89"/>
      <c r="F252" s="91" t="s">
        <v>283</v>
      </c>
      <c r="G252" s="91">
        <v>1993</v>
      </c>
      <c r="H252" s="322">
        <v>27208128.690000001</v>
      </c>
      <c r="I252" s="91">
        <v>2021</v>
      </c>
      <c r="J252" s="322">
        <v>0</v>
      </c>
      <c r="K252" s="145"/>
      <c r="R252" s="3" t="s">
        <v>458</v>
      </c>
    </row>
    <row r="253" spans="1:18">
      <c r="B253" s="91" t="s">
        <v>768</v>
      </c>
      <c r="C253" s="89"/>
      <c r="D253" s="89"/>
      <c r="E253" s="89"/>
      <c r="F253" s="91" t="s">
        <v>290</v>
      </c>
      <c r="G253" s="91">
        <v>2021</v>
      </c>
      <c r="H253" s="322">
        <v>114485.52709029273</v>
      </c>
      <c r="I253" s="91">
        <v>2021</v>
      </c>
      <c r="J253" s="322">
        <v>112577.43497212119</v>
      </c>
      <c r="K253" s="145"/>
      <c r="R253" s="3" t="s">
        <v>458</v>
      </c>
    </row>
    <row r="254" spans="1:18">
      <c r="B254" s="91" t="s">
        <v>769</v>
      </c>
      <c r="C254" s="89"/>
      <c r="D254" s="89"/>
      <c r="E254" s="89"/>
      <c r="F254" s="91" t="s">
        <v>339</v>
      </c>
      <c r="G254" s="91">
        <v>2019</v>
      </c>
      <c r="H254" s="322">
        <v>5155994.869123158</v>
      </c>
      <c r="I254" s="91">
        <v>2021</v>
      </c>
      <c r="J254" s="322">
        <v>4031018.6606189152</v>
      </c>
      <c r="K254" s="145"/>
      <c r="R254" s="3" t="s">
        <v>458</v>
      </c>
    </row>
    <row r="256" spans="1:18" s="311" customFormat="1" ht="12.75" customHeight="1">
      <c r="A256" s="317"/>
      <c r="B256" s="33" t="s">
        <v>770</v>
      </c>
      <c r="C256" s="33"/>
      <c r="D256" s="33"/>
      <c r="E256" s="33"/>
      <c r="F256" s="33"/>
      <c r="G256" s="33"/>
      <c r="H256" s="184"/>
      <c r="I256" s="184"/>
      <c r="J256" s="184"/>
      <c r="L256" s="33"/>
      <c r="M256" s="33"/>
      <c r="N256" s="33"/>
    </row>
    <row r="257" spans="1:14" s="312" customFormat="1" ht="12.75" customHeight="1">
      <c r="A257" s="318"/>
      <c r="B257" s="34" t="s">
        <v>143</v>
      </c>
      <c r="C257" s="34"/>
      <c r="D257" s="34" t="s">
        <v>184</v>
      </c>
      <c r="E257" s="34"/>
      <c r="F257" s="34" t="s">
        <v>274</v>
      </c>
      <c r="G257" s="34" t="s">
        <v>771</v>
      </c>
      <c r="H257" s="99" t="s">
        <v>490</v>
      </c>
      <c r="I257" s="99" t="s">
        <v>275</v>
      </c>
      <c r="J257" s="99"/>
      <c r="K257" s="313"/>
      <c r="L257" s="34" t="s">
        <v>186</v>
      </c>
      <c r="M257" s="34"/>
      <c r="N257" s="34" t="s">
        <v>187</v>
      </c>
    </row>
    <row r="258" spans="1:14" s="4" customFormat="1" ht="13">
      <c r="B258" s="3"/>
      <c r="C258" s="3"/>
      <c r="D258" s="3"/>
      <c r="E258" s="3"/>
      <c r="F258" s="3"/>
      <c r="G258" s="3"/>
      <c r="H258" s="3"/>
      <c r="I258" s="3"/>
      <c r="J258" s="3"/>
    </row>
    <row r="259" spans="1:14" s="4" customFormat="1" ht="13">
      <c r="B259" s="91" t="s">
        <v>527</v>
      </c>
      <c r="C259" s="91" t="s">
        <v>772</v>
      </c>
      <c r="D259" s="91"/>
      <c r="E259" s="91"/>
      <c r="F259" s="91" t="s">
        <v>281</v>
      </c>
      <c r="G259" s="91">
        <v>2022</v>
      </c>
      <c r="H259" s="322">
        <v>16559.007294242547</v>
      </c>
      <c r="I259" s="91">
        <v>30</v>
      </c>
      <c r="J259" s="3"/>
      <c r="L259" s="3" t="s">
        <v>458</v>
      </c>
    </row>
    <row r="260" spans="1:14" s="4" customFormat="1" ht="13">
      <c r="B260" s="91" t="s">
        <v>528</v>
      </c>
      <c r="C260" s="91" t="s">
        <v>772</v>
      </c>
      <c r="D260" s="91"/>
      <c r="E260" s="91"/>
      <c r="F260" s="91" t="s">
        <v>286</v>
      </c>
      <c r="G260" s="91">
        <v>2022</v>
      </c>
      <c r="H260" s="322">
        <v>260373.81710683607</v>
      </c>
      <c r="I260" s="91">
        <v>10</v>
      </c>
      <c r="J260" s="3"/>
      <c r="L260" s="3" t="s">
        <v>458</v>
      </c>
    </row>
    <row r="261" spans="1:14" s="4" customFormat="1" ht="13">
      <c r="B261" s="91" t="s">
        <v>529</v>
      </c>
      <c r="C261" s="91" t="s">
        <v>772</v>
      </c>
      <c r="D261" s="91"/>
      <c r="E261" s="91"/>
      <c r="F261" s="91" t="s">
        <v>290</v>
      </c>
      <c r="G261" s="91">
        <v>2022</v>
      </c>
      <c r="H261" s="322">
        <v>122473.44778654278</v>
      </c>
      <c r="I261" s="91">
        <v>30</v>
      </c>
      <c r="J261" s="3"/>
      <c r="L261" s="3" t="s">
        <v>458</v>
      </c>
    </row>
    <row r="262" spans="1:14" s="4" customFormat="1" ht="13">
      <c r="B262" s="91" t="s">
        <v>530</v>
      </c>
      <c r="C262" s="91" t="s">
        <v>772</v>
      </c>
      <c r="D262" s="91"/>
      <c r="E262" s="91"/>
      <c r="F262" s="91" t="s">
        <v>294</v>
      </c>
      <c r="G262" s="91">
        <v>2022</v>
      </c>
      <c r="H262" s="322">
        <v>36759.559841941234</v>
      </c>
      <c r="I262" s="91">
        <v>10</v>
      </c>
      <c r="J262" s="3"/>
      <c r="L262" s="3" t="s">
        <v>458</v>
      </c>
    </row>
    <row r="263" spans="1:14" s="4" customFormat="1" ht="13">
      <c r="B263" s="91" t="s">
        <v>531</v>
      </c>
      <c r="C263" s="91" t="s">
        <v>772</v>
      </c>
      <c r="D263" s="91"/>
      <c r="E263" s="91"/>
      <c r="F263" s="91" t="s">
        <v>296</v>
      </c>
      <c r="G263" s="91">
        <v>2022</v>
      </c>
      <c r="H263" s="322">
        <v>21601.372149086525</v>
      </c>
      <c r="I263" s="91">
        <v>10</v>
      </c>
      <c r="J263" s="3"/>
      <c r="L263" s="3" t="s">
        <v>458</v>
      </c>
    </row>
    <row r="264" spans="1:14" s="4" customFormat="1" ht="13">
      <c r="B264" s="91" t="s">
        <v>532</v>
      </c>
      <c r="C264" s="91" t="s">
        <v>772</v>
      </c>
      <c r="D264" s="91"/>
      <c r="E264" s="91"/>
      <c r="F264" s="91" t="s">
        <v>300</v>
      </c>
      <c r="G264" s="91">
        <v>2022</v>
      </c>
      <c r="H264" s="322">
        <v>27449.908957678137</v>
      </c>
      <c r="I264" s="91">
        <v>10</v>
      </c>
      <c r="J264" s="3"/>
      <c r="L264" s="3" t="s">
        <v>458</v>
      </c>
    </row>
    <row r="265" spans="1:14" s="4" customFormat="1" ht="13">
      <c r="B265" s="91" t="s">
        <v>533</v>
      </c>
      <c r="C265" s="91" t="s">
        <v>772</v>
      </c>
      <c r="D265" s="91"/>
      <c r="E265" s="91"/>
      <c r="F265" s="91" t="s">
        <v>305</v>
      </c>
      <c r="G265" s="91">
        <v>2022</v>
      </c>
      <c r="H265" s="322">
        <v>5479.9654928677874</v>
      </c>
      <c r="I265" s="91">
        <v>10</v>
      </c>
      <c r="J265" s="3"/>
      <c r="L265" s="3" t="s">
        <v>458</v>
      </c>
    </row>
    <row r="266" spans="1:14" s="4" customFormat="1" ht="13">
      <c r="B266" s="91" t="s">
        <v>534</v>
      </c>
      <c r="C266" s="91" t="s">
        <v>772</v>
      </c>
      <c r="D266" s="91"/>
      <c r="E266" s="91"/>
      <c r="F266" s="91" t="s">
        <v>317</v>
      </c>
      <c r="G266" s="91">
        <v>2022</v>
      </c>
      <c r="H266" s="322">
        <v>1725081.9671582393</v>
      </c>
      <c r="I266" s="91">
        <v>30</v>
      </c>
      <c r="J266" s="3"/>
      <c r="L266" s="3" t="s">
        <v>458</v>
      </c>
    </row>
    <row r="267" spans="1:14" s="4" customFormat="1" ht="13">
      <c r="B267" s="91" t="s">
        <v>535</v>
      </c>
      <c r="C267" s="91" t="s">
        <v>772</v>
      </c>
      <c r="D267" s="91"/>
      <c r="E267" s="91"/>
      <c r="F267" s="91" t="s">
        <v>334</v>
      </c>
      <c r="G267" s="91">
        <v>2022</v>
      </c>
      <c r="H267" s="322">
        <v>4476157.998399551</v>
      </c>
      <c r="I267" s="91">
        <v>5</v>
      </c>
      <c r="J267" s="3"/>
      <c r="L267" s="3" t="s">
        <v>458</v>
      </c>
    </row>
    <row r="268" spans="1:14" s="4" customFormat="1" ht="13">
      <c r="B268" s="91" t="s">
        <v>536</v>
      </c>
      <c r="C268" s="91" t="s">
        <v>772</v>
      </c>
      <c r="D268" s="91"/>
      <c r="E268" s="91"/>
      <c r="F268" s="91" t="s">
        <v>339</v>
      </c>
      <c r="G268" s="91">
        <v>2022</v>
      </c>
      <c r="H268" s="322">
        <v>7088672.5580014829</v>
      </c>
      <c r="I268" s="91">
        <v>10</v>
      </c>
      <c r="J268" s="3"/>
      <c r="L268" s="3" t="s">
        <v>458</v>
      </c>
    </row>
    <row r="269" spans="1:14" s="4" customFormat="1" ht="13">
      <c r="B269" s="91" t="s">
        <v>537</v>
      </c>
      <c r="C269" s="91" t="s">
        <v>772</v>
      </c>
      <c r="D269" s="91"/>
      <c r="E269" s="91"/>
      <c r="F269" s="91" t="s">
        <v>286</v>
      </c>
      <c r="G269" s="91">
        <v>2023</v>
      </c>
      <c r="H269" s="322">
        <v>11177.445801540334</v>
      </c>
      <c r="I269" s="91">
        <v>10</v>
      </c>
      <c r="J269" s="3"/>
      <c r="L269" s="3" t="s">
        <v>458</v>
      </c>
    </row>
    <row r="270" spans="1:14" s="4" customFormat="1" ht="13">
      <c r="B270" s="91" t="s">
        <v>538</v>
      </c>
      <c r="C270" s="91" t="s">
        <v>772</v>
      </c>
      <c r="D270" s="91"/>
      <c r="E270" s="91"/>
      <c r="F270" s="91" t="s">
        <v>290</v>
      </c>
      <c r="G270" s="91">
        <v>2023</v>
      </c>
      <c r="H270" s="322">
        <v>-4073.7374626236651</v>
      </c>
      <c r="I270" s="91">
        <v>30</v>
      </c>
      <c r="J270" s="3"/>
      <c r="L270" s="3" t="s">
        <v>458</v>
      </c>
    </row>
    <row r="271" spans="1:14" s="4" customFormat="1" ht="13">
      <c r="B271" s="91" t="s">
        <v>539</v>
      </c>
      <c r="C271" s="91" t="s">
        <v>772</v>
      </c>
      <c r="D271" s="91"/>
      <c r="E271" s="91"/>
      <c r="F271" s="91" t="s">
        <v>294</v>
      </c>
      <c r="G271" s="91">
        <v>2023</v>
      </c>
      <c r="H271" s="322">
        <v>17573.135050625202</v>
      </c>
      <c r="I271" s="91">
        <v>10</v>
      </c>
      <c r="J271" s="3"/>
      <c r="L271" s="3" t="s">
        <v>458</v>
      </c>
    </row>
    <row r="272" spans="1:14" s="4" customFormat="1" ht="13">
      <c r="B272" s="91" t="s">
        <v>540</v>
      </c>
      <c r="C272" s="91" t="s">
        <v>772</v>
      </c>
      <c r="D272" s="91"/>
      <c r="E272" s="91"/>
      <c r="F272" s="91" t="s">
        <v>296</v>
      </c>
      <c r="G272" s="91">
        <v>2023</v>
      </c>
      <c r="H272" s="322">
        <v>67874.603678325308</v>
      </c>
      <c r="I272" s="91">
        <v>10</v>
      </c>
      <c r="J272" s="3"/>
      <c r="L272" s="3" t="s">
        <v>458</v>
      </c>
    </row>
    <row r="273" spans="1:12" s="4" customFormat="1" ht="13">
      <c r="B273" s="91" t="s">
        <v>541</v>
      </c>
      <c r="C273" s="91" t="s">
        <v>772</v>
      </c>
      <c r="D273" s="91"/>
      <c r="E273" s="91"/>
      <c r="F273" s="91" t="s">
        <v>300</v>
      </c>
      <c r="G273" s="91">
        <v>2023</v>
      </c>
      <c r="H273" s="322">
        <v>855785.56065618468</v>
      </c>
      <c r="I273" s="91">
        <v>10</v>
      </c>
      <c r="J273" s="3"/>
      <c r="L273" s="3" t="s">
        <v>458</v>
      </c>
    </row>
    <row r="274" spans="1:12" s="4" customFormat="1" ht="13">
      <c r="B274" s="91" t="s">
        <v>542</v>
      </c>
      <c r="C274" s="91" t="s">
        <v>772</v>
      </c>
      <c r="D274" s="91"/>
      <c r="E274" s="91"/>
      <c r="F274" s="91" t="s">
        <v>317</v>
      </c>
      <c r="G274" s="91">
        <v>2023</v>
      </c>
      <c r="H274" s="322">
        <v>1174802.9772874359</v>
      </c>
      <c r="I274" s="91">
        <v>30</v>
      </c>
      <c r="J274" s="3"/>
      <c r="L274" s="3" t="s">
        <v>458</v>
      </c>
    </row>
    <row r="275" spans="1:12" s="4" customFormat="1" ht="13">
      <c r="B275" s="91" t="s">
        <v>543</v>
      </c>
      <c r="C275" s="91" t="s">
        <v>772</v>
      </c>
      <c r="D275" s="91"/>
      <c r="E275" s="91"/>
      <c r="F275" s="91" t="s">
        <v>334</v>
      </c>
      <c r="G275" s="91">
        <v>2023</v>
      </c>
      <c r="H275" s="322">
        <v>6239530.5600440903</v>
      </c>
      <c r="I275" s="91">
        <v>5</v>
      </c>
      <c r="J275" s="3"/>
      <c r="L275" s="3" t="s">
        <v>458</v>
      </c>
    </row>
    <row r="276" spans="1:12" s="4" customFormat="1" ht="13">
      <c r="A276" s="3"/>
      <c r="B276" s="91" t="s">
        <v>544</v>
      </c>
      <c r="C276" s="91" t="s">
        <v>772</v>
      </c>
      <c r="D276" s="91"/>
      <c r="E276" s="91"/>
      <c r="F276" s="91" t="s">
        <v>339</v>
      </c>
      <c r="G276" s="91">
        <v>2023</v>
      </c>
      <c r="H276" s="322">
        <v>6222.6743563099471</v>
      </c>
      <c r="I276" s="91">
        <v>10</v>
      </c>
      <c r="J276" s="3"/>
      <c r="L276" s="3" t="s">
        <v>458</v>
      </c>
    </row>
    <row r="277" spans="1:12" s="4" customFormat="1" ht="14.5">
      <c r="A277" s="3"/>
      <c r="B277" s="91" t="s">
        <v>545</v>
      </c>
      <c r="C277" s="91" t="s">
        <v>772</v>
      </c>
      <c r="D277" s="91"/>
      <c r="E277" s="91"/>
      <c r="F277" s="91" t="s">
        <v>317</v>
      </c>
      <c r="G277" s="91">
        <v>2024</v>
      </c>
      <c r="H277" s="322">
        <v>34319.620000000003</v>
      </c>
      <c r="I277" s="91">
        <v>30</v>
      </c>
      <c r="J277" s="166"/>
      <c r="K277" s="334"/>
      <c r="L277" s="3" t="s">
        <v>458</v>
      </c>
    </row>
    <row r="278" spans="1:12" s="4" customFormat="1" ht="14.5">
      <c r="A278" s="3"/>
      <c r="B278" s="91" t="s">
        <v>546</v>
      </c>
      <c r="C278" s="91" t="s">
        <v>772</v>
      </c>
      <c r="D278" s="91"/>
      <c r="E278" s="91"/>
      <c r="F278" s="91" t="s">
        <v>317</v>
      </c>
      <c r="G278" s="91">
        <v>2024</v>
      </c>
      <c r="H278" s="322">
        <v>7115.03</v>
      </c>
      <c r="I278" s="91">
        <v>30</v>
      </c>
      <c r="J278" s="166"/>
      <c r="K278" s="334"/>
      <c r="L278" s="3" t="s">
        <v>458</v>
      </c>
    </row>
    <row r="279" spans="1:12" ht="14.5">
      <c r="B279" s="91" t="s">
        <v>547</v>
      </c>
      <c r="C279" s="91" t="s">
        <v>772</v>
      </c>
      <c r="D279" s="91"/>
      <c r="E279" s="91"/>
      <c r="F279" s="91" t="s">
        <v>317</v>
      </c>
      <c r="G279" s="91">
        <v>2024</v>
      </c>
      <c r="H279" s="322">
        <v>5441710.2199999997</v>
      </c>
      <c r="I279" s="91">
        <v>30</v>
      </c>
      <c r="J279" s="166"/>
      <c r="K279" s="334"/>
      <c r="L279" s="3" t="s">
        <v>458</v>
      </c>
    </row>
    <row r="280" spans="1:12" ht="14.5">
      <c r="B280" s="91" t="s">
        <v>548</v>
      </c>
      <c r="C280" s="91" t="s">
        <v>772</v>
      </c>
      <c r="D280" s="91"/>
      <c r="E280" s="91"/>
      <c r="F280" s="91" t="s">
        <v>317</v>
      </c>
      <c r="G280" s="91">
        <v>2024</v>
      </c>
      <c r="H280" s="322">
        <v>872258.5</v>
      </c>
      <c r="I280" s="91">
        <v>30</v>
      </c>
      <c r="J280" s="166"/>
      <c r="K280" s="334"/>
      <c r="L280" s="3" t="s">
        <v>458</v>
      </c>
    </row>
    <row r="281" spans="1:12" ht="14.5">
      <c r="B281" s="91" t="s">
        <v>549</v>
      </c>
      <c r="C281" s="91" t="s">
        <v>772</v>
      </c>
      <c r="D281" s="91"/>
      <c r="E281" s="91"/>
      <c r="F281" s="91" t="s">
        <v>286</v>
      </c>
      <c r="G281" s="91">
        <v>2024</v>
      </c>
      <c r="H281" s="322">
        <v>949.25</v>
      </c>
      <c r="I281" s="91">
        <v>10</v>
      </c>
      <c r="J281" s="166"/>
      <c r="K281" s="334"/>
      <c r="L281" s="3" t="s">
        <v>458</v>
      </c>
    </row>
    <row r="282" spans="1:12" ht="14.5">
      <c r="B282" s="91" t="s">
        <v>550</v>
      </c>
      <c r="C282" s="91" t="s">
        <v>772</v>
      </c>
      <c r="D282" s="91"/>
      <c r="E282" s="91"/>
      <c r="F282" s="91" t="s">
        <v>296</v>
      </c>
      <c r="G282" s="91">
        <v>2024</v>
      </c>
      <c r="H282" s="322">
        <v>57302.38</v>
      </c>
      <c r="I282" s="91">
        <v>10</v>
      </c>
      <c r="J282" s="166"/>
      <c r="K282" s="334"/>
      <c r="L282" s="3" t="s">
        <v>458</v>
      </c>
    </row>
    <row r="283" spans="1:12" ht="14.5">
      <c r="B283" s="91" t="s">
        <v>551</v>
      </c>
      <c r="C283" s="91" t="s">
        <v>772</v>
      </c>
      <c r="D283" s="91"/>
      <c r="E283" s="91"/>
      <c r="F283" s="91" t="s">
        <v>296</v>
      </c>
      <c r="G283" s="91">
        <v>2024</v>
      </c>
      <c r="H283" s="322">
        <v>543.80999999999995</v>
      </c>
      <c r="I283" s="91">
        <v>10</v>
      </c>
      <c r="J283" s="166"/>
      <c r="K283" s="334"/>
      <c r="L283" s="3" t="s">
        <v>458</v>
      </c>
    </row>
    <row r="284" spans="1:12" ht="14.5">
      <c r="B284" s="91" t="s">
        <v>552</v>
      </c>
      <c r="C284" s="91" t="s">
        <v>772</v>
      </c>
      <c r="D284" s="91"/>
      <c r="E284" s="91"/>
      <c r="F284" s="91" t="s">
        <v>334</v>
      </c>
      <c r="G284" s="91">
        <v>2024</v>
      </c>
      <c r="H284" s="322">
        <v>1487353.31</v>
      </c>
      <c r="I284" s="91">
        <v>5</v>
      </c>
      <c r="J284" s="166"/>
      <c r="K284" s="334"/>
      <c r="L284" s="3" t="s">
        <v>458</v>
      </c>
    </row>
    <row r="285" spans="1:12" ht="14.5">
      <c r="B285" s="91" t="s">
        <v>553</v>
      </c>
      <c r="C285" s="91" t="s">
        <v>772</v>
      </c>
      <c r="D285" s="91"/>
      <c r="E285" s="91"/>
      <c r="F285" s="91" t="s">
        <v>334</v>
      </c>
      <c r="G285" s="91">
        <v>2024</v>
      </c>
      <c r="H285" s="322">
        <v>936361.01</v>
      </c>
      <c r="I285" s="91">
        <v>5</v>
      </c>
      <c r="J285" s="166"/>
      <c r="K285" s="334"/>
      <c r="L285" s="3" t="s">
        <v>458</v>
      </c>
    </row>
    <row r="286" spans="1:12" ht="14.5">
      <c r="B286" s="91" t="s">
        <v>554</v>
      </c>
      <c r="C286" s="91" t="s">
        <v>772</v>
      </c>
      <c r="D286" s="91"/>
      <c r="E286" s="91"/>
      <c r="F286" s="91" t="s">
        <v>334</v>
      </c>
      <c r="G286" s="91">
        <v>2024</v>
      </c>
      <c r="H286" s="322">
        <v>438039.14</v>
      </c>
      <c r="I286" s="91">
        <v>5</v>
      </c>
      <c r="J286" s="166"/>
      <c r="K286" s="334"/>
      <c r="L286" s="3" t="s">
        <v>458</v>
      </c>
    </row>
    <row r="287" spans="1:12" ht="14.5">
      <c r="B287" s="91" t="s">
        <v>555</v>
      </c>
      <c r="C287" s="91" t="s">
        <v>772</v>
      </c>
      <c r="D287" s="91"/>
      <c r="E287" s="91"/>
      <c r="F287" s="91" t="s">
        <v>334</v>
      </c>
      <c r="G287" s="91">
        <v>2024</v>
      </c>
      <c r="H287" s="322">
        <v>1519536.38</v>
      </c>
      <c r="I287" s="91">
        <v>5</v>
      </c>
      <c r="J287" s="166"/>
      <c r="K287" s="334"/>
      <c r="L287" s="3" t="s">
        <v>458</v>
      </c>
    </row>
    <row r="288" spans="1:12" ht="14.5">
      <c r="B288" s="91" t="s">
        <v>556</v>
      </c>
      <c r="C288" s="91" t="s">
        <v>772</v>
      </c>
      <c r="D288" s="91"/>
      <c r="E288" s="91"/>
      <c r="F288" s="91" t="s">
        <v>334</v>
      </c>
      <c r="G288" s="91">
        <v>2024</v>
      </c>
      <c r="H288" s="322">
        <v>4539688.4400000004</v>
      </c>
      <c r="I288" s="91">
        <v>5</v>
      </c>
      <c r="J288" s="166"/>
      <c r="K288" s="334"/>
      <c r="L288" s="3" t="s">
        <v>458</v>
      </c>
    </row>
    <row r="289" spans="2:12" ht="14.5">
      <c r="B289" s="91" t="s">
        <v>557</v>
      </c>
      <c r="C289" s="91" t="s">
        <v>772</v>
      </c>
      <c r="D289" s="91"/>
      <c r="E289" s="91"/>
      <c r="F289" s="91" t="s">
        <v>339</v>
      </c>
      <c r="G289" s="91">
        <v>2024</v>
      </c>
      <c r="H289" s="322">
        <v>6226578.5599999996</v>
      </c>
      <c r="I289" s="91">
        <v>10</v>
      </c>
      <c r="J289" s="166"/>
      <c r="K289" s="334"/>
      <c r="L289" s="3" t="s">
        <v>458</v>
      </c>
    </row>
    <row r="290" spans="2:12" ht="14.5">
      <c r="B290" s="91" t="s">
        <v>558</v>
      </c>
      <c r="C290" s="91" t="s">
        <v>772</v>
      </c>
      <c r="D290" s="91"/>
      <c r="E290" s="91"/>
      <c r="F290" s="91" t="s">
        <v>339</v>
      </c>
      <c r="G290" s="91">
        <v>2024</v>
      </c>
      <c r="H290" s="322">
        <v>187.42</v>
      </c>
      <c r="I290" s="91">
        <v>10</v>
      </c>
      <c r="J290" s="166"/>
      <c r="K290" s="334"/>
      <c r="L290" s="3" t="s">
        <v>458</v>
      </c>
    </row>
    <row r="291" spans="2:12" ht="14.5">
      <c r="B291" s="91" t="s">
        <v>559</v>
      </c>
      <c r="C291" s="91" t="s">
        <v>772</v>
      </c>
      <c r="D291" s="91"/>
      <c r="E291" s="91"/>
      <c r="F291" s="91" t="s">
        <v>340</v>
      </c>
      <c r="G291" s="91">
        <v>2024</v>
      </c>
      <c r="H291" s="322">
        <v>42771036.399999999</v>
      </c>
      <c r="I291" s="91">
        <v>15</v>
      </c>
      <c r="J291" s="166"/>
      <c r="K291" s="334"/>
      <c r="L291" s="3" t="s">
        <v>458</v>
      </c>
    </row>
    <row r="292" spans="2:12" ht="13">
      <c r="B292" s="130" t="s">
        <v>560</v>
      </c>
      <c r="C292" s="130" t="s">
        <v>772</v>
      </c>
      <c r="D292" s="130"/>
      <c r="E292" s="130"/>
      <c r="F292" s="130" t="s">
        <v>290</v>
      </c>
      <c r="G292" s="130">
        <v>2025</v>
      </c>
      <c r="H292" s="281">
        <v>823119.14938283106</v>
      </c>
      <c r="I292" s="130">
        <v>30</v>
      </c>
      <c r="K292" s="341"/>
    </row>
    <row r="293" spans="2:12">
      <c r="B293" s="130" t="s">
        <v>561</v>
      </c>
      <c r="C293" s="130" t="s">
        <v>772</v>
      </c>
      <c r="D293" s="130"/>
      <c r="E293" s="130"/>
      <c r="F293" s="130" t="s">
        <v>290</v>
      </c>
      <c r="G293" s="130">
        <v>2025</v>
      </c>
      <c r="H293" s="281">
        <v>79840.511408965336</v>
      </c>
      <c r="I293" s="130">
        <v>30</v>
      </c>
    </row>
    <row r="294" spans="2:12">
      <c r="B294" s="130" t="s">
        <v>562</v>
      </c>
      <c r="C294" s="130" t="s">
        <v>772</v>
      </c>
      <c r="D294" s="130"/>
      <c r="E294" s="130"/>
      <c r="F294" s="130" t="s">
        <v>290</v>
      </c>
      <c r="G294" s="130">
        <v>2025</v>
      </c>
      <c r="H294" s="281">
        <v>29516.404582978834</v>
      </c>
      <c r="I294" s="130">
        <v>30</v>
      </c>
    </row>
    <row r="295" spans="2:12">
      <c r="B295" s="130" t="s">
        <v>563</v>
      </c>
      <c r="C295" s="130" t="s">
        <v>772</v>
      </c>
      <c r="D295" s="130"/>
      <c r="E295" s="130"/>
      <c r="F295" s="130" t="s">
        <v>290</v>
      </c>
      <c r="G295" s="130">
        <v>2025</v>
      </c>
      <c r="H295" s="281">
        <v>142001.2741841212</v>
      </c>
      <c r="I295" s="130">
        <v>30</v>
      </c>
    </row>
    <row r="296" spans="2:12">
      <c r="B296" s="130" t="s">
        <v>564</v>
      </c>
      <c r="C296" s="130" t="s">
        <v>772</v>
      </c>
      <c r="D296" s="130"/>
      <c r="E296" s="130"/>
      <c r="F296" s="130" t="s">
        <v>290</v>
      </c>
      <c r="G296" s="130">
        <v>2025</v>
      </c>
      <c r="H296" s="281">
        <v>284374.62756886677</v>
      </c>
      <c r="I296" s="130">
        <v>30</v>
      </c>
    </row>
    <row r="297" spans="2:12">
      <c r="B297" s="130" t="s">
        <v>565</v>
      </c>
      <c r="C297" s="130" t="s">
        <v>772</v>
      </c>
      <c r="D297" s="130"/>
      <c r="E297" s="130"/>
      <c r="F297" s="130" t="s">
        <v>290</v>
      </c>
      <c r="G297" s="130">
        <v>2025</v>
      </c>
      <c r="H297" s="281">
        <v>39033.41174066325</v>
      </c>
      <c r="I297" s="130">
        <v>30</v>
      </c>
    </row>
    <row r="298" spans="2:12">
      <c r="B298" s="130" t="s">
        <v>566</v>
      </c>
      <c r="C298" s="130" t="s">
        <v>772</v>
      </c>
      <c r="D298" s="130"/>
      <c r="E298" s="130"/>
      <c r="F298" s="130" t="s">
        <v>286</v>
      </c>
      <c r="G298" s="130">
        <v>2025</v>
      </c>
      <c r="H298" s="281">
        <v>276192.35192739591</v>
      </c>
      <c r="I298" s="130">
        <v>10</v>
      </c>
    </row>
    <row r="299" spans="2:12">
      <c r="B299" s="130" t="s">
        <v>567</v>
      </c>
      <c r="C299" s="130" t="s">
        <v>772</v>
      </c>
      <c r="D299" s="130"/>
      <c r="E299" s="130"/>
      <c r="F299" s="130" t="s">
        <v>286</v>
      </c>
      <c r="G299" s="130">
        <v>2025</v>
      </c>
      <c r="H299" s="281">
        <v>84632.380796501107</v>
      </c>
      <c r="I299" s="130">
        <v>10</v>
      </c>
    </row>
    <row r="300" spans="2:12">
      <c r="B300" s="130" t="s">
        <v>568</v>
      </c>
      <c r="C300" s="130" t="s">
        <v>772</v>
      </c>
      <c r="D300" s="130"/>
      <c r="E300" s="130"/>
      <c r="F300" s="130" t="s">
        <v>294</v>
      </c>
      <c r="G300" s="130">
        <v>2025</v>
      </c>
      <c r="H300" s="281">
        <v>121066.85850569428</v>
      </c>
      <c r="I300" s="130">
        <v>10</v>
      </c>
    </row>
    <row r="301" spans="2:12">
      <c r="B301" s="130" t="s">
        <v>569</v>
      </c>
      <c r="C301" s="130" t="s">
        <v>772</v>
      </c>
      <c r="D301" s="130"/>
      <c r="E301" s="130"/>
      <c r="F301" s="130" t="s">
        <v>294</v>
      </c>
      <c r="G301" s="130">
        <v>2025</v>
      </c>
      <c r="H301" s="281">
        <v>447550.44191847811</v>
      </c>
      <c r="I301" s="130">
        <v>10</v>
      </c>
    </row>
    <row r="302" spans="2:12">
      <c r="B302" s="130" t="s">
        <v>570</v>
      </c>
      <c r="C302" s="130" t="s">
        <v>772</v>
      </c>
      <c r="D302" s="130"/>
      <c r="E302" s="130"/>
      <c r="F302" s="130" t="s">
        <v>296</v>
      </c>
      <c r="G302" s="130">
        <v>2025</v>
      </c>
      <c r="H302" s="281">
        <v>277600.2937007302</v>
      </c>
      <c r="I302" s="130">
        <v>10</v>
      </c>
    </row>
    <row r="303" spans="2:12">
      <c r="B303" s="130" t="s">
        <v>571</v>
      </c>
      <c r="C303" s="130" t="s">
        <v>772</v>
      </c>
      <c r="D303" s="130"/>
      <c r="E303" s="130"/>
      <c r="F303" s="130" t="s">
        <v>296</v>
      </c>
      <c r="G303" s="130">
        <v>2025</v>
      </c>
      <c r="H303" s="281">
        <v>90158.086544321428</v>
      </c>
      <c r="I303" s="130">
        <v>10</v>
      </c>
    </row>
    <row r="304" spans="2:12">
      <c r="B304" s="130" t="s">
        <v>572</v>
      </c>
      <c r="C304" s="130" t="s">
        <v>772</v>
      </c>
      <c r="D304" s="130"/>
      <c r="E304" s="130"/>
      <c r="F304" s="130" t="s">
        <v>296</v>
      </c>
      <c r="G304" s="130">
        <v>2025</v>
      </c>
      <c r="H304" s="281">
        <v>257382.92525200447</v>
      </c>
      <c r="I304" s="130">
        <v>10</v>
      </c>
    </row>
    <row r="305" spans="2:9">
      <c r="B305" s="130" t="s">
        <v>573</v>
      </c>
      <c r="C305" s="130" t="s">
        <v>772</v>
      </c>
      <c r="D305" s="130"/>
      <c r="E305" s="130"/>
      <c r="F305" s="130" t="s">
        <v>296</v>
      </c>
      <c r="G305" s="130">
        <v>2025</v>
      </c>
      <c r="H305" s="281">
        <v>171995.69866994492</v>
      </c>
      <c r="I305" s="130">
        <v>10</v>
      </c>
    </row>
    <row r="306" spans="2:9">
      <c r="B306" s="130" t="s">
        <v>574</v>
      </c>
      <c r="C306" s="130" t="s">
        <v>772</v>
      </c>
      <c r="D306" s="130"/>
      <c r="E306" s="130"/>
      <c r="F306" s="130" t="s">
        <v>296</v>
      </c>
      <c r="G306" s="130">
        <v>2025</v>
      </c>
      <c r="H306" s="281">
        <v>40529.953802321266</v>
      </c>
      <c r="I306" s="130">
        <v>10</v>
      </c>
    </row>
    <row r="307" spans="2:9">
      <c r="B307" s="130" t="s">
        <v>575</v>
      </c>
      <c r="C307" s="130" t="s">
        <v>772</v>
      </c>
      <c r="D307" s="130"/>
      <c r="E307" s="130"/>
      <c r="F307" s="130" t="s">
        <v>296</v>
      </c>
      <c r="G307" s="130">
        <v>2025</v>
      </c>
      <c r="H307" s="281">
        <v>498043.26023031282</v>
      </c>
      <c r="I307" s="130">
        <v>10</v>
      </c>
    </row>
    <row r="308" spans="2:9">
      <c r="B308" s="130" t="s">
        <v>576</v>
      </c>
      <c r="C308" s="130" t="s">
        <v>772</v>
      </c>
      <c r="D308" s="130"/>
      <c r="E308" s="130"/>
      <c r="F308" s="130" t="s">
        <v>296</v>
      </c>
      <c r="G308" s="130">
        <v>2025</v>
      </c>
      <c r="H308" s="281">
        <v>447746.86834126408</v>
      </c>
      <c r="I308" s="130">
        <v>10</v>
      </c>
    </row>
    <row r="309" spans="2:9">
      <c r="B309" s="130" t="s">
        <v>577</v>
      </c>
      <c r="C309" s="130" t="s">
        <v>772</v>
      </c>
      <c r="D309" s="130"/>
      <c r="E309" s="130"/>
      <c r="F309" s="130" t="s">
        <v>296</v>
      </c>
      <c r="G309" s="130">
        <v>2025</v>
      </c>
      <c r="H309" s="281">
        <v>189082.81131048431</v>
      </c>
      <c r="I309" s="130">
        <v>10</v>
      </c>
    </row>
    <row r="310" spans="2:9">
      <c r="B310" s="130" t="s">
        <v>578</v>
      </c>
      <c r="C310" s="130" t="s">
        <v>772</v>
      </c>
      <c r="D310" s="130"/>
      <c r="E310" s="130"/>
      <c r="F310" s="130" t="s">
        <v>334</v>
      </c>
      <c r="G310" s="130">
        <v>2025</v>
      </c>
      <c r="H310" s="281">
        <v>297114.52824447717</v>
      </c>
      <c r="I310" s="130">
        <v>5</v>
      </c>
    </row>
    <row r="311" spans="2:9">
      <c r="B311" s="130" t="s">
        <v>579</v>
      </c>
      <c r="C311" s="130" t="s">
        <v>772</v>
      </c>
      <c r="D311" s="130"/>
      <c r="E311" s="130"/>
      <c r="F311" s="130" t="s">
        <v>334</v>
      </c>
      <c r="G311" s="130">
        <v>2025</v>
      </c>
      <c r="H311" s="281">
        <v>217468.61428458735</v>
      </c>
      <c r="I311" s="130">
        <v>5</v>
      </c>
    </row>
    <row r="312" spans="2:9">
      <c r="B312" s="130" t="s">
        <v>580</v>
      </c>
      <c r="C312" s="130" t="s">
        <v>772</v>
      </c>
      <c r="D312" s="130"/>
      <c r="E312" s="130"/>
      <c r="F312" s="130" t="s">
        <v>334</v>
      </c>
      <c r="G312" s="130">
        <v>2025</v>
      </c>
      <c r="H312" s="281">
        <v>1353184.1664081584</v>
      </c>
      <c r="I312" s="130">
        <v>5</v>
      </c>
    </row>
    <row r="313" spans="2:9">
      <c r="B313" s="130" t="s">
        <v>581</v>
      </c>
      <c r="C313" s="130" t="s">
        <v>772</v>
      </c>
      <c r="D313" s="130"/>
      <c r="E313" s="130"/>
      <c r="F313" s="130" t="s">
        <v>334</v>
      </c>
      <c r="G313" s="130">
        <v>2025</v>
      </c>
      <c r="H313" s="281">
        <v>878537.45827228902</v>
      </c>
      <c r="I313" s="130">
        <v>5</v>
      </c>
    </row>
    <row r="314" spans="2:9">
      <c r="B314" s="130" t="s">
        <v>582</v>
      </c>
      <c r="C314" s="130" t="s">
        <v>772</v>
      </c>
      <c r="D314" s="130"/>
      <c r="E314" s="130"/>
      <c r="F314" s="130" t="s">
        <v>334</v>
      </c>
      <c r="G314" s="130">
        <v>2025</v>
      </c>
      <c r="H314" s="281">
        <v>478319.2748695566</v>
      </c>
      <c r="I314" s="130">
        <v>5</v>
      </c>
    </row>
    <row r="315" spans="2:9">
      <c r="B315" s="130" t="s">
        <v>583</v>
      </c>
      <c r="C315" s="130" t="s">
        <v>772</v>
      </c>
      <c r="D315" s="130"/>
      <c r="E315" s="130"/>
      <c r="F315" s="130" t="s">
        <v>334</v>
      </c>
      <c r="G315" s="130">
        <v>2025</v>
      </c>
      <c r="H315" s="281">
        <v>1877219.2567050811</v>
      </c>
      <c r="I315" s="130">
        <v>5</v>
      </c>
    </row>
    <row r="316" spans="2:9">
      <c r="B316" s="130" t="s">
        <v>584</v>
      </c>
      <c r="C316" s="130" t="s">
        <v>772</v>
      </c>
      <c r="D316" s="130"/>
      <c r="E316" s="130"/>
      <c r="F316" s="130" t="s">
        <v>334</v>
      </c>
      <c r="G316" s="130">
        <v>2025</v>
      </c>
      <c r="H316" s="281">
        <v>2724326.998950419</v>
      </c>
      <c r="I316" s="130">
        <v>5</v>
      </c>
    </row>
    <row r="317" spans="2:9">
      <c r="B317" s="130" t="s">
        <v>585</v>
      </c>
      <c r="C317" s="130" t="s">
        <v>772</v>
      </c>
      <c r="D317" s="130"/>
      <c r="E317" s="130"/>
      <c r="F317" s="130" t="s">
        <v>334</v>
      </c>
      <c r="G317" s="130">
        <v>2025</v>
      </c>
      <c r="H317" s="281">
        <v>9316677.3270368613</v>
      </c>
      <c r="I317" s="130">
        <v>5</v>
      </c>
    </row>
    <row r="318" spans="2:9">
      <c r="B318" s="130" t="s">
        <v>586</v>
      </c>
      <c r="C318" s="130" t="s">
        <v>772</v>
      </c>
      <c r="D318" s="130"/>
      <c r="E318" s="130"/>
      <c r="F318" s="130" t="s">
        <v>334</v>
      </c>
      <c r="G318" s="130">
        <v>2025</v>
      </c>
      <c r="H318" s="281">
        <v>6448701.9665837865</v>
      </c>
      <c r="I318" s="130">
        <v>5</v>
      </c>
    </row>
    <row r="319" spans="2:9">
      <c r="B319" s="130" t="s">
        <v>587</v>
      </c>
      <c r="C319" s="130" t="s">
        <v>772</v>
      </c>
      <c r="D319" s="130"/>
      <c r="E319" s="130"/>
      <c r="F319" s="130" t="s">
        <v>339</v>
      </c>
      <c r="G319" s="130">
        <v>2025</v>
      </c>
      <c r="H319" s="281">
        <v>110.98759755843852</v>
      </c>
      <c r="I319" s="130">
        <v>10</v>
      </c>
    </row>
    <row r="320" spans="2:9">
      <c r="B320" s="130" t="s">
        <v>588</v>
      </c>
      <c r="C320" s="130" t="s">
        <v>772</v>
      </c>
      <c r="D320" s="130"/>
      <c r="E320" s="130"/>
      <c r="F320" s="130" t="s">
        <v>339</v>
      </c>
      <c r="G320" s="130">
        <v>2025</v>
      </c>
      <c r="H320" s="281">
        <v>114758.60095242156</v>
      </c>
      <c r="I320" s="130">
        <v>10</v>
      </c>
    </row>
    <row r="321" spans="2:9">
      <c r="B321" s="130" t="s">
        <v>589</v>
      </c>
      <c r="C321" s="130" t="s">
        <v>772</v>
      </c>
      <c r="D321" s="130"/>
      <c r="E321" s="130"/>
      <c r="F321" s="130" t="s">
        <v>339</v>
      </c>
      <c r="G321" s="130">
        <v>2025</v>
      </c>
      <c r="H321" s="281">
        <v>499173.21952495427</v>
      </c>
      <c r="I321" s="130">
        <v>10</v>
      </c>
    </row>
    <row r="322" spans="2:9">
      <c r="B322" s="130" t="s">
        <v>590</v>
      </c>
      <c r="C322" s="130" t="s">
        <v>772</v>
      </c>
      <c r="D322" s="130"/>
      <c r="E322" s="130"/>
      <c r="F322" s="130" t="s">
        <v>339</v>
      </c>
      <c r="G322" s="130">
        <v>2025</v>
      </c>
      <c r="H322" s="281">
        <v>0</v>
      </c>
      <c r="I322" s="130">
        <v>10</v>
      </c>
    </row>
    <row r="323" spans="2:9">
      <c r="B323" s="130" t="s">
        <v>591</v>
      </c>
      <c r="C323" s="130" t="s">
        <v>772</v>
      </c>
      <c r="D323" s="130"/>
      <c r="E323" s="130"/>
      <c r="F323" s="130" t="s">
        <v>340</v>
      </c>
      <c r="G323" s="130">
        <v>2025</v>
      </c>
      <c r="H323" s="281">
        <v>474545.29911399848</v>
      </c>
      <c r="I323" s="130">
        <v>15</v>
      </c>
    </row>
    <row r="324" spans="2:9">
      <c r="B324" s="130" t="s">
        <v>592</v>
      </c>
      <c r="C324" s="130" t="s">
        <v>772</v>
      </c>
      <c r="D324" s="130"/>
      <c r="E324" s="130"/>
      <c r="F324" s="130" t="s">
        <v>340</v>
      </c>
      <c r="G324" s="130">
        <v>2025</v>
      </c>
      <c r="H324" s="281">
        <v>448390.27327665774</v>
      </c>
      <c r="I324" s="130">
        <v>15</v>
      </c>
    </row>
    <row r="325" spans="2:9">
      <c r="B325" s="130" t="s">
        <v>593</v>
      </c>
      <c r="C325" s="130" t="s">
        <v>772</v>
      </c>
      <c r="D325" s="130"/>
      <c r="E325" s="130"/>
      <c r="F325" s="130" t="s">
        <v>340</v>
      </c>
      <c r="G325" s="130">
        <v>2025</v>
      </c>
      <c r="H325" s="281">
        <v>5747091.0393672939</v>
      </c>
      <c r="I325" s="130">
        <v>15</v>
      </c>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1796875" defaultRowHeight="12.5"/>
  <cols>
    <col min="1" max="1" width="2.54296875" style="3" customWidth="1"/>
    <col min="2" max="2" width="57.453125" style="3" customWidth="1"/>
    <col min="3" max="3" width="2.54296875" style="3" customWidth="1"/>
    <col min="4" max="4" width="13.54296875" style="3" customWidth="1"/>
    <col min="5" max="5" width="2.54296875" style="3" customWidth="1"/>
    <col min="6" max="6" width="53.54296875" style="3" bestFit="1" customWidth="1"/>
    <col min="7" max="7" width="33.54296875" style="3" bestFit="1" customWidth="1"/>
    <col min="8" max="9" width="14.54296875" style="3" customWidth="1"/>
    <col min="10" max="10" width="22.453125" style="3" bestFit="1" customWidth="1"/>
    <col min="11" max="11" width="27.1796875" style="3" bestFit="1" customWidth="1"/>
    <col min="12" max="12" width="44.1796875" style="3" bestFit="1" customWidth="1"/>
    <col min="13" max="17" width="14.54296875" style="3" customWidth="1"/>
    <col min="18" max="18" width="2.54296875" style="3" customWidth="1"/>
    <col min="19" max="19" width="20.54296875" style="3" customWidth="1"/>
    <col min="20" max="20" width="2.54296875" style="3" customWidth="1"/>
    <col min="21" max="34" width="13.54296875" style="3" customWidth="1"/>
    <col min="35" max="16384" width="9.1796875" style="3"/>
  </cols>
  <sheetData>
    <row r="2" spans="2:21" s="12" customFormat="1" ht="18">
      <c r="B2" s="12" t="s">
        <v>773</v>
      </c>
    </row>
    <row r="4" spans="2:21" ht="13">
      <c r="B4" s="16" t="s">
        <v>183</v>
      </c>
      <c r="C4" s="2"/>
    </row>
    <row r="5" spans="2:21" ht="15.75" customHeight="1">
      <c r="B5" s="359" t="s">
        <v>504</v>
      </c>
      <c r="C5" s="359"/>
      <c r="D5" s="359"/>
      <c r="F5" s="13"/>
    </row>
    <row r="7" spans="2:21" ht="13">
      <c r="B7" s="17" t="s">
        <v>140</v>
      </c>
    </row>
    <row r="8" spans="2:21" ht="33" customHeight="1">
      <c r="B8" s="360" t="s">
        <v>520</v>
      </c>
      <c r="C8" s="360"/>
      <c r="D8" s="360"/>
    </row>
    <row r="10" spans="2:21" s="8" customFormat="1" ht="12.75" customHeight="1">
      <c r="B10" s="8" t="s">
        <v>143</v>
      </c>
      <c r="D10" s="8" t="s">
        <v>184</v>
      </c>
      <c r="F10" s="8" t="s">
        <v>185</v>
      </c>
      <c r="H10" s="46">
        <v>2017</v>
      </c>
      <c r="I10" s="46">
        <v>2018</v>
      </c>
      <c r="J10" s="46">
        <v>2019</v>
      </c>
      <c r="K10" s="46">
        <v>2020</v>
      </c>
      <c r="L10" s="46">
        <v>2021</v>
      </c>
      <c r="M10" s="46">
        <v>2022</v>
      </c>
      <c r="N10" s="46">
        <v>2023</v>
      </c>
      <c r="O10" s="46">
        <v>2024</v>
      </c>
      <c r="P10" s="46">
        <v>2025</v>
      </c>
      <c r="Q10" s="46">
        <v>2026</v>
      </c>
      <c r="S10" s="8" t="s">
        <v>186</v>
      </c>
      <c r="U10" s="8" t="s">
        <v>187</v>
      </c>
    </row>
    <row r="12" spans="2:21">
      <c r="B12" s="298"/>
      <c r="C12" s="13"/>
      <c r="D12" s="298"/>
      <c r="E12" s="13"/>
      <c r="F12" s="298"/>
      <c r="G12" s="13"/>
      <c r="H12" s="298"/>
      <c r="I12" s="298"/>
      <c r="J12" s="298"/>
      <c r="K12" s="298"/>
      <c r="L12" s="130"/>
      <c r="M12" s="130"/>
      <c r="N12" s="130"/>
      <c r="O12" s="130"/>
      <c r="P12" s="299"/>
      <c r="Q12" s="299"/>
    </row>
    <row r="13" spans="2:21" s="4" customFormat="1" ht="13">
      <c r="B13" s="314"/>
      <c r="C13" s="314"/>
      <c r="D13" s="314"/>
      <c r="E13" s="314"/>
      <c r="F13" s="314"/>
      <c r="G13" s="314"/>
      <c r="H13" s="315"/>
      <c r="I13" s="314"/>
      <c r="J13" s="314"/>
      <c r="K13" s="315"/>
      <c r="L13" s="315"/>
      <c r="P13" s="316"/>
      <c r="Q13" s="316"/>
    </row>
    <row r="14" spans="2:21" s="4" customFormat="1" ht="13">
      <c r="B14" s="314"/>
      <c r="C14" s="314"/>
      <c r="D14" s="314"/>
      <c r="E14" s="314"/>
      <c r="F14" s="314"/>
      <c r="G14" s="314"/>
      <c r="H14" s="315"/>
      <c r="I14" s="314"/>
      <c r="J14" s="314"/>
      <c r="K14" s="315"/>
      <c r="L14" s="315"/>
      <c r="P14" s="316"/>
      <c r="Q14" s="316"/>
    </row>
    <row r="15" spans="2:21" s="4" customFormat="1" ht="13">
      <c r="B15" s="314"/>
      <c r="C15" s="314"/>
      <c r="D15" s="314"/>
      <c r="E15" s="314"/>
      <c r="F15" s="314"/>
      <c r="G15" s="314"/>
      <c r="H15" s="315"/>
      <c r="I15" s="314"/>
      <c r="J15" s="314"/>
      <c r="K15" s="315"/>
      <c r="L15" s="315"/>
    </row>
    <row r="16" spans="2:21" s="4" customFormat="1" ht="13">
      <c r="B16" s="314"/>
      <c r="C16" s="314"/>
      <c r="D16" s="314"/>
      <c r="E16" s="314"/>
      <c r="F16" s="314"/>
      <c r="G16" s="314"/>
      <c r="H16" s="315"/>
      <c r="I16" s="314"/>
      <c r="J16" s="314"/>
      <c r="K16" s="315"/>
      <c r="L16" s="315"/>
    </row>
    <row r="17" spans="2:12" s="4" customFormat="1" ht="13">
      <c r="B17" s="314"/>
      <c r="C17" s="314"/>
      <c r="D17" s="314"/>
      <c r="E17" s="314"/>
      <c r="F17" s="314"/>
      <c r="G17" s="314"/>
      <c r="H17" s="315"/>
      <c r="I17" s="314"/>
      <c r="J17" s="314"/>
      <c r="K17" s="315"/>
      <c r="L17" s="315"/>
    </row>
    <row r="18" spans="2:12" s="4" customFormat="1" ht="13">
      <c r="B18" s="314"/>
      <c r="C18" s="314"/>
      <c r="D18" s="314"/>
      <c r="E18" s="314"/>
      <c r="F18" s="314"/>
      <c r="G18" s="314"/>
      <c r="H18" s="315"/>
      <c r="I18" s="314"/>
      <c r="J18" s="314"/>
      <c r="K18" s="315"/>
      <c r="L18" s="315"/>
    </row>
    <row r="19" spans="2:12" s="4" customFormat="1" ht="13">
      <c r="B19" s="314"/>
      <c r="C19" s="314"/>
      <c r="D19" s="314"/>
      <c r="E19" s="314"/>
      <c r="F19" s="314"/>
      <c r="G19" s="314"/>
      <c r="H19" s="315"/>
      <c r="I19" s="314"/>
      <c r="J19" s="314"/>
      <c r="K19" s="315"/>
      <c r="L19" s="315"/>
    </row>
    <row r="20" spans="2:12" s="4" customFormat="1" ht="13">
      <c r="B20" s="314"/>
      <c r="C20" s="314"/>
      <c r="D20" s="314"/>
      <c r="E20" s="314"/>
      <c r="F20" s="314"/>
      <c r="G20" s="314"/>
      <c r="H20" s="315"/>
      <c r="I20" s="314"/>
      <c r="J20" s="314"/>
      <c r="K20" s="315"/>
      <c r="L20" s="315"/>
    </row>
    <row r="21" spans="2:12" s="4" customFormat="1" ht="13">
      <c r="B21" s="314"/>
      <c r="C21" s="314"/>
      <c r="D21" s="314"/>
      <c r="E21" s="314"/>
      <c r="F21" s="314"/>
      <c r="G21" s="314"/>
      <c r="H21" s="315"/>
      <c r="I21" s="314"/>
      <c r="J21" s="314"/>
      <c r="K21" s="315"/>
      <c r="L21" s="315"/>
    </row>
    <row r="22" spans="2:12" s="4" customFormat="1" ht="13">
      <c r="B22" s="314"/>
      <c r="C22" s="314"/>
      <c r="D22" s="314"/>
      <c r="E22" s="314"/>
      <c r="F22" s="314"/>
      <c r="G22" s="314"/>
      <c r="H22" s="315"/>
      <c r="I22" s="314"/>
      <c r="J22" s="314"/>
      <c r="K22" s="315"/>
      <c r="L22" s="315"/>
    </row>
    <row r="23" spans="2:12" s="4" customFormat="1" ht="13">
      <c r="B23" s="314"/>
      <c r="C23" s="314"/>
      <c r="D23" s="314"/>
      <c r="E23" s="314"/>
      <c r="F23" s="314"/>
      <c r="G23" s="314"/>
      <c r="H23" s="315"/>
      <c r="I23" s="314"/>
      <c r="J23" s="314"/>
      <c r="K23" s="315"/>
      <c r="L23" s="315"/>
    </row>
    <row r="24" spans="2:12" s="4" customFormat="1" ht="13">
      <c r="B24" s="314"/>
      <c r="C24" s="314"/>
      <c r="D24" s="314"/>
      <c r="E24" s="314"/>
      <c r="F24" s="314"/>
      <c r="G24" s="314"/>
      <c r="H24" s="315"/>
      <c r="I24" s="314"/>
      <c r="J24" s="314"/>
      <c r="K24" s="315"/>
      <c r="L24" s="315"/>
    </row>
    <row r="25" spans="2:12" s="4" customFormat="1" ht="13">
      <c r="B25" s="314"/>
      <c r="C25" s="314"/>
      <c r="D25" s="314"/>
      <c r="E25" s="314"/>
      <c r="F25" s="314"/>
      <c r="G25" s="314"/>
      <c r="H25" s="315"/>
      <c r="I25" s="314"/>
      <c r="J25" s="314"/>
      <c r="K25" s="315"/>
      <c r="L25" s="315"/>
    </row>
    <row r="26" spans="2:12" s="4" customFormat="1" ht="13">
      <c r="B26" s="314"/>
      <c r="C26" s="314"/>
      <c r="D26" s="314"/>
      <c r="E26" s="314"/>
      <c r="F26" s="314"/>
      <c r="G26" s="314"/>
      <c r="H26" s="315"/>
      <c r="I26" s="314"/>
      <c r="J26" s="314"/>
      <c r="K26" s="315"/>
      <c r="L26" s="315"/>
    </row>
    <row r="27" spans="2:12" s="4" customFormat="1" ht="13">
      <c r="B27" s="314"/>
      <c r="C27" s="314"/>
      <c r="D27" s="314"/>
      <c r="E27" s="314"/>
      <c r="F27" s="314"/>
      <c r="G27" s="314"/>
      <c r="H27" s="315"/>
      <c r="I27" s="314"/>
      <c r="J27" s="314"/>
      <c r="K27" s="315"/>
      <c r="L27" s="315"/>
    </row>
    <row r="28" spans="2:12" s="4" customFormat="1" ht="13">
      <c r="B28" s="314"/>
      <c r="C28" s="314"/>
      <c r="D28" s="314"/>
      <c r="E28" s="314"/>
      <c r="F28" s="314"/>
      <c r="G28" s="314"/>
      <c r="H28" s="315"/>
      <c r="I28" s="314"/>
      <c r="J28" s="314"/>
      <c r="K28" s="315"/>
      <c r="L28" s="315"/>
    </row>
    <row r="29" spans="2:12" s="4" customFormat="1" ht="13">
      <c r="B29" s="314"/>
      <c r="C29" s="314"/>
      <c r="D29" s="314"/>
      <c r="E29" s="314"/>
      <c r="F29" s="314"/>
      <c r="G29" s="314"/>
      <c r="H29" s="315"/>
      <c r="I29" s="314"/>
      <c r="J29" s="314"/>
      <c r="K29" s="315"/>
      <c r="L29" s="315"/>
    </row>
    <row r="30" spans="2:12" s="4" customFormat="1" ht="13">
      <c r="B30" s="314"/>
      <c r="C30" s="314"/>
      <c r="D30" s="314"/>
      <c r="E30" s="314"/>
      <c r="F30" s="314"/>
      <c r="G30" s="314"/>
      <c r="H30" s="315"/>
      <c r="I30" s="314"/>
      <c r="J30" s="314"/>
      <c r="K30" s="315"/>
      <c r="L30" s="315"/>
    </row>
    <row r="31" spans="2:12" s="4" customFormat="1" ht="13">
      <c r="B31" s="314"/>
      <c r="C31" s="314"/>
      <c r="D31" s="314"/>
      <c r="E31" s="314"/>
      <c r="F31" s="314"/>
      <c r="G31" s="314"/>
      <c r="H31" s="315"/>
      <c r="I31" s="314"/>
      <c r="J31" s="314"/>
      <c r="K31" s="315"/>
      <c r="L31" s="315"/>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S30"/>
  <sheetViews>
    <sheetView showGridLines="0" zoomScale="85" zoomScaleNormal="85" workbookViewId="0">
      <pane xSplit="2" ySplit="5" topLeftCell="C6" activePane="bottomRight" state="frozen"/>
      <selection pane="topRight"/>
      <selection pane="bottomLeft"/>
      <selection pane="bottomRight" activeCell="C6" sqref="C6"/>
    </sheetView>
  </sheetViews>
  <sheetFormatPr defaultColWidth="9.1796875" defaultRowHeight="12.5"/>
  <cols>
    <col min="1" max="1" width="2.54296875" style="3" customWidth="1"/>
    <col min="2" max="2" width="62" style="3" customWidth="1"/>
    <col min="3" max="3" width="2.54296875" style="3" customWidth="1"/>
    <col min="4" max="4" width="13.54296875" style="3" customWidth="1"/>
    <col min="5" max="5" width="2.54296875" style="3" customWidth="1"/>
    <col min="6" max="6" width="13.54296875" style="3" customWidth="1"/>
    <col min="7" max="7" width="2.54296875" style="3" customWidth="1"/>
    <col min="8" max="15" width="12.54296875" style="3" customWidth="1"/>
    <col min="16" max="16" width="2.54296875" style="3" customWidth="1"/>
    <col min="17" max="17" width="20.54296875" style="3" customWidth="1"/>
    <col min="18" max="18" width="2.54296875" style="3" customWidth="1"/>
    <col min="19" max="19" width="20.54296875" style="3" customWidth="1"/>
    <col min="20" max="32" width="13.54296875" style="3" customWidth="1"/>
    <col min="33" max="16384" width="9.1796875" style="3"/>
  </cols>
  <sheetData>
    <row r="2" spans="2:19" s="12" customFormat="1" ht="18">
      <c r="B2" s="12" t="s">
        <v>774</v>
      </c>
    </row>
    <row r="4" spans="2:19" ht="13">
      <c r="B4" s="16" t="s">
        <v>183</v>
      </c>
      <c r="C4" s="2"/>
    </row>
    <row r="5" spans="2:19" ht="27.75" customHeight="1">
      <c r="B5" s="352" t="s">
        <v>775</v>
      </c>
      <c r="C5" s="359"/>
      <c r="D5" s="359"/>
      <c r="F5" s="13"/>
    </row>
    <row r="7" spans="2:19" s="8" customFormat="1" ht="13">
      <c r="B7" s="8" t="s">
        <v>143</v>
      </c>
      <c r="D7" s="8" t="s">
        <v>184</v>
      </c>
      <c r="F7" s="8" t="s">
        <v>185</v>
      </c>
      <c r="H7" s="53">
        <v>2020</v>
      </c>
      <c r="I7" s="46">
        <v>2021</v>
      </c>
      <c r="J7" s="46">
        <v>2022</v>
      </c>
      <c r="K7" s="46">
        <v>2023</v>
      </c>
      <c r="L7" s="46">
        <v>2024</v>
      </c>
      <c r="M7" s="46">
        <v>2025</v>
      </c>
      <c r="N7" s="46">
        <v>2026</v>
      </c>
      <c r="O7" s="46">
        <v>2027</v>
      </c>
      <c r="Q7" s="8" t="s">
        <v>186</v>
      </c>
      <c r="S7" s="8" t="s">
        <v>187</v>
      </c>
    </row>
    <row r="9" spans="2:19" s="8" customFormat="1" ht="13">
      <c r="B9" s="8" t="s">
        <v>776</v>
      </c>
    </row>
    <row r="11" spans="2:19" ht="13">
      <c r="B11" s="16" t="s">
        <v>776</v>
      </c>
    </row>
    <row r="12" spans="2:19">
      <c r="B12" s="3" t="s">
        <v>777</v>
      </c>
      <c r="D12" s="3" t="s">
        <v>778</v>
      </c>
      <c r="H12" s="10"/>
      <c r="I12" s="10"/>
      <c r="J12" s="10"/>
      <c r="K12" s="10"/>
      <c r="L12" s="10"/>
      <c r="M12" s="10"/>
      <c r="N12" s="10"/>
      <c r="O12" s="281">
        <v>109121387</v>
      </c>
      <c r="Q12" s="3" t="s">
        <v>458</v>
      </c>
    </row>
    <row r="13" spans="2:19">
      <c r="B13" s="3" t="s">
        <v>779</v>
      </c>
      <c r="D13" s="3" t="s">
        <v>778</v>
      </c>
      <c r="H13" s="10"/>
      <c r="I13" s="10"/>
      <c r="J13" s="10"/>
      <c r="K13" s="10"/>
      <c r="L13" s="10"/>
      <c r="M13" s="10"/>
      <c r="N13" s="10"/>
      <c r="O13" s="281">
        <v>175878613</v>
      </c>
      <c r="Q13" s="3" t="s">
        <v>458</v>
      </c>
    </row>
    <row r="14" spans="2:19">
      <c r="J14" s="13"/>
      <c r="K14" s="13"/>
      <c r="L14" s="13"/>
      <c r="M14" s="13"/>
      <c r="N14" s="166"/>
      <c r="O14" s="166"/>
    </row>
    <row r="15" spans="2:19">
      <c r="B15" s="3" t="s">
        <v>780</v>
      </c>
      <c r="D15" s="3" t="s">
        <v>778</v>
      </c>
      <c r="H15" s="10"/>
      <c r="I15" s="10"/>
      <c r="J15" s="10"/>
      <c r="K15" s="10"/>
      <c r="L15" s="10"/>
      <c r="M15" s="10"/>
      <c r="N15" s="10"/>
      <c r="O15" s="281">
        <v>34958672</v>
      </c>
      <c r="Q15" s="3" t="s">
        <v>458</v>
      </c>
    </row>
    <row r="16" spans="2:19">
      <c r="B16" s="3" t="s">
        <v>781</v>
      </c>
      <c r="D16" s="3" t="s">
        <v>778</v>
      </c>
      <c r="H16" s="10"/>
      <c r="I16" s="10"/>
      <c r="J16" s="10"/>
      <c r="K16" s="10"/>
      <c r="L16" s="10"/>
      <c r="M16" s="10"/>
      <c r="N16" s="10"/>
      <c r="O16" s="281">
        <v>15987135</v>
      </c>
      <c r="Q16" s="3" t="s">
        <v>458</v>
      </c>
    </row>
    <row r="17" spans="2:17">
      <c r="J17" s="13"/>
      <c r="N17" s="166"/>
      <c r="O17" s="166"/>
    </row>
    <row r="18" spans="2:17">
      <c r="B18" s="3" t="s">
        <v>782</v>
      </c>
      <c r="D18" s="3" t="s">
        <v>778</v>
      </c>
      <c r="H18" s="10"/>
      <c r="I18" s="10"/>
      <c r="J18" s="10"/>
      <c r="K18" s="10"/>
      <c r="L18" s="10"/>
      <c r="M18" s="10"/>
      <c r="N18" s="10"/>
      <c r="O18" s="281">
        <v>33329341</v>
      </c>
      <c r="Q18" s="3" t="s">
        <v>458</v>
      </c>
    </row>
    <row r="24" spans="2:17">
      <c r="M24" s="166"/>
    </row>
    <row r="25" spans="2:17">
      <c r="M25" s="166"/>
    </row>
    <row r="26" spans="2:17">
      <c r="M26" s="166"/>
    </row>
    <row r="27" spans="2:17">
      <c r="M27" s="166"/>
    </row>
    <row r="28" spans="2:17">
      <c r="M28" s="166"/>
    </row>
    <row r="29" spans="2:17">
      <c r="M29" s="166"/>
    </row>
    <row r="30" spans="2:17">
      <c r="M30" s="166"/>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796875" defaultRowHeight="12.5"/>
  <cols>
    <col min="1" max="16384" width="9.179687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A1:H58"/>
  <sheetViews>
    <sheetView showGridLines="0" zoomScale="85" zoomScaleNormal="85" workbookViewId="0"/>
  </sheetViews>
  <sheetFormatPr defaultRowHeight="12.5"/>
  <cols>
    <col min="1" max="1" width="2.54296875" customWidth="1"/>
    <col min="2" max="2" width="8" bestFit="1" customWidth="1"/>
    <col min="3" max="3" width="19.81640625" bestFit="1" customWidth="1"/>
    <col min="4" max="4" width="22.1796875" bestFit="1" customWidth="1"/>
    <col min="5" max="5" width="32.81640625" bestFit="1" customWidth="1"/>
    <col min="6" max="6" width="23.81640625" bestFit="1" customWidth="1"/>
    <col min="7" max="7" width="14.54296875" bestFit="1" customWidth="1"/>
    <col min="8" max="8" width="66.7265625" bestFit="1" customWidth="1"/>
  </cols>
  <sheetData>
    <row r="1" spans="1:7" s="3" customFormat="1" ht="10.75" customHeight="1"/>
    <row r="2" spans="1:7" s="12" customFormat="1" ht="18">
      <c r="B2" s="12" t="s">
        <v>783</v>
      </c>
    </row>
    <row r="3" spans="1:7" s="3" customFormat="1" ht="10.75" customHeight="1"/>
    <row r="4" spans="1:7" s="3" customFormat="1" ht="13">
      <c r="B4" s="2" t="s">
        <v>183</v>
      </c>
    </row>
    <row r="5" spans="1:7" s="3" customFormat="1" ht="27.75" customHeight="1">
      <c r="B5" s="352" t="s">
        <v>784</v>
      </c>
      <c r="C5" s="352"/>
      <c r="D5" s="352"/>
      <c r="E5" s="352"/>
      <c r="F5" s="352"/>
      <c r="G5" s="1"/>
    </row>
    <row r="6" spans="1:7" s="3" customFormat="1" ht="10.75" customHeight="1"/>
    <row r="7" spans="1:7" s="3" customFormat="1" ht="13">
      <c r="B7" s="16" t="s">
        <v>785</v>
      </c>
      <c r="D7" s="2"/>
    </row>
    <row r="8" spans="1:7" s="3" customFormat="1" ht="16.5" customHeight="1">
      <c r="B8" s="359" t="s">
        <v>786</v>
      </c>
      <c r="C8" s="359"/>
      <c r="D8" s="359"/>
      <c r="E8" s="359"/>
      <c r="F8" s="359"/>
      <c r="G8" s="117"/>
    </row>
    <row r="9" spans="1:7" s="3" customFormat="1" ht="10.75" customHeight="1">
      <c r="B9" s="4"/>
    </row>
    <row r="10" spans="1:7" s="3" customFormat="1" ht="13">
      <c r="B10" s="176" t="s">
        <v>787</v>
      </c>
    </row>
    <row r="11" spans="1:7" s="3" customFormat="1">
      <c r="B11" s="361">
        <v>46150</v>
      </c>
      <c r="C11" s="361"/>
      <c r="D11" s="361"/>
      <c r="E11" s="118"/>
    </row>
    <row r="12" spans="1:7" ht="10.75" customHeight="1">
      <c r="A12" s="3"/>
    </row>
    <row r="13" spans="1:7" ht="13">
      <c r="B13" s="176" t="s">
        <v>788</v>
      </c>
      <c r="D13" s="3"/>
      <c r="E13" s="3"/>
    </row>
    <row r="14" spans="1:7" ht="26.25" customHeight="1">
      <c r="B14" s="352" t="s">
        <v>789</v>
      </c>
      <c r="C14" s="352"/>
      <c r="D14" s="352"/>
      <c r="E14" s="352"/>
      <c r="F14" s="352"/>
      <c r="G14" s="1"/>
    </row>
    <row r="15" spans="1:7" ht="10.75" customHeight="1"/>
    <row r="16" spans="1:7" ht="13">
      <c r="B16" s="177" t="s">
        <v>790</v>
      </c>
    </row>
    <row r="17" spans="2:8">
      <c r="B17" s="125">
        <f>SUBTOTAL(103,B20:B567)</f>
        <v>39</v>
      </c>
    </row>
    <row r="18" spans="2:8" ht="10.75" customHeight="1"/>
    <row r="19" spans="2:8" s="8" customFormat="1" ht="13">
      <c r="B19" s="8" t="s">
        <v>791</v>
      </c>
      <c r="C19" s="34" t="s">
        <v>490</v>
      </c>
      <c r="D19" s="34" t="s">
        <v>792</v>
      </c>
      <c r="E19" s="34" t="s">
        <v>793</v>
      </c>
      <c r="F19" s="34" t="s">
        <v>794</v>
      </c>
      <c r="G19" s="249" t="s">
        <v>795</v>
      </c>
      <c r="H19" s="34" t="s">
        <v>796</v>
      </c>
    </row>
    <row r="20" spans="2:8">
      <c r="B20">
        <v>1</v>
      </c>
      <c r="C20" s="178">
        <v>560010.50868726079</v>
      </c>
      <c r="D20">
        <v>2020</v>
      </c>
      <c r="E20" t="s">
        <v>281</v>
      </c>
      <c r="F20" t="s">
        <v>797</v>
      </c>
      <c r="G20" t="s">
        <v>798</v>
      </c>
      <c r="H20" t="s">
        <v>799</v>
      </c>
    </row>
    <row r="21" spans="2:8">
      <c r="B21">
        <v>2</v>
      </c>
      <c r="C21" s="178">
        <v>1887912.8589451036</v>
      </c>
      <c r="D21">
        <v>2022</v>
      </c>
      <c r="E21" t="s">
        <v>277</v>
      </c>
      <c r="F21" t="s">
        <v>797</v>
      </c>
      <c r="G21" t="s">
        <v>798</v>
      </c>
      <c r="H21" t="s">
        <v>800</v>
      </c>
    </row>
    <row r="22" spans="2:8">
      <c r="B22">
        <v>3</v>
      </c>
      <c r="C22" s="178">
        <v>2724356.4622969897</v>
      </c>
      <c r="D22">
        <v>2022</v>
      </c>
      <c r="E22" t="s">
        <v>281</v>
      </c>
      <c r="F22" t="s">
        <v>797</v>
      </c>
      <c r="G22" t="s">
        <v>798</v>
      </c>
      <c r="H22" t="s">
        <v>800</v>
      </c>
    </row>
    <row r="23" spans="2:8">
      <c r="B23">
        <v>4</v>
      </c>
      <c r="C23" s="178">
        <v>226794.9736094765</v>
      </c>
      <c r="D23">
        <v>2022</v>
      </c>
      <c r="E23" t="s">
        <v>290</v>
      </c>
      <c r="F23" t="s">
        <v>797</v>
      </c>
      <c r="G23" t="s">
        <v>798</v>
      </c>
      <c r="H23" t="s">
        <v>800</v>
      </c>
    </row>
    <row r="24" spans="2:8">
      <c r="B24">
        <v>5</v>
      </c>
      <c r="C24" s="178">
        <v>3824577.1209736457</v>
      </c>
      <c r="D24">
        <v>2022</v>
      </c>
      <c r="E24" t="s">
        <v>318</v>
      </c>
      <c r="F24" t="s">
        <v>797</v>
      </c>
      <c r="G24" t="s">
        <v>798</v>
      </c>
      <c r="H24" t="s">
        <v>800</v>
      </c>
    </row>
    <row r="25" spans="2:8">
      <c r="B25">
        <v>6</v>
      </c>
      <c r="C25" s="178">
        <v>3150608.2540416676</v>
      </c>
      <c r="D25">
        <v>2022</v>
      </c>
      <c r="E25" t="s">
        <v>324</v>
      </c>
      <c r="F25" t="s">
        <v>797</v>
      </c>
      <c r="G25" t="s">
        <v>798</v>
      </c>
      <c r="H25" t="s">
        <v>800</v>
      </c>
    </row>
    <row r="26" spans="2:8">
      <c r="B26">
        <v>7</v>
      </c>
      <c r="C26" s="178">
        <v>1821898.5094885458</v>
      </c>
      <c r="D26">
        <v>2023</v>
      </c>
      <c r="E26" t="s">
        <v>284</v>
      </c>
      <c r="F26" t="s">
        <v>461</v>
      </c>
      <c r="G26" t="s">
        <v>13</v>
      </c>
      <c r="H26" t="s">
        <v>801</v>
      </c>
    </row>
    <row r="27" spans="2:8">
      <c r="B27">
        <v>8</v>
      </c>
      <c r="C27" s="178">
        <v>41241409.443761975</v>
      </c>
      <c r="D27">
        <v>2023</v>
      </c>
      <c r="E27" t="s">
        <v>286</v>
      </c>
      <c r="F27" t="s">
        <v>461</v>
      </c>
      <c r="G27" t="s">
        <v>13</v>
      </c>
      <c r="H27" t="s">
        <v>801</v>
      </c>
    </row>
    <row r="28" spans="2:8">
      <c r="B28">
        <v>9</v>
      </c>
      <c r="C28" s="178">
        <v>26179329.440538418</v>
      </c>
      <c r="D28">
        <v>2023</v>
      </c>
      <c r="E28" t="s">
        <v>290</v>
      </c>
      <c r="F28" t="s">
        <v>461</v>
      </c>
      <c r="G28" t="s">
        <v>13</v>
      </c>
      <c r="H28" t="s">
        <v>801</v>
      </c>
    </row>
    <row r="29" spans="2:8">
      <c r="B29">
        <v>10</v>
      </c>
      <c r="C29" s="178">
        <v>324466.46385633486</v>
      </c>
      <c r="D29">
        <v>2023</v>
      </c>
      <c r="E29" t="s">
        <v>294</v>
      </c>
      <c r="F29" t="s">
        <v>461</v>
      </c>
      <c r="G29" t="s">
        <v>13</v>
      </c>
      <c r="H29" t="s">
        <v>801</v>
      </c>
    </row>
    <row r="30" spans="2:8">
      <c r="B30">
        <v>11</v>
      </c>
      <c r="C30" s="178">
        <v>358620.80849138752</v>
      </c>
      <c r="D30">
        <v>2023</v>
      </c>
      <c r="E30" t="s">
        <v>295</v>
      </c>
      <c r="F30" t="s">
        <v>461</v>
      </c>
      <c r="G30" t="s">
        <v>13</v>
      </c>
      <c r="H30" t="s">
        <v>801</v>
      </c>
    </row>
    <row r="31" spans="2:8">
      <c r="B31">
        <v>12</v>
      </c>
      <c r="C31" s="178">
        <v>77940287.016589478</v>
      </c>
      <c r="D31">
        <v>2023</v>
      </c>
      <c r="E31" t="s">
        <v>314</v>
      </c>
      <c r="F31" t="s">
        <v>461</v>
      </c>
      <c r="G31" t="s">
        <v>13</v>
      </c>
      <c r="H31" t="s">
        <v>801</v>
      </c>
    </row>
    <row r="32" spans="2:8">
      <c r="B32">
        <v>13</v>
      </c>
      <c r="C32" s="178">
        <v>21107403.53252615</v>
      </c>
      <c r="D32">
        <v>2023</v>
      </c>
      <c r="E32" t="s">
        <v>318</v>
      </c>
      <c r="F32" t="s">
        <v>461</v>
      </c>
      <c r="G32" t="s">
        <v>13</v>
      </c>
      <c r="H32" t="s">
        <v>801</v>
      </c>
    </row>
    <row r="33" spans="2:8">
      <c r="B33">
        <v>14</v>
      </c>
      <c r="C33" s="178">
        <v>18334898.10779709</v>
      </c>
      <c r="D33">
        <v>2023</v>
      </c>
      <c r="E33" t="s">
        <v>333</v>
      </c>
      <c r="F33" t="s">
        <v>461</v>
      </c>
      <c r="G33" t="s">
        <v>13</v>
      </c>
      <c r="H33" t="s">
        <v>801</v>
      </c>
    </row>
    <row r="34" spans="2:8">
      <c r="B34">
        <v>15</v>
      </c>
      <c r="C34" s="178">
        <v>3620364.0601766575</v>
      </c>
      <c r="D34">
        <v>2023</v>
      </c>
      <c r="E34" t="s">
        <v>344</v>
      </c>
      <c r="F34" t="s">
        <v>461</v>
      </c>
      <c r="G34" t="s">
        <v>13</v>
      </c>
      <c r="H34" t="s">
        <v>801</v>
      </c>
    </row>
    <row r="35" spans="2:8">
      <c r="B35">
        <v>16</v>
      </c>
      <c r="C35" s="178">
        <v>480761.86491484893</v>
      </c>
      <c r="D35">
        <v>2023</v>
      </c>
      <c r="E35" t="s">
        <v>277</v>
      </c>
      <c r="F35" t="s">
        <v>797</v>
      </c>
      <c r="G35" t="s">
        <v>798</v>
      </c>
      <c r="H35" t="s">
        <v>801</v>
      </c>
    </row>
    <row r="36" spans="2:8">
      <c r="B36">
        <v>17</v>
      </c>
      <c r="C36" s="178">
        <v>1837695.4875736441</v>
      </c>
      <c r="D36">
        <v>2023</v>
      </c>
      <c r="E36" t="s">
        <v>281</v>
      </c>
      <c r="F36" t="s">
        <v>797</v>
      </c>
      <c r="G36" t="s">
        <v>798</v>
      </c>
      <c r="H36" t="s">
        <v>801</v>
      </c>
    </row>
    <row r="37" spans="2:8">
      <c r="B37">
        <v>18</v>
      </c>
      <c r="C37" s="178">
        <v>12952.219318794072</v>
      </c>
      <c r="D37">
        <v>2023</v>
      </c>
      <c r="E37" t="s">
        <v>290</v>
      </c>
      <c r="F37" t="s">
        <v>797</v>
      </c>
      <c r="G37" t="s">
        <v>798</v>
      </c>
      <c r="H37" t="s">
        <v>801</v>
      </c>
    </row>
    <row r="38" spans="2:8">
      <c r="B38">
        <v>19</v>
      </c>
      <c r="C38" s="178">
        <v>4401460.9803481428</v>
      </c>
      <c r="D38">
        <v>2023</v>
      </c>
      <c r="E38" t="s">
        <v>318</v>
      </c>
      <c r="F38" t="s">
        <v>797</v>
      </c>
      <c r="G38" t="s">
        <v>798</v>
      </c>
      <c r="H38" t="s">
        <v>801</v>
      </c>
    </row>
    <row r="39" spans="2:8">
      <c r="B39">
        <v>20</v>
      </c>
      <c r="C39" s="178">
        <v>179930.39320672158</v>
      </c>
      <c r="D39">
        <v>2023</v>
      </c>
      <c r="E39" t="s">
        <v>324</v>
      </c>
      <c r="F39" t="s">
        <v>797</v>
      </c>
      <c r="G39" t="s">
        <v>798</v>
      </c>
      <c r="H39" t="s">
        <v>801</v>
      </c>
    </row>
    <row r="40" spans="2:8">
      <c r="B40">
        <v>21</v>
      </c>
      <c r="C40" s="178">
        <v>30711053.134938359</v>
      </c>
      <c r="D40">
        <v>2024</v>
      </c>
      <c r="E40" t="s">
        <v>1100</v>
      </c>
      <c r="F40" t="s">
        <v>461</v>
      </c>
      <c r="G40" t="s">
        <v>13</v>
      </c>
      <c r="H40" t="s">
        <v>1095</v>
      </c>
    </row>
    <row r="41" spans="2:8">
      <c r="B41">
        <v>22</v>
      </c>
      <c r="C41" s="178">
        <v>103280388.2346216</v>
      </c>
      <c r="D41">
        <v>2024</v>
      </c>
      <c r="E41" t="s">
        <v>1101</v>
      </c>
      <c r="F41" t="s">
        <v>461</v>
      </c>
      <c r="G41" t="s">
        <v>13</v>
      </c>
      <c r="H41" t="s">
        <v>1095</v>
      </c>
    </row>
    <row r="42" spans="2:8">
      <c r="B42">
        <v>23</v>
      </c>
      <c r="C42" s="178">
        <v>1964.4578009375275</v>
      </c>
      <c r="D42">
        <v>2024</v>
      </c>
      <c r="E42" t="s">
        <v>1102</v>
      </c>
      <c r="F42" t="s">
        <v>461</v>
      </c>
      <c r="G42" t="s">
        <v>13</v>
      </c>
      <c r="H42" t="s">
        <v>1095</v>
      </c>
    </row>
    <row r="43" spans="2:8">
      <c r="B43">
        <v>24</v>
      </c>
      <c r="C43" s="178">
        <v>224147.44705344315</v>
      </c>
      <c r="D43">
        <v>2024</v>
      </c>
      <c r="E43" t="s">
        <v>314</v>
      </c>
      <c r="F43" t="s">
        <v>461</v>
      </c>
      <c r="G43" t="s">
        <v>13</v>
      </c>
      <c r="H43" t="s">
        <v>1095</v>
      </c>
    </row>
    <row r="44" spans="2:8">
      <c r="B44">
        <v>25</v>
      </c>
      <c r="C44" s="178">
        <v>60702.528782164503</v>
      </c>
      <c r="D44">
        <v>2024</v>
      </c>
      <c r="E44" t="s">
        <v>1103</v>
      </c>
      <c r="F44" t="s">
        <v>461</v>
      </c>
      <c r="G44" t="s">
        <v>13</v>
      </c>
      <c r="H44" t="s">
        <v>1095</v>
      </c>
    </row>
    <row r="45" spans="2:8">
      <c r="B45">
        <v>26</v>
      </c>
      <c r="C45" s="178">
        <v>345979197.88378441</v>
      </c>
      <c r="D45">
        <v>2024</v>
      </c>
      <c r="E45" t="s">
        <v>333</v>
      </c>
      <c r="F45" t="s">
        <v>461</v>
      </c>
      <c r="G45" t="s">
        <v>13</v>
      </c>
      <c r="H45" t="s">
        <v>1095</v>
      </c>
    </row>
    <row r="46" spans="2:8">
      <c r="B46">
        <v>27</v>
      </c>
      <c r="C46" s="178">
        <v>10411.73874262043</v>
      </c>
      <c r="D46">
        <v>2024</v>
      </c>
      <c r="E46" t="s">
        <v>344</v>
      </c>
      <c r="F46" t="s">
        <v>461</v>
      </c>
      <c r="G46" t="s">
        <v>13</v>
      </c>
      <c r="H46" t="s">
        <v>1095</v>
      </c>
    </row>
    <row r="47" spans="2:8">
      <c r="B47">
        <v>28</v>
      </c>
      <c r="C47" s="178">
        <v>5531647.6298829895</v>
      </c>
      <c r="D47">
        <v>2024</v>
      </c>
      <c r="E47" t="s">
        <v>277</v>
      </c>
      <c r="F47" t="s">
        <v>797</v>
      </c>
      <c r="G47" t="s">
        <v>798</v>
      </c>
      <c r="H47" t="s">
        <v>1095</v>
      </c>
    </row>
    <row r="48" spans="2:8">
      <c r="B48">
        <v>29</v>
      </c>
      <c r="C48" s="178">
        <v>2027103.1807256674</v>
      </c>
      <c r="D48">
        <v>2024</v>
      </c>
      <c r="E48" t="s">
        <v>281</v>
      </c>
      <c r="F48" t="s">
        <v>797</v>
      </c>
      <c r="G48" t="s">
        <v>798</v>
      </c>
      <c r="H48" t="s">
        <v>1095</v>
      </c>
    </row>
    <row r="49" spans="2:8">
      <c r="B49">
        <v>30</v>
      </c>
      <c r="C49" s="178">
        <v>33082111.823863443</v>
      </c>
      <c r="D49">
        <v>2024</v>
      </c>
      <c r="E49" t="s">
        <v>1099</v>
      </c>
      <c r="F49" t="s">
        <v>797</v>
      </c>
      <c r="G49" t="s">
        <v>798</v>
      </c>
      <c r="H49" t="s">
        <v>1095</v>
      </c>
    </row>
    <row r="50" spans="2:8">
      <c r="B50">
        <v>31</v>
      </c>
      <c r="C50" s="178">
        <v>136024.0865766904</v>
      </c>
      <c r="D50">
        <v>2024</v>
      </c>
      <c r="E50" t="s">
        <v>324</v>
      </c>
      <c r="F50" t="s">
        <v>797</v>
      </c>
      <c r="G50" t="s">
        <v>798</v>
      </c>
      <c r="H50" t="s">
        <v>1095</v>
      </c>
    </row>
    <row r="51" spans="2:8">
      <c r="B51">
        <v>32</v>
      </c>
      <c r="C51" s="178">
        <v>619400.07364485424</v>
      </c>
      <c r="D51">
        <v>2025</v>
      </c>
      <c r="E51" t="s">
        <v>1100</v>
      </c>
      <c r="F51" t="s">
        <v>461</v>
      </c>
      <c r="G51" t="s">
        <v>13</v>
      </c>
      <c r="H51" t="s">
        <v>1167</v>
      </c>
    </row>
    <row r="52" spans="2:8">
      <c r="B52">
        <v>33</v>
      </c>
      <c r="C52" s="178">
        <v>2089506.5759572659</v>
      </c>
      <c r="D52">
        <v>2025</v>
      </c>
      <c r="E52" t="s">
        <v>1101</v>
      </c>
      <c r="F52" t="s">
        <v>461</v>
      </c>
      <c r="G52" t="s">
        <v>13</v>
      </c>
      <c r="H52" t="s">
        <v>1167</v>
      </c>
    </row>
    <row r="53" spans="2:8">
      <c r="B53">
        <v>34</v>
      </c>
      <c r="C53" s="178">
        <v>6969217.2991266688</v>
      </c>
      <c r="D53">
        <v>2025</v>
      </c>
      <c r="E53" t="s">
        <v>333</v>
      </c>
      <c r="F53" t="s">
        <v>461</v>
      </c>
      <c r="G53" t="s">
        <v>13</v>
      </c>
      <c r="H53" t="s">
        <v>1167</v>
      </c>
    </row>
    <row r="54" spans="2:8">
      <c r="B54">
        <v>35</v>
      </c>
      <c r="C54" s="178">
        <v>11474792.139726024</v>
      </c>
      <c r="D54">
        <v>2025</v>
      </c>
      <c r="E54" t="s">
        <v>277</v>
      </c>
      <c r="F54" t="s">
        <v>797</v>
      </c>
      <c r="G54" t="s">
        <v>798</v>
      </c>
      <c r="H54" t="s">
        <v>1167</v>
      </c>
    </row>
    <row r="55" spans="2:8">
      <c r="B55">
        <v>36</v>
      </c>
      <c r="C55" s="178">
        <v>90220.942907819466</v>
      </c>
      <c r="D55">
        <v>2025</v>
      </c>
      <c r="E55" t="s">
        <v>281</v>
      </c>
      <c r="F55" t="s">
        <v>797</v>
      </c>
      <c r="G55" t="s">
        <v>798</v>
      </c>
      <c r="H55" t="s">
        <v>1167</v>
      </c>
    </row>
    <row r="56" spans="2:8">
      <c r="B56">
        <v>37</v>
      </c>
      <c r="C56" s="178">
        <v>217.97749634781226</v>
      </c>
      <c r="D56">
        <v>2025</v>
      </c>
      <c r="E56" t="s">
        <v>1097</v>
      </c>
      <c r="F56" t="s">
        <v>797</v>
      </c>
      <c r="G56" t="s">
        <v>798</v>
      </c>
      <c r="H56" t="s">
        <v>1167</v>
      </c>
    </row>
    <row r="57" spans="2:8">
      <c r="B57">
        <v>38</v>
      </c>
      <c r="C57" s="178">
        <v>35645972.702093259</v>
      </c>
      <c r="D57">
        <v>2025</v>
      </c>
      <c r="E57" t="s">
        <v>1099</v>
      </c>
      <c r="F57" t="s">
        <v>797</v>
      </c>
      <c r="G57" t="s">
        <v>798</v>
      </c>
      <c r="H57" t="s">
        <v>1167</v>
      </c>
    </row>
    <row r="58" spans="2:8">
      <c r="B58">
        <v>39</v>
      </c>
      <c r="C58" s="178">
        <v>10202291.792197688</v>
      </c>
      <c r="D58">
        <v>2025</v>
      </c>
      <c r="E58" t="s">
        <v>324</v>
      </c>
      <c r="F58" t="s">
        <v>797</v>
      </c>
      <c r="G58" t="s">
        <v>798</v>
      </c>
      <c r="H58" t="s">
        <v>1167</v>
      </c>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42"/>
  <sheetViews>
    <sheetView showGridLines="0" zoomScale="85" zoomScaleNormal="85" workbookViewId="0"/>
  </sheetViews>
  <sheetFormatPr defaultRowHeight="12.5"/>
  <cols>
    <col min="1" max="1" width="2.54296875" customWidth="1"/>
    <col min="2" max="2" width="8" bestFit="1" customWidth="1"/>
    <col min="3" max="3" width="19.81640625" bestFit="1" customWidth="1"/>
    <col min="4" max="4" width="22.1796875" bestFit="1" customWidth="1"/>
    <col min="5" max="5" width="38.26953125" bestFit="1" customWidth="1"/>
    <col min="6" max="6" width="69.453125" bestFit="1" customWidth="1"/>
    <col min="7" max="7" width="8.7265625" bestFit="1" customWidth="1"/>
  </cols>
  <sheetData>
    <row r="1" spans="2:13" s="3" customFormat="1"/>
    <row r="2" spans="2:13" s="12" customFormat="1" ht="18">
      <c r="B2" s="12" t="s">
        <v>802</v>
      </c>
    </row>
    <row r="3" spans="2:13" s="3" customFormat="1"/>
    <row r="4" spans="2:13" s="3" customFormat="1" ht="13">
      <c r="B4" s="2" t="s">
        <v>183</v>
      </c>
    </row>
    <row r="5" spans="2:13" s="3" customFormat="1" ht="27" customHeight="1">
      <c r="B5" s="352" t="s">
        <v>803</v>
      </c>
      <c r="C5" s="352"/>
      <c r="D5" s="352"/>
      <c r="E5" s="352"/>
      <c r="F5" s="352"/>
    </row>
    <row r="6" spans="2:13" s="3" customFormat="1"/>
    <row r="7" spans="2:13" s="3" customFormat="1" ht="13">
      <c r="B7" s="16" t="s">
        <v>785</v>
      </c>
      <c r="D7" s="2"/>
    </row>
    <row r="8" spans="2:13" s="3" customFormat="1" ht="16.5" customHeight="1">
      <c r="B8" s="359" t="s">
        <v>786</v>
      </c>
      <c r="C8" s="359"/>
      <c r="D8" s="359"/>
      <c r="E8" s="359"/>
      <c r="F8" s="359"/>
      <c r="G8" s="359"/>
      <c r="H8" s="359"/>
      <c r="I8" s="359"/>
      <c r="J8" s="359"/>
      <c r="K8" s="359"/>
      <c r="L8" s="359"/>
      <c r="M8" s="359"/>
    </row>
    <row r="9" spans="2:13" s="3" customFormat="1" ht="13">
      <c r="B9" s="4"/>
    </row>
    <row r="10" spans="2:13" s="3" customFormat="1" ht="13">
      <c r="B10" s="176" t="s">
        <v>787</v>
      </c>
    </row>
    <row r="11" spans="2:13" s="3" customFormat="1">
      <c r="B11" s="361">
        <v>46150</v>
      </c>
      <c r="C11" s="361"/>
      <c r="D11" s="361"/>
      <c r="E11" s="118"/>
    </row>
    <row r="13" spans="2:13" ht="13">
      <c r="B13" s="176" t="s">
        <v>788</v>
      </c>
      <c r="D13" s="3"/>
      <c r="E13" s="3"/>
    </row>
    <row r="14" spans="2:13" ht="26.25" customHeight="1">
      <c r="B14" s="352" t="s">
        <v>804</v>
      </c>
      <c r="C14" s="352"/>
      <c r="D14" s="352"/>
      <c r="E14" s="352"/>
      <c r="F14" s="352"/>
    </row>
    <row r="16" spans="2:13" ht="13">
      <c r="B16" s="177" t="s">
        <v>790</v>
      </c>
    </row>
    <row r="17" spans="2:7">
      <c r="B17" s="125">
        <f>SUBTOTAL(103,B20:B514)</f>
        <v>123</v>
      </c>
    </row>
    <row r="18" spans="2:7" ht="14.25" customHeight="1"/>
    <row r="19" spans="2:7" s="8" customFormat="1" ht="13">
      <c r="B19" s="8" t="s">
        <v>791</v>
      </c>
      <c r="C19" s="34" t="s">
        <v>490</v>
      </c>
      <c r="D19" s="34" t="s">
        <v>792</v>
      </c>
      <c r="E19" s="34" t="s">
        <v>793</v>
      </c>
      <c r="F19" s="34" t="s">
        <v>796</v>
      </c>
      <c r="G19" s="34" t="s">
        <v>805</v>
      </c>
    </row>
    <row r="20" spans="2:7">
      <c r="B20">
        <v>1</v>
      </c>
      <c r="C20" s="178">
        <v>31360107.14852399</v>
      </c>
      <c r="D20">
        <v>2020</v>
      </c>
      <c r="E20" t="s">
        <v>277</v>
      </c>
      <c r="F20" t="s">
        <v>799</v>
      </c>
      <c r="G20">
        <v>1</v>
      </c>
    </row>
    <row r="21" spans="2:7">
      <c r="B21">
        <v>2</v>
      </c>
      <c r="C21" s="178">
        <v>4529775.5276718521</v>
      </c>
      <c r="D21">
        <v>2020</v>
      </c>
      <c r="E21" t="s">
        <v>281</v>
      </c>
      <c r="F21" t="s">
        <v>799</v>
      </c>
      <c r="G21">
        <v>1</v>
      </c>
    </row>
    <row r="22" spans="2:7">
      <c r="B22">
        <v>3</v>
      </c>
      <c r="C22" s="178">
        <v>1155721.8280173452</v>
      </c>
      <c r="D22">
        <v>2020</v>
      </c>
      <c r="E22" t="s">
        <v>284</v>
      </c>
      <c r="F22" t="s">
        <v>799</v>
      </c>
      <c r="G22">
        <v>1</v>
      </c>
    </row>
    <row r="23" spans="2:7">
      <c r="B23">
        <v>4</v>
      </c>
      <c r="C23" s="178">
        <v>320593.27893508447</v>
      </c>
      <c r="D23">
        <v>2020</v>
      </c>
      <c r="E23" t="s">
        <v>286</v>
      </c>
      <c r="F23" t="s">
        <v>799</v>
      </c>
      <c r="G23">
        <v>1</v>
      </c>
    </row>
    <row r="24" spans="2:7">
      <c r="B24">
        <v>5</v>
      </c>
      <c r="C24" s="178">
        <v>1555027.7495395842</v>
      </c>
      <c r="D24">
        <v>2020</v>
      </c>
      <c r="E24" t="s">
        <v>290</v>
      </c>
      <c r="F24" t="s">
        <v>799</v>
      </c>
      <c r="G24">
        <v>1</v>
      </c>
    </row>
    <row r="25" spans="2:7">
      <c r="B25">
        <v>6</v>
      </c>
      <c r="C25" s="178">
        <v>227358.20364143242</v>
      </c>
      <c r="D25">
        <v>2020</v>
      </c>
      <c r="E25" t="s">
        <v>294</v>
      </c>
      <c r="F25" t="s">
        <v>799</v>
      </c>
      <c r="G25">
        <v>1</v>
      </c>
    </row>
    <row r="26" spans="2:7">
      <c r="B26">
        <v>7</v>
      </c>
      <c r="C26" s="178">
        <v>-2031.2069601401199</v>
      </c>
      <c r="D26">
        <v>2020</v>
      </c>
      <c r="E26" t="s">
        <v>295</v>
      </c>
      <c r="F26" t="s">
        <v>799</v>
      </c>
      <c r="G26">
        <v>1</v>
      </c>
    </row>
    <row r="27" spans="2:7">
      <c r="B27">
        <v>8</v>
      </c>
      <c r="C27" s="178">
        <v>971.16619787636887</v>
      </c>
      <c r="D27">
        <v>2020</v>
      </c>
      <c r="E27" t="s">
        <v>296</v>
      </c>
      <c r="F27" t="s">
        <v>799</v>
      </c>
      <c r="G27">
        <v>1</v>
      </c>
    </row>
    <row r="28" spans="2:7">
      <c r="B28">
        <v>9</v>
      </c>
      <c r="C28" s="178">
        <v>897693.90315601986</v>
      </c>
      <c r="D28">
        <v>2020</v>
      </c>
      <c r="E28" t="s">
        <v>300</v>
      </c>
      <c r="F28" t="s">
        <v>799</v>
      </c>
      <c r="G28">
        <v>1</v>
      </c>
    </row>
    <row r="29" spans="2:7">
      <c r="B29">
        <v>10</v>
      </c>
      <c r="C29" s="178">
        <v>119157.79156970895</v>
      </c>
      <c r="D29">
        <v>2020</v>
      </c>
      <c r="E29" t="s">
        <v>307</v>
      </c>
      <c r="F29" t="s">
        <v>799</v>
      </c>
      <c r="G29">
        <v>1</v>
      </c>
    </row>
    <row r="30" spans="2:7">
      <c r="B30">
        <v>11</v>
      </c>
      <c r="C30" s="178">
        <v>847435.58289065212</v>
      </c>
      <c r="D30">
        <v>2020</v>
      </c>
      <c r="E30" t="s">
        <v>312</v>
      </c>
      <c r="F30" t="s">
        <v>799</v>
      </c>
      <c r="G30">
        <v>1</v>
      </c>
    </row>
    <row r="31" spans="2:7">
      <c r="B31">
        <v>12</v>
      </c>
      <c r="C31" s="178">
        <v>9057966.2936882433</v>
      </c>
      <c r="D31">
        <v>2020</v>
      </c>
      <c r="E31" t="s">
        <v>310</v>
      </c>
      <c r="F31" t="s">
        <v>799</v>
      </c>
      <c r="G31">
        <v>1</v>
      </c>
    </row>
    <row r="32" spans="2:7">
      <c r="B32">
        <v>13</v>
      </c>
      <c r="C32" s="178">
        <v>505581.67726689682</v>
      </c>
      <c r="D32">
        <v>2020</v>
      </c>
      <c r="E32" t="s">
        <v>313</v>
      </c>
      <c r="F32" t="s">
        <v>799</v>
      </c>
      <c r="G32">
        <v>1</v>
      </c>
    </row>
    <row r="33" spans="2:7">
      <c r="B33">
        <v>14</v>
      </c>
      <c r="C33" s="178">
        <v>26405484.075497396</v>
      </c>
      <c r="D33">
        <v>2020</v>
      </c>
      <c r="E33" t="s">
        <v>314</v>
      </c>
      <c r="F33" t="s">
        <v>799</v>
      </c>
      <c r="G33">
        <v>1</v>
      </c>
    </row>
    <row r="34" spans="2:7">
      <c r="B34">
        <v>15</v>
      </c>
      <c r="C34" s="178">
        <v>756400.94229177735</v>
      </c>
      <c r="D34">
        <v>2020</v>
      </c>
      <c r="E34" t="s">
        <v>317</v>
      </c>
      <c r="F34" t="s">
        <v>799</v>
      </c>
      <c r="G34">
        <v>1</v>
      </c>
    </row>
    <row r="35" spans="2:7">
      <c r="B35">
        <v>16</v>
      </c>
      <c r="C35" s="178">
        <v>12922329.119819744</v>
      </c>
      <c r="D35">
        <v>2020</v>
      </c>
      <c r="E35" t="s">
        <v>318</v>
      </c>
      <c r="F35" t="s">
        <v>799</v>
      </c>
      <c r="G35">
        <v>1</v>
      </c>
    </row>
    <row r="36" spans="2:7">
      <c r="B36">
        <v>17</v>
      </c>
      <c r="C36" s="178">
        <v>686952.98173478153</v>
      </c>
      <c r="D36">
        <v>2020</v>
      </c>
      <c r="E36" t="s">
        <v>324</v>
      </c>
      <c r="F36" t="s">
        <v>799</v>
      </c>
      <c r="G36">
        <v>1</v>
      </c>
    </row>
    <row r="37" spans="2:7">
      <c r="B37">
        <v>18</v>
      </c>
      <c r="C37" s="178">
        <v>975839.82625029294</v>
      </c>
      <c r="D37">
        <v>2020</v>
      </c>
      <c r="E37" t="s">
        <v>327</v>
      </c>
      <c r="F37" t="s">
        <v>799</v>
      </c>
      <c r="G37">
        <v>1</v>
      </c>
    </row>
    <row r="38" spans="2:7">
      <c r="B38">
        <v>19</v>
      </c>
      <c r="C38" s="178">
        <v>31012.676750044764</v>
      </c>
      <c r="D38">
        <v>2020</v>
      </c>
      <c r="E38" t="s">
        <v>329</v>
      </c>
      <c r="F38" t="s">
        <v>799</v>
      </c>
      <c r="G38">
        <v>1</v>
      </c>
    </row>
    <row r="39" spans="2:7">
      <c r="B39">
        <v>20</v>
      </c>
      <c r="C39" s="178">
        <v>12132.747993912169</v>
      </c>
      <c r="D39">
        <v>2020</v>
      </c>
      <c r="E39" t="s">
        <v>332</v>
      </c>
      <c r="F39" t="s">
        <v>799</v>
      </c>
      <c r="G39">
        <v>1</v>
      </c>
    </row>
    <row r="40" spans="2:7">
      <c r="B40">
        <v>21</v>
      </c>
      <c r="C40" s="178">
        <v>6654019.8779814392</v>
      </c>
      <c r="D40">
        <v>2020</v>
      </c>
      <c r="E40" t="s">
        <v>333</v>
      </c>
      <c r="F40" t="s">
        <v>799</v>
      </c>
      <c r="G40">
        <v>1</v>
      </c>
    </row>
    <row r="41" spans="2:7">
      <c r="B41">
        <v>22</v>
      </c>
      <c r="C41" s="178">
        <v>4047998.6160165961</v>
      </c>
      <c r="D41">
        <v>2020</v>
      </c>
      <c r="E41" t="s">
        <v>334</v>
      </c>
      <c r="F41" t="s">
        <v>799</v>
      </c>
      <c r="G41">
        <v>1</v>
      </c>
    </row>
    <row r="42" spans="2:7">
      <c r="B42">
        <v>23</v>
      </c>
      <c r="C42" s="178">
        <v>2403625.2498371834</v>
      </c>
      <c r="D42">
        <v>2020</v>
      </c>
      <c r="E42" t="s">
        <v>339</v>
      </c>
      <c r="F42" t="s">
        <v>799</v>
      </c>
      <c r="G42">
        <v>1</v>
      </c>
    </row>
    <row r="43" spans="2:7">
      <c r="B43">
        <v>24</v>
      </c>
      <c r="C43" s="178">
        <v>437.7361508808076</v>
      </c>
      <c r="D43">
        <v>2020</v>
      </c>
      <c r="E43" t="s">
        <v>340</v>
      </c>
      <c r="F43" t="s">
        <v>799</v>
      </c>
      <c r="G43">
        <v>1</v>
      </c>
    </row>
    <row r="44" spans="2:7">
      <c r="B44">
        <v>25</v>
      </c>
      <c r="C44" s="178">
        <v>11388.804547887481</v>
      </c>
      <c r="D44">
        <v>2020</v>
      </c>
      <c r="E44" t="s">
        <v>344</v>
      </c>
      <c r="F44" t="s">
        <v>799</v>
      </c>
      <c r="G44">
        <v>1</v>
      </c>
    </row>
    <row r="45" spans="2:7">
      <c r="B45">
        <v>26</v>
      </c>
      <c r="C45" s="178">
        <v>629346.76893527061</v>
      </c>
      <c r="D45">
        <v>2020</v>
      </c>
      <c r="E45" t="s">
        <v>345</v>
      </c>
      <c r="F45" t="s">
        <v>799</v>
      </c>
      <c r="G45">
        <v>1</v>
      </c>
    </row>
    <row r="46" spans="2:7">
      <c r="B46">
        <v>27</v>
      </c>
      <c r="C46" s="178">
        <v>17036.436079166462</v>
      </c>
      <c r="D46">
        <v>2020</v>
      </c>
      <c r="E46" t="s">
        <v>348</v>
      </c>
      <c r="F46" t="s">
        <v>799</v>
      </c>
      <c r="G46">
        <v>1</v>
      </c>
    </row>
    <row r="47" spans="2:7">
      <c r="B47">
        <v>28</v>
      </c>
      <c r="C47" s="178">
        <v>25706134.090591587</v>
      </c>
      <c r="D47">
        <v>2021</v>
      </c>
      <c r="E47" t="s">
        <v>277</v>
      </c>
      <c r="F47" t="s">
        <v>806</v>
      </c>
      <c r="G47">
        <v>1</v>
      </c>
    </row>
    <row r="48" spans="2:7">
      <c r="B48">
        <v>29</v>
      </c>
      <c r="C48" s="178">
        <v>4851611.3998010792</v>
      </c>
      <c r="D48">
        <v>2021</v>
      </c>
      <c r="E48" t="s">
        <v>281</v>
      </c>
      <c r="F48" t="s">
        <v>806</v>
      </c>
      <c r="G48">
        <v>1</v>
      </c>
    </row>
    <row r="49" spans="2:7">
      <c r="B49">
        <v>30</v>
      </c>
      <c r="C49" s="178">
        <v>1383899.1314390239</v>
      </c>
      <c r="D49">
        <v>2021</v>
      </c>
      <c r="E49" t="s">
        <v>282</v>
      </c>
      <c r="F49" t="s">
        <v>806</v>
      </c>
      <c r="G49">
        <v>1</v>
      </c>
    </row>
    <row r="50" spans="2:7">
      <c r="B50">
        <v>31</v>
      </c>
      <c r="C50" s="178">
        <v>36.126161654819548</v>
      </c>
      <c r="D50">
        <v>2021</v>
      </c>
      <c r="E50" t="s">
        <v>285</v>
      </c>
      <c r="F50" t="s">
        <v>806</v>
      </c>
      <c r="G50">
        <v>1</v>
      </c>
    </row>
    <row r="51" spans="2:7">
      <c r="B51">
        <v>32</v>
      </c>
      <c r="C51" s="178">
        <v>1248204.1157067129</v>
      </c>
      <c r="D51">
        <v>2021</v>
      </c>
      <c r="E51" t="s">
        <v>286</v>
      </c>
      <c r="F51" t="s">
        <v>806</v>
      </c>
      <c r="G51">
        <v>1</v>
      </c>
    </row>
    <row r="52" spans="2:7">
      <c r="B52">
        <v>33</v>
      </c>
      <c r="C52" s="178">
        <v>23454.576356302689</v>
      </c>
      <c r="D52">
        <v>2021</v>
      </c>
      <c r="E52" t="s">
        <v>287</v>
      </c>
      <c r="F52" t="s">
        <v>806</v>
      </c>
      <c r="G52">
        <v>1</v>
      </c>
    </row>
    <row r="53" spans="2:7">
      <c r="B53">
        <v>34</v>
      </c>
      <c r="C53" s="178">
        <v>1097396.6149389972</v>
      </c>
      <c r="D53">
        <v>2021</v>
      </c>
      <c r="E53" t="s">
        <v>290</v>
      </c>
      <c r="F53" t="s">
        <v>806</v>
      </c>
      <c r="G53">
        <v>1</v>
      </c>
    </row>
    <row r="54" spans="2:7">
      <c r="B54">
        <v>35</v>
      </c>
      <c r="C54" s="178">
        <v>21.673674251477685</v>
      </c>
      <c r="D54">
        <v>2021</v>
      </c>
      <c r="E54" t="s">
        <v>291</v>
      </c>
      <c r="F54" t="s">
        <v>806</v>
      </c>
      <c r="G54">
        <v>1</v>
      </c>
    </row>
    <row r="55" spans="2:7">
      <c r="B55">
        <v>36</v>
      </c>
      <c r="C55" s="178">
        <v>396020.07371979632</v>
      </c>
      <c r="D55">
        <v>2021</v>
      </c>
      <c r="E55" t="s">
        <v>294</v>
      </c>
      <c r="F55" t="s">
        <v>806</v>
      </c>
      <c r="G55">
        <v>1</v>
      </c>
    </row>
    <row r="56" spans="2:7">
      <c r="B56">
        <v>37</v>
      </c>
      <c r="C56" s="178">
        <v>467492.18719026912</v>
      </c>
      <c r="D56">
        <v>2021</v>
      </c>
      <c r="E56" t="s">
        <v>296</v>
      </c>
      <c r="F56" t="s">
        <v>806</v>
      </c>
      <c r="G56">
        <v>1</v>
      </c>
    </row>
    <row r="57" spans="2:7">
      <c r="B57">
        <v>38</v>
      </c>
      <c r="C57" s="178">
        <v>2674366.8931494337</v>
      </c>
      <c r="D57">
        <v>2021</v>
      </c>
      <c r="E57" t="s">
        <v>300</v>
      </c>
      <c r="F57" t="s">
        <v>806</v>
      </c>
      <c r="G57">
        <v>1</v>
      </c>
    </row>
    <row r="58" spans="2:7">
      <c r="B58">
        <v>39</v>
      </c>
      <c r="C58" s="178">
        <v>49.981940341018536</v>
      </c>
      <c r="D58">
        <v>2021</v>
      </c>
      <c r="E58" t="s">
        <v>307</v>
      </c>
      <c r="F58" t="s">
        <v>806</v>
      </c>
      <c r="G58">
        <v>1</v>
      </c>
    </row>
    <row r="59" spans="2:7">
      <c r="B59">
        <v>40</v>
      </c>
      <c r="C59" s="178">
        <v>503372.15987408569</v>
      </c>
      <c r="D59">
        <v>2021</v>
      </c>
      <c r="E59" t="s">
        <v>312</v>
      </c>
      <c r="F59" t="s">
        <v>806</v>
      </c>
      <c r="G59">
        <v>1</v>
      </c>
    </row>
    <row r="60" spans="2:7">
      <c r="B60">
        <v>41</v>
      </c>
      <c r="C60" s="178">
        <v>8924117.8015749045</v>
      </c>
      <c r="D60">
        <v>2021</v>
      </c>
      <c r="E60" t="s">
        <v>310</v>
      </c>
      <c r="F60" t="s">
        <v>806</v>
      </c>
      <c r="G60">
        <v>1</v>
      </c>
    </row>
    <row r="61" spans="2:7">
      <c r="B61">
        <v>42</v>
      </c>
      <c r="C61" s="178">
        <v>302473.20248261362</v>
      </c>
      <c r="D61">
        <v>2021</v>
      </c>
      <c r="E61" t="s">
        <v>313</v>
      </c>
      <c r="F61" t="s">
        <v>806</v>
      </c>
      <c r="G61">
        <v>1</v>
      </c>
    </row>
    <row r="62" spans="2:7">
      <c r="B62">
        <v>43</v>
      </c>
      <c r="C62" s="178">
        <v>2052183.8724388792</v>
      </c>
      <c r="D62">
        <v>2021</v>
      </c>
      <c r="E62" t="s">
        <v>314</v>
      </c>
      <c r="F62" t="s">
        <v>806</v>
      </c>
      <c r="G62">
        <v>1</v>
      </c>
    </row>
    <row r="63" spans="2:7">
      <c r="B63">
        <v>44</v>
      </c>
      <c r="C63" s="178">
        <v>2389093.2206175276</v>
      </c>
      <c r="D63">
        <v>2021</v>
      </c>
      <c r="E63" t="s">
        <v>317</v>
      </c>
      <c r="F63" t="s">
        <v>806</v>
      </c>
      <c r="G63">
        <v>1</v>
      </c>
    </row>
    <row r="64" spans="2:7">
      <c r="B64">
        <v>45</v>
      </c>
      <c r="C64" s="178">
        <v>2623152.226809788</v>
      </c>
      <c r="D64">
        <v>2021</v>
      </c>
      <c r="E64" t="s">
        <v>318</v>
      </c>
      <c r="F64" t="s">
        <v>806</v>
      </c>
      <c r="G64">
        <v>1</v>
      </c>
    </row>
    <row r="65" spans="2:7">
      <c r="B65">
        <v>46</v>
      </c>
      <c r="C65" s="178">
        <v>1633023.1294499158</v>
      </c>
      <c r="D65">
        <v>2021</v>
      </c>
      <c r="E65" t="s">
        <v>321</v>
      </c>
      <c r="F65" t="s">
        <v>806</v>
      </c>
      <c r="G65">
        <v>1</v>
      </c>
    </row>
    <row r="66" spans="2:7">
      <c r="B66">
        <v>47</v>
      </c>
      <c r="C66" s="178">
        <v>1234463.3646877937</v>
      </c>
      <c r="D66">
        <v>2021</v>
      </c>
      <c r="E66" t="s">
        <v>324</v>
      </c>
      <c r="F66" t="s">
        <v>806</v>
      </c>
      <c r="G66">
        <v>1</v>
      </c>
    </row>
    <row r="67" spans="2:7">
      <c r="B67">
        <v>48</v>
      </c>
      <c r="C67" s="178">
        <v>374278.37821483467</v>
      </c>
      <c r="D67">
        <v>2021</v>
      </c>
      <c r="E67" t="s">
        <v>327</v>
      </c>
      <c r="F67" t="s">
        <v>806</v>
      </c>
      <c r="G67">
        <v>1</v>
      </c>
    </row>
    <row r="68" spans="2:7">
      <c r="B68">
        <v>49</v>
      </c>
      <c r="C68" s="178">
        <v>889564.28597105667</v>
      </c>
      <c r="D68">
        <v>2021</v>
      </c>
      <c r="E68" t="s">
        <v>329</v>
      </c>
      <c r="F68" t="s">
        <v>806</v>
      </c>
      <c r="G68">
        <v>1</v>
      </c>
    </row>
    <row r="69" spans="2:7">
      <c r="B69">
        <v>50</v>
      </c>
      <c r="C69" s="178">
        <v>21.673674251477685</v>
      </c>
      <c r="D69">
        <v>2021</v>
      </c>
      <c r="E69" t="s">
        <v>331</v>
      </c>
      <c r="F69" t="s">
        <v>806</v>
      </c>
      <c r="G69">
        <v>1</v>
      </c>
    </row>
    <row r="70" spans="2:7">
      <c r="B70">
        <v>51</v>
      </c>
      <c r="C70" s="178">
        <v>66907.138099665128</v>
      </c>
      <c r="D70">
        <v>2021</v>
      </c>
      <c r="E70" t="s">
        <v>333</v>
      </c>
      <c r="F70" t="s">
        <v>806</v>
      </c>
      <c r="G70">
        <v>1</v>
      </c>
    </row>
    <row r="71" spans="2:7">
      <c r="B71">
        <v>52</v>
      </c>
      <c r="C71" s="178">
        <v>8176022.9143784875</v>
      </c>
      <c r="D71">
        <v>2021</v>
      </c>
      <c r="E71" t="s">
        <v>334</v>
      </c>
      <c r="F71" t="s">
        <v>806</v>
      </c>
      <c r="G71">
        <v>1</v>
      </c>
    </row>
    <row r="72" spans="2:7">
      <c r="B72">
        <v>53</v>
      </c>
      <c r="C72" s="178">
        <v>3432263.071002047</v>
      </c>
      <c r="D72">
        <v>2021</v>
      </c>
      <c r="E72" t="s">
        <v>339</v>
      </c>
      <c r="F72" t="s">
        <v>806</v>
      </c>
      <c r="G72">
        <v>1</v>
      </c>
    </row>
    <row r="73" spans="2:7">
      <c r="B73">
        <v>54</v>
      </c>
      <c r="C73" s="178">
        <v>280.60480266320502</v>
      </c>
      <c r="D73">
        <v>2021</v>
      </c>
      <c r="E73" t="s">
        <v>344</v>
      </c>
      <c r="F73" t="s">
        <v>806</v>
      </c>
      <c r="G73">
        <v>1</v>
      </c>
    </row>
    <row r="74" spans="2:7">
      <c r="B74">
        <v>55</v>
      </c>
      <c r="C74" s="178">
        <v>13637663.667912096</v>
      </c>
      <c r="D74">
        <v>2021</v>
      </c>
      <c r="E74" t="s">
        <v>345</v>
      </c>
      <c r="F74" t="s">
        <v>806</v>
      </c>
      <c r="G74">
        <v>1</v>
      </c>
    </row>
    <row r="75" spans="2:7">
      <c r="B75">
        <v>56</v>
      </c>
      <c r="C75" s="178">
        <v>6068.2242421309429</v>
      </c>
      <c r="D75">
        <v>2021</v>
      </c>
      <c r="E75" t="s">
        <v>348</v>
      </c>
      <c r="F75" t="s">
        <v>806</v>
      </c>
      <c r="G75">
        <v>1</v>
      </c>
    </row>
    <row r="76" spans="2:7">
      <c r="B76">
        <v>57</v>
      </c>
      <c r="C76" s="178">
        <v>2134515.8335881382</v>
      </c>
      <c r="D76">
        <v>2021</v>
      </c>
      <c r="E76" t="s">
        <v>349</v>
      </c>
      <c r="F76" t="s">
        <v>806</v>
      </c>
      <c r="G76">
        <v>1</v>
      </c>
    </row>
    <row r="77" spans="2:7">
      <c r="B77">
        <v>58</v>
      </c>
      <c r="C77" s="178">
        <v>33813410.918106742</v>
      </c>
      <c r="D77">
        <v>2022</v>
      </c>
      <c r="E77" t="s">
        <v>277</v>
      </c>
      <c r="F77" t="s">
        <v>800</v>
      </c>
      <c r="G77">
        <v>2</v>
      </c>
    </row>
    <row r="78" spans="2:7">
      <c r="B78">
        <v>59</v>
      </c>
      <c r="C78" s="178">
        <v>6849959.2876701923</v>
      </c>
      <c r="D78">
        <v>2022</v>
      </c>
      <c r="E78" t="s">
        <v>281</v>
      </c>
      <c r="F78" t="s">
        <v>800</v>
      </c>
      <c r="G78">
        <v>2</v>
      </c>
    </row>
    <row r="79" spans="2:7">
      <c r="B79">
        <v>60</v>
      </c>
      <c r="C79" s="178">
        <v>664518.3858161252</v>
      </c>
      <c r="D79">
        <v>2022</v>
      </c>
      <c r="E79" t="s">
        <v>286</v>
      </c>
      <c r="F79" t="s">
        <v>800</v>
      </c>
      <c r="G79">
        <v>2</v>
      </c>
    </row>
    <row r="80" spans="2:7">
      <c r="B80">
        <v>61</v>
      </c>
      <c r="C80" s="178">
        <v>906873.84029764659</v>
      </c>
      <c r="D80">
        <v>2022</v>
      </c>
      <c r="E80" t="s">
        <v>290</v>
      </c>
      <c r="F80" t="s">
        <v>800</v>
      </c>
      <c r="G80">
        <v>2</v>
      </c>
    </row>
    <row r="81" spans="2:7">
      <c r="B81">
        <v>62</v>
      </c>
      <c r="C81" s="178">
        <v>57338.455544922595</v>
      </c>
      <c r="D81">
        <v>2022</v>
      </c>
      <c r="E81" t="s">
        <v>294</v>
      </c>
      <c r="F81" t="s">
        <v>800</v>
      </c>
      <c r="G81">
        <v>2</v>
      </c>
    </row>
    <row r="82" spans="2:7">
      <c r="B82">
        <v>63</v>
      </c>
      <c r="C82" s="178">
        <v>105283.66667709664</v>
      </c>
      <c r="D82">
        <v>2022</v>
      </c>
      <c r="E82" t="s">
        <v>312</v>
      </c>
      <c r="F82" t="s">
        <v>800</v>
      </c>
      <c r="G82">
        <v>2</v>
      </c>
    </row>
    <row r="83" spans="2:7">
      <c r="B83">
        <v>64</v>
      </c>
      <c r="C83" s="178">
        <v>6293355.1961035738</v>
      </c>
      <c r="D83">
        <v>2022</v>
      </c>
      <c r="E83" t="s">
        <v>310</v>
      </c>
      <c r="F83" t="s">
        <v>800</v>
      </c>
      <c r="G83">
        <v>2</v>
      </c>
    </row>
    <row r="84" spans="2:7">
      <c r="B84">
        <v>65</v>
      </c>
      <c r="C84" s="178">
        <v>10404800.792079909</v>
      </c>
      <c r="D84">
        <v>2022</v>
      </c>
      <c r="E84" t="s">
        <v>313</v>
      </c>
      <c r="F84" t="s">
        <v>800</v>
      </c>
      <c r="G84">
        <v>2</v>
      </c>
    </row>
    <row r="85" spans="2:7">
      <c r="B85">
        <v>66</v>
      </c>
      <c r="C85" s="178">
        <v>3092987.1234078766</v>
      </c>
      <c r="D85">
        <v>2022</v>
      </c>
      <c r="E85" t="s">
        <v>314</v>
      </c>
      <c r="F85" t="s">
        <v>800</v>
      </c>
      <c r="G85">
        <v>2</v>
      </c>
    </row>
    <row r="86" spans="2:7">
      <c r="B86">
        <v>67</v>
      </c>
      <c r="C86" s="178">
        <v>1027512.2926749249</v>
      </c>
      <c r="D86">
        <v>2022</v>
      </c>
      <c r="E86" t="s">
        <v>317</v>
      </c>
      <c r="F86" t="s">
        <v>800</v>
      </c>
      <c r="G86">
        <v>2</v>
      </c>
    </row>
    <row r="87" spans="2:7">
      <c r="B87">
        <v>68</v>
      </c>
      <c r="C87" s="178">
        <v>15717781.33321991</v>
      </c>
      <c r="D87">
        <v>2022</v>
      </c>
      <c r="E87" t="s">
        <v>318</v>
      </c>
      <c r="F87" t="s">
        <v>800</v>
      </c>
      <c r="G87">
        <v>2</v>
      </c>
    </row>
    <row r="88" spans="2:7">
      <c r="B88">
        <v>69</v>
      </c>
      <c r="C88" s="178">
        <v>4052946.4637069628</v>
      </c>
      <c r="D88">
        <v>2022</v>
      </c>
      <c r="E88" t="s">
        <v>324</v>
      </c>
      <c r="F88" t="s">
        <v>800</v>
      </c>
      <c r="G88">
        <v>2</v>
      </c>
    </row>
    <row r="89" spans="2:7">
      <c r="B89">
        <v>70</v>
      </c>
      <c r="C89" s="178">
        <v>646.81735113356922</v>
      </c>
      <c r="D89">
        <v>2022</v>
      </c>
      <c r="E89" t="s">
        <v>327</v>
      </c>
      <c r="F89" t="s">
        <v>800</v>
      </c>
      <c r="G89">
        <v>2</v>
      </c>
    </row>
    <row r="90" spans="2:7">
      <c r="B90">
        <v>71</v>
      </c>
      <c r="C90" s="178">
        <v>183674.23028357985</v>
      </c>
      <c r="D90">
        <v>2022</v>
      </c>
      <c r="E90" t="s">
        <v>329</v>
      </c>
      <c r="F90" t="s">
        <v>800</v>
      </c>
      <c r="G90">
        <v>2</v>
      </c>
    </row>
    <row r="91" spans="2:7">
      <c r="B91">
        <v>72</v>
      </c>
      <c r="C91" s="178">
        <v>914035.73224221612</v>
      </c>
      <c r="D91">
        <v>2022</v>
      </c>
      <c r="E91" t="s">
        <v>333</v>
      </c>
      <c r="F91" t="s">
        <v>800</v>
      </c>
      <c r="G91">
        <v>2</v>
      </c>
    </row>
    <row r="92" spans="2:7">
      <c r="B92">
        <v>73</v>
      </c>
      <c r="C92" s="178">
        <v>-5587235.5025544362</v>
      </c>
      <c r="D92">
        <v>2022</v>
      </c>
      <c r="E92" t="s">
        <v>345</v>
      </c>
      <c r="F92" t="s">
        <v>800</v>
      </c>
      <c r="G92">
        <v>2</v>
      </c>
    </row>
    <row r="93" spans="2:7">
      <c r="B93">
        <v>74</v>
      </c>
      <c r="C93" s="178">
        <v>622622.73355007381</v>
      </c>
      <c r="D93">
        <v>2022</v>
      </c>
      <c r="E93" t="s">
        <v>349</v>
      </c>
      <c r="F93" t="s">
        <v>800</v>
      </c>
      <c r="G93">
        <v>2</v>
      </c>
    </row>
    <row r="94" spans="2:7">
      <c r="B94">
        <v>75</v>
      </c>
      <c r="C94" s="178">
        <v>35129736.152436323</v>
      </c>
      <c r="D94">
        <v>2023</v>
      </c>
      <c r="E94" t="s">
        <v>277</v>
      </c>
      <c r="F94" t="s">
        <v>801</v>
      </c>
      <c r="G94">
        <v>1</v>
      </c>
    </row>
    <row r="95" spans="2:7">
      <c r="B95">
        <v>76</v>
      </c>
      <c r="C95" s="178">
        <v>3911702.9434979549</v>
      </c>
      <c r="D95">
        <v>2023</v>
      </c>
      <c r="E95" t="s">
        <v>281</v>
      </c>
      <c r="F95" t="s">
        <v>801</v>
      </c>
      <c r="G95">
        <v>1</v>
      </c>
    </row>
    <row r="96" spans="2:7">
      <c r="B96">
        <v>77</v>
      </c>
      <c r="C96" s="178">
        <v>211106.04067513763</v>
      </c>
      <c r="D96">
        <v>2023</v>
      </c>
      <c r="E96" t="s">
        <v>286</v>
      </c>
      <c r="F96" t="s">
        <v>801</v>
      </c>
      <c r="G96">
        <v>1</v>
      </c>
    </row>
    <row r="97" spans="2:7">
      <c r="B97">
        <v>78</v>
      </c>
      <c r="C97" s="178">
        <v>87365.41867156743</v>
      </c>
      <c r="D97">
        <v>2023</v>
      </c>
      <c r="E97" t="s">
        <v>290</v>
      </c>
      <c r="F97" t="s">
        <v>801</v>
      </c>
      <c r="G97">
        <v>1</v>
      </c>
    </row>
    <row r="98" spans="2:7">
      <c r="B98">
        <v>79</v>
      </c>
      <c r="C98" s="178">
        <v>512.30039495694564</v>
      </c>
      <c r="D98">
        <v>2023</v>
      </c>
      <c r="E98" t="s">
        <v>294</v>
      </c>
      <c r="F98" t="s">
        <v>801</v>
      </c>
      <c r="G98">
        <v>1</v>
      </c>
    </row>
    <row r="99" spans="2:7">
      <c r="B99">
        <v>80</v>
      </c>
      <c r="C99" s="178">
        <v>52227.302738377963</v>
      </c>
      <c r="D99">
        <v>2023</v>
      </c>
      <c r="E99" t="s">
        <v>312</v>
      </c>
      <c r="F99" t="s">
        <v>801</v>
      </c>
      <c r="G99">
        <v>1</v>
      </c>
    </row>
    <row r="100" spans="2:7">
      <c r="B100">
        <v>81</v>
      </c>
      <c r="C100" s="178">
        <v>1503868.6390986054</v>
      </c>
      <c r="D100">
        <v>2023</v>
      </c>
      <c r="E100" t="s">
        <v>310</v>
      </c>
      <c r="F100" t="s">
        <v>801</v>
      </c>
      <c r="G100">
        <v>1</v>
      </c>
    </row>
    <row r="101" spans="2:7">
      <c r="B101">
        <v>82</v>
      </c>
      <c r="C101" s="178">
        <v>2183439.2423609141</v>
      </c>
      <c r="D101">
        <v>2023</v>
      </c>
      <c r="E101" t="s">
        <v>313</v>
      </c>
      <c r="F101" t="s">
        <v>801</v>
      </c>
      <c r="G101">
        <v>1</v>
      </c>
    </row>
    <row r="102" spans="2:7">
      <c r="B102">
        <v>83</v>
      </c>
      <c r="C102" s="178">
        <v>999432.73169850267</v>
      </c>
      <c r="D102">
        <v>2023</v>
      </c>
      <c r="E102" t="s">
        <v>314</v>
      </c>
      <c r="F102" t="s">
        <v>801</v>
      </c>
      <c r="G102">
        <v>1</v>
      </c>
    </row>
    <row r="103" spans="2:7">
      <c r="B103">
        <v>84</v>
      </c>
      <c r="C103" s="178">
        <v>1817413.6692713664</v>
      </c>
      <c r="D103">
        <v>2023</v>
      </c>
      <c r="E103" t="s">
        <v>317</v>
      </c>
      <c r="F103" t="s">
        <v>801</v>
      </c>
      <c r="G103">
        <v>1</v>
      </c>
    </row>
    <row r="104" spans="2:7">
      <c r="B104">
        <v>85</v>
      </c>
      <c r="C104" s="178">
        <v>22543419.613286749</v>
      </c>
      <c r="D104">
        <v>2023</v>
      </c>
      <c r="E104" t="s">
        <v>318</v>
      </c>
      <c r="F104" t="s">
        <v>801</v>
      </c>
      <c r="G104">
        <v>1</v>
      </c>
    </row>
    <row r="105" spans="2:7">
      <c r="B105">
        <v>86</v>
      </c>
      <c r="C105" s="178">
        <v>1283661.605903188</v>
      </c>
      <c r="D105">
        <v>2023</v>
      </c>
      <c r="E105" t="s">
        <v>324</v>
      </c>
      <c r="F105" t="s">
        <v>801</v>
      </c>
      <c r="G105">
        <v>1</v>
      </c>
    </row>
    <row r="106" spans="2:7">
      <c r="B106">
        <v>87</v>
      </c>
      <c r="C106" s="178">
        <v>403062.53576066508</v>
      </c>
      <c r="D106">
        <v>2023</v>
      </c>
      <c r="E106" t="s">
        <v>327</v>
      </c>
      <c r="F106" t="s">
        <v>801</v>
      </c>
      <c r="G106">
        <v>1</v>
      </c>
    </row>
    <row r="107" spans="2:7">
      <c r="B107">
        <v>88</v>
      </c>
      <c r="C107" s="178">
        <v>141832.85648723919</v>
      </c>
      <c r="D107">
        <v>2023</v>
      </c>
      <c r="E107" t="s">
        <v>329</v>
      </c>
      <c r="F107" t="s">
        <v>801</v>
      </c>
      <c r="G107">
        <v>1</v>
      </c>
    </row>
    <row r="108" spans="2:7">
      <c r="B108">
        <v>89</v>
      </c>
      <c r="C108" s="178">
        <v>106149.96916572338</v>
      </c>
      <c r="D108">
        <v>2023</v>
      </c>
      <c r="E108" t="s">
        <v>332</v>
      </c>
      <c r="F108" t="s">
        <v>801</v>
      </c>
      <c r="G108">
        <v>1</v>
      </c>
    </row>
    <row r="109" spans="2:7">
      <c r="B109">
        <v>90</v>
      </c>
      <c r="C109" s="178">
        <v>22782.771765883743</v>
      </c>
      <c r="D109">
        <v>2023</v>
      </c>
      <c r="E109" t="s">
        <v>333</v>
      </c>
      <c r="F109" t="s">
        <v>801</v>
      </c>
      <c r="G109">
        <v>1</v>
      </c>
    </row>
    <row r="110" spans="2:7">
      <c r="B110">
        <v>91</v>
      </c>
      <c r="C110" s="178">
        <v>-7843704.5403578533</v>
      </c>
      <c r="D110">
        <v>2023</v>
      </c>
      <c r="E110" t="s">
        <v>345</v>
      </c>
      <c r="F110" t="s">
        <v>801</v>
      </c>
      <c r="G110">
        <v>1</v>
      </c>
    </row>
    <row r="111" spans="2:7">
      <c r="B111">
        <v>92</v>
      </c>
      <c r="C111" s="178">
        <v>34638760.532571472</v>
      </c>
      <c r="D111">
        <v>2024</v>
      </c>
      <c r="E111" t="s">
        <v>277</v>
      </c>
      <c r="F111" t="s">
        <v>1095</v>
      </c>
      <c r="G111">
        <v>1</v>
      </c>
    </row>
    <row r="112" spans="2:7">
      <c r="B112">
        <v>93</v>
      </c>
      <c r="C112" s="178">
        <v>7519513.4610189181</v>
      </c>
      <c r="D112">
        <v>2024</v>
      </c>
      <c r="E112" t="s">
        <v>281</v>
      </c>
      <c r="F112" t="s">
        <v>1095</v>
      </c>
      <c r="G112">
        <v>1</v>
      </c>
    </row>
    <row r="113" spans="2:7">
      <c r="B113">
        <v>94</v>
      </c>
      <c r="C113" s="178">
        <v>1572406.7396321148</v>
      </c>
      <c r="D113">
        <v>2024</v>
      </c>
      <c r="E113" t="s">
        <v>1096</v>
      </c>
      <c r="F113" t="s">
        <v>1095</v>
      </c>
      <c r="G113">
        <v>1</v>
      </c>
    </row>
    <row r="114" spans="2:7">
      <c r="B114">
        <v>95</v>
      </c>
      <c r="C114" s="178">
        <v>4287092.0360101471</v>
      </c>
      <c r="D114">
        <v>2024</v>
      </c>
      <c r="E114" t="s">
        <v>1097</v>
      </c>
      <c r="F114" t="s">
        <v>1095</v>
      </c>
      <c r="G114">
        <v>1</v>
      </c>
    </row>
    <row r="115" spans="2:7">
      <c r="B115">
        <v>96</v>
      </c>
      <c r="C115" s="178">
        <v>292.67943422678155</v>
      </c>
      <c r="D115">
        <v>2024</v>
      </c>
      <c r="E115" t="s">
        <v>1098</v>
      </c>
      <c r="F115" t="s">
        <v>1095</v>
      </c>
      <c r="G115">
        <v>1</v>
      </c>
    </row>
    <row r="116" spans="2:7">
      <c r="B116">
        <v>97</v>
      </c>
      <c r="C116" s="178">
        <v>315351.90212130325</v>
      </c>
      <c r="D116">
        <v>2024</v>
      </c>
      <c r="E116" t="s">
        <v>312</v>
      </c>
      <c r="F116" t="s">
        <v>1095</v>
      </c>
      <c r="G116">
        <v>1</v>
      </c>
    </row>
    <row r="117" spans="2:7">
      <c r="B117">
        <v>98</v>
      </c>
      <c r="C117" s="178">
        <v>3902229.9831766533</v>
      </c>
      <c r="D117">
        <v>2024</v>
      </c>
      <c r="E117" t="s">
        <v>310</v>
      </c>
      <c r="F117" t="s">
        <v>1095</v>
      </c>
      <c r="G117">
        <v>1</v>
      </c>
    </row>
    <row r="118" spans="2:7">
      <c r="B118">
        <v>99</v>
      </c>
      <c r="C118" s="178">
        <v>324403.26548893563</v>
      </c>
      <c r="D118">
        <v>2024</v>
      </c>
      <c r="E118" t="s">
        <v>313</v>
      </c>
      <c r="F118" t="s">
        <v>1095</v>
      </c>
      <c r="G118">
        <v>1</v>
      </c>
    </row>
    <row r="119" spans="2:7">
      <c r="B119">
        <v>100</v>
      </c>
      <c r="C119" s="178">
        <v>1863550.4666900963</v>
      </c>
      <c r="D119">
        <v>2024</v>
      </c>
      <c r="E119" t="s">
        <v>314</v>
      </c>
      <c r="F119" t="s">
        <v>1095</v>
      </c>
      <c r="G119">
        <v>1</v>
      </c>
    </row>
    <row r="120" spans="2:7">
      <c r="B120">
        <v>101</v>
      </c>
      <c r="C120" s="178">
        <v>9517259.8126506843</v>
      </c>
      <c r="D120">
        <v>2024</v>
      </c>
      <c r="E120" t="s">
        <v>1099</v>
      </c>
      <c r="F120" t="s">
        <v>1095</v>
      </c>
      <c r="G120">
        <v>1</v>
      </c>
    </row>
    <row r="121" spans="2:7">
      <c r="B121">
        <v>102</v>
      </c>
      <c r="C121" s="178">
        <v>383647.63556054421</v>
      </c>
      <c r="D121">
        <v>2024</v>
      </c>
      <c r="E121" t="s">
        <v>324</v>
      </c>
      <c r="F121" t="s">
        <v>1095</v>
      </c>
      <c r="G121">
        <v>1</v>
      </c>
    </row>
    <row r="122" spans="2:7">
      <c r="B122">
        <v>103</v>
      </c>
      <c r="C122" s="178">
        <v>319917.18713220663</v>
      </c>
      <c r="D122">
        <v>2024</v>
      </c>
      <c r="E122" t="s">
        <v>327</v>
      </c>
      <c r="F122" t="s">
        <v>1095</v>
      </c>
      <c r="G122">
        <v>1</v>
      </c>
    </row>
    <row r="123" spans="2:7">
      <c r="B123">
        <v>104</v>
      </c>
      <c r="C123" s="178">
        <v>663072.28041230026</v>
      </c>
      <c r="D123">
        <v>2024</v>
      </c>
      <c r="E123" t="s">
        <v>329</v>
      </c>
      <c r="F123" t="s">
        <v>1095</v>
      </c>
      <c r="G123">
        <v>1</v>
      </c>
    </row>
    <row r="124" spans="2:7">
      <c r="B124">
        <v>105</v>
      </c>
      <c r="C124" s="178">
        <v>5631.2438527908316</v>
      </c>
      <c r="D124">
        <v>2024</v>
      </c>
      <c r="E124" t="s">
        <v>331</v>
      </c>
      <c r="F124" t="s">
        <v>1095</v>
      </c>
      <c r="G124">
        <v>1</v>
      </c>
    </row>
    <row r="125" spans="2:7">
      <c r="B125">
        <v>106</v>
      </c>
      <c r="C125" s="178">
        <v>27477.304978275635</v>
      </c>
      <c r="D125">
        <v>2024</v>
      </c>
      <c r="E125" t="s">
        <v>332</v>
      </c>
      <c r="F125" t="s">
        <v>1095</v>
      </c>
      <c r="G125">
        <v>1</v>
      </c>
    </row>
    <row r="126" spans="2:7">
      <c r="B126">
        <v>107</v>
      </c>
      <c r="C126" s="178">
        <v>23985165.966778118</v>
      </c>
      <c r="D126">
        <v>2024</v>
      </c>
      <c r="E126" t="s">
        <v>333</v>
      </c>
      <c r="F126" t="s">
        <v>1095</v>
      </c>
      <c r="G126">
        <v>1</v>
      </c>
    </row>
    <row r="127" spans="2:7">
      <c r="B127">
        <v>108</v>
      </c>
      <c r="C127" s="178">
        <v>2862737.0777425626</v>
      </c>
      <c r="D127">
        <v>2024</v>
      </c>
      <c r="E127" t="s">
        <v>345</v>
      </c>
      <c r="F127" t="s">
        <v>1095</v>
      </c>
      <c r="G127">
        <v>1</v>
      </c>
    </row>
    <row r="128" spans="2:7">
      <c r="B128">
        <v>109</v>
      </c>
      <c r="C128" s="178">
        <v>51047866.293393217</v>
      </c>
      <c r="D128">
        <v>2025</v>
      </c>
      <c r="E128" t="s">
        <v>277</v>
      </c>
      <c r="F128" t="s">
        <v>1167</v>
      </c>
      <c r="G128">
        <v>1</v>
      </c>
    </row>
    <row r="129" spans="2:7">
      <c r="B129">
        <v>110</v>
      </c>
      <c r="C129" s="178">
        <v>13803031.288232353</v>
      </c>
      <c r="D129">
        <v>2025</v>
      </c>
      <c r="E129" t="s">
        <v>281</v>
      </c>
      <c r="F129" t="s">
        <v>1167</v>
      </c>
      <c r="G129">
        <v>1</v>
      </c>
    </row>
    <row r="130" spans="2:7">
      <c r="B130">
        <v>111</v>
      </c>
      <c r="C130" s="178">
        <v>-20979.079136318192</v>
      </c>
      <c r="D130">
        <v>2025</v>
      </c>
      <c r="E130" t="s">
        <v>1096</v>
      </c>
      <c r="F130" t="s">
        <v>1167</v>
      </c>
      <c r="G130">
        <v>1</v>
      </c>
    </row>
    <row r="131" spans="2:7">
      <c r="B131">
        <v>112</v>
      </c>
      <c r="C131" s="178">
        <v>-83385.919873105478</v>
      </c>
      <c r="D131">
        <v>2025</v>
      </c>
      <c r="E131" t="s">
        <v>1097</v>
      </c>
      <c r="F131" t="s">
        <v>1167</v>
      </c>
      <c r="G131">
        <v>1</v>
      </c>
    </row>
    <row r="132" spans="2:7">
      <c r="B132">
        <v>113</v>
      </c>
      <c r="C132" s="178">
        <v>69421.745178848403</v>
      </c>
      <c r="D132">
        <v>2025</v>
      </c>
      <c r="E132" t="s">
        <v>312</v>
      </c>
      <c r="F132" t="s">
        <v>1167</v>
      </c>
      <c r="G132">
        <v>1</v>
      </c>
    </row>
    <row r="133" spans="2:7">
      <c r="B133">
        <v>114</v>
      </c>
      <c r="C133" s="178">
        <v>19074218.609357327</v>
      </c>
      <c r="D133">
        <v>2025</v>
      </c>
      <c r="E133" t="s">
        <v>310</v>
      </c>
      <c r="F133" t="s">
        <v>1167</v>
      </c>
      <c r="G133">
        <v>1</v>
      </c>
    </row>
    <row r="134" spans="2:7">
      <c r="B134">
        <v>115</v>
      </c>
      <c r="C134" s="178">
        <v>5364691.8499594387</v>
      </c>
      <c r="D134">
        <v>2025</v>
      </c>
      <c r="E134" t="s">
        <v>313</v>
      </c>
      <c r="F134" t="s">
        <v>1167</v>
      </c>
      <c r="G134">
        <v>1</v>
      </c>
    </row>
    <row r="135" spans="2:7">
      <c r="B135">
        <v>116</v>
      </c>
      <c r="C135" s="178">
        <v>2341962.8281327751</v>
      </c>
      <c r="D135">
        <v>2025</v>
      </c>
      <c r="E135" t="s">
        <v>314</v>
      </c>
      <c r="F135" t="s">
        <v>1167</v>
      </c>
      <c r="G135">
        <v>1</v>
      </c>
    </row>
    <row r="136" spans="2:7">
      <c r="B136">
        <v>117</v>
      </c>
      <c r="C136" s="178">
        <v>19735264.894148596</v>
      </c>
      <c r="D136">
        <v>2025</v>
      </c>
      <c r="E136" t="s">
        <v>1099</v>
      </c>
      <c r="F136" t="s">
        <v>1167</v>
      </c>
      <c r="G136">
        <v>1</v>
      </c>
    </row>
    <row r="137" spans="2:7">
      <c r="B137">
        <v>118</v>
      </c>
      <c r="C137" s="178">
        <v>909014.90836381866</v>
      </c>
      <c r="D137">
        <v>2025</v>
      </c>
      <c r="E137" t="s">
        <v>324</v>
      </c>
      <c r="F137" t="s">
        <v>1167</v>
      </c>
      <c r="G137">
        <v>1</v>
      </c>
    </row>
    <row r="138" spans="2:7">
      <c r="B138">
        <v>119</v>
      </c>
      <c r="C138" s="178">
        <v>7652.2709978681778</v>
      </c>
      <c r="D138">
        <v>2025</v>
      </c>
      <c r="E138" t="s">
        <v>327</v>
      </c>
      <c r="F138" t="s">
        <v>1167</v>
      </c>
      <c r="G138">
        <v>1</v>
      </c>
    </row>
    <row r="139" spans="2:7">
      <c r="B139">
        <v>120</v>
      </c>
      <c r="C139" s="178">
        <v>1515298.3484208267</v>
      </c>
      <c r="D139">
        <v>2025</v>
      </c>
      <c r="E139" t="s">
        <v>329</v>
      </c>
      <c r="F139" t="s">
        <v>1167</v>
      </c>
      <c r="G139">
        <v>1</v>
      </c>
    </row>
    <row r="140" spans="2:7">
      <c r="B140">
        <v>121</v>
      </c>
      <c r="C140" s="178">
        <v>221.45402760640519</v>
      </c>
      <c r="D140">
        <v>2025</v>
      </c>
      <c r="E140" t="s">
        <v>332</v>
      </c>
      <c r="F140" t="s">
        <v>1167</v>
      </c>
      <c r="G140">
        <v>1</v>
      </c>
    </row>
    <row r="141" spans="2:7">
      <c r="B141">
        <v>122</v>
      </c>
      <c r="C141" s="178">
        <v>3130803.2248994284</v>
      </c>
      <c r="D141">
        <v>2025</v>
      </c>
      <c r="E141" t="s">
        <v>333</v>
      </c>
      <c r="F141" t="s">
        <v>1167</v>
      </c>
      <c r="G141">
        <v>1</v>
      </c>
    </row>
    <row r="142" spans="2:7">
      <c r="B142">
        <v>123</v>
      </c>
      <c r="C142" s="178">
        <v>-7007442.2366909012</v>
      </c>
      <c r="D142">
        <v>2025</v>
      </c>
      <c r="E142" t="s">
        <v>345</v>
      </c>
      <c r="F142" t="s">
        <v>1167</v>
      </c>
      <c r="G142">
        <v>1</v>
      </c>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804"/>
  <sheetViews>
    <sheetView showGridLines="0" zoomScale="85" zoomScaleNormal="85" workbookViewId="0"/>
  </sheetViews>
  <sheetFormatPr defaultRowHeight="12.5"/>
  <cols>
    <col min="1" max="1" width="2.54296875" customWidth="1"/>
    <col min="2" max="2" width="8" bestFit="1" customWidth="1"/>
    <col min="3" max="3" width="66.1796875" bestFit="1" customWidth="1"/>
    <col min="4" max="4" width="30.26953125" bestFit="1" customWidth="1"/>
    <col min="5" max="5" width="48.81640625" bestFit="1" customWidth="1"/>
    <col min="6" max="6" width="47.54296875" bestFit="1" customWidth="1"/>
    <col min="7" max="7" width="7.1796875" bestFit="1" customWidth="1"/>
    <col min="8" max="8" width="69.453125" bestFit="1" customWidth="1"/>
    <col min="9" max="9" width="8.7265625" bestFit="1" customWidth="1"/>
  </cols>
  <sheetData>
    <row r="1" spans="2:13" s="3" customFormat="1">
      <c r="C1" s="181"/>
    </row>
    <row r="2" spans="2:13" s="12" customFormat="1" ht="18">
      <c r="B2" s="12" t="s">
        <v>807</v>
      </c>
      <c r="C2" s="182"/>
    </row>
    <row r="3" spans="2:13" s="3" customFormat="1">
      <c r="C3" s="181"/>
    </row>
    <row r="4" spans="2:13" s="3" customFormat="1" ht="13">
      <c r="B4" s="2" t="s">
        <v>183</v>
      </c>
      <c r="C4" s="181"/>
    </row>
    <row r="5" spans="2:13" s="3" customFormat="1">
      <c r="B5" s="3" t="s">
        <v>808</v>
      </c>
      <c r="C5" s="181"/>
    </row>
    <row r="6" spans="2:13" s="3" customFormat="1">
      <c r="C6" s="181"/>
    </row>
    <row r="7" spans="2:13" s="3" customFormat="1" ht="13">
      <c r="B7" s="16" t="s">
        <v>785</v>
      </c>
      <c r="C7" s="181"/>
      <c r="D7" s="2"/>
    </row>
    <row r="8" spans="2:13" s="3" customFormat="1" ht="16.5" customHeight="1">
      <c r="B8" s="359" t="s">
        <v>809</v>
      </c>
      <c r="C8" s="359"/>
      <c r="D8" s="359"/>
      <c r="E8" s="359"/>
      <c r="F8" s="359"/>
      <c r="G8" s="359"/>
      <c r="H8" s="359"/>
      <c r="I8" s="359"/>
      <c r="J8" s="359"/>
      <c r="K8" s="359"/>
      <c r="L8" s="359"/>
      <c r="M8" s="359"/>
    </row>
    <row r="9" spans="2:13" s="3" customFormat="1" ht="13">
      <c r="B9" s="4"/>
      <c r="C9" s="181"/>
    </row>
    <row r="10" spans="2:13" s="3" customFormat="1" ht="13">
      <c r="B10" s="176" t="s">
        <v>787</v>
      </c>
      <c r="C10" s="181"/>
    </row>
    <row r="11" spans="2:13" s="3" customFormat="1">
      <c r="B11" s="361">
        <v>46150</v>
      </c>
      <c r="C11" s="361"/>
      <c r="D11" s="361"/>
      <c r="E11" s="118"/>
    </row>
    <row r="12" spans="2:13">
      <c r="C12" s="179"/>
    </row>
    <row r="13" spans="2:13" ht="13">
      <c r="B13" s="176" t="s">
        <v>788</v>
      </c>
      <c r="C13" s="179"/>
      <c r="D13" s="3"/>
      <c r="E13" s="3"/>
    </row>
    <row r="14" spans="2:13">
      <c r="B14" s="352" t="s">
        <v>810</v>
      </c>
      <c r="C14" s="352"/>
      <c r="D14" s="352"/>
      <c r="E14" s="118"/>
    </row>
    <row r="15" spans="2:13">
      <c r="C15" s="179"/>
    </row>
    <row r="16" spans="2:13" ht="13">
      <c r="B16" s="177" t="s">
        <v>790</v>
      </c>
      <c r="C16" s="179"/>
    </row>
    <row r="17" spans="2:9">
      <c r="B17" s="125">
        <f>SUBTOTAL(103,B20:B828)</f>
        <v>785</v>
      </c>
      <c r="C17" s="179"/>
    </row>
    <row r="18" spans="2:9" ht="14.25" customHeight="1">
      <c r="C18" s="179"/>
    </row>
    <row r="19" spans="2:9" s="8" customFormat="1" ht="13">
      <c r="B19" s="8" t="s">
        <v>791</v>
      </c>
      <c r="C19" s="8" t="s">
        <v>274</v>
      </c>
      <c r="D19" s="8" t="s">
        <v>522</v>
      </c>
      <c r="E19" s="8" t="s">
        <v>811</v>
      </c>
      <c r="F19" s="8" t="s">
        <v>812</v>
      </c>
      <c r="G19" s="8" t="s">
        <v>149</v>
      </c>
      <c r="H19" s="8" t="s">
        <v>796</v>
      </c>
      <c r="I19" s="8" t="s">
        <v>805</v>
      </c>
    </row>
    <row r="20" spans="2:9">
      <c r="B20" s="324">
        <v>1</v>
      </c>
      <c r="C20" s="324" t="s">
        <v>277</v>
      </c>
      <c r="D20" s="324">
        <v>1955</v>
      </c>
      <c r="E20" s="325">
        <v>7756.11</v>
      </c>
      <c r="F20" s="324"/>
      <c r="G20" s="324">
        <v>2020</v>
      </c>
      <c r="H20" s="324" t="s">
        <v>799</v>
      </c>
      <c r="I20" s="324">
        <v>1</v>
      </c>
    </row>
    <row r="21" spans="2:9">
      <c r="B21" s="324">
        <v>2</v>
      </c>
      <c r="C21" s="324" t="s">
        <v>277</v>
      </c>
      <c r="D21" s="324">
        <v>1957</v>
      </c>
      <c r="E21" s="325">
        <v>1329.11</v>
      </c>
      <c r="F21" s="324"/>
      <c r="G21" s="324">
        <v>2020</v>
      </c>
      <c r="H21" s="324" t="s">
        <v>799</v>
      </c>
      <c r="I21" s="324">
        <v>1</v>
      </c>
    </row>
    <row r="22" spans="2:9">
      <c r="B22" s="324">
        <v>3</v>
      </c>
      <c r="C22" s="324" t="s">
        <v>277</v>
      </c>
      <c r="D22" s="324">
        <v>1958</v>
      </c>
      <c r="E22" s="325">
        <v>110951.25</v>
      </c>
      <c r="F22" s="324"/>
      <c r="G22" s="324">
        <v>2020</v>
      </c>
      <c r="H22" s="324" t="s">
        <v>799</v>
      </c>
      <c r="I22" s="324">
        <v>1</v>
      </c>
    </row>
    <row r="23" spans="2:9">
      <c r="B23" s="324">
        <v>4</v>
      </c>
      <c r="C23" s="324" t="s">
        <v>277</v>
      </c>
      <c r="D23" s="324">
        <v>1959</v>
      </c>
      <c r="E23" s="325">
        <v>1485.2</v>
      </c>
      <c r="F23" s="324"/>
      <c r="G23" s="324">
        <v>2020</v>
      </c>
      <c r="H23" s="324" t="s">
        <v>799</v>
      </c>
      <c r="I23" s="324">
        <v>1</v>
      </c>
    </row>
    <row r="24" spans="2:9">
      <c r="B24" s="324">
        <v>5</v>
      </c>
      <c r="C24" s="324" t="s">
        <v>277</v>
      </c>
      <c r="D24" s="324">
        <v>1960</v>
      </c>
      <c r="E24" s="325">
        <v>472102</v>
      </c>
      <c r="F24" s="324">
        <v>70000</v>
      </c>
      <c r="G24" s="324">
        <v>2020</v>
      </c>
      <c r="H24" s="324" t="s">
        <v>799</v>
      </c>
      <c r="I24" s="324">
        <v>1</v>
      </c>
    </row>
    <row r="25" spans="2:9">
      <c r="B25" s="324">
        <v>6</v>
      </c>
      <c r="C25" s="324" t="s">
        <v>277</v>
      </c>
      <c r="D25" s="324">
        <v>1963</v>
      </c>
      <c r="E25" s="325">
        <v>5199.87</v>
      </c>
      <c r="F25" s="324"/>
      <c r="G25" s="324">
        <v>2020</v>
      </c>
      <c r="H25" s="324" t="s">
        <v>799</v>
      </c>
      <c r="I25" s="324">
        <v>1</v>
      </c>
    </row>
    <row r="26" spans="2:9">
      <c r="B26" s="324">
        <v>7</v>
      </c>
      <c r="C26" s="324" t="s">
        <v>277</v>
      </c>
      <c r="D26" s="324">
        <v>1965</v>
      </c>
      <c r="E26" s="325">
        <v>323801.40000000002</v>
      </c>
      <c r="F26" s="324"/>
      <c r="G26" s="324">
        <v>2020</v>
      </c>
      <c r="H26" s="324" t="s">
        <v>799</v>
      </c>
      <c r="I26" s="324">
        <v>1</v>
      </c>
    </row>
    <row r="27" spans="2:9">
      <c r="B27" s="324">
        <v>8</v>
      </c>
      <c r="C27" s="324" t="s">
        <v>277</v>
      </c>
      <c r="D27" s="324">
        <v>1966</v>
      </c>
      <c r="E27" s="325">
        <v>436963.19</v>
      </c>
      <c r="F27" s="324"/>
      <c r="G27" s="324">
        <v>2020</v>
      </c>
      <c r="H27" s="324" t="s">
        <v>799</v>
      </c>
      <c r="I27" s="324">
        <v>1</v>
      </c>
    </row>
    <row r="28" spans="2:9">
      <c r="B28" s="324">
        <v>9</v>
      </c>
      <c r="C28" s="324" t="s">
        <v>277</v>
      </c>
      <c r="D28" s="324">
        <v>1967</v>
      </c>
      <c r="E28" s="325">
        <v>527887.29</v>
      </c>
      <c r="F28" s="324"/>
      <c r="G28" s="324">
        <v>2020</v>
      </c>
      <c r="H28" s="324" t="s">
        <v>799</v>
      </c>
      <c r="I28" s="324">
        <v>1</v>
      </c>
    </row>
    <row r="29" spans="2:9">
      <c r="B29" s="324">
        <v>10</v>
      </c>
      <c r="C29" s="324" t="s">
        <v>277</v>
      </c>
      <c r="D29" s="324">
        <v>1968</v>
      </c>
      <c r="E29" s="325">
        <v>243220.29</v>
      </c>
      <c r="F29" s="324"/>
      <c r="G29" s="324">
        <v>2020</v>
      </c>
      <c r="H29" s="324" t="s">
        <v>799</v>
      </c>
      <c r="I29" s="324">
        <v>1</v>
      </c>
    </row>
    <row r="30" spans="2:9">
      <c r="B30" s="324">
        <v>11</v>
      </c>
      <c r="C30" s="324" t="s">
        <v>277</v>
      </c>
      <c r="D30" s="324">
        <v>1969</v>
      </c>
      <c r="E30" s="325">
        <v>157118.15</v>
      </c>
      <c r="F30" s="324"/>
      <c r="G30" s="324">
        <v>2020</v>
      </c>
      <c r="H30" s="324" t="s">
        <v>799</v>
      </c>
      <c r="I30" s="324">
        <v>1</v>
      </c>
    </row>
    <row r="31" spans="2:9">
      <c r="B31" s="324">
        <v>12</v>
      </c>
      <c r="C31" s="324" t="s">
        <v>277</v>
      </c>
      <c r="D31" s="324">
        <v>1970</v>
      </c>
      <c r="E31" s="325">
        <v>186298.57</v>
      </c>
      <c r="F31" s="324"/>
      <c r="G31" s="324">
        <v>2020</v>
      </c>
      <c r="H31" s="324" t="s">
        <v>799</v>
      </c>
      <c r="I31" s="324">
        <v>1</v>
      </c>
    </row>
    <row r="32" spans="2:9">
      <c r="B32" s="324">
        <v>13</v>
      </c>
      <c r="C32" s="324" t="s">
        <v>277</v>
      </c>
      <c r="D32" s="324">
        <v>1971</v>
      </c>
      <c r="E32" s="325">
        <v>161892.66</v>
      </c>
      <c r="F32" s="324"/>
      <c r="G32" s="324">
        <v>2020</v>
      </c>
      <c r="H32" s="324" t="s">
        <v>799</v>
      </c>
      <c r="I32" s="324">
        <v>1</v>
      </c>
    </row>
    <row r="33" spans="2:9">
      <c r="B33" s="324">
        <v>14</v>
      </c>
      <c r="C33" s="324" t="s">
        <v>277</v>
      </c>
      <c r="D33" s="324">
        <v>1972</v>
      </c>
      <c r="E33" s="325">
        <v>414299.14</v>
      </c>
      <c r="F33" s="324"/>
      <c r="G33" s="324">
        <v>2020</v>
      </c>
      <c r="H33" s="324" t="s">
        <v>799</v>
      </c>
      <c r="I33" s="324">
        <v>1</v>
      </c>
    </row>
    <row r="34" spans="2:9">
      <c r="B34" s="324">
        <v>15</v>
      </c>
      <c r="C34" s="324" t="s">
        <v>277</v>
      </c>
      <c r="D34" s="324">
        <v>1973</v>
      </c>
      <c r="E34" s="325">
        <v>199407.52</v>
      </c>
      <c r="F34" s="324"/>
      <c r="G34" s="324">
        <v>2020</v>
      </c>
      <c r="H34" s="324" t="s">
        <v>799</v>
      </c>
      <c r="I34" s="324">
        <v>1</v>
      </c>
    </row>
    <row r="35" spans="2:9">
      <c r="B35" s="324">
        <v>16</v>
      </c>
      <c r="C35" s="324" t="s">
        <v>277</v>
      </c>
      <c r="D35" s="324">
        <v>1974</v>
      </c>
      <c r="E35" s="325">
        <v>45610.86</v>
      </c>
      <c r="F35" s="324"/>
      <c r="G35" s="324">
        <v>2020</v>
      </c>
      <c r="H35" s="324" t="s">
        <v>799</v>
      </c>
      <c r="I35" s="324">
        <v>1</v>
      </c>
    </row>
    <row r="36" spans="2:9">
      <c r="B36" s="324">
        <v>17</v>
      </c>
      <c r="C36" s="324" t="s">
        <v>277</v>
      </c>
      <c r="D36" s="324">
        <v>1975</v>
      </c>
      <c r="E36" s="325">
        <v>26637.1</v>
      </c>
      <c r="F36" s="324"/>
      <c r="G36" s="324">
        <v>2020</v>
      </c>
      <c r="H36" s="324" t="s">
        <v>799</v>
      </c>
      <c r="I36" s="324">
        <v>1</v>
      </c>
    </row>
    <row r="37" spans="2:9">
      <c r="B37" s="324">
        <v>18</v>
      </c>
      <c r="C37" s="324" t="s">
        <v>277</v>
      </c>
      <c r="D37" s="324">
        <v>1976</v>
      </c>
      <c r="E37" s="325">
        <v>110116.33</v>
      </c>
      <c r="F37" s="324"/>
      <c r="G37" s="324">
        <v>2020</v>
      </c>
      <c r="H37" s="324" t="s">
        <v>799</v>
      </c>
      <c r="I37" s="324">
        <v>1</v>
      </c>
    </row>
    <row r="38" spans="2:9">
      <c r="B38" s="324">
        <v>19</v>
      </c>
      <c r="C38" s="324" t="s">
        <v>277</v>
      </c>
      <c r="D38" s="324">
        <v>1977</v>
      </c>
      <c r="E38" s="325">
        <v>40000</v>
      </c>
      <c r="F38" s="324"/>
      <c r="G38" s="324">
        <v>2020</v>
      </c>
      <c r="H38" s="324" t="s">
        <v>799</v>
      </c>
      <c r="I38" s="324">
        <v>1</v>
      </c>
    </row>
    <row r="39" spans="2:9">
      <c r="B39" s="324">
        <v>20</v>
      </c>
      <c r="C39" s="324" t="s">
        <v>277</v>
      </c>
      <c r="D39" s="324">
        <v>1980</v>
      </c>
      <c r="E39" s="325">
        <v>104178.71</v>
      </c>
      <c r="F39" s="324"/>
      <c r="G39" s="324">
        <v>2020</v>
      </c>
      <c r="H39" s="324" t="s">
        <v>799</v>
      </c>
      <c r="I39" s="324">
        <v>1</v>
      </c>
    </row>
    <row r="40" spans="2:9">
      <c r="B40" s="324">
        <v>21</v>
      </c>
      <c r="C40" s="324" t="s">
        <v>277</v>
      </c>
      <c r="D40" s="324">
        <v>1986</v>
      </c>
      <c r="E40" s="325">
        <v>1666.04</v>
      </c>
      <c r="F40" s="324"/>
      <c r="G40" s="324">
        <v>2020</v>
      </c>
      <c r="H40" s="324" t="s">
        <v>799</v>
      </c>
      <c r="I40" s="324">
        <v>1</v>
      </c>
    </row>
    <row r="41" spans="2:9">
      <c r="B41" s="324">
        <v>22</v>
      </c>
      <c r="C41" s="324" t="s">
        <v>277</v>
      </c>
      <c r="D41" s="324">
        <v>1987</v>
      </c>
      <c r="E41" s="325">
        <v>35717.06</v>
      </c>
      <c r="F41" s="324"/>
      <c r="G41" s="324">
        <v>2020</v>
      </c>
      <c r="H41" s="324" t="s">
        <v>799</v>
      </c>
      <c r="I41" s="324">
        <v>1</v>
      </c>
    </row>
    <row r="42" spans="2:9">
      <c r="B42" s="324">
        <v>23</v>
      </c>
      <c r="C42" s="324" t="s">
        <v>277</v>
      </c>
      <c r="D42" s="324">
        <v>1988</v>
      </c>
      <c r="E42" s="325">
        <v>4808.08</v>
      </c>
      <c r="F42" s="324"/>
      <c r="G42" s="324">
        <v>2020</v>
      </c>
      <c r="H42" s="324" t="s">
        <v>799</v>
      </c>
      <c r="I42" s="324">
        <v>1</v>
      </c>
    </row>
    <row r="43" spans="2:9">
      <c r="B43" s="324">
        <v>24</v>
      </c>
      <c r="C43" s="324" t="s">
        <v>277</v>
      </c>
      <c r="D43" s="324">
        <v>1989</v>
      </c>
      <c r="E43" s="325">
        <v>24785.81</v>
      </c>
      <c r="F43" s="324"/>
      <c r="G43" s="324">
        <v>2020</v>
      </c>
      <c r="H43" s="324" t="s">
        <v>799</v>
      </c>
      <c r="I43" s="324">
        <v>1</v>
      </c>
    </row>
    <row r="44" spans="2:9">
      <c r="B44" s="324">
        <v>25</v>
      </c>
      <c r="C44" s="324" t="s">
        <v>277</v>
      </c>
      <c r="D44" s="324">
        <v>1992</v>
      </c>
      <c r="E44" s="325">
        <v>22986.32</v>
      </c>
      <c r="F44" s="324"/>
      <c r="G44" s="324">
        <v>2020</v>
      </c>
      <c r="H44" s="324" t="s">
        <v>799</v>
      </c>
      <c r="I44" s="324">
        <v>1</v>
      </c>
    </row>
    <row r="45" spans="2:9">
      <c r="B45" s="324">
        <v>26</v>
      </c>
      <c r="C45" s="324" t="s">
        <v>277</v>
      </c>
      <c r="D45" s="324">
        <v>1999</v>
      </c>
      <c r="E45" s="325">
        <v>62463.15</v>
      </c>
      <c r="F45" s="324"/>
      <c r="G45" s="324">
        <v>2020</v>
      </c>
      <c r="H45" s="324" t="s">
        <v>799</v>
      </c>
      <c r="I45" s="324">
        <v>1</v>
      </c>
    </row>
    <row r="46" spans="2:9">
      <c r="B46" s="324">
        <v>27</v>
      </c>
      <c r="C46" s="324" t="s">
        <v>277</v>
      </c>
      <c r="D46" s="324">
        <v>2000</v>
      </c>
      <c r="E46" s="325">
        <v>184556.79</v>
      </c>
      <c r="F46" s="324"/>
      <c r="G46" s="324">
        <v>2020</v>
      </c>
      <c r="H46" s="324" t="s">
        <v>799</v>
      </c>
      <c r="I46" s="324">
        <v>1</v>
      </c>
    </row>
    <row r="47" spans="2:9">
      <c r="B47" s="324">
        <v>28</v>
      </c>
      <c r="C47" s="324" t="s">
        <v>277</v>
      </c>
      <c r="D47" s="324">
        <v>2001</v>
      </c>
      <c r="E47" s="325">
        <v>74893.259999999995</v>
      </c>
      <c r="F47" s="324"/>
      <c r="G47" s="324">
        <v>2020</v>
      </c>
      <c r="H47" s="324" t="s">
        <v>799</v>
      </c>
      <c r="I47" s="324">
        <v>1</v>
      </c>
    </row>
    <row r="48" spans="2:9">
      <c r="B48" s="324">
        <v>29</v>
      </c>
      <c r="C48" s="324" t="s">
        <v>277</v>
      </c>
      <c r="D48" s="324">
        <v>2002</v>
      </c>
      <c r="E48" s="325">
        <v>98192.88</v>
      </c>
      <c r="F48" s="324"/>
      <c r="G48" s="324">
        <v>2020</v>
      </c>
      <c r="H48" s="324" t="s">
        <v>799</v>
      </c>
      <c r="I48" s="324">
        <v>1</v>
      </c>
    </row>
    <row r="49" spans="2:9">
      <c r="B49" s="324">
        <v>30</v>
      </c>
      <c r="C49" s="324" t="s">
        <v>277</v>
      </c>
      <c r="D49" s="324">
        <v>2003</v>
      </c>
      <c r="E49" s="325">
        <v>117678.13</v>
      </c>
      <c r="F49" s="324"/>
      <c r="G49" s="324">
        <v>2020</v>
      </c>
      <c r="H49" s="324" t="s">
        <v>799</v>
      </c>
      <c r="I49" s="324">
        <v>1</v>
      </c>
    </row>
    <row r="50" spans="2:9">
      <c r="B50" s="324">
        <v>31</v>
      </c>
      <c r="C50" s="324" t="s">
        <v>277</v>
      </c>
      <c r="D50" s="324">
        <v>2004</v>
      </c>
      <c r="E50" s="325">
        <v>26579.37</v>
      </c>
      <c r="F50" s="324"/>
      <c r="G50" s="324">
        <v>2020</v>
      </c>
      <c r="H50" s="324" t="s">
        <v>799</v>
      </c>
      <c r="I50" s="324">
        <v>1</v>
      </c>
    </row>
    <row r="51" spans="2:9">
      <c r="B51" s="324">
        <v>32</v>
      </c>
      <c r="C51" s="324" t="s">
        <v>277</v>
      </c>
      <c r="D51" s="324">
        <v>2005</v>
      </c>
      <c r="E51" s="325">
        <v>2763.58</v>
      </c>
      <c r="F51" s="324"/>
      <c r="G51" s="324">
        <v>2020</v>
      </c>
      <c r="H51" s="324" t="s">
        <v>799</v>
      </c>
      <c r="I51" s="324">
        <v>1</v>
      </c>
    </row>
    <row r="52" spans="2:9">
      <c r="B52" s="324">
        <v>33</v>
      </c>
      <c r="C52" s="324" t="s">
        <v>277</v>
      </c>
      <c r="D52" s="324">
        <v>2011</v>
      </c>
      <c r="E52" s="325">
        <v>6196.9935750000004</v>
      </c>
      <c r="F52" s="324"/>
      <c r="G52" s="324">
        <v>2020</v>
      </c>
      <c r="H52" s="324" t="s">
        <v>799</v>
      </c>
      <c r="I52" s="324">
        <v>1</v>
      </c>
    </row>
    <row r="53" spans="2:9">
      <c r="B53" s="324">
        <v>34</v>
      </c>
      <c r="C53" s="324" t="s">
        <v>277</v>
      </c>
      <c r="D53" s="324">
        <v>2013</v>
      </c>
      <c r="E53" s="325">
        <v>800675.63015999994</v>
      </c>
      <c r="F53" s="324"/>
      <c r="G53" s="324">
        <v>2020</v>
      </c>
      <c r="H53" s="324" t="s">
        <v>799</v>
      </c>
      <c r="I53" s="324">
        <v>1</v>
      </c>
    </row>
    <row r="54" spans="2:9">
      <c r="B54" s="324">
        <v>35</v>
      </c>
      <c r="C54" s="324" t="s">
        <v>279</v>
      </c>
      <c r="D54" s="324">
        <v>1966</v>
      </c>
      <c r="E54" s="325">
        <v>185.7</v>
      </c>
      <c r="F54" s="324"/>
      <c r="G54" s="324">
        <v>2020</v>
      </c>
      <c r="H54" s="324" t="s">
        <v>799</v>
      </c>
      <c r="I54" s="324">
        <v>1</v>
      </c>
    </row>
    <row r="55" spans="2:9">
      <c r="B55" s="324">
        <v>36</v>
      </c>
      <c r="C55" s="324" t="s">
        <v>279</v>
      </c>
      <c r="D55" s="324">
        <v>1969</v>
      </c>
      <c r="E55" s="325">
        <v>16723.95</v>
      </c>
      <c r="F55" s="324"/>
      <c r="G55" s="324">
        <v>2020</v>
      </c>
      <c r="H55" s="324" t="s">
        <v>799</v>
      </c>
      <c r="I55" s="324">
        <v>1</v>
      </c>
    </row>
    <row r="56" spans="2:9">
      <c r="B56" s="324">
        <v>37</v>
      </c>
      <c r="C56" s="324" t="s">
        <v>279</v>
      </c>
      <c r="D56" s="324">
        <v>1971</v>
      </c>
      <c r="E56" s="325">
        <v>20942.86</v>
      </c>
      <c r="F56" s="324"/>
      <c r="G56" s="324">
        <v>2020</v>
      </c>
      <c r="H56" s="324" t="s">
        <v>799</v>
      </c>
      <c r="I56" s="324">
        <v>1</v>
      </c>
    </row>
    <row r="57" spans="2:9">
      <c r="B57" s="324">
        <v>38</v>
      </c>
      <c r="C57" s="324" t="s">
        <v>279</v>
      </c>
      <c r="D57" s="324">
        <v>1972</v>
      </c>
      <c r="E57" s="325">
        <v>40987.47</v>
      </c>
      <c r="F57" s="324"/>
      <c r="G57" s="324">
        <v>2020</v>
      </c>
      <c r="H57" s="324" t="s">
        <v>799</v>
      </c>
      <c r="I57" s="324">
        <v>1</v>
      </c>
    </row>
    <row r="58" spans="2:9">
      <c r="B58" s="324">
        <v>39</v>
      </c>
      <c r="C58" s="324" t="s">
        <v>279</v>
      </c>
      <c r="D58" s="324">
        <v>1973</v>
      </c>
      <c r="E58" s="325">
        <v>12298.26</v>
      </c>
      <c r="F58" s="324"/>
      <c r="G58" s="324">
        <v>2020</v>
      </c>
      <c r="H58" s="324" t="s">
        <v>799</v>
      </c>
      <c r="I58" s="324">
        <v>1</v>
      </c>
    </row>
    <row r="59" spans="2:9">
      <c r="B59" s="324">
        <v>40</v>
      </c>
      <c r="C59" s="324" t="s">
        <v>279</v>
      </c>
      <c r="D59" s="324">
        <v>1975</v>
      </c>
      <c r="E59" s="325">
        <v>13362.9</v>
      </c>
      <c r="F59" s="324"/>
      <c r="G59" s="324">
        <v>2020</v>
      </c>
      <c r="H59" s="324" t="s">
        <v>799</v>
      </c>
      <c r="I59" s="324">
        <v>1</v>
      </c>
    </row>
    <row r="60" spans="2:9">
      <c r="B60" s="324">
        <v>41</v>
      </c>
      <c r="C60" s="324" t="s">
        <v>279</v>
      </c>
      <c r="D60" s="324">
        <v>1980</v>
      </c>
      <c r="E60" s="325">
        <v>47995.57</v>
      </c>
      <c r="F60" s="324"/>
      <c r="G60" s="324">
        <v>2020</v>
      </c>
      <c r="H60" s="324" t="s">
        <v>799</v>
      </c>
      <c r="I60" s="324">
        <v>1</v>
      </c>
    </row>
    <row r="61" spans="2:9">
      <c r="B61" s="324">
        <v>42</v>
      </c>
      <c r="C61" s="324" t="s">
        <v>281</v>
      </c>
      <c r="D61" s="324">
        <v>1965</v>
      </c>
      <c r="E61" s="325">
        <v>162736.70000000001</v>
      </c>
      <c r="F61" s="324"/>
      <c r="G61" s="324">
        <v>2020</v>
      </c>
      <c r="H61" s="324" t="s">
        <v>799</v>
      </c>
      <c r="I61" s="324">
        <v>1</v>
      </c>
    </row>
    <row r="62" spans="2:9">
      <c r="B62" s="324">
        <v>43</v>
      </c>
      <c r="C62" s="324" t="s">
        <v>281</v>
      </c>
      <c r="D62" s="324">
        <v>1966</v>
      </c>
      <c r="E62" s="325">
        <v>282042.34000000003</v>
      </c>
      <c r="F62" s="324"/>
      <c r="G62" s="324">
        <v>2020</v>
      </c>
      <c r="H62" s="324" t="s">
        <v>799</v>
      </c>
      <c r="I62" s="324">
        <v>1</v>
      </c>
    </row>
    <row r="63" spans="2:9">
      <c r="B63" s="324">
        <v>44</v>
      </c>
      <c r="C63" s="324" t="s">
        <v>281</v>
      </c>
      <c r="D63" s="324">
        <v>1967</v>
      </c>
      <c r="E63" s="325">
        <v>390313.68</v>
      </c>
      <c r="F63" s="324"/>
      <c r="G63" s="324">
        <v>2020</v>
      </c>
      <c r="H63" s="324" t="s">
        <v>799</v>
      </c>
      <c r="I63" s="324">
        <v>1</v>
      </c>
    </row>
    <row r="64" spans="2:9">
      <c r="B64" s="324">
        <v>45</v>
      </c>
      <c r="C64" s="324" t="s">
        <v>281</v>
      </c>
      <c r="D64" s="324">
        <v>1968</v>
      </c>
      <c r="E64" s="325">
        <v>337925.75</v>
      </c>
      <c r="F64" s="324"/>
      <c r="G64" s="324">
        <v>2020</v>
      </c>
      <c r="H64" s="324" t="s">
        <v>799</v>
      </c>
      <c r="I64" s="324">
        <v>1</v>
      </c>
    </row>
    <row r="65" spans="2:9">
      <c r="B65" s="324">
        <v>46</v>
      </c>
      <c r="C65" s="324" t="s">
        <v>281</v>
      </c>
      <c r="D65" s="324">
        <v>1969</v>
      </c>
      <c r="E65" s="325">
        <v>19730</v>
      </c>
      <c r="F65" s="324"/>
      <c r="G65" s="324">
        <v>2020</v>
      </c>
      <c r="H65" s="324" t="s">
        <v>799</v>
      </c>
      <c r="I65" s="324">
        <v>1</v>
      </c>
    </row>
    <row r="66" spans="2:9">
      <c r="B66" s="324">
        <v>47</v>
      </c>
      <c r="C66" s="324" t="s">
        <v>281</v>
      </c>
      <c r="D66" s="324">
        <v>1970</v>
      </c>
      <c r="E66" s="325">
        <v>169357.15</v>
      </c>
      <c r="F66" s="324"/>
      <c r="G66" s="324">
        <v>2020</v>
      </c>
      <c r="H66" s="324" t="s">
        <v>799</v>
      </c>
      <c r="I66" s="324">
        <v>1</v>
      </c>
    </row>
    <row r="67" spans="2:9">
      <c r="B67" s="324">
        <v>48</v>
      </c>
      <c r="C67" s="324" t="s">
        <v>281</v>
      </c>
      <c r="D67" s="324">
        <v>1971</v>
      </c>
      <c r="E67" s="325">
        <v>201451.64</v>
      </c>
      <c r="F67" s="324"/>
      <c r="G67" s="324">
        <v>2020</v>
      </c>
      <c r="H67" s="324" t="s">
        <v>799</v>
      </c>
      <c r="I67" s="324">
        <v>1</v>
      </c>
    </row>
    <row r="68" spans="2:9">
      <c r="B68" s="324">
        <v>49</v>
      </c>
      <c r="C68" s="324" t="s">
        <v>281</v>
      </c>
      <c r="D68" s="324">
        <v>1972</v>
      </c>
      <c r="E68" s="325">
        <v>147669.32</v>
      </c>
      <c r="F68" s="324"/>
      <c r="G68" s="324">
        <v>2020</v>
      </c>
      <c r="H68" s="324" t="s">
        <v>799</v>
      </c>
      <c r="I68" s="324">
        <v>1</v>
      </c>
    </row>
    <row r="69" spans="2:9">
      <c r="B69" s="324">
        <v>50</v>
      </c>
      <c r="C69" s="324" t="s">
        <v>281</v>
      </c>
      <c r="D69" s="324">
        <v>1974</v>
      </c>
      <c r="E69" s="325">
        <v>27434.639999999999</v>
      </c>
      <c r="F69" s="324"/>
      <c r="G69" s="324">
        <v>2020</v>
      </c>
      <c r="H69" s="324" t="s">
        <v>799</v>
      </c>
      <c r="I69" s="324">
        <v>1</v>
      </c>
    </row>
    <row r="70" spans="2:9">
      <c r="B70" s="324">
        <v>51</v>
      </c>
      <c r="C70" s="324" t="s">
        <v>281</v>
      </c>
      <c r="D70" s="324">
        <v>1975</v>
      </c>
      <c r="E70" s="325">
        <v>30000</v>
      </c>
      <c r="F70" s="324"/>
      <c r="G70" s="324">
        <v>2020</v>
      </c>
      <c r="H70" s="324" t="s">
        <v>799</v>
      </c>
      <c r="I70" s="324">
        <v>1</v>
      </c>
    </row>
    <row r="71" spans="2:9">
      <c r="B71" s="324">
        <v>52</v>
      </c>
      <c r="C71" s="324" t="s">
        <v>281</v>
      </c>
      <c r="D71" s="324">
        <v>1976</v>
      </c>
      <c r="E71" s="325">
        <v>72000</v>
      </c>
      <c r="F71" s="324"/>
      <c r="G71" s="324">
        <v>2020</v>
      </c>
      <c r="H71" s="324" t="s">
        <v>799</v>
      </c>
      <c r="I71" s="324">
        <v>1</v>
      </c>
    </row>
    <row r="72" spans="2:9">
      <c r="B72" s="324">
        <v>53</v>
      </c>
      <c r="C72" s="324" t="s">
        <v>281</v>
      </c>
      <c r="D72" s="324">
        <v>1977</v>
      </c>
      <c r="E72" s="325">
        <v>104527.46</v>
      </c>
      <c r="F72" s="324"/>
      <c r="G72" s="324">
        <v>2020</v>
      </c>
      <c r="H72" s="324" t="s">
        <v>799</v>
      </c>
      <c r="I72" s="324">
        <v>1</v>
      </c>
    </row>
    <row r="73" spans="2:9">
      <c r="B73" s="324">
        <v>54</v>
      </c>
      <c r="C73" s="324" t="s">
        <v>281</v>
      </c>
      <c r="D73" s="324">
        <v>1979</v>
      </c>
      <c r="E73" s="325">
        <v>102180.41</v>
      </c>
      <c r="F73" s="324"/>
      <c r="G73" s="324">
        <v>2020</v>
      </c>
      <c r="H73" s="324" t="s">
        <v>799</v>
      </c>
      <c r="I73" s="324">
        <v>1</v>
      </c>
    </row>
    <row r="74" spans="2:9">
      <c r="B74" s="324">
        <v>55</v>
      </c>
      <c r="C74" s="324" t="s">
        <v>281</v>
      </c>
      <c r="D74" s="324">
        <v>1982</v>
      </c>
      <c r="E74" s="325">
        <v>87225.38</v>
      </c>
      <c r="F74" s="324"/>
      <c r="G74" s="324">
        <v>2020</v>
      </c>
      <c r="H74" s="324" t="s">
        <v>799</v>
      </c>
      <c r="I74" s="324">
        <v>1</v>
      </c>
    </row>
    <row r="75" spans="2:9">
      <c r="B75" s="324">
        <v>56</v>
      </c>
      <c r="C75" s="324" t="s">
        <v>281</v>
      </c>
      <c r="D75" s="324">
        <v>1983</v>
      </c>
      <c r="E75" s="325">
        <v>30000</v>
      </c>
      <c r="F75" s="324"/>
      <c r="G75" s="324">
        <v>2020</v>
      </c>
      <c r="H75" s="324" t="s">
        <v>799</v>
      </c>
      <c r="I75" s="324">
        <v>1</v>
      </c>
    </row>
    <row r="76" spans="2:9">
      <c r="B76" s="324">
        <v>57</v>
      </c>
      <c r="C76" s="324" t="s">
        <v>281</v>
      </c>
      <c r="D76" s="324">
        <v>1985</v>
      </c>
      <c r="E76" s="325">
        <v>38613.07</v>
      </c>
      <c r="F76" s="324"/>
      <c r="G76" s="324">
        <v>2020</v>
      </c>
      <c r="H76" s="324" t="s">
        <v>799</v>
      </c>
      <c r="I76" s="324">
        <v>1</v>
      </c>
    </row>
    <row r="77" spans="2:9">
      <c r="B77" s="324">
        <v>58</v>
      </c>
      <c r="C77" s="324" t="s">
        <v>281</v>
      </c>
      <c r="D77" s="324">
        <v>1987</v>
      </c>
      <c r="E77" s="325">
        <v>8154.43</v>
      </c>
      <c r="F77" s="324"/>
      <c r="G77" s="324">
        <v>2020</v>
      </c>
      <c r="H77" s="324" t="s">
        <v>799</v>
      </c>
      <c r="I77" s="324">
        <v>1</v>
      </c>
    </row>
    <row r="78" spans="2:9">
      <c r="B78" s="324">
        <v>59</v>
      </c>
      <c r="C78" s="324" t="s">
        <v>281</v>
      </c>
      <c r="D78" s="324">
        <v>1992</v>
      </c>
      <c r="E78" s="325">
        <v>79800.429999999993</v>
      </c>
      <c r="F78" s="324"/>
      <c r="G78" s="324">
        <v>2020</v>
      </c>
      <c r="H78" s="324" t="s">
        <v>799</v>
      </c>
      <c r="I78" s="324">
        <v>1</v>
      </c>
    </row>
    <row r="79" spans="2:9">
      <c r="B79" s="324">
        <v>60</v>
      </c>
      <c r="C79" s="324" t="s">
        <v>281</v>
      </c>
      <c r="D79" s="324">
        <v>1995</v>
      </c>
      <c r="E79" s="325">
        <v>121494.29</v>
      </c>
      <c r="F79" s="324"/>
      <c r="G79" s="324">
        <v>2020</v>
      </c>
      <c r="H79" s="324" t="s">
        <v>799</v>
      </c>
      <c r="I79" s="324">
        <v>1</v>
      </c>
    </row>
    <row r="80" spans="2:9">
      <c r="B80" s="324">
        <v>61</v>
      </c>
      <c r="C80" s="324" t="s">
        <v>281</v>
      </c>
      <c r="D80" s="324">
        <v>1998</v>
      </c>
      <c r="E80" s="325">
        <v>45471.44</v>
      </c>
      <c r="F80" s="324"/>
      <c r="G80" s="324">
        <v>2020</v>
      </c>
      <c r="H80" s="324" t="s">
        <v>799</v>
      </c>
      <c r="I80" s="324">
        <v>1</v>
      </c>
    </row>
    <row r="81" spans="2:9">
      <c r="B81" s="324">
        <v>62</v>
      </c>
      <c r="C81" s="324" t="s">
        <v>281</v>
      </c>
      <c r="D81" s="324">
        <v>2002</v>
      </c>
      <c r="E81" s="325">
        <v>10346.200000000001</v>
      </c>
      <c r="F81" s="324"/>
      <c r="G81" s="324">
        <v>2020</v>
      </c>
      <c r="H81" s="324" t="s">
        <v>799</v>
      </c>
      <c r="I81" s="324">
        <v>1</v>
      </c>
    </row>
    <row r="82" spans="2:9">
      <c r="B82" s="324">
        <v>63</v>
      </c>
      <c r="C82" s="324" t="s">
        <v>281</v>
      </c>
      <c r="D82" s="324">
        <v>2003</v>
      </c>
      <c r="E82" s="325">
        <v>10560.43</v>
      </c>
      <c r="F82" s="324"/>
      <c r="G82" s="324">
        <v>2020</v>
      </c>
      <c r="H82" s="324" t="s">
        <v>799</v>
      </c>
      <c r="I82" s="324">
        <v>1</v>
      </c>
    </row>
    <row r="83" spans="2:9">
      <c r="B83" s="324">
        <v>64</v>
      </c>
      <c r="C83" s="324" t="s">
        <v>281</v>
      </c>
      <c r="D83" s="324">
        <v>2004</v>
      </c>
      <c r="E83" s="325">
        <v>65494.31</v>
      </c>
      <c r="F83" s="324"/>
      <c r="G83" s="324">
        <v>2020</v>
      </c>
      <c r="H83" s="324" t="s">
        <v>799</v>
      </c>
      <c r="I83" s="324">
        <v>1</v>
      </c>
    </row>
    <row r="84" spans="2:9">
      <c r="B84" s="324">
        <v>65</v>
      </c>
      <c r="C84" s="324" t="s">
        <v>281</v>
      </c>
      <c r="D84" s="324">
        <v>2006</v>
      </c>
      <c r="E84" s="325">
        <v>28786.400000000001</v>
      </c>
      <c r="F84" s="324"/>
      <c r="G84" s="324">
        <v>2020</v>
      </c>
      <c r="H84" s="324" t="s">
        <v>799</v>
      </c>
      <c r="I84" s="324">
        <v>1</v>
      </c>
    </row>
    <row r="85" spans="2:9">
      <c r="B85" s="324">
        <v>66</v>
      </c>
      <c r="C85" s="324" t="s">
        <v>281</v>
      </c>
      <c r="D85" s="324">
        <v>2008</v>
      </c>
      <c r="E85" s="325">
        <v>159796.69</v>
      </c>
      <c r="F85" s="324"/>
      <c r="G85" s="324">
        <v>2020</v>
      </c>
      <c r="H85" s="324" t="s">
        <v>799</v>
      </c>
      <c r="I85" s="324">
        <v>1</v>
      </c>
    </row>
    <row r="86" spans="2:9">
      <c r="B86" s="324">
        <v>67</v>
      </c>
      <c r="C86" s="324" t="s">
        <v>281</v>
      </c>
      <c r="D86" s="324">
        <v>2011</v>
      </c>
      <c r="E86" s="325">
        <v>54172.756048000003</v>
      </c>
      <c r="F86" s="324"/>
      <c r="G86" s="324">
        <v>2020</v>
      </c>
      <c r="H86" s="324" t="s">
        <v>799</v>
      </c>
      <c r="I86" s="324">
        <v>1</v>
      </c>
    </row>
    <row r="87" spans="2:9">
      <c r="B87" s="324">
        <v>68</v>
      </c>
      <c r="C87" s="324" t="s">
        <v>281</v>
      </c>
      <c r="D87" s="324">
        <v>2012</v>
      </c>
      <c r="E87" s="325">
        <v>16860.795606</v>
      </c>
      <c r="F87" s="324"/>
      <c r="G87" s="324">
        <v>2020</v>
      </c>
      <c r="H87" s="324" t="s">
        <v>799</v>
      </c>
      <c r="I87" s="324">
        <v>1</v>
      </c>
    </row>
    <row r="88" spans="2:9">
      <c r="B88" s="324">
        <v>69</v>
      </c>
      <c r="C88" s="324" t="s">
        <v>281</v>
      </c>
      <c r="D88" s="324">
        <v>2015</v>
      </c>
      <c r="E88" s="325">
        <v>15275.23848</v>
      </c>
      <c r="F88" s="324"/>
      <c r="G88" s="324">
        <v>2020</v>
      </c>
      <c r="H88" s="324" t="s">
        <v>799</v>
      </c>
      <c r="I88" s="324">
        <v>1</v>
      </c>
    </row>
    <row r="89" spans="2:9">
      <c r="B89" s="324">
        <v>70</v>
      </c>
      <c r="C89" s="324" t="s">
        <v>284</v>
      </c>
      <c r="D89" s="324">
        <v>1967</v>
      </c>
      <c r="E89" s="325">
        <v>74013.37</v>
      </c>
      <c r="F89" s="324">
        <v>439857.3081783966</v>
      </c>
      <c r="G89" s="324">
        <v>2020</v>
      </c>
      <c r="H89" s="324" t="s">
        <v>799</v>
      </c>
      <c r="I89" s="324">
        <v>1</v>
      </c>
    </row>
    <row r="90" spans="2:9">
      <c r="B90" s="324">
        <v>71</v>
      </c>
      <c r="C90" s="324" t="s">
        <v>290</v>
      </c>
      <c r="D90" s="324">
        <v>1961</v>
      </c>
      <c r="E90" s="325">
        <v>92634.240000000005</v>
      </c>
      <c r="F90" s="324"/>
      <c r="G90" s="324">
        <v>2020</v>
      </c>
      <c r="H90" s="324" t="s">
        <v>799</v>
      </c>
      <c r="I90" s="324">
        <v>1</v>
      </c>
    </row>
    <row r="91" spans="2:9">
      <c r="B91" s="324">
        <v>72</v>
      </c>
      <c r="C91" s="324" t="s">
        <v>290</v>
      </c>
      <c r="D91" s="324">
        <v>1968</v>
      </c>
      <c r="E91" s="325">
        <v>153440.79</v>
      </c>
      <c r="F91" s="324"/>
      <c r="G91" s="324">
        <v>2020</v>
      </c>
      <c r="H91" s="324" t="s">
        <v>799</v>
      </c>
      <c r="I91" s="324">
        <v>1</v>
      </c>
    </row>
    <row r="92" spans="2:9">
      <c r="B92" s="324">
        <v>73</v>
      </c>
      <c r="C92" s="324" t="s">
        <v>290</v>
      </c>
      <c r="D92" s="324">
        <v>1992</v>
      </c>
      <c r="E92" s="325">
        <v>267309.21999999997</v>
      </c>
      <c r="F92" s="324"/>
      <c r="G92" s="324">
        <v>2020</v>
      </c>
      <c r="H92" s="324" t="s">
        <v>799</v>
      </c>
      <c r="I92" s="324">
        <v>1</v>
      </c>
    </row>
    <row r="93" spans="2:9">
      <c r="B93" s="324">
        <v>74</v>
      </c>
      <c r="C93" s="324" t="s">
        <v>290</v>
      </c>
      <c r="D93" s="324">
        <v>2003</v>
      </c>
      <c r="E93" s="325">
        <v>40177</v>
      </c>
      <c r="F93" s="324">
        <v>238769.65838311971</v>
      </c>
      <c r="G93" s="324">
        <v>2020</v>
      </c>
      <c r="H93" s="324" t="s">
        <v>799</v>
      </c>
      <c r="I93" s="324">
        <v>1</v>
      </c>
    </row>
    <row r="94" spans="2:9">
      <c r="B94" s="324">
        <v>75</v>
      </c>
      <c r="C94" s="324" t="s">
        <v>290</v>
      </c>
      <c r="D94" s="324">
        <v>2005</v>
      </c>
      <c r="E94" s="325">
        <v>186030.7</v>
      </c>
      <c r="F94" s="324">
        <v>1105570.0198564508</v>
      </c>
      <c r="G94" s="324">
        <v>2020</v>
      </c>
      <c r="H94" s="324" t="s">
        <v>799</v>
      </c>
      <c r="I94" s="324">
        <v>1</v>
      </c>
    </row>
    <row r="95" spans="2:9">
      <c r="B95" s="324">
        <v>76</v>
      </c>
      <c r="C95" s="324" t="s">
        <v>290</v>
      </c>
      <c r="D95" s="324">
        <v>2010</v>
      </c>
      <c r="E95" s="325">
        <v>242998.14437600001</v>
      </c>
      <c r="F95" s="324"/>
      <c r="G95" s="324">
        <v>2020</v>
      </c>
      <c r="H95" s="324" t="s">
        <v>799</v>
      </c>
      <c r="I95" s="324">
        <v>1</v>
      </c>
    </row>
    <row r="96" spans="2:9">
      <c r="B96" s="324">
        <v>77</v>
      </c>
      <c r="C96" s="324" t="s">
        <v>290</v>
      </c>
      <c r="D96" s="324">
        <v>2012</v>
      </c>
      <c r="E96" s="325">
        <v>156496.05558799999</v>
      </c>
      <c r="F96" s="324"/>
      <c r="G96" s="324">
        <v>2020</v>
      </c>
      <c r="H96" s="324" t="s">
        <v>799</v>
      </c>
      <c r="I96" s="324">
        <v>1</v>
      </c>
    </row>
    <row r="97" spans="2:9">
      <c r="B97" s="324">
        <v>78</v>
      </c>
      <c r="C97" s="324" t="s">
        <v>294</v>
      </c>
      <c r="D97" s="324">
        <v>2017</v>
      </c>
      <c r="E97" s="325">
        <v>41550.210188999998</v>
      </c>
      <c r="F97" s="324">
        <v>240508.97978389595</v>
      </c>
      <c r="G97" s="324">
        <v>2020</v>
      </c>
      <c r="H97" s="324" t="s">
        <v>799</v>
      </c>
      <c r="I97" s="324">
        <v>1</v>
      </c>
    </row>
    <row r="98" spans="2:9">
      <c r="B98" s="324">
        <v>79</v>
      </c>
      <c r="C98" s="324" t="s">
        <v>295</v>
      </c>
      <c r="D98" s="324">
        <v>2003</v>
      </c>
      <c r="E98" s="325">
        <v>5549.99</v>
      </c>
      <c r="F98" s="324">
        <v>32983.279396911923</v>
      </c>
      <c r="G98" s="324">
        <v>2020</v>
      </c>
      <c r="H98" s="324" t="s">
        <v>799</v>
      </c>
      <c r="I98" s="324">
        <v>1</v>
      </c>
    </row>
    <row r="99" spans="2:9">
      <c r="B99" s="324">
        <v>80</v>
      </c>
      <c r="C99" s="324" t="s">
        <v>296</v>
      </c>
      <c r="D99" s="324">
        <v>1998</v>
      </c>
      <c r="E99" s="325">
        <v>366600.87</v>
      </c>
      <c r="F99" s="324"/>
      <c r="G99" s="324">
        <v>2020</v>
      </c>
      <c r="H99" s="324" t="s">
        <v>799</v>
      </c>
      <c r="I99" s="324">
        <v>1</v>
      </c>
    </row>
    <row r="100" spans="2:9">
      <c r="B100" s="324">
        <v>81</v>
      </c>
      <c r="C100" s="324" t="s">
        <v>296</v>
      </c>
      <c r="D100" s="324">
        <v>1999</v>
      </c>
      <c r="E100" s="325">
        <v>268665.56</v>
      </c>
      <c r="F100" s="324"/>
      <c r="G100" s="324">
        <v>2020</v>
      </c>
      <c r="H100" s="324" t="s">
        <v>799</v>
      </c>
      <c r="I100" s="324">
        <v>1</v>
      </c>
    </row>
    <row r="101" spans="2:9">
      <c r="B101" s="324">
        <v>82</v>
      </c>
      <c r="C101" s="324" t="s">
        <v>296</v>
      </c>
      <c r="D101" s="324">
        <v>2000</v>
      </c>
      <c r="E101" s="325">
        <v>92489.12</v>
      </c>
      <c r="F101" s="324"/>
      <c r="G101" s="324">
        <v>2020</v>
      </c>
      <c r="H101" s="324" t="s">
        <v>799</v>
      </c>
      <c r="I101" s="324">
        <v>1</v>
      </c>
    </row>
    <row r="102" spans="2:9">
      <c r="B102" s="324">
        <v>83</v>
      </c>
      <c r="C102" s="324" t="s">
        <v>310</v>
      </c>
      <c r="D102" s="324">
        <v>1971</v>
      </c>
      <c r="E102" s="325">
        <v>739448.2</v>
      </c>
      <c r="F102" s="324"/>
      <c r="G102" s="324">
        <v>2020</v>
      </c>
      <c r="H102" s="324" t="s">
        <v>799</v>
      </c>
      <c r="I102" s="324">
        <v>1</v>
      </c>
    </row>
    <row r="103" spans="2:9">
      <c r="B103" s="324">
        <v>84</v>
      </c>
      <c r="C103" s="324" t="s">
        <v>310</v>
      </c>
      <c r="D103" s="324">
        <v>1977</v>
      </c>
      <c r="E103" s="325">
        <v>68166.3</v>
      </c>
      <c r="F103" s="324"/>
      <c r="G103" s="324">
        <v>2020</v>
      </c>
      <c r="H103" s="324" t="s">
        <v>799</v>
      </c>
      <c r="I103" s="324">
        <v>1</v>
      </c>
    </row>
    <row r="104" spans="2:9">
      <c r="B104" s="324">
        <v>85</v>
      </c>
      <c r="C104" s="324" t="s">
        <v>310</v>
      </c>
      <c r="D104" s="324">
        <v>1994</v>
      </c>
      <c r="E104" s="325">
        <v>376175.8</v>
      </c>
      <c r="F104" s="324"/>
      <c r="G104" s="324">
        <v>2020</v>
      </c>
      <c r="H104" s="324" t="s">
        <v>799</v>
      </c>
      <c r="I104" s="324">
        <v>1</v>
      </c>
    </row>
    <row r="105" spans="2:9">
      <c r="B105" s="324">
        <v>86</v>
      </c>
      <c r="C105" s="324" t="s">
        <v>310</v>
      </c>
      <c r="D105" s="324">
        <v>1995</v>
      </c>
      <c r="E105" s="325">
        <v>1191241.1299999999</v>
      </c>
      <c r="F105" s="324"/>
      <c r="G105" s="324">
        <v>2020</v>
      </c>
      <c r="H105" s="324" t="s">
        <v>799</v>
      </c>
      <c r="I105" s="324">
        <v>1</v>
      </c>
    </row>
    <row r="106" spans="2:9">
      <c r="B106" s="324">
        <v>87</v>
      </c>
      <c r="C106" s="324" t="s">
        <v>310</v>
      </c>
      <c r="D106" s="324">
        <v>1996</v>
      </c>
      <c r="E106" s="325">
        <v>60266.55</v>
      </c>
      <c r="F106" s="324"/>
      <c r="G106" s="324">
        <v>2020</v>
      </c>
      <c r="H106" s="324" t="s">
        <v>799</v>
      </c>
      <c r="I106" s="324">
        <v>1</v>
      </c>
    </row>
    <row r="107" spans="2:9">
      <c r="B107" s="324">
        <v>88</v>
      </c>
      <c r="C107" s="324" t="s">
        <v>310</v>
      </c>
      <c r="D107" s="324">
        <v>1998</v>
      </c>
      <c r="E107" s="325">
        <v>117092.84999999999</v>
      </c>
      <c r="F107" s="324"/>
      <c r="G107" s="324">
        <v>2020</v>
      </c>
      <c r="H107" s="324" t="s">
        <v>799</v>
      </c>
      <c r="I107" s="324">
        <v>1</v>
      </c>
    </row>
    <row r="108" spans="2:9">
      <c r="B108" s="324">
        <v>89</v>
      </c>
      <c r="C108" s="324" t="s">
        <v>310</v>
      </c>
      <c r="D108" s="324">
        <v>2008</v>
      </c>
      <c r="E108" s="325">
        <v>526456.12101200002</v>
      </c>
      <c r="F108" s="324"/>
      <c r="G108" s="324">
        <v>2020</v>
      </c>
      <c r="H108" s="324" t="s">
        <v>799</v>
      </c>
      <c r="I108" s="324">
        <v>1</v>
      </c>
    </row>
    <row r="109" spans="2:9">
      <c r="B109" s="324">
        <v>90</v>
      </c>
      <c r="C109" s="324" t="s">
        <v>310</v>
      </c>
      <c r="D109" s="324">
        <v>2010</v>
      </c>
      <c r="E109" s="325">
        <v>488182.154064</v>
      </c>
      <c r="F109" s="324"/>
      <c r="G109" s="324">
        <v>2020</v>
      </c>
      <c r="H109" s="324" t="s">
        <v>799</v>
      </c>
      <c r="I109" s="324">
        <v>1</v>
      </c>
    </row>
    <row r="110" spans="2:9">
      <c r="B110" s="324">
        <v>91</v>
      </c>
      <c r="C110" s="324" t="s">
        <v>310</v>
      </c>
      <c r="D110" s="324">
        <v>2015</v>
      </c>
      <c r="E110" s="325">
        <v>95260.246860999992</v>
      </c>
      <c r="F110" s="324"/>
      <c r="G110" s="324">
        <v>2020</v>
      </c>
      <c r="H110" s="324" t="s">
        <v>799</v>
      </c>
      <c r="I110" s="324">
        <v>1</v>
      </c>
    </row>
    <row r="111" spans="2:9">
      <c r="B111" s="324">
        <v>92</v>
      </c>
      <c r="C111" s="324" t="s">
        <v>311</v>
      </c>
      <c r="D111" s="324">
        <v>1998</v>
      </c>
      <c r="E111" s="325">
        <v>127735.64</v>
      </c>
      <c r="F111" s="324"/>
      <c r="G111" s="324">
        <v>2020</v>
      </c>
      <c r="H111" s="324" t="s">
        <v>799</v>
      </c>
      <c r="I111" s="324">
        <v>1</v>
      </c>
    </row>
    <row r="112" spans="2:9">
      <c r="B112" s="324">
        <v>93</v>
      </c>
      <c r="C112" s="324" t="s">
        <v>313</v>
      </c>
      <c r="D112" s="324">
        <v>1977</v>
      </c>
      <c r="E112" s="325">
        <v>146130.37</v>
      </c>
      <c r="F112" s="324"/>
      <c r="G112" s="324">
        <v>2020</v>
      </c>
      <c r="H112" s="324" t="s">
        <v>799</v>
      </c>
      <c r="I112" s="324">
        <v>1</v>
      </c>
    </row>
    <row r="113" spans="2:9">
      <c r="B113" s="324">
        <v>94</v>
      </c>
      <c r="C113" s="324" t="s">
        <v>314</v>
      </c>
      <c r="D113" s="324">
        <v>1993</v>
      </c>
      <c r="E113" s="325">
        <v>2269257</v>
      </c>
      <c r="F113" s="324"/>
      <c r="G113" s="324">
        <v>2020</v>
      </c>
      <c r="H113" s="324" t="s">
        <v>799</v>
      </c>
      <c r="I113" s="324">
        <v>1</v>
      </c>
    </row>
    <row r="114" spans="2:9">
      <c r="B114" s="324">
        <v>95</v>
      </c>
      <c r="C114" s="324" t="s">
        <v>317</v>
      </c>
      <c r="D114" s="324">
        <v>1997</v>
      </c>
      <c r="E114" s="325">
        <v>4810.9799999999996</v>
      </c>
      <c r="F114" s="324">
        <v>28591.384401225107</v>
      </c>
      <c r="G114" s="324">
        <v>2020</v>
      </c>
      <c r="H114" s="324" t="s">
        <v>799</v>
      </c>
      <c r="I114" s="324">
        <v>1</v>
      </c>
    </row>
    <row r="115" spans="2:9">
      <c r="B115" s="324">
        <v>96</v>
      </c>
      <c r="C115" s="324" t="s">
        <v>318</v>
      </c>
      <c r="D115" s="324">
        <v>1964</v>
      </c>
      <c r="E115" s="325">
        <v>109225.21</v>
      </c>
      <c r="F115" s="324"/>
      <c r="G115" s="324">
        <v>2020</v>
      </c>
      <c r="H115" s="324" t="s">
        <v>799</v>
      </c>
      <c r="I115" s="324">
        <v>1</v>
      </c>
    </row>
    <row r="116" spans="2:9">
      <c r="B116" s="324">
        <v>97</v>
      </c>
      <c r="C116" s="324" t="s">
        <v>318</v>
      </c>
      <c r="D116" s="324">
        <v>1965</v>
      </c>
      <c r="E116" s="325">
        <v>79354.039999999994</v>
      </c>
      <c r="F116" s="324"/>
      <c r="G116" s="324">
        <v>2020</v>
      </c>
      <c r="H116" s="324" t="s">
        <v>799</v>
      </c>
      <c r="I116" s="324">
        <v>1</v>
      </c>
    </row>
    <row r="117" spans="2:9">
      <c r="B117" s="324">
        <v>98</v>
      </c>
      <c r="C117" s="324" t="s">
        <v>318</v>
      </c>
      <c r="D117" s="324">
        <v>1969</v>
      </c>
      <c r="E117" s="325">
        <v>160000</v>
      </c>
      <c r="F117" s="324"/>
      <c r="G117" s="324">
        <v>2020</v>
      </c>
      <c r="H117" s="324" t="s">
        <v>799</v>
      </c>
      <c r="I117" s="324">
        <v>1</v>
      </c>
    </row>
    <row r="118" spans="2:9">
      <c r="B118" s="324">
        <v>99</v>
      </c>
      <c r="C118" s="324" t="s">
        <v>318</v>
      </c>
      <c r="D118" s="324">
        <v>1970</v>
      </c>
      <c r="E118" s="325">
        <v>1644.48</v>
      </c>
      <c r="F118" s="324"/>
      <c r="G118" s="324">
        <v>2020</v>
      </c>
      <c r="H118" s="324" t="s">
        <v>799</v>
      </c>
      <c r="I118" s="324">
        <v>1</v>
      </c>
    </row>
    <row r="119" spans="2:9">
      <c r="B119" s="324">
        <v>100</v>
      </c>
      <c r="C119" s="324" t="s">
        <v>318</v>
      </c>
      <c r="D119" s="324">
        <v>1971</v>
      </c>
      <c r="E119" s="325">
        <v>104672.38</v>
      </c>
      <c r="F119" s="324"/>
      <c r="G119" s="324">
        <v>2020</v>
      </c>
      <c r="H119" s="324" t="s">
        <v>799</v>
      </c>
      <c r="I119" s="324">
        <v>1</v>
      </c>
    </row>
    <row r="120" spans="2:9">
      <c r="B120" s="324">
        <v>101</v>
      </c>
      <c r="C120" s="324" t="s">
        <v>318</v>
      </c>
      <c r="D120" s="324">
        <v>1972</v>
      </c>
      <c r="E120" s="325">
        <v>6833.93</v>
      </c>
      <c r="F120" s="324"/>
      <c r="G120" s="324">
        <v>2020</v>
      </c>
      <c r="H120" s="324" t="s">
        <v>799</v>
      </c>
      <c r="I120" s="324">
        <v>1</v>
      </c>
    </row>
    <row r="121" spans="2:9">
      <c r="B121" s="324">
        <v>102</v>
      </c>
      <c r="C121" s="324" t="s">
        <v>318</v>
      </c>
      <c r="D121" s="324">
        <v>1974</v>
      </c>
      <c r="E121" s="325">
        <v>78733.03</v>
      </c>
      <c r="F121" s="324"/>
      <c r="G121" s="324">
        <v>2020</v>
      </c>
      <c r="H121" s="324" t="s">
        <v>799</v>
      </c>
      <c r="I121" s="324">
        <v>1</v>
      </c>
    </row>
    <row r="122" spans="2:9">
      <c r="B122" s="324">
        <v>103</v>
      </c>
      <c r="C122" s="324" t="s">
        <v>318</v>
      </c>
      <c r="D122" s="324">
        <v>1975</v>
      </c>
      <c r="E122" s="325">
        <v>8893.32</v>
      </c>
      <c r="F122" s="324"/>
      <c r="G122" s="324">
        <v>2020</v>
      </c>
      <c r="H122" s="324" t="s">
        <v>799</v>
      </c>
      <c r="I122" s="324">
        <v>1</v>
      </c>
    </row>
    <row r="123" spans="2:9">
      <c r="B123" s="324">
        <v>104</v>
      </c>
      <c r="C123" s="324" t="s">
        <v>318</v>
      </c>
      <c r="D123" s="324">
        <v>1978</v>
      </c>
      <c r="E123" s="325">
        <v>174538.66</v>
      </c>
      <c r="F123" s="324"/>
      <c r="G123" s="324">
        <v>2020</v>
      </c>
      <c r="H123" s="324" t="s">
        <v>799</v>
      </c>
      <c r="I123" s="324">
        <v>1</v>
      </c>
    </row>
    <row r="124" spans="2:9">
      <c r="B124" s="324">
        <v>105</v>
      </c>
      <c r="C124" s="324" t="s">
        <v>318</v>
      </c>
      <c r="D124" s="324">
        <v>1983</v>
      </c>
      <c r="E124" s="325">
        <v>14249.66</v>
      </c>
      <c r="F124" s="324"/>
      <c r="G124" s="324">
        <v>2020</v>
      </c>
      <c r="H124" s="324" t="s">
        <v>799</v>
      </c>
      <c r="I124" s="324">
        <v>1</v>
      </c>
    </row>
    <row r="125" spans="2:9">
      <c r="B125" s="324">
        <v>106</v>
      </c>
      <c r="C125" s="324" t="s">
        <v>318</v>
      </c>
      <c r="D125" s="324">
        <v>1988</v>
      </c>
      <c r="E125" s="325">
        <v>44968.09</v>
      </c>
      <c r="F125" s="324"/>
      <c r="G125" s="324">
        <v>2020</v>
      </c>
      <c r="H125" s="324" t="s">
        <v>799</v>
      </c>
      <c r="I125" s="324">
        <v>1</v>
      </c>
    </row>
    <row r="126" spans="2:9">
      <c r="B126" s="324">
        <v>107</v>
      </c>
      <c r="C126" s="324" t="s">
        <v>318</v>
      </c>
      <c r="D126" s="324">
        <v>1995</v>
      </c>
      <c r="E126" s="325">
        <v>7512.54</v>
      </c>
      <c r="F126" s="324"/>
      <c r="G126" s="324">
        <v>2020</v>
      </c>
      <c r="H126" s="324" t="s">
        <v>799</v>
      </c>
      <c r="I126" s="324">
        <v>1</v>
      </c>
    </row>
    <row r="127" spans="2:9">
      <c r="B127" s="324">
        <v>108</v>
      </c>
      <c r="C127" s="324" t="s">
        <v>318</v>
      </c>
      <c r="D127" s="324">
        <v>2004</v>
      </c>
      <c r="E127" s="325">
        <v>187756.39</v>
      </c>
      <c r="F127" s="324"/>
      <c r="G127" s="324">
        <v>2020</v>
      </c>
      <c r="H127" s="324" t="s">
        <v>799</v>
      </c>
      <c r="I127" s="324">
        <v>1</v>
      </c>
    </row>
    <row r="128" spans="2:9">
      <c r="B128" s="324">
        <v>109</v>
      </c>
      <c r="C128" s="324" t="s">
        <v>319</v>
      </c>
      <c r="D128" s="324">
        <v>1971</v>
      </c>
      <c r="E128" s="325">
        <v>21999.06</v>
      </c>
      <c r="F128" s="324"/>
      <c r="G128" s="324">
        <v>2020</v>
      </c>
      <c r="H128" s="324" t="s">
        <v>799</v>
      </c>
      <c r="I128" s="324">
        <v>1</v>
      </c>
    </row>
    <row r="129" spans="2:9">
      <c r="B129" s="324">
        <v>110</v>
      </c>
      <c r="C129" s="324" t="s">
        <v>327</v>
      </c>
      <c r="D129" s="324">
        <v>2004</v>
      </c>
      <c r="E129" s="325">
        <v>2028.6</v>
      </c>
      <c r="F129" s="324"/>
      <c r="G129" s="324">
        <v>2020</v>
      </c>
      <c r="H129" s="324" t="s">
        <v>799</v>
      </c>
      <c r="I129" s="324">
        <v>1</v>
      </c>
    </row>
    <row r="130" spans="2:9">
      <c r="B130" s="324">
        <v>111</v>
      </c>
      <c r="C130" s="324" t="s">
        <v>327</v>
      </c>
      <c r="D130" s="324">
        <v>2011</v>
      </c>
      <c r="E130" s="325">
        <v>603616.46129999997</v>
      </c>
      <c r="F130" s="324"/>
      <c r="G130" s="324">
        <v>2020</v>
      </c>
      <c r="H130" s="324" t="s">
        <v>799</v>
      </c>
      <c r="I130" s="324">
        <v>1</v>
      </c>
    </row>
    <row r="131" spans="2:9">
      <c r="B131" s="324">
        <v>112</v>
      </c>
      <c r="C131" s="324" t="s">
        <v>329</v>
      </c>
      <c r="D131" s="324">
        <v>1998</v>
      </c>
      <c r="E131" s="325">
        <v>500000</v>
      </c>
      <c r="F131" s="324"/>
      <c r="G131" s="324">
        <v>2020</v>
      </c>
      <c r="H131" s="324" t="s">
        <v>799</v>
      </c>
      <c r="I131" s="324">
        <v>1</v>
      </c>
    </row>
    <row r="132" spans="2:9">
      <c r="B132" s="324">
        <v>113</v>
      </c>
      <c r="C132" s="324" t="s">
        <v>329</v>
      </c>
      <c r="D132" s="324">
        <v>2004</v>
      </c>
      <c r="E132" s="325">
        <v>45527.519999999997</v>
      </c>
      <c r="F132" s="324"/>
      <c r="G132" s="324">
        <v>2020</v>
      </c>
      <c r="H132" s="324" t="s">
        <v>799</v>
      </c>
      <c r="I132" s="324">
        <v>1</v>
      </c>
    </row>
    <row r="133" spans="2:9">
      <c r="B133" s="324">
        <v>114</v>
      </c>
      <c r="C133" s="324" t="s">
        <v>329</v>
      </c>
      <c r="D133" s="324">
        <v>2005</v>
      </c>
      <c r="E133" s="325">
        <v>9959.0400000000009</v>
      </c>
      <c r="F133" s="324"/>
      <c r="G133" s="324">
        <v>2020</v>
      </c>
      <c r="H133" s="324" t="s">
        <v>799</v>
      </c>
      <c r="I133" s="324">
        <v>1</v>
      </c>
    </row>
    <row r="134" spans="2:9">
      <c r="B134" s="324">
        <v>115</v>
      </c>
      <c r="C134" s="324" t="s">
        <v>329</v>
      </c>
      <c r="D134" s="324">
        <v>2016</v>
      </c>
      <c r="E134" s="325">
        <v>855977.36259199993</v>
      </c>
      <c r="F134" s="324"/>
      <c r="G134" s="324">
        <v>2020</v>
      </c>
      <c r="H134" s="324" t="s">
        <v>799</v>
      </c>
      <c r="I134" s="324">
        <v>1</v>
      </c>
    </row>
    <row r="135" spans="2:9">
      <c r="B135" s="324">
        <v>116</v>
      </c>
      <c r="C135" s="324" t="s">
        <v>332</v>
      </c>
      <c r="D135" s="324">
        <v>2016</v>
      </c>
      <c r="E135" s="325">
        <v>778785.35750399996</v>
      </c>
      <c r="F135" s="324"/>
      <c r="G135" s="324">
        <v>2020</v>
      </c>
      <c r="H135" s="324" t="s">
        <v>799</v>
      </c>
      <c r="I135" s="324">
        <v>1</v>
      </c>
    </row>
    <row r="136" spans="2:9">
      <c r="B136" s="324">
        <v>117</v>
      </c>
      <c r="C136" s="324" t="s">
        <v>333</v>
      </c>
      <c r="D136" s="324">
        <v>1988</v>
      </c>
      <c r="E136" s="325">
        <v>2894954.5</v>
      </c>
      <c r="F136" s="324"/>
      <c r="G136" s="324">
        <v>2020</v>
      </c>
      <c r="H136" s="324" t="s">
        <v>799</v>
      </c>
      <c r="I136" s="324">
        <v>1</v>
      </c>
    </row>
    <row r="137" spans="2:9">
      <c r="B137" s="324">
        <v>118</v>
      </c>
      <c r="C137" s="324" t="s">
        <v>334</v>
      </c>
      <c r="D137" s="324">
        <v>2016</v>
      </c>
      <c r="E137" s="325">
        <v>362355.80583999999</v>
      </c>
      <c r="F137" s="324"/>
      <c r="G137" s="324">
        <v>2020</v>
      </c>
      <c r="H137" s="324" t="s">
        <v>799</v>
      </c>
      <c r="I137" s="324">
        <v>1</v>
      </c>
    </row>
    <row r="138" spans="2:9">
      <c r="B138" s="324">
        <v>119</v>
      </c>
      <c r="C138" s="324" t="s">
        <v>344</v>
      </c>
      <c r="D138" s="324">
        <v>2012</v>
      </c>
      <c r="E138" s="325">
        <v>2282230.9217790002</v>
      </c>
      <c r="F138" s="324"/>
      <c r="G138" s="324">
        <v>2020</v>
      </c>
      <c r="H138" s="324" t="s">
        <v>799</v>
      </c>
      <c r="I138" s="324">
        <v>1</v>
      </c>
    </row>
    <row r="139" spans="2:9">
      <c r="B139" s="324">
        <v>120</v>
      </c>
      <c r="C139" s="324" t="s">
        <v>277</v>
      </c>
      <c r="D139" s="324">
        <v>1950</v>
      </c>
      <c r="E139" s="325">
        <v>107805.84</v>
      </c>
      <c r="F139" s="324"/>
      <c r="G139" s="324">
        <v>2021</v>
      </c>
      <c r="H139" s="324" t="s">
        <v>806</v>
      </c>
      <c r="I139" s="324">
        <v>1</v>
      </c>
    </row>
    <row r="140" spans="2:9">
      <c r="B140" s="324">
        <v>121</v>
      </c>
      <c r="C140" s="324" t="s">
        <v>277</v>
      </c>
      <c r="D140" s="324">
        <v>1953</v>
      </c>
      <c r="E140" s="325">
        <v>55835.41</v>
      </c>
      <c r="F140" s="324"/>
      <c r="G140" s="324">
        <v>2021</v>
      </c>
      <c r="H140" s="324" t="s">
        <v>806</v>
      </c>
      <c r="I140" s="324">
        <v>1</v>
      </c>
    </row>
    <row r="141" spans="2:9">
      <c r="B141" s="324">
        <v>122</v>
      </c>
      <c r="C141" s="324" t="s">
        <v>277</v>
      </c>
      <c r="D141" s="324">
        <v>1962</v>
      </c>
      <c r="E141" s="325">
        <v>40000</v>
      </c>
      <c r="F141" s="324"/>
      <c r="G141" s="324">
        <v>2021</v>
      </c>
      <c r="H141" s="324" t="s">
        <v>806</v>
      </c>
      <c r="I141" s="324">
        <v>1</v>
      </c>
    </row>
    <row r="142" spans="2:9">
      <c r="B142" s="324">
        <v>123</v>
      </c>
      <c r="C142" s="324" t="s">
        <v>277</v>
      </c>
      <c r="D142" s="324">
        <v>1965</v>
      </c>
      <c r="E142" s="325">
        <v>25702.75</v>
      </c>
      <c r="F142" s="324"/>
      <c r="G142" s="324">
        <v>2021</v>
      </c>
      <c r="H142" s="324" t="s">
        <v>806</v>
      </c>
      <c r="I142" s="324">
        <v>1</v>
      </c>
    </row>
    <row r="143" spans="2:9">
      <c r="B143" s="324">
        <v>124</v>
      </c>
      <c r="C143" s="324" t="s">
        <v>277</v>
      </c>
      <c r="D143" s="324">
        <v>1966</v>
      </c>
      <c r="E143" s="325">
        <v>109434.39</v>
      </c>
      <c r="F143" s="324"/>
      <c r="G143" s="324">
        <v>2021</v>
      </c>
      <c r="H143" s="324" t="s">
        <v>806</v>
      </c>
      <c r="I143" s="324">
        <v>1</v>
      </c>
    </row>
    <row r="144" spans="2:9">
      <c r="B144" s="324">
        <v>125</v>
      </c>
      <c r="C144" s="324" t="s">
        <v>277</v>
      </c>
      <c r="D144" s="324">
        <v>1967</v>
      </c>
      <c r="E144" s="325">
        <v>190675.34999999998</v>
      </c>
      <c r="F144" s="324"/>
      <c r="G144" s="324">
        <v>2021</v>
      </c>
      <c r="H144" s="324" t="s">
        <v>806</v>
      </c>
      <c r="I144" s="324">
        <v>1</v>
      </c>
    </row>
    <row r="145" spans="2:9">
      <c r="B145" s="324">
        <v>126</v>
      </c>
      <c r="C145" s="324" t="s">
        <v>277</v>
      </c>
      <c r="D145" s="324">
        <v>1968</v>
      </c>
      <c r="E145" s="325">
        <v>99063.760000000009</v>
      </c>
      <c r="F145" s="324"/>
      <c r="G145" s="324">
        <v>2021</v>
      </c>
      <c r="H145" s="324" t="s">
        <v>806</v>
      </c>
      <c r="I145" s="324">
        <v>1</v>
      </c>
    </row>
    <row r="146" spans="2:9">
      <c r="B146" s="324">
        <v>127</v>
      </c>
      <c r="C146" s="324" t="s">
        <v>277</v>
      </c>
      <c r="D146" s="324">
        <v>1969</v>
      </c>
      <c r="E146" s="325">
        <v>91756</v>
      </c>
      <c r="F146" s="324"/>
      <c r="G146" s="324">
        <v>2021</v>
      </c>
      <c r="H146" s="324" t="s">
        <v>806</v>
      </c>
      <c r="I146" s="324">
        <v>1</v>
      </c>
    </row>
    <row r="147" spans="2:9">
      <c r="B147" s="324">
        <v>128</v>
      </c>
      <c r="C147" s="324" t="s">
        <v>277</v>
      </c>
      <c r="D147" s="324">
        <v>1970</v>
      </c>
      <c r="E147" s="325">
        <v>226775.59999999998</v>
      </c>
      <c r="F147" s="324"/>
      <c r="G147" s="324">
        <v>2021</v>
      </c>
      <c r="H147" s="324" t="s">
        <v>806</v>
      </c>
      <c r="I147" s="324">
        <v>1</v>
      </c>
    </row>
    <row r="148" spans="2:9">
      <c r="B148" s="324">
        <v>129</v>
      </c>
      <c r="C148" s="324" t="s">
        <v>277</v>
      </c>
      <c r="D148" s="324">
        <v>1971</v>
      </c>
      <c r="E148" s="325">
        <v>280880.57</v>
      </c>
      <c r="F148" s="324"/>
      <c r="G148" s="324">
        <v>2021</v>
      </c>
      <c r="H148" s="324" t="s">
        <v>806</v>
      </c>
      <c r="I148" s="324">
        <v>1</v>
      </c>
    </row>
    <row r="149" spans="2:9">
      <c r="B149" s="324">
        <v>130</v>
      </c>
      <c r="C149" s="324" t="s">
        <v>277</v>
      </c>
      <c r="D149" s="324">
        <v>1972</v>
      </c>
      <c r="E149" s="325">
        <v>113518.65</v>
      </c>
      <c r="F149" s="324"/>
      <c r="G149" s="324">
        <v>2021</v>
      </c>
      <c r="H149" s="324" t="s">
        <v>806</v>
      </c>
      <c r="I149" s="324">
        <v>1</v>
      </c>
    </row>
    <row r="150" spans="2:9">
      <c r="B150" s="324">
        <v>131</v>
      </c>
      <c r="C150" s="324" t="s">
        <v>277</v>
      </c>
      <c r="D150" s="324">
        <v>1973</v>
      </c>
      <c r="E150" s="325">
        <v>71403.600000000006</v>
      </c>
      <c r="F150" s="324"/>
      <c r="G150" s="324">
        <v>2021</v>
      </c>
      <c r="H150" s="324" t="s">
        <v>806</v>
      </c>
      <c r="I150" s="324">
        <v>1</v>
      </c>
    </row>
    <row r="151" spans="2:9">
      <c r="B151" s="324">
        <v>132</v>
      </c>
      <c r="C151" s="324" t="s">
        <v>277</v>
      </c>
      <c r="D151" s="324">
        <v>1975</v>
      </c>
      <c r="E151" s="325">
        <v>19198.080000000002</v>
      </c>
      <c r="F151" s="324"/>
      <c r="G151" s="324">
        <v>2021</v>
      </c>
      <c r="H151" s="324" t="s">
        <v>806</v>
      </c>
      <c r="I151" s="324">
        <v>1</v>
      </c>
    </row>
    <row r="152" spans="2:9">
      <c r="B152" s="324">
        <v>133</v>
      </c>
      <c r="C152" s="324" t="s">
        <v>277</v>
      </c>
      <c r="D152" s="324">
        <v>1979</v>
      </c>
      <c r="E152" s="325">
        <v>42081.31</v>
      </c>
      <c r="F152" s="324"/>
      <c r="G152" s="324">
        <v>2021</v>
      </c>
      <c r="H152" s="324" t="s">
        <v>806</v>
      </c>
      <c r="I152" s="324">
        <v>1</v>
      </c>
    </row>
    <row r="153" spans="2:9">
      <c r="B153" s="324">
        <v>134</v>
      </c>
      <c r="C153" s="324" t="s">
        <v>277</v>
      </c>
      <c r="D153" s="324">
        <v>1991</v>
      </c>
      <c r="E153" s="325">
        <v>38721.65</v>
      </c>
      <c r="F153" s="324"/>
      <c r="G153" s="324">
        <v>2021</v>
      </c>
      <c r="H153" s="324" t="s">
        <v>806</v>
      </c>
      <c r="I153" s="324">
        <v>1</v>
      </c>
    </row>
    <row r="154" spans="2:9">
      <c r="B154" s="324">
        <v>135</v>
      </c>
      <c r="C154" s="324" t="s">
        <v>277</v>
      </c>
      <c r="D154" s="324">
        <v>1992</v>
      </c>
      <c r="E154" s="325">
        <v>55514.82</v>
      </c>
      <c r="F154" s="324"/>
      <c r="G154" s="324">
        <v>2021</v>
      </c>
      <c r="H154" s="324" t="s">
        <v>806</v>
      </c>
      <c r="I154" s="324">
        <v>1</v>
      </c>
    </row>
    <row r="155" spans="2:9">
      <c r="B155" s="324">
        <v>136</v>
      </c>
      <c r="C155" s="324" t="s">
        <v>277</v>
      </c>
      <c r="D155" s="324">
        <v>1994</v>
      </c>
      <c r="E155" s="325">
        <v>23050.77</v>
      </c>
      <c r="F155" s="324"/>
      <c r="G155" s="324">
        <v>2021</v>
      </c>
      <c r="H155" s="324" t="s">
        <v>806</v>
      </c>
      <c r="I155" s="324">
        <v>1</v>
      </c>
    </row>
    <row r="156" spans="2:9">
      <c r="B156" s="324">
        <v>137</v>
      </c>
      <c r="C156" s="324" t="s">
        <v>277</v>
      </c>
      <c r="D156" s="324">
        <v>1997</v>
      </c>
      <c r="E156" s="325">
        <v>27362.14</v>
      </c>
      <c r="F156" s="324"/>
      <c r="G156" s="324">
        <v>2021</v>
      </c>
      <c r="H156" s="324" t="s">
        <v>806</v>
      </c>
      <c r="I156" s="324">
        <v>1</v>
      </c>
    </row>
    <row r="157" spans="2:9">
      <c r="B157" s="324">
        <v>138</v>
      </c>
      <c r="C157" s="324" t="s">
        <v>277</v>
      </c>
      <c r="D157" s="324">
        <v>2004</v>
      </c>
      <c r="E157" s="325">
        <v>151657.73000000001</v>
      </c>
      <c r="F157" s="324"/>
      <c r="G157" s="324">
        <v>2021</v>
      </c>
      <c r="H157" s="324" t="s">
        <v>806</v>
      </c>
      <c r="I157" s="324">
        <v>1</v>
      </c>
    </row>
    <row r="158" spans="2:9">
      <c r="B158" s="324">
        <v>139</v>
      </c>
      <c r="C158" s="324" t="s">
        <v>277</v>
      </c>
      <c r="D158" s="324">
        <v>2007</v>
      </c>
      <c r="E158" s="325">
        <v>2827.55</v>
      </c>
      <c r="F158" s="324"/>
      <c r="G158" s="324">
        <v>2021</v>
      </c>
      <c r="H158" s="324" t="s">
        <v>806</v>
      </c>
      <c r="I158" s="324">
        <v>1</v>
      </c>
    </row>
    <row r="159" spans="2:9">
      <c r="B159" s="324">
        <v>140</v>
      </c>
      <c r="C159" s="324" t="s">
        <v>277</v>
      </c>
      <c r="D159" s="324">
        <v>2009</v>
      </c>
      <c r="E159" s="325">
        <v>124313.99</v>
      </c>
      <c r="F159" s="324"/>
      <c r="G159" s="324">
        <v>2021</v>
      </c>
      <c r="H159" s="324" t="s">
        <v>806</v>
      </c>
      <c r="I159" s="324">
        <v>1</v>
      </c>
    </row>
    <row r="160" spans="2:9">
      <c r="B160" s="324">
        <v>141</v>
      </c>
      <c r="C160" s="324" t="s">
        <v>277</v>
      </c>
      <c r="D160" s="324">
        <v>2010</v>
      </c>
      <c r="E160" s="325">
        <v>268395.78855748021</v>
      </c>
      <c r="F160" s="324"/>
      <c r="G160" s="324">
        <v>2021</v>
      </c>
      <c r="H160" s="324" t="s">
        <v>806</v>
      </c>
      <c r="I160" s="324">
        <v>1</v>
      </c>
    </row>
    <row r="161" spans="2:9">
      <c r="B161" s="324">
        <v>142</v>
      </c>
      <c r="C161" s="324" t="s">
        <v>277</v>
      </c>
      <c r="D161" s="324">
        <v>2011</v>
      </c>
      <c r="E161" s="325">
        <v>64375.815051532467</v>
      </c>
      <c r="F161" s="324"/>
      <c r="G161" s="324">
        <v>2021</v>
      </c>
      <c r="H161" s="324" t="s">
        <v>806</v>
      </c>
      <c r="I161" s="324">
        <v>1</v>
      </c>
    </row>
    <row r="162" spans="2:9">
      <c r="B162" s="324">
        <v>143</v>
      </c>
      <c r="C162" s="324" t="s">
        <v>277</v>
      </c>
      <c r="D162" s="324">
        <v>2013</v>
      </c>
      <c r="E162" s="325">
        <v>398931.4021603408</v>
      </c>
      <c r="F162" s="324"/>
      <c r="G162" s="324">
        <v>2021</v>
      </c>
      <c r="H162" s="324" t="s">
        <v>806</v>
      </c>
      <c r="I162" s="324">
        <v>1</v>
      </c>
    </row>
    <row r="163" spans="2:9">
      <c r="B163" s="324">
        <v>144</v>
      </c>
      <c r="C163" s="324" t="s">
        <v>277</v>
      </c>
      <c r="D163" s="324">
        <v>2014</v>
      </c>
      <c r="E163" s="325">
        <v>536.92166709422554</v>
      </c>
      <c r="F163" s="324"/>
      <c r="G163" s="324">
        <v>2021</v>
      </c>
      <c r="H163" s="324" t="s">
        <v>806</v>
      </c>
      <c r="I163" s="324">
        <v>1</v>
      </c>
    </row>
    <row r="164" spans="2:9">
      <c r="B164" s="324">
        <v>145</v>
      </c>
      <c r="C164" s="324" t="s">
        <v>277</v>
      </c>
      <c r="D164" s="324">
        <v>2018</v>
      </c>
      <c r="E164" s="325">
        <v>1020326.7510328252</v>
      </c>
      <c r="F164" s="324"/>
      <c r="G164" s="324">
        <v>2021</v>
      </c>
      <c r="H164" s="324" t="s">
        <v>806</v>
      </c>
      <c r="I164" s="324">
        <v>1</v>
      </c>
    </row>
    <row r="165" spans="2:9">
      <c r="B165" s="324">
        <v>146</v>
      </c>
      <c r="C165" s="324" t="s">
        <v>277</v>
      </c>
      <c r="D165" s="324">
        <v>2019</v>
      </c>
      <c r="E165" s="325">
        <v>11951.372469743606</v>
      </c>
      <c r="F165" s="324"/>
      <c r="G165" s="324">
        <v>2021</v>
      </c>
      <c r="H165" s="324" t="s">
        <v>806</v>
      </c>
      <c r="I165" s="324">
        <v>1</v>
      </c>
    </row>
    <row r="166" spans="2:9">
      <c r="B166" s="324">
        <v>147</v>
      </c>
      <c r="C166" s="324" t="s">
        <v>281</v>
      </c>
      <c r="D166" s="324">
        <v>1965</v>
      </c>
      <c r="E166" s="325">
        <v>37085.920000000006</v>
      </c>
      <c r="F166" s="324"/>
      <c r="G166" s="324">
        <v>2021</v>
      </c>
      <c r="H166" s="324" t="s">
        <v>806</v>
      </c>
      <c r="I166" s="324">
        <v>1</v>
      </c>
    </row>
    <row r="167" spans="2:9">
      <c r="B167" s="324">
        <v>148</v>
      </c>
      <c r="C167" s="324" t="s">
        <v>281</v>
      </c>
      <c r="D167" s="324">
        <v>1966</v>
      </c>
      <c r="E167" s="325">
        <v>191229.55</v>
      </c>
      <c r="F167" s="324"/>
      <c r="G167" s="324">
        <v>2021</v>
      </c>
      <c r="H167" s="324" t="s">
        <v>806</v>
      </c>
      <c r="I167" s="324">
        <v>1</v>
      </c>
    </row>
    <row r="168" spans="2:9">
      <c r="B168" s="324">
        <v>149</v>
      </c>
      <c r="C168" s="324" t="s">
        <v>281</v>
      </c>
      <c r="D168" s="324">
        <v>1967</v>
      </c>
      <c r="E168" s="325">
        <v>221505.32</v>
      </c>
      <c r="F168" s="324"/>
      <c r="G168" s="324">
        <v>2021</v>
      </c>
      <c r="H168" s="324" t="s">
        <v>806</v>
      </c>
      <c r="I168" s="324">
        <v>1</v>
      </c>
    </row>
    <row r="169" spans="2:9">
      <c r="B169" s="324">
        <v>150</v>
      </c>
      <c r="C169" s="324" t="s">
        <v>281</v>
      </c>
      <c r="D169" s="324">
        <v>1968</v>
      </c>
      <c r="E169" s="325">
        <v>138671.18999999997</v>
      </c>
      <c r="F169" s="324"/>
      <c r="G169" s="324">
        <v>2021</v>
      </c>
      <c r="H169" s="324" t="s">
        <v>806</v>
      </c>
      <c r="I169" s="324">
        <v>1</v>
      </c>
    </row>
    <row r="170" spans="2:9">
      <c r="B170" s="324">
        <v>151</v>
      </c>
      <c r="C170" s="324" t="s">
        <v>281</v>
      </c>
      <c r="D170" s="324">
        <v>1969</v>
      </c>
      <c r="E170" s="325">
        <v>252663.02</v>
      </c>
      <c r="F170" s="324"/>
      <c r="G170" s="324">
        <v>2021</v>
      </c>
      <c r="H170" s="324" t="s">
        <v>806</v>
      </c>
      <c r="I170" s="324">
        <v>1</v>
      </c>
    </row>
    <row r="171" spans="2:9">
      <c r="B171" s="324">
        <v>152</v>
      </c>
      <c r="C171" s="324" t="s">
        <v>281</v>
      </c>
      <c r="D171" s="324">
        <v>1970</v>
      </c>
      <c r="E171" s="325">
        <v>111949.98</v>
      </c>
      <c r="F171" s="324"/>
      <c r="G171" s="324">
        <v>2021</v>
      </c>
      <c r="H171" s="324" t="s">
        <v>806</v>
      </c>
      <c r="I171" s="324">
        <v>1</v>
      </c>
    </row>
    <row r="172" spans="2:9">
      <c r="B172" s="324">
        <v>153</v>
      </c>
      <c r="C172" s="324" t="s">
        <v>281</v>
      </c>
      <c r="D172" s="324">
        <v>1971</v>
      </c>
      <c r="E172" s="325">
        <v>158788.27000000002</v>
      </c>
      <c r="F172" s="324"/>
      <c r="G172" s="324">
        <v>2021</v>
      </c>
      <c r="H172" s="324" t="s">
        <v>806</v>
      </c>
      <c r="I172" s="324">
        <v>1</v>
      </c>
    </row>
    <row r="173" spans="2:9">
      <c r="B173" s="324">
        <v>154</v>
      </c>
      <c r="C173" s="324" t="s">
        <v>281</v>
      </c>
      <c r="D173" s="324">
        <v>1972</v>
      </c>
      <c r="E173" s="325">
        <v>241793.13</v>
      </c>
      <c r="F173" s="324"/>
      <c r="G173" s="324">
        <v>2021</v>
      </c>
      <c r="H173" s="324" t="s">
        <v>806</v>
      </c>
      <c r="I173" s="324">
        <v>1</v>
      </c>
    </row>
    <row r="174" spans="2:9">
      <c r="B174" s="324">
        <v>155</v>
      </c>
      <c r="C174" s="324" t="s">
        <v>281</v>
      </c>
      <c r="D174" s="324">
        <v>1973</v>
      </c>
      <c r="E174" s="325">
        <v>16917.16</v>
      </c>
      <c r="F174" s="324"/>
      <c r="G174" s="324">
        <v>2021</v>
      </c>
      <c r="H174" s="324" t="s">
        <v>806</v>
      </c>
      <c r="I174" s="324">
        <v>1</v>
      </c>
    </row>
    <row r="175" spans="2:9">
      <c r="B175" s="324">
        <v>156</v>
      </c>
      <c r="C175" s="324" t="s">
        <v>281</v>
      </c>
      <c r="D175" s="324">
        <v>1974</v>
      </c>
      <c r="E175" s="325">
        <v>19498.32</v>
      </c>
      <c r="F175" s="324"/>
      <c r="G175" s="324">
        <v>2021</v>
      </c>
      <c r="H175" s="324" t="s">
        <v>806</v>
      </c>
      <c r="I175" s="324">
        <v>1</v>
      </c>
    </row>
    <row r="176" spans="2:9">
      <c r="B176" s="324">
        <v>157</v>
      </c>
      <c r="C176" s="324" t="s">
        <v>281</v>
      </c>
      <c r="D176" s="324">
        <v>1975</v>
      </c>
      <c r="E176" s="325">
        <v>136362.09</v>
      </c>
      <c r="F176" s="324"/>
      <c r="G176" s="324">
        <v>2021</v>
      </c>
      <c r="H176" s="324" t="s">
        <v>806</v>
      </c>
      <c r="I176" s="324">
        <v>1</v>
      </c>
    </row>
    <row r="177" spans="2:9">
      <c r="B177" s="324">
        <v>158</v>
      </c>
      <c r="C177" s="324" t="s">
        <v>281</v>
      </c>
      <c r="D177" s="324">
        <v>1976</v>
      </c>
      <c r="E177" s="325">
        <v>95438.5</v>
      </c>
      <c r="F177" s="324"/>
      <c r="G177" s="324">
        <v>2021</v>
      </c>
      <c r="H177" s="324" t="s">
        <v>806</v>
      </c>
      <c r="I177" s="324">
        <v>1</v>
      </c>
    </row>
    <row r="178" spans="2:9">
      <c r="B178" s="324">
        <v>159</v>
      </c>
      <c r="C178" s="324" t="s">
        <v>281</v>
      </c>
      <c r="D178" s="324">
        <v>1977</v>
      </c>
      <c r="E178" s="325">
        <v>60014.03</v>
      </c>
      <c r="F178" s="324"/>
      <c r="G178" s="324">
        <v>2021</v>
      </c>
      <c r="H178" s="324" t="s">
        <v>806</v>
      </c>
      <c r="I178" s="324">
        <v>1</v>
      </c>
    </row>
    <row r="179" spans="2:9">
      <c r="B179" s="324">
        <v>160</v>
      </c>
      <c r="C179" s="324" t="s">
        <v>281</v>
      </c>
      <c r="D179" s="324">
        <v>1978</v>
      </c>
      <c r="E179" s="325">
        <v>16510.61</v>
      </c>
      <c r="F179" s="324"/>
      <c r="G179" s="324">
        <v>2021</v>
      </c>
      <c r="H179" s="324" t="s">
        <v>806</v>
      </c>
      <c r="I179" s="324">
        <v>1</v>
      </c>
    </row>
    <row r="180" spans="2:9">
      <c r="B180" s="324">
        <v>161</v>
      </c>
      <c r="C180" s="324" t="s">
        <v>281</v>
      </c>
      <c r="D180" s="324">
        <v>1979</v>
      </c>
      <c r="E180" s="325">
        <v>38157.51</v>
      </c>
      <c r="F180" s="324"/>
      <c r="G180" s="324">
        <v>2021</v>
      </c>
      <c r="H180" s="324" t="s">
        <v>806</v>
      </c>
      <c r="I180" s="324">
        <v>1</v>
      </c>
    </row>
    <row r="181" spans="2:9">
      <c r="B181" s="324">
        <v>162</v>
      </c>
      <c r="C181" s="324" t="s">
        <v>281</v>
      </c>
      <c r="D181" s="324">
        <v>1986</v>
      </c>
      <c r="E181" s="325">
        <v>109742.65</v>
      </c>
      <c r="F181" s="324"/>
      <c r="G181" s="324">
        <v>2021</v>
      </c>
      <c r="H181" s="324" t="s">
        <v>806</v>
      </c>
      <c r="I181" s="324">
        <v>1</v>
      </c>
    </row>
    <row r="182" spans="2:9">
      <c r="B182" s="324">
        <v>163</v>
      </c>
      <c r="C182" s="324" t="s">
        <v>281</v>
      </c>
      <c r="D182" s="324">
        <v>1989</v>
      </c>
      <c r="E182" s="325">
        <v>13251.86</v>
      </c>
      <c r="F182" s="324"/>
      <c r="G182" s="324">
        <v>2021</v>
      </c>
      <c r="H182" s="324" t="s">
        <v>806</v>
      </c>
      <c r="I182" s="324">
        <v>1</v>
      </c>
    </row>
    <row r="183" spans="2:9">
      <c r="B183" s="324">
        <v>164</v>
      </c>
      <c r="C183" s="324" t="s">
        <v>281</v>
      </c>
      <c r="D183" s="324">
        <v>1991</v>
      </c>
      <c r="E183" s="325">
        <v>8107.24</v>
      </c>
      <c r="F183" s="324"/>
      <c r="G183" s="324">
        <v>2021</v>
      </c>
      <c r="H183" s="324" t="s">
        <v>806</v>
      </c>
      <c r="I183" s="324">
        <v>1</v>
      </c>
    </row>
    <row r="184" spans="2:9">
      <c r="B184" s="324">
        <v>165</v>
      </c>
      <c r="C184" s="324" t="s">
        <v>281</v>
      </c>
      <c r="D184" s="324">
        <v>1992</v>
      </c>
      <c r="E184" s="325">
        <v>876626.98</v>
      </c>
      <c r="F184" s="324"/>
      <c r="G184" s="324">
        <v>2021</v>
      </c>
      <c r="H184" s="324" t="s">
        <v>806</v>
      </c>
      <c r="I184" s="324">
        <v>1</v>
      </c>
    </row>
    <row r="185" spans="2:9">
      <c r="B185" s="324">
        <v>166</v>
      </c>
      <c r="C185" s="324" t="s">
        <v>281</v>
      </c>
      <c r="D185" s="324">
        <v>1993</v>
      </c>
      <c r="E185" s="325">
        <v>6193.19</v>
      </c>
      <c r="F185" s="324"/>
      <c r="G185" s="324">
        <v>2021</v>
      </c>
      <c r="H185" s="324" t="s">
        <v>806</v>
      </c>
      <c r="I185" s="324">
        <v>1</v>
      </c>
    </row>
    <row r="186" spans="2:9">
      <c r="B186" s="324">
        <v>167</v>
      </c>
      <c r="C186" s="324" t="s">
        <v>281</v>
      </c>
      <c r="D186" s="324">
        <v>1995</v>
      </c>
      <c r="E186" s="325">
        <v>8440.31</v>
      </c>
      <c r="F186" s="324"/>
      <c r="G186" s="324">
        <v>2021</v>
      </c>
      <c r="H186" s="324" t="s">
        <v>806</v>
      </c>
      <c r="I186" s="324">
        <v>1</v>
      </c>
    </row>
    <row r="187" spans="2:9">
      <c r="B187" s="324">
        <v>168</v>
      </c>
      <c r="C187" s="324" t="s">
        <v>281</v>
      </c>
      <c r="D187" s="324">
        <v>1996</v>
      </c>
      <c r="E187" s="325">
        <v>6633.93</v>
      </c>
      <c r="F187" s="324"/>
      <c r="G187" s="324">
        <v>2021</v>
      </c>
      <c r="H187" s="324" t="s">
        <v>806</v>
      </c>
      <c r="I187" s="324">
        <v>1</v>
      </c>
    </row>
    <row r="188" spans="2:9">
      <c r="B188" s="324">
        <v>169</v>
      </c>
      <c r="C188" s="324" t="s">
        <v>281</v>
      </c>
      <c r="D188" s="324">
        <v>1998</v>
      </c>
      <c r="E188" s="325">
        <v>10371.369999999999</v>
      </c>
      <c r="F188" s="324"/>
      <c r="G188" s="324">
        <v>2021</v>
      </c>
      <c r="H188" s="324" t="s">
        <v>806</v>
      </c>
      <c r="I188" s="324">
        <v>1</v>
      </c>
    </row>
    <row r="189" spans="2:9">
      <c r="B189" s="324">
        <v>170</v>
      </c>
      <c r="C189" s="324" t="s">
        <v>281</v>
      </c>
      <c r="D189" s="324">
        <v>1999</v>
      </c>
      <c r="E189" s="325">
        <v>4737.3</v>
      </c>
      <c r="F189" s="324"/>
      <c r="G189" s="324">
        <v>2021</v>
      </c>
      <c r="H189" s="324" t="s">
        <v>806</v>
      </c>
      <c r="I189" s="324">
        <v>1</v>
      </c>
    </row>
    <row r="190" spans="2:9">
      <c r="B190" s="324">
        <v>171</v>
      </c>
      <c r="C190" s="324" t="s">
        <v>281</v>
      </c>
      <c r="D190" s="324">
        <v>2002</v>
      </c>
      <c r="E190" s="325">
        <v>49679.41</v>
      </c>
      <c r="F190" s="324"/>
      <c r="G190" s="324">
        <v>2021</v>
      </c>
      <c r="H190" s="324" t="s">
        <v>806</v>
      </c>
      <c r="I190" s="324">
        <v>1</v>
      </c>
    </row>
    <row r="191" spans="2:9">
      <c r="B191" s="324">
        <v>172</v>
      </c>
      <c r="C191" s="324" t="s">
        <v>281</v>
      </c>
      <c r="D191" s="324">
        <v>2003</v>
      </c>
      <c r="E191" s="325">
        <v>42948.94</v>
      </c>
      <c r="F191" s="324"/>
      <c r="G191" s="324">
        <v>2021</v>
      </c>
      <c r="H191" s="324" t="s">
        <v>806</v>
      </c>
      <c r="I191" s="324">
        <v>1</v>
      </c>
    </row>
    <row r="192" spans="2:9">
      <c r="B192" s="324">
        <v>173</v>
      </c>
      <c r="C192" s="324" t="s">
        <v>281</v>
      </c>
      <c r="D192" s="324">
        <v>2005</v>
      </c>
      <c r="E192" s="325">
        <v>108188.81</v>
      </c>
      <c r="F192" s="324"/>
      <c r="G192" s="324">
        <v>2021</v>
      </c>
      <c r="H192" s="324" t="s">
        <v>806</v>
      </c>
      <c r="I192" s="324">
        <v>1</v>
      </c>
    </row>
    <row r="193" spans="2:9">
      <c r="B193" s="324">
        <v>174</v>
      </c>
      <c r="C193" s="324" t="s">
        <v>281</v>
      </c>
      <c r="D193" s="324">
        <v>2007</v>
      </c>
      <c r="E193" s="325">
        <v>209399.48</v>
      </c>
      <c r="F193" s="324"/>
      <c r="G193" s="324">
        <v>2021</v>
      </c>
      <c r="H193" s="324" t="s">
        <v>806</v>
      </c>
      <c r="I193" s="324">
        <v>1</v>
      </c>
    </row>
    <row r="194" spans="2:9">
      <c r="B194" s="324">
        <v>175</v>
      </c>
      <c r="C194" s="324" t="s">
        <v>281</v>
      </c>
      <c r="D194" s="324">
        <v>2011</v>
      </c>
      <c r="E194" s="325">
        <v>326231.77348609408</v>
      </c>
      <c r="F194" s="324"/>
      <c r="G194" s="324">
        <v>2021</v>
      </c>
      <c r="H194" s="324" t="s">
        <v>806</v>
      </c>
      <c r="I194" s="324">
        <v>1</v>
      </c>
    </row>
    <row r="195" spans="2:9">
      <c r="B195" s="324">
        <v>176</v>
      </c>
      <c r="C195" s="324" t="s">
        <v>281</v>
      </c>
      <c r="D195" s="324">
        <v>2012</v>
      </c>
      <c r="E195" s="325">
        <v>304764.16110630898</v>
      </c>
      <c r="F195" s="324"/>
      <c r="G195" s="324">
        <v>2021</v>
      </c>
      <c r="H195" s="324" t="s">
        <v>806</v>
      </c>
      <c r="I195" s="324">
        <v>1</v>
      </c>
    </row>
    <row r="196" spans="2:9">
      <c r="B196" s="324">
        <v>177</v>
      </c>
      <c r="C196" s="324" t="s">
        <v>281</v>
      </c>
      <c r="D196" s="324">
        <v>2013</v>
      </c>
      <c r="E196" s="325">
        <v>38943.678871327982</v>
      </c>
      <c r="F196" s="324"/>
      <c r="G196" s="324">
        <v>2021</v>
      </c>
      <c r="H196" s="324" t="s">
        <v>806</v>
      </c>
      <c r="I196" s="324">
        <v>1</v>
      </c>
    </row>
    <row r="197" spans="2:9">
      <c r="B197" s="324">
        <v>178</v>
      </c>
      <c r="C197" s="324" t="s">
        <v>281</v>
      </c>
      <c r="D197" s="324">
        <v>2018</v>
      </c>
      <c r="E197" s="325">
        <v>24781.746230975445</v>
      </c>
      <c r="F197" s="324"/>
      <c r="G197" s="324">
        <v>2021</v>
      </c>
      <c r="H197" s="324" t="s">
        <v>806</v>
      </c>
      <c r="I197" s="324">
        <v>1</v>
      </c>
    </row>
    <row r="198" spans="2:9">
      <c r="B198" s="324">
        <v>179</v>
      </c>
      <c r="C198" s="324" t="s">
        <v>284</v>
      </c>
      <c r="D198" s="324">
        <v>1956</v>
      </c>
      <c r="E198" s="325">
        <v>10811.2</v>
      </c>
      <c r="F198" s="324">
        <v>3432.605970336283</v>
      </c>
      <c r="G198" s="324">
        <v>2021</v>
      </c>
      <c r="H198" s="324" t="s">
        <v>806</v>
      </c>
      <c r="I198" s="324">
        <v>1</v>
      </c>
    </row>
    <row r="199" spans="2:9">
      <c r="B199" s="324">
        <v>180</v>
      </c>
      <c r="C199" s="324" t="s">
        <v>284</v>
      </c>
      <c r="D199" s="324">
        <v>1968</v>
      </c>
      <c r="E199" s="325">
        <v>73172.06</v>
      </c>
      <c r="F199" s="324">
        <v>23232.46725782565</v>
      </c>
      <c r="G199" s="324">
        <v>2021</v>
      </c>
      <c r="H199" s="324" t="s">
        <v>806</v>
      </c>
      <c r="I199" s="324">
        <v>1</v>
      </c>
    </row>
    <row r="200" spans="2:9">
      <c r="B200" s="324">
        <v>181</v>
      </c>
      <c r="C200" s="324" t="s">
        <v>284</v>
      </c>
      <c r="D200" s="324">
        <v>1979</v>
      </c>
      <c r="E200" s="325">
        <v>1664.95</v>
      </c>
      <c r="F200" s="324"/>
      <c r="G200" s="324">
        <v>2021</v>
      </c>
      <c r="H200" s="324" t="s">
        <v>806</v>
      </c>
      <c r="I200" s="324">
        <v>1</v>
      </c>
    </row>
    <row r="201" spans="2:9">
      <c r="B201" s="324">
        <v>182</v>
      </c>
      <c r="C201" s="324" t="s">
        <v>284</v>
      </c>
      <c r="D201" s="324">
        <v>1986</v>
      </c>
      <c r="E201" s="325">
        <v>216560.83000000002</v>
      </c>
      <c r="F201" s="324">
        <v>560508.72</v>
      </c>
      <c r="G201" s="324">
        <v>2021</v>
      </c>
      <c r="H201" s="324" t="s">
        <v>806</v>
      </c>
      <c r="I201" s="324">
        <v>1</v>
      </c>
    </row>
    <row r="202" spans="2:9">
      <c r="B202" s="324">
        <v>183</v>
      </c>
      <c r="C202" s="324" t="s">
        <v>284</v>
      </c>
      <c r="D202" s="324">
        <v>2012</v>
      </c>
      <c r="E202" s="325">
        <v>492468.36169150769</v>
      </c>
      <c r="F202" s="324">
        <v>649090.35856984626</v>
      </c>
      <c r="G202" s="324">
        <v>2021</v>
      </c>
      <c r="H202" s="324" t="s">
        <v>806</v>
      </c>
      <c r="I202" s="324">
        <v>1</v>
      </c>
    </row>
    <row r="203" spans="2:9">
      <c r="B203" s="324">
        <v>184</v>
      </c>
      <c r="C203" s="324" t="s">
        <v>286</v>
      </c>
      <c r="D203" s="324">
        <v>1998</v>
      </c>
      <c r="E203" s="325">
        <v>95295.21</v>
      </c>
      <c r="F203" s="324"/>
      <c r="G203" s="324">
        <v>2021</v>
      </c>
      <c r="H203" s="324" t="s">
        <v>806</v>
      </c>
      <c r="I203" s="324">
        <v>1</v>
      </c>
    </row>
    <row r="204" spans="2:9">
      <c r="B204" s="324">
        <v>185</v>
      </c>
      <c r="C204" s="324" t="s">
        <v>286</v>
      </c>
      <c r="D204" s="324">
        <v>2007</v>
      </c>
      <c r="E204" s="325">
        <v>13693.71</v>
      </c>
      <c r="F204" s="324"/>
      <c r="G204" s="324">
        <v>2021</v>
      </c>
      <c r="H204" s="324" t="s">
        <v>806</v>
      </c>
      <c r="I204" s="324">
        <v>1</v>
      </c>
    </row>
    <row r="205" spans="2:9">
      <c r="B205" s="324">
        <v>186</v>
      </c>
      <c r="C205" s="324" t="s">
        <v>286</v>
      </c>
      <c r="D205" s="324">
        <v>2016</v>
      </c>
      <c r="E205" s="325">
        <v>32624.757655515543</v>
      </c>
      <c r="F205" s="324"/>
      <c r="G205" s="324">
        <v>2021</v>
      </c>
      <c r="H205" s="324" t="s">
        <v>806</v>
      </c>
      <c r="I205" s="324">
        <v>1</v>
      </c>
    </row>
    <row r="206" spans="2:9">
      <c r="B206" s="324">
        <v>187</v>
      </c>
      <c r="C206" s="324" t="s">
        <v>286</v>
      </c>
      <c r="D206" s="324">
        <v>2018</v>
      </c>
      <c r="E206" s="325">
        <v>538732.54828671971</v>
      </c>
      <c r="F206" s="324">
        <v>167251.98597930631</v>
      </c>
      <c r="G206" s="324">
        <v>2021</v>
      </c>
      <c r="H206" s="324" t="s">
        <v>806</v>
      </c>
      <c r="I206" s="324">
        <v>1</v>
      </c>
    </row>
    <row r="207" spans="2:9">
      <c r="B207" s="324">
        <v>188</v>
      </c>
      <c r="C207" s="324" t="s">
        <v>290</v>
      </c>
      <c r="D207" s="324">
        <v>1980</v>
      </c>
      <c r="E207" s="325">
        <v>15535.76</v>
      </c>
      <c r="F207" s="324"/>
      <c r="G207" s="324">
        <v>2021</v>
      </c>
      <c r="H207" s="324" t="s">
        <v>806</v>
      </c>
      <c r="I207" s="324">
        <v>1</v>
      </c>
    </row>
    <row r="208" spans="2:9">
      <c r="B208" s="324">
        <v>189</v>
      </c>
      <c r="C208" s="324" t="s">
        <v>290</v>
      </c>
      <c r="D208" s="324">
        <v>2005</v>
      </c>
      <c r="E208" s="325">
        <v>95475</v>
      </c>
      <c r="F208" s="324"/>
      <c r="G208" s="324">
        <v>2021</v>
      </c>
      <c r="H208" s="324" t="s">
        <v>806</v>
      </c>
      <c r="I208" s="324">
        <v>1</v>
      </c>
    </row>
    <row r="209" spans="2:9">
      <c r="B209" s="324">
        <v>190</v>
      </c>
      <c r="C209" s="324" t="s">
        <v>290</v>
      </c>
      <c r="D209" s="324">
        <v>2006</v>
      </c>
      <c r="E209" s="325">
        <v>43750.75</v>
      </c>
      <c r="F209" s="324"/>
      <c r="G209" s="324">
        <v>2021</v>
      </c>
      <c r="H209" s="324" t="s">
        <v>806</v>
      </c>
      <c r="I209" s="324">
        <v>1</v>
      </c>
    </row>
    <row r="210" spans="2:9">
      <c r="B210" s="324">
        <v>191</v>
      </c>
      <c r="C210" s="324" t="s">
        <v>290</v>
      </c>
      <c r="D210" s="324">
        <v>2010</v>
      </c>
      <c r="E210" s="325">
        <v>8444.43</v>
      </c>
      <c r="F210" s="324"/>
      <c r="G210" s="324">
        <v>2021</v>
      </c>
      <c r="H210" s="324" t="s">
        <v>806</v>
      </c>
      <c r="I210" s="324">
        <v>1</v>
      </c>
    </row>
    <row r="211" spans="2:9">
      <c r="B211" s="324">
        <v>192</v>
      </c>
      <c r="C211" s="324" t="s">
        <v>292</v>
      </c>
      <c r="D211" s="324">
        <v>2006</v>
      </c>
      <c r="E211" s="325">
        <v>213008.69</v>
      </c>
      <c r="F211" s="324"/>
      <c r="G211" s="324">
        <v>2021</v>
      </c>
      <c r="H211" s="324" t="s">
        <v>806</v>
      </c>
      <c r="I211" s="324">
        <v>1</v>
      </c>
    </row>
    <row r="212" spans="2:9">
      <c r="B212" s="324">
        <v>193</v>
      </c>
      <c r="C212" s="324" t="s">
        <v>294</v>
      </c>
      <c r="D212" s="324">
        <v>1995</v>
      </c>
      <c r="E212" s="325">
        <v>21404.81</v>
      </c>
      <c r="F212" s="324">
        <v>6796.1261099520652</v>
      </c>
      <c r="G212" s="324">
        <v>2021</v>
      </c>
      <c r="H212" s="324" t="s">
        <v>806</v>
      </c>
      <c r="I212" s="324">
        <v>1</v>
      </c>
    </row>
    <row r="213" spans="2:9">
      <c r="B213" s="324">
        <v>194</v>
      </c>
      <c r="C213" s="324" t="s">
        <v>294</v>
      </c>
      <c r="D213" s="324">
        <v>1999</v>
      </c>
      <c r="E213" s="325">
        <v>41263.57</v>
      </c>
      <c r="F213" s="324"/>
      <c r="G213" s="324">
        <v>2021</v>
      </c>
      <c r="H213" s="324" t="s">
        <v>806</v>
      </c>
      <c r="I213" s="324">
        <v>1</v>
      </c>
    </row>
    <row r="214" spans="2:9">
      <c r="B214" s="324">
        <v>195</v>
      </c>
      <c r="C214" s="324" t="s">
        <v>294</v>
      </c>
      <c r="D214" s="324">
        <v>2004</v>
      </c>
      <c r="E214" s="325">
        <v>25586.77</v>
      </c>
      <c r="F214" s="324"/>
      <c r="G214" s="324">
        <v>2021</v>
      </c>
      <c r="H214" s="324" t="s">
        <v>806</v>
      </c>
      <c r="I214" s="324">
        <v>1</v>
      </c>
    </row>
    <row r="215" spans="2:9">
      <c r="B215" s="324">
        <v>196</v>
      </c>
      <c r="C215" s="324" t="s">
        <v>294</v>
      </c>
      <c r="D215" s="324">
        <v>2007</v>
      </c>
      <c r="E215" s="325">
        <v>72524.09</v>
      </c>
      <c r="F215" s="324"/>
      <c r="G215" s="324">
        <v>2021</v>
      </c>
      <c r="H215" s="324" t="s">
        <v>806</v>
      </c>
      <c r="I215" s="324">
        <v>1</v>
      </c>
    </row>
    <row r="216" spans="2:9">
      <c r="B216" s="324">
        <v>197</v>
      </c>
      <c r="C216" s="324" t="s">
        <v>294</v>
      </c>
      <c r="D216" s="324">
        <v>2009</v>
      </c>
      <c r="E216" s="325">
        <v>43757.98</v>
      </c>
      <c r="F216" s="324"/>
      <c r="G216" s="324">
        <v>2021</v>
      </c>
      <c r="H216" s="324" t="s">
        <v>806</v>
      </c>
      <c r="I216" s="324">
        <v>1</v>
      </c>
    </row>
    <row r="217" spans="2:9">
      <c r="B217" s="324">
        <v>198</v>
      </c>
      <c r="C217" s="324" t="s">
        <v>294</v>
      </c>
      <c r="D217" s="324">
        <v>2018</v>
      </c>
      <c r="E217" s="325">
        <v>92063.762018898677</v>
      </c>
      <c r="F217" s="324">
        <v>28518.401683085332</v>
      </c>
      <c r="G217" s="324">
        <v>2021</v>
      </c>
      <c r="H217" s="324" t="s">
        <v>806</v>
      </c>
      <c r="I217" s="324">
        <v>1</v>
      </c>
    </row>
    <row r="218" spans="2:9">
      <c r="B218" s="324">
        <v>199</v>
      </c>
      <c r="C218" s="324" t="s">
        <v>295</v>
      </c>
      <c r="D218" s="324">
        <v>1999</v>
      </c>
      <c r="E218" s="325">
        <v>23628.5</v>
      </c>
      <c r="F218" s="324"/>
      <c r="G218" s="324">
        <v>2021</v>
      </c>
      <c r="H218" s="324" t="s">
        <v>806</v>
      </c>
      <c r="I218" s="324">
        <v>1</v>
      </c>
    </row>
    <row r="219" spans="2:9">
      <c r="B219" s="324">
        <v>200</v>
      </c>
      <c r="C219" s="324" t="s">
        <v>295</v>
      </c>
      <c r="D219" s="324">
        <v>2003</v>
      </c>
      <c r="E219" s="325">
        <v>5549.99</v>
      </c>
      <c r="F219" s="324">
        <v>1762.1474775516747</v>
      </c>
      <c r="G219" s="324">
        <v>2021</v>
      </c>
      <c r="H219" s="324" t="s">
        <v>806</v>
      </c>
      <c r="I219" s="324">
        <v>1</v>
      </c>
    </row>
    <row r="220" spans="2:9">
      <c r="B220" s="324">
        <v>201</v>
      </c>
      <c r="C220" s="324" t="s">
        <v>295</v>
      </c>
      <c r="D220" s="324">
        <v>2004</v>
      </c>
      <c r="E220" s="325">
        <v>7075.25</v>
      </c>
      <c r="F220" s="324">
        <v>2246.424577440227</v>
      </c>
      <c r="G220" s="324">
        <v>2021</v>
      </c>
      <c r="H220" s="324" t="s">
        <v>806</v>
      </c>
      <c r="I220" s="324">
        <v>1</v>
      </c>
    </row>
    <row r="221" spans="2:9">
      <c r="B221" s="324">
        <v>202</v>
      </c>
      <c r="C221" s="324" t="s">
        <v>295</v>
      </c>
      <c r="D221" s="324">
        <v>2011</v>
      </c>
      <c r="E221" s="325">
        <v>32592.1</v>
      </c>
      <c r="F221" s="324">
        <v>2890.2096493742083</v>
      </c>
      <c r="G221" s="324">
        <v>2021</v>
      </c>
      <c r="H221" s="324" t="s">
        <v>806</v>
      </c>
      <c r="I221" s="324">
        <v>1</v>
      </c>
    </row>
    <row r="222" spans="2:9">
      <c r="B222" s="324">
        <v>203</v>
      </c>
      <c r="C222" s="324" t="s">
        <v>295</v>
      </c>
      <c r="D222" s="324">
        <v>2012</v>
      </c>
      <c r="E222" s="325">
        <v>47594.894530059231</v>
      </c>
      <c r="F222" s="324">
        <v>14768.206788922676</v>
      </c>
      <c r="G222" s="324">
        <v>2021</v>
      </c>
      <c r="H222" s="324" t="s">
        <v>806</v>
      </c>
      <c r="I222" s="324">
        <v>1</v>
      </c>
    </row>
    <row r="223" spans="2:9">
      <c r="B223" s="324">
        <v>204</v>
      </c>
      <c r="C223" s="324" t="s">
        <v>295</v>
      </c>
      <c r="D223" s="324">
        <v>2017</v>
      </c>
      <c r="E223" s="325">
        <v>30787.351220734221</v>
      </c>
      <c r="F223" s="324">
        <v>9644.7204285089756</v>
      </c>
      <c r="G223" s="324">
        <v>2021</v>
      </c>
      <c r="H223" s="324" t="s">
        <v>806</v>
      </c>
      <c r="I223" s="324">
        <v>1</v>
      </c>
    </row>
    <row r="224" spans="2:9">
      <c r="B224" s="324">
        <v>205</v>
      </c>
      <c r="C224" s="324" t="s">
        <v>295</v>
      </c>
      <c r="D224" s="324">
        <v>2018</v>
      </c>
      <c r="E224" s="325">
        <v>15158.814286337998</v>
      </c>
      <c r="F224" s="324">
        <v>4645.9117830974619</v>
      </c>
      <c r="G224" s="324">
        <v>2021</v>
      </c>
      <c r="H224" s="324" t="s">
        <v>806</v>
      </c>
      <c r="I224" s="324">
        <v>1</v>
      </c>
    </row>
    <row r="225" spans="2:9">
      <c r="B225" s="324">
        <v>206</v>
      </c>
      <c r="C225" s="324" t="s">
        <v>296</v>
      </c>
      <c r="D225" s="324">
        <v>2011</v>
      </c>
      <c r="E225" s="325">
        <v>327059.9632444483</v>
      </c>
      <c r="F225" s="324"/>
      <c r="G225" s="324">
        <v>2021</v>
      </c>
      <c r="H225" s="324" t="s">
        <v>806</v>
      </c>
      <c r="I225" s="324">
        <v>1</v>
      </c>
    </row>
    <row r="226" spans="2:9">
      <c r="B226" s="324">
        <v>207</v>
      </c>
      <c r="C226" s="324" t="s">
        <v>296</v>
      </c>
      <c r="D226" s="324">
        <v>2011</v>
      </c>
      <c r="E226" s="325">
        <v>204205.26050762061</v>
      </c>
      <c r="F226" s="324"/>
      <c r="G226" s="324">
        <v>2021</v>
      </c>
      <c r="H226" s="324" t="s">
        <v>806</v>
      </c>
      <c r="I226" s="324">
        <v>1</v>
      </c>
    </row>
    <row r="227" spans="2:9">
      <c r="B227" s="324">
        <v>208</v>
      </c>
      <c r="C227" s="324" t="s">
        <v>310</v>
      </c>
      <c r="D227" s="324">
        <v>1970</v>
      </c>
      <c r="E227" s="325">
        <v>200671.11000000002</v>
      </c>
      <c r="F227" s="324"/>
      <c r="G227" s="324">
        <v>2021</v>
      </c>
      <c r="H227" s="324" t="s">
        <v>806</v>
      </c>
      <c r="I227" s="324">
        <v>1</v>
      </c>
    </row>
    <row r="228" spans="2:9">
      <c r="B228" s="324">
        <v>209</v>
      </c>
      <c r="C228" s="324" t="s">
        <v>310</v>
      </c>
      <c r="D228" s="324">
        <v>1971</v>
      </c>
      <c r="E228" s="325">
        <v>31459.45</v>
      </c>
      <c r="F228" s="324"/>
      <c r="G228" s="324">
        <v>2021</v>
      </c>
      <c r="H228" s="324" t="s">
        <v>806</v>
      </c>
      <c r="I228" s="324">
        <v>1</v>
      </c>
    </row>
    <row r="229" spans="2:9">
      <c r="B229" s="324">
        <v>210</v>
      </c>
      <c r="C229" s="324" t="s">
        <v>310</v>
      </c>
      <c r="D229" s="324">
        <v>1974</v>
      </c>
      <c r="E229" s="325">
        <v>37307.01</v>
      </c>
      <c r="F229" s="324"/>
      <c r="G229" s="324">
        <v>2021</v>
      </c>
      <c r="H229" s="324" t="s">
        <v>806</v>
      </c>
      <c r="I229" s="324">
        <v>1</v>
      </c>
    </row>
    <row r="230" spans="2:9">
      <c r="B230" s="324">
        <v>211</v>
      </c>
      <c r="C230" s="324" t="s">
        <v>310</v>
      </c>
      <c r="D230" s="324">
        <v>1977</v>
      </c>
      <c r="E230" s="325">
        <v>56993.78</v>
      </c>
      <c r="F230" s="324"/>
      <c r="G230" s="324">
        <v>2021</v>
      </c>
      <c r="H230" s="324" t="s">
        <v>806</v>
      </c>
      <c r="I230" s="324">
        <v>1</v>
      </c>
    </row>
    <row r="231" spans="2:9">
      <c r="B231" s="324">
        <v>212</v>
      </c>
      <c r="C231" s="324" t="s">
        <v>310</v>
      </c>
      <c r="D231" s="324">
        <v>1987</v>
      </c>
      <c r="E231" s="325">
        <v>30140.38</v>
      </c>
      <c r="F231" s="324"/>
      <c r="G231" s="324">
        <v>2021</v>
      </c>
      <c r="H231" s="324" t="s">
        <v>806</v>
      </c>
      <c r="I231" s="324">
        <v>1</v>
      </c>
    </row>
    <row r="232" spans="2:9">
      <c r="B232" s="324">
        <v>213</v>
      </c>
      <c r="C232" s="324" t="s">
        <v>310</v>
      </c>
      <c r="D232" s="324">
        <v>2006</v>
      </c>
      <c r="E232" s="325">
        <v>220824.52000000002</v>
      </c>
      <c r="F232" s="324"/>
      <c r="G232" s="324">
        <v>2021</v>
      </c>
      <c r="H232" s="324" t="s">
        <v>806</v>
      </c>
      <c r="I232" s="324">
        <v>1</v>
      </c>
    </row>
    <row r="233" spans="2:9">
      <c r="B233" s="324">
        <v>214</v>
      </c>
      <c r="C233" s="324" t="s">
        <v>310</v>
      </c>
      <c r="D233" s="324">
        <v>2007</v>
      </c>
      <c r="E233" s="325">
        <v>118615.11181912628</v>
      </c>
      <c r="F233" s="324"/>
      <c r="G233" s="324">
        <v>2021</v>
      </c>
      <c r="H233" s="324" t="s">
        <v>806</v>
      </c>
      <c r="I233" s="324">
        <v>1</v>
      </c>
    </row>
    <row r="234" spans="2:9">
      <c r="B234" s="324">
        <v>215</v>
      </c>
      <c r="C234" s="324" t="s">
        <v>310</v>
      </c>
      <c r="D234" s="324">
        <v>2009</v>
      </c>
      <c r="E234" s="325">
        <v>36749.480000000003</v>
      </c>
      <c r="F234" s="324"/>
      <c r="G234" s="324">
        <v>2021</v>
      </c>
      <c r="H234" s="324" t="s">
        <v>806</v>
      </c>
      <c r="I234" s="324">
        <v>1</v>
      </c>
    </row>
    <row r="235" spans="2:9">
      <c r="B235" s="324">
        <v>216</v>
      </c>
      <c r="C235" s="324" t="s">
        <v>310</v>
      </c>
      <c r="D235" s="324">
        <v>2010</v>
      </c>
      <c r="E235" s="325">
        <v>16852.444769673708</v>
      </c>
      <c r="F235" s="324"/>
      <c r="G235" s="324">
        <v>2021</v>
      </c>
      <c r="H235" s="324" t="s">
        <v>806</v>
      </c>
      <c r="I235" s="324">
        <v>1</v>
      </c>
    </row>
    <row r="236" spans="2:9">
      <c r="B236" s="324">
        <v>217</v>
      </c>
      <c r="C236" s="324" t="s">
        <v>310</v>
      </c>
      <c r="D236" s="324">
        <v>2011</v>
      </c>
      <c r="E236" s="325">
        <v>161240.22989045532</v>
      </c>
      <c r="F236" s="324"/>
      <c r="G236" s="324">
        <v>2021</v>
      </c>
      <c r="H236" s="324" t="s">
        <v>806</v>
      </c>
      <c r="I236" s="324">
        <v>1</v>
      </c>
    </row>
    <row r="237" spans="2:9">
      <c r="B237" s="324">
        <v>218</v>
      </c>
      <c r="C237" s="324" t="s">
        <v>313</v>
      </c>
      <c r="D237" s="324">
        <v>1977</v>
      </c>
      <c r="E237" s="325">
        <v>35828970.149999999</v>
      </c>
      <c r="F237" s="324"/>
      <c r="G237" s="324">
        <v>2021</v>
      </c>
      <c r="H237" s="324" t="s">
        <v>806</v>
      </c>
      <c r="I237" s="324">
        <v>1</v>
      </c>
    </row>
    <row r="238" spans="2:9">
      <c r="B238" s="324">
        <v>219</v>
      </c>
      <c r="C238" s="324" t="s">
        <v>313</v>
      </c>
      <c r="D238" s="324">
        <v>1998</v>
      </c>
      <c r="E238" s="325">
        <v>75833.259999999995</v>
      </c>
      <c r="F238" s="324"/>
      <c r="G238" s="324">
        <v>2021</v>
      </c>
      <c r="H238" s="324" t="s">
        <v>806</v>
      </c>
      <c r="I238" s="324">
        <v>1</v>
      </c>
    </row>
    <row r="239" spans="2:9">
      <c r="B239" s="324">
        <v>220</v>
      </c>
      <c r="C239" s="324" t="s">
        <v>313</v>
      </c>
      <c r="D239" s="324">
        <v>2004</v>
      </c>
      <c r="E239" s="325">
        <v>698617.72</v>
      </c>
      <c r="F239" s="324"/>
      <c r="G239" s="324">
        <v>2021</v>
      </c>
      <c r="H239" s="324" t="s">
        <v>806</v>
      </c>
      <c r="I239" s="324">
        <v>1</v>
      </c>
    </row>
    <row r="240" spans="2:9">
      <c r="B240" s="324">
        <v>221</v>
      </c>
      <c r="C240" s="324" t="s">
        <v>313</v>
      </c>
      <c r="D240" s="324">
        <v>2006</v>
      </c>
      <c r="E240" s="325">
        <v>134414.63</v>
      </c>
      <c r="F240" s="324"/>
      <c r="G240" s="324">
        <v>2021</v>
      </c>
      <c r="H240" s="324" t="s">
        <v>806</v>
      </c>
      <c r="I240" s="324">
        <v>1</v>
      </c>
    </row>
    <row r="241" spans="2:9">
      <c r="B241" s="324">
        <v>222</v>
      </c>
      <c r="C241" s="324" t="s">
        <v>313</v>
      </c>
      <c r="D241" s="324">
        <v>2007</v>
      </c>
      <c r="E241" s="325">
        <v>295840.56</v>
      </c>
      <c r="F241" s="324"/>
      <c r="G241" s="324">
        <v>2021</v>
      </c>
      <c r="H241" s="324" t="s">
        <v>806</v>
      </c>
      <c r="I241" s="324">
        <v>1</v>
      </c>
    </row>
    <row r="242" spans="2:9">
      <c r="B242" s="324">
        <v>223</v>
      </c>
      <c r="C242" s="324" t="s">
        <v>313</v>
      </c>
      <c r="D242" s="324">
        <v>2008</v>
      </c>
      <c r="E242" s="325">
        <v>422693.60000000003</v>
      </c>
      <c r="F242" s="324"/>
      <c r="G242" s="324">
        <v>2021</v>
      </c>
      <c r="H242" s="324" t="s">
        <v>806</v>
      </c>
      <c r="I242" s="324">
        <v>1</v>
      </c>
    </row>
    <row r="243" spans="2:9">
      <c r="B243" s="324">
        <v>224</v>
      </c>
      <c r="C243" s="324" t="s">
        <v>313</v>
      </c>
      <c r="D243" s="324">
        <v>2009</v>
      </c>
      <c r="E243" s="325">
        <v>7501964.5199999996</v>
      </c>
      <c r="F243" s="324"/>
      <c r="G243" s="324">
        <v>2021</v>
      </c>
      <c r="H243" s="324" t="s">
        <v>806</v>
      </c>
      <c r="I243" s="324">
        <v>1</v>
      </c>
    </row>
    <row r="244" spans="2:9">
      <c r="B244" s="324">
        <v>225</v>
      </c>
      <c r="C244" s="324" t="s">
        <v>313</v>
      </c>
      <c r="D244" s="324">
        <v>2010</v>
      </c>
      <c r="E244" s="325">
        <v>1044433.3749015761</v>
      </c>
      <c r="F244" s="324"/>
      <c r="G244" s="324">
        <v>2021</v>
      </c>
      <c r="H244" s="324" t="s">
        <v>806</v>
      </c>
      <c r="I244" s="324">
        <v>1</v>
      </c>
    </row>
    <row r="245" spans="2:9">
      <c r="B245" s="324">
        <v>226</v>
      </c>
      <c r="C245" s="324" t="s">
        <v>313</v>
      </c>
      <c r="D245" s="324">
        <v>2011</v>
      </c>
      <c r="E245" s="325">
        <v>55479.276483167145</v>
      </c>
      <c r="F245" s="324"/>
      <c r="G245" s="324">
        <v>2021</v>
      </c>
      <c r="H245" s="324" t="s">
        <v>806</v>
      </c>
      <c r="I245" s="324">
        <v>1</v>
      </c>
    </row>
    <row r="246" spans="2:9">
      <c r="B246" s="324">
        <v>227</v>
      </c>
      <c r="C246" s="324" t="s">
        <v>313</v>
      </c>
      <c r="D246" s="324">
        <v>2012</v>
      </c>
      <c r="E246" s="325">
        <v>3622072.4393920866</v>
      </c>
      <c r="F246" s="324"/>
      <c r="G246" s="324">
        <v>2021</v>
      </c>
      <c r="H246" s="324" t="s">
        <v>806</v>
      </c>
      <c r="I246" s="324">
        <v>1</v>
      </c>
    </row>
    <row r="247" spans="2:9">
      <c r="B247" s="324">
        <v>228</v>
      </c>
      <c r="C247" s="324" t="s">
        <v>313</v>
      </c>
      <c r="D247" s="324">
        <v>2013</v>
      </c>
      <c r="E247" s="325">
        <v>3696661.0956130447</v>
      </c>
      <c r="F247" s="324"/>
      <c r="G247" s="324">
        <v>2021</v>
      </c>
      <c r="H247" s="324" t="s">
        <v>806</v>
      </c>
      <c r="I247" s="324">
        <v>1</v>
      </c>
    </row>
    <row r="248" spans="2:9">
      <c r="B248" s="324">
        <v>229</v>
      </c>
      <c r="C248" s="324" t="s">
        <v>313</v>
      </c>
      <c r="D248" s="324">
        <v>2014</v>
      </c>
      <c r="E248" s="325">
        <v>-211261.47377242689</v>
      </c>
      <c r="F248" s="324"/>
      <c r="G248" s="324">
        <v>2021</v>
      </c>
      <c r="H248" s="324" t="s">
        <v>806</v>
      </c>
      <c r="I248" s="324">
        <v>1</v>
      </c>
    </row>
    <row r="249" spans="2:9">
      <c r="B249" s="324">
        <v>230</v>
      </c>
      <c r="C249" s="324" t="s">
        <v>313</v>
      </c>
      <c r="D249" s="324">
        <v>2015</v>
      </c>
      <c r="E249" s="325">
        <v>1410348.6255901323</v>
      </c>
      <c r="F249" s="324"/>
      <c r="G249" s="324">
        <v>2021</v>
      </c>
      <c r="H249" s="324" t="s">
        <v>806</v>
      </c>
      <c r="I249" s="324">
        <v>1</v>
      </c>
    </row>
    <row r="250" spans="2:9">
      <c r="B250" s="324">
        <v>231</v>
      </c>
      <c r="C250" s="324" t="s">
        <v>313</v>
      </c>
      <c r="D250" s="324">
        <v>2016</v>
      </c>
      <c r="E250" s="325">
        <v>1210083.3299999998</v>
      </c>
      <c r="F250" s="324"/>
      <c r="G250" s="324">
        <v>2021</v>
      </c>
      <c r="H250" s="324" t="s">
        <v>806</v>
      </c>
      <c r="I250" s="324">
        <v>1</v>
      </c>
    </row>
    <row r="251" spans="2:9">
      <c r="B251" s="324">
        <v>232</v>
      </c>
      <c r="C251" s="324" t="s">
        <v>313</v>
      </c>
      <c r="D251" s="324">
        <v>2016</v>
      </c>
      <c r="E251" s="325">
        <v>4463010.1800000006</v>
      </c>
      <c r="F251" s="324"/>
      <c r="G251" s="324">
        <v>2021</v>
      </c>
      <c r="H251" s="324" t="s">
        <v>806</v>
      </c>
      <c r="I251" s="324">
        <v>1</v>
      </c>
    </row>
    <row r="252" spans="2:9">
      <c r="B252" s="324">
        <v>233</v>
      </c>
      <c r="C252" s="324" t="s">
        <v>314</v>
      </c>
      <c r="D252" s="324">
        <v>1993</v>
      </c>
      <c r="E252" s="325">
        <v>7214.43</v>
      </c>
      <c r="F252" s="324"/>
      <c r="G252" s="324">
        <v>2021</v>
      </c>
      <c r="H252" s="324" t="s">
        <v>806</v>
      </c>
      <c r="I252" s="324">
        <v>1</v>
      </c>
    </row>
    <row r="253" spans="2:9">
      <c r="B253" s="324">
        <v>234</v>
      </c>
      <c r="C253" s="324" t="s">
        <v>314</v>
      </c>
      <c r="D253" s="324">
        <v>2006</v>
      </c>
      <c r="E253" s="325">
        <v>90670.522605892213</v>
      </c>
      <c r="F253" s="324"/>
      <c r="G253" s="324">
        <v>2021</v>
      </c>
      <c r="H253" s="324" t="s">
        <v>806</v>
      </c>
      <c r="I253" s="324">
        <v>1</v>
      </c>
    </row>
    <row r="254" spans="2:9">
      <c r="B254" s="324">
        <v>235</v>
      </c>
      <c r="C254" s="324" t="s">
        <v>314</v>
      </c>
      <c r="D254" s="324">
        <v>2007</v>
      </c>
      <c r="E254" s="325">
        <v>15457.31</v>
      </c>
      <c r="F254" s="324"/>
      <c r="G254" s="324">
        <v>2021</v>
      </c>
      <c r="H254" s="324" t="s">
        <v>806</v>
      </c>
      <c r="I254" s="324">
        <v>1</v>
      </c>
    </row>
    <row r="255" spans="2:9">
      <c r="B255" s="324">
        <v>236</v>
      </c>
      <c r="C255" s="324" t="s">
        <v>314</v>
      </c>
      <c r="D255" s="324">
        <v>2011</v>
      </c>
      <c r="E255" s="325">
        <v>17709.499967104181</v>
      </c>
      <c r="F255" s="324"/>
      <c r="G255" s="324">
        <v>2021</v>
      </c>
      <c r="H255" s="324" t="s">
        <v>806</v>
      </c>
      <c r="I255" s="324">
        <v>1</v>
      </c>
    </row>
    <row r="256" spans="2:9">
      <c r="B256" s="324">
        <v>237</v>
      </c>
      <c r="C256" s="324" t="s">
        <v>317</v>
      </c>
      <c r="D256" s="324">
        <v>1998</v>
      </c>
      <c r="E256" s="325">
        <v>1145228.3699999999</v>
      </c>
      <c r="F256" s="324">
        <v>83006.322393766895</v>
      </c>
      <c r="G256" s="324">
        <v>2021</v>
      </c>
      <c r="H256" s="324" t="s">
        <v>806</v>
      </c>
      <c r="I256" s="324">
        <v>1</v>
      </c>
    </row>
    <row r="257" spans="2:9">
      <c r="B257" s="324">
        <v>238</v>
      </c>
      <c r="C257" s="324" t="s">
        <v>317</v>
      </c>
      <c r="D257" s="324">
        <v>2002</v>
      </c>
      <c r="E257" s="325">
        <v>207275.81</v>
      </c>
      <c r="F257" s="324">
        <v>65811.027722388724</v>
      </c>
      <c r="G257" s="324">
        <v>2021</v>
      </c>
      <c r="H257" s="324" t="s">
        <v>806</v>
      </c>
      <c r="I257" s="324">
        <v>1</v>
      </c>
    </row>
    <row r="258" spans="2:9">
      <c r="B258" s="324">
        <v>239</v>
      </c>
      <c r="C258" s="324" t="s">
        <v>317</v>
      </c>
      <c r="D258" s="324">
        <v>2004</v>
      </c>
      <c r="E258" s="325">
        <v>114452.9</v>
      </c>
      <c r="F258" s="324">
        <v>36339.324761571472</v>
      </c>
      <c r="G258" s="324">
        <v>2021</v>
      </c>
      <c r="H258" s="324" t="s">
        <v>806</v>
      </c>
      <c r="I258" s="324">
        <v>1</v>
      </c>
    </row>
    <row r="259" spans="2:9">
      <c r="B259" s="324">
        <v>240</v>
      </c>
      <c r="C259" s="324" t="s">
        <v>317</v>
      </c>
      <c r="D259" s="324">
        <v>2005</v>
      </c>
      <c r="E259" s="325">
        <v>188996.13</v>
      </c>
      <c r="F259" s="324">
        <v>60007.144832067876</v>
      </c>
      <c r="G259" s="324">
        <v>2021</v>
      </c>
      <c r="H259" s="324" t="s">
        <v>806</v>
      </c>
      <c r="I259" s="324">
        <v>1</v>
      </c>
    </row>
    <row r="260" spans="2:9">
      <c r="B260" s="324">
        <v>241</v>
      </c>
      <c r="C260" s="324" t="s">
        <v>317</v>
      </c>
      <c r="D260" s="324">
        <v>2008</v>
      </c>
      <c r="E260" s="325">
        <v>84567.28</v>
      </c>
      <c r="F260" s="324">
        <v>9973.4837644979889</v>
      </c>
      <c r="G260" s="324">
        <v>2021</v>
      </c>
      <c r="H260" s="324" t="s">
        <v>806</v>
      </c>
      <c r="I260" s="324">
        <v>1</v>
      </c>
    </row>
    <row r="261" spans="2:9">
      <c r="B261" s="324">
        <v>242</v>
      </c>
      <c r="C261" s="324" t="s">
        <v>317</v>
      </c>
      <c r="D261" s="324">
        <v>2009</v>
      </c>
      <c r="E261" s="325">
        <v>163009.45000000001</v>
      </c>
      <c r="F261" s="324">
        <v>39430.787890703461</v>
      </c>
      <c r="G261" s="324">
        <v>2021</v>
      </c>
      <c r="H261" s="324" t="s">
        <v>806</v>
      </c>
      <c r="I261" s="324">
        <v>1</v>
      </c>
    </row>
    <row r="262" spans="2:9">
      <c r="B262" s="324">
        <v>243</v>
      </c>
      <c r="C262" s="324" t="s">
        <v>317</v>
      </c>
      <c r="D262" s="324">
        <v>2010</v>
      </c>
      <c r="E262" s="325">
        <v>137160.34344793225</v>
      </c>
      <c r="F262" s="324"/>
      <c r="G262" s="324">
        <v>2021</v>
      </c>
      <c r="H262" s="324" t="s">
        <v>806</v>
      </c>
      <c r="I262" s="324">
        <v>1</v>
      </c>
    </row>
    <row r="263" spans="2:9">
      <c r="B263" s="324">
        <v>244</v>
      </c>
      <c r="C263" s="324" t="s">
        <v>317</v>
      </c>
      <c r="D263" s="324">
        <v>2011</v>
      </c>
      <c r="E263" s="325">
        <v>28002.195226489926</v>
      </c>
      <c r="F263" s="324">
        <v>957.54631452925457</v>
      </c>
      <c r="G263" s="324">
        <v>2021</v>
      </c>
      <c r="H263" s="324" t="s">
        <v>806</v>
      </c>
      <c r="I263" s="324">
        <v>1</v>
      </c>
    </row>
    <row r="264" spans="2:9">
      <c r="B264" s="324">
        <v>245</v>
      </c>
      <c r="C264" s="324" t="s">
        <v>317</v>
      </c>
      <c r="D264" s="324">
        <v>2012</v>
      </c>
      <c r="E264" s="325">
        <v>418308.90169201128</v>
      </c>
      <c r="F264" s="324">
        <v>85794.147042817931</v>
      </c>
      <c r="G264" s="324">
        <v>2021</v>
      </c>
      <c r="H264" s="324" t="s">
        <v>806</v>
      </c>
      <c r="I264" s="324">
        <v>1</v>
      </c>
    </row>
    <row r="265" spans="2:9">
      <c r="B265" s="324">
        <v>246</v>
      </c>
      <c r="C265" s="324" t="s">
        <v>317</v>
      </c>
      <c r="D265" s="324">
        <v>2012</v>
      </c>
      <c r="E265" s="325">
        <v>34493.89</v>
      </c>
      <c r="F265" s="324"/>
      <c r="G265" s="324">
        <v>2021</v>
      </c>
      <c r="H265" s="324" t="s">
        <v>806</v>
      </c>
      <c r="I265" s="324">
        <v>1</v>
      </c>
    </row>
    <row r="266" spans="2:9">
      <c r="B266" s="324">
        <v>247</v>
      </c>
      <c r="C266" s="324" t="s">
        <v>317</v>
      </c>
      <c r="D266" s="324">
        <v>2014</v>
      </c>
      <c r="E266" s="325">
        <v>119209.70383364368</v>
      </c>
      <c r="F266" s="324">
        <v>36450.838734941819</v>
      </c>
      <c r="G266" s="324">
        <v>2021</v>
      </c>
      <c r="H266" s="324" t="s">
        <v>806</v>
      </c>
      <c r="I266" s="324">
        <v>1</v>
      </c>
    </row>
    <row r="267" spans="2:9">
      <c r="B267" s="324">
        <v>248</v>
      </c>
      <c r="C267" s="324" t="s">
        <v>317</v>
      </c>
      <c r="D267" s="324">
        <v>2015</v>
      </c>
      <c r="E267" s="325">
        <v>86744.489646918475</v>
      </c>
      <c r="F267" s="324">
        <v>26901.214115794937</v>
      </c>
      <c r="G267" s="324">
        <v>2021</v>
      </c>
      <c r="H267" s="324" t="s">
        <v>806</v>
      </c>
      <c r="I267" s="324">
        <v>1</v>
      </c>
    </row>
    <row r="268" spans="2:9">
      <c r="B268" s="324">
        <v>249</v>
      </c>
      <c r="C268" s="324" t="s">
        <v>317</v>
      </c>
      <c r="D268" s="324">
        <v>2016</v>
      </c>
      <c r="E268" s="325">
        <v>872938.23153047287</v>
      </c>
      <c r="F268" s="324">
        <v>100866.50984435556</v>
      </c>
      <c r="G268" s="324">
        <v>2021</v>
      </c>
      <c r="H268" s="324" t="s">
        <v>806</v>
      </c>
      <c r="I268" s="324">
        <v>1</v>
      </c>
    </row>
    <row r="269" spans="2:9">
      <c r="B269" s="324">
        <v>250</v>
      </c>
      <c r="C269" s="324" t="s">
        <v>317</v>
      </c>
      <c r="D269" s="324">
        <v>2018</v>
      </c>
      <c r="E269" s="325">
        <v>318444.09968867822</v>
      </c>
      <c r="F269" s="324">
        <v>83174.482366764263</v>
      </c>
      <c r="G269" s="324">
        <v>2021</v>
      </c>
      <c r="H269" s="324" t="s">
        <v>806</v>
      </c>
      <c r="I269" s="324">
        <v>1</v>
      </c>
    </row>
    <row r="270" spans="2:9">
      <c r="B270" s="324">
        <v>251</v>
      </c>
      <c r="C270" s="324" t="s">
        <v>317</v>
      </c>
      <c r="D270" s="324">
        <v>2019</v>
      </c>
      <c r="E270" s="325">
        <v>470203.71904289688</v>
      </c>
      <c r="F270" s="324">
        <v>152911.40394055273</v>
      </c>
      <c r="G270" s="324">
        <v>2021</v>
      </c>
      <c r="H270" s="324" t="s">
        <v>806</v>
      </c>
      <c r="I270" s="324">
        <v>1</v>
      </c>
    </row>
    <row r="271" spans="2:9">
      <c r="B271" s="324">
        <v>252</v>
      </c>
      <c r="C271" s="324" t="s">
        <v>318</v>
      </c>
      <c r="D271" s="324">
        <v>1964</v>
      </c>
      <c r="E271" s="325">
        <v>1904</v>
      </c>
      <c r="F271" s="324"/>
      <c r="G271" s="324">
        <v>2021</v>
      </c>
      <c r="H271" s="324" t="s">
        <v>806</v>
      </c>
      <c r="I271" s="324">
        <v>1</v>
      </c>
    </row>
    <row r="272" spans="2:9">
      <c r="B272" s="324">
        <v>253</v>
      </c>
      <c r="C272" s="324" t="s">
        <v>318</v>
      </c>
      <c r="D272" s="324">
        <v>1966</v>
      </c>
      <c r="E272" s="325">
        <v>360</v>
      </c>
      <c r="F272" s="324"/>
      <c r="G272" s="324">
        <v>2021</v>
      </c>
      <c r="H272" s="324" t="s">
        <v>806</v>
      </c>
      <c r="I272" s="324">
        <v>1</v>
      </c>
    </row>
    <row r="273" spans="2:9">
      <c r="B273" s="324">
        <v>254</v>
      </c>
      <c r="C273" s="324" t="s">
        <v>318</v>
      </c>
      <c r="D273" s="324">
        <v>1967</v>
      </c>
      <c r="E273" s="325">
        <v>168</v>
      </c>
      <c r="F273" s="324"/>
      <c r="G273" s="324">
        <v>2021</v>
      </c>
      <c r="H273" s="324" t="s">
        <v>806</v>
      </c>
      <c r="I273" s="324">
        <v>1</v>
      </c>
    </row>
    <row r="274" spans="2:9">
      <c r="B274" s="324">
        <v>255</v>
      </c>
      <c r="C274" s="324" t="s">
        <v>318</v>
      </c>
      <c r="D274" s="324">
        <v>1968</v>
      </c>
      <c r="E274" s="325">
        <v>10784</v>
      </c>
      <c r="F274" s="324"/>
      <c r="G274" s="324">
        <v>2021</v>
      </c>
      <c r="H274" s="324" t="s">
        <v>806</v>
      </c>
      <c r="I274" s="324">
        <v>1</v>
      </c>
    </row>
    <row r="275" spans="2:9">
      <c r="B275" s="324">
        <v>256</v>
      </c>
      <c r="C275" s="324" t="s">
        <v>318</v>
      </c>
      <c r="D275" s="324">
        <v>1969</v>
      </c>
      <c r="E275" s="325">
        <v>528</v>
      </c>
      <c r="F275" s="324"/>
      <c r="G275" s="324">
        <v>2021</v>
      </c>
      <c r="H275" s="324" t="s">
        <v>806</v>
      </c>
      <c r="I275" s="324">
        <v>1</v>
      </c>
    </row>
    <row r="276" spans="2:9">
      <c r="B276" s="324">
        <v>257</v>
      </c>
      <c r="C276" s="324" t="s">
        <v>318</v>
      </c>
      <c r="D276" s="324">
        <v>1970</v>
      </c>
      <c r="E276" s="325">
        <v>126766.11</v>
      </c>
      <c r="F276" s="324"/>
      <c r="G276" s="324">
        <v>2021</v>
      </c>
      <c r="H276" s="324" t="s">
        <v>806</v>
      </c>
      <c r="I276" s="324">
        <v>1</v>
      </c>
    </row>
    <row r="277" spans="2:9">
      <c r="B277" s="324">
        <v>258</v>
      </c>
      <c r="C277" s="324" t="s">
        <v>318</v>
      </c>
      <c r="D277" s="324">
        <v>1971</v>
      </c>
      <c r="E277" s="325">
        <v>13448</v>
      </c>
      <c r="F277" s="324"/>
      <c r="G277" s="324">
        <v>2021</v>
      </c>
      <c r="H277" s="324" t="s">
        <v>806</v>
      </c>
      <c r="I277" s="324">
        <v>1</v>
      </c>
    </row>
    <row r="278" spans="2:9">
      <c r="B278" s="324">
        <v>259</v>
      </c>
      <c r="C278" s="324" t="s">
        <v>318</v>
      </c>
      <c r="D278" s="324">
        <v>1972</v>
      </c>
      <c r="E278" s="325">
        <v>3048</v>
      </c>
      <c r="F278" s="324"/>
      <c r="G278" s="324">
        <v>2021</v>
      </c>
      <c r="H278" s="324" t="s">
        <v>806</v>
      </c>
      <c r="I278" s="324">
        <v>1</v>
      </c>
    </row>
    <row r="279" spans="2:9">
      <c r="B279" s="324">
        <v>260</v>
      </c>
      <c r="C279" s="324" t="s">
        <v>318</v>
      </c>
      <c r="D279" s="324">
        <v>1973</v>
      </c>
      <c r="E279" s="325">
        <v>216</v>
      </c>
      <c r="F279" s="324"/>
      <c r="G279" s="324">
        <v>2021</v>
      </c>
      <c r="H279" s="324" t="s">
        <v>806</v>
      </c>
      <c r="I279" s="324">
        <v>1</v>
      </c>
    </row>
    <row r="280" spans="2:9">
      <c r="B280" s="324">
        <v>261</v>
      </c>
      <c r="C280" s="324" t="s">
        <v>318</v>
      </c>
      <c r="D280" s="324">
        <v>1974</v>
      </c>
      <c r="E280" s="325">
        <v>3688</v>
      </c>
      <c r="F280" s="324"/>
      <c r="G280" s="324">
        <v>2021</v>
      </c>
      <c r="H280" s="324" t="s">
        <v>806</v>
      </c>
      <c r="I280" s="324">
        <v>1</v>
      </c>
    </row>
    <row r="281" spans="2:9">
      <c r="B281" s="324">
        <v>262</v>
      </c>
      <c r="C281" s="324" t="s">
        <v>318</v>
      </c>
      <c r="D281" s="324">
        <v>1975</v>
      </c>
      <c r="E281" s="325">
        <v>4480.3200000000006</v>
      </c>
      <c r="F281" s="324"/>
      <c r="G281" s="324">
        <v>2021</v>
      </c>
      <c r="H281" s="324" t="s">
        <v>806</v>
      </c>
      <c r="I281" s="324">
        <v>1</v>
      </c>
    </row>
    <row r="282" spans="2:9">
      <c r="B282" s="324">
        <v>263</v>
      </c>
      <c r="C282" s="324" t="s">
        <v>318</v>
      </c>
      <c r="D282" s="324">
        <v>1977</v>
      </c>
      <c r="E282" s="325">
        <v>745.37</v>
      </c>
      <c r="F282" s="324"/>
      <c r="G282" s="324">
        <v>2021</v>
      </c>
      <c r="H282" s="324" t="s">
        <v>806</v>
      </c>
      <c r="I282" s="324">
        <v>1</v>
      </c>
    </row>
    <row r="283" spans="2:9">
      <c r="B283" s="324">
        <v>264</v>
      </c>
      <c r="C283" s="324" t="s">
        <v>318</v>
      </c>
      <c r="D283" s="324">
        <v>1978</v>
      </c>
      <c r="E283" s="325">
        <v>25825.9</v>
      </c>
      <c r="F283" s="324"/>
      <c r="G283" s="324">
        <v>2021</v>
      </c>
      <c r="H283" s="324" t="s">
        <v>806</v>
      </c>
      <c r="I283" s="324">
        <v>1</v>
      </c>
    </row>
    <row r="284" spans="2:9">
      <c r="B284" s="324">
        <v>265</v>
      </c>
      <c r="C284" s="324" t="s">
        <v>318</v>
      </c>
      <c r="D284" s="324">
        <v>1980</v>
      </c>
      <c r="E284" s="325">
        <v>1675.53</v>
      </c>
      <c r="F284" s="324"/>
      <c r="G284" s="324">
        <v>2021</v>
      </c>
      <c r="H284" s="324" t="s">
        <v>806</v>
      </c>
      <c r="I284" s="324">
        <v>1</v>
      </c>
    </row>
    <row r="285" spans="2:9">
      <c r="B285" s="324">
        <v>266</v>
      </c>
      <c r="C285" s="324" t="s">
        <v>318</v>
      </c>
      <c r="D285" s="324">
        <v>1981</v>
      </c>
      <c r="E285" s="325">
        <v>2145.67</v>
      </c>
      <c r="F285" s="324"/>
      <c r="G285" s="324">
        <v>2021</v>
      </c>
      <c r="H285" s="324" t="s">
        <v>806</v>
      </c>
      <c r="I285" s="324">
        <v>1</v>
      </c>
    </row>
    <row r="286" spans="2:9">
      <c r="B286" s="324">
        <v>267</v>
      </c>
      <c r="C286" s="324" t="s">
        <v>318</v>
      </c>
      <c r="D286" s="324">
        <v>1983</v>
      </c>
      <c r="E286" s="325">
        <v>47940.21</v>
      </c>
      <c r="F286" s="324">
        <v>45847.293506604889</v>
      </c>
      <c r="G286" s="324">
        <v>2021</v>
      </c>
      <c r="H286" s="324" t="s">
        <v>806</v>
      </c>
      <c r="I286" s="324">
        <v>1</v>
      </c>
    </row>
    <row r="287" spans="2:9">
      <c r="B287" s="324">
        <v>268</v>
      </c>
      <c r="C287" s="324" t="s">
        <v>318</v>
      </c>
      <c r="D287" s="324">
        <v>1984</v>
      </c>
      <c r="E287" s="325">
        <v>3028.66</v>
      </c>
      <c r="F287" s="324"/>
      <c r="G287" s="324">
        <v>2021</v>
      </c>
      <c r="H287" s="324" t="s">
        <v>806</v>
      </c>
      <c r="I287" s="324">
        <v>1</v>
      </c>
    </row>
    <row r="288" spans="2:9">
      <c r="B288" s="324">
        <v>269</v>
      </c>
      <c r="C288" s="324" t="s">
        <v>318</v>
      </c>
      <c r="D288" s="324">
        <v>1985</v>
      </c>
      <c r="E288" s="325">
        <v>5162.49</v>
      </c>
      <c r="F288" s="324"/>
      <c r="G288" s="324">
        <v>2021</v>
      </c>
      <c r="H288" s="324" t="s">
        <v>806</v>
      </c>
      <c r="I288" s="324">
        <v>1</v>
      </c>
    </row>
    <row r="289" spans="2:9">
      <c r="B289" s="324">
        <v>270</v>
      </c>
      <c r="C289" s="324" t="s">
        <v>318</v>
      </c>
      <c r="D289" s="324">
        <v>1986</v>
      </c>
      <c r="E289" s="325">
        <v>6123683.1800000006</v>
      </c>
      <c r="F289" s="324">
        <v>5843585.9202481788</v>
      </c>
      <c r="G289" s="324">
        <v>2021</v>
      </c>
      <c r="H289" s="324" t="s">
        <v>806</v>
      </c>
      <c r="I289" s="324">
        <v>1</v>
      </c>
    </row>
    <row r="290" spans="2:9">
      <c r="B290" s="324">
        <v>271</v>
      </c>
      <c r="C290" s="324" t="s">
        <v>318</v>
      </c>
      <c r="D290" s="324">
        <v>1987</v>
      </c>
      <c r="E290" s="325">
        <v>5769.73</v>
      </c>
      <c r="F290" s="324"/>
      <c r="G290" s="324">
        <v>2021</v>
      </c>
      <c r="H290" s="324" t="s">
        <v>806</v>
      </c>
      <c r="I290" s="324">
        <v>1</v>
      </c>
    </row>
    <row r="291" spans="2:9">
      <c r="B291" s="324">
        <v>272</v>
      </c>
      <c r="C291" s="324" t="s">
        <v>318</v>
      </c>
      <c r="D291" s="324">
        <v>1988</v>
      </c>
      <c r="E291" s="325">
        <v>2251.5500000000002</v>
      </c>
      <c r="F291" s="324"/>
      <c r="G291" s="324">
        <v>2021</v>
      </c>
      <c r="H291" s="324" t="s">
        <v>806</v>
      </c>
      <c r="I291" s="324">
        <v>1</v>
      </c>
    </row>
    <row r="292" spans="2:9">
      <c r="B292" s="324">
        <v>273</v>
      </c>
      <c r="C292" s="324" t="s">
        <v>318</v>
      </c>
      <c r="D292" s="324">
        <v>1990</v>
      </c>
      <c r="E292" s="325">
        <v>2264.98</v>
      </c>
      <c r="F292" s="324"/>
      <c r="G292" s="324">
        <v>2021</v>
      </c>
      <c r="H292" s="324" t="s">
        <v>806</v>
      </c>
      <c r="I292" s="324">
        <v>1</v>
      </c>
    </row>
    <row r="293" spans="2:9">
      <c r="B293" s="324">
        <v>274</v>
      </c>
      <c r="C293" s="324" t="s">
        <v>318</v>
      </c>
      <c r="D293" s="324">
        <v>1991</v>
      </c>
      <c r="E293" s="325">
        <v>212044.27000000002</v>
      </c>
      <c r="F293" s="324"/>
      <c r="G293" s="324">
        <v>2021</v>
      </c>
      <c r="H293" s="324" t="s">
        <v>806</v>
      </c>
      <c r="I293" s="324">
        <v>1</v>
      </c>
    </row>
    <row r="294" spans="2:9">
      <c r="B294" s="324">
        <v>275</v>
      </c>
      <c r="C294" s="324" t="s">
        <v>318</v>
      </c>
      <c r="D294" s="324">
        <v>1992</v>
      </c>
      <c r="E294" s="325">
        <v>17214.810000000001</v>
      </c>
      <c r="F294" s="324"/>
      <c r="G294" s="324">
        <v>2021</v>
      </c>
      <c r="H294" s="324" t="s">
        <v>806</v>
      </c>
      <c r="I294" s="324">
        <v>1</v>
      </c>
    </row>
    <row r="295" spans="2:9">
      <c r="B295" s="324">
        <v>276</v>
      </c>
      <c r="C295" s="324" t="s">
        <v>318</v>
      </c>
      <c r="D295" s="324">
        <v>1993</v>
      </c>
      <c r="E295" s="325">
        <v>955.02</v>
      </c>
      <c r="F295" s="324"/>
      <c r="G295" s="324">
        <v>2021</v>
      </c>
      <c r="H295" s="324" t="s">
        <v>806</v>
      </c>
      <c r="I295" s="324">
        <v>1</v>
      </c>
    </row>
    <row r="296" spans="2:9">
      <c r="B296" s="324">
        <v>277</v>
      </c>
      <c r="C296" s="324" t="s">
        <v>318</v>
      </c>
      <c r="D296" s="324">
        <v>1994</v>
      </c>
      <c r="E296" s="325">
        <v>2215.4899999999998</v>
      </c>
      <c r="F296" s="324"/>
      <c r="G296" s="324">
        <v>2021</v>
      </c>
      <c r="H296" s="324" t="s">
        <v>806</v>
      </c>
      <c r="I296" s="324">
        <v>1</v>
      </c>
    </row>
    <row r="297" spans="2:9">
      <c r="B297" s="324">
        <v>278</v>
      </c>
      <c r="C297" s="324" t="s">
        <v>318</v>
      </c>
      <c r="D297" s="324">
        <v>1995</v>
      </c>
      <c r="E297" s="325">
        <v>2202.9899999999998</v>
      </c>
      <c r="F297" s="324"/>
      <c r="G297" s="324">
        <v>2021</v>
      </c>
      <c r="H297" s="324" t="s">
        <v>806</v>
      </c>
      <c r="I297" s="324">
        <v>1</v>
      </c>
    </row>
    <row r="298" spans="2:9">
      <c r="B298" s="324">
        <v>279</v>
      </c>
      <c r="C298" s="324" t="s">
        <v>318</v>
      </c>
      <c r="D298" s="324">
        <v>1996</v>
      </c>
      <c r="E298" s="325">
        <v>25933.81</v>
      </c>
      <c r="F298" s="324"/>
      <c r="G298" s="324">
        <v>2021</v>
      </c>
      <c r="H298" s="324" t="s">
        <v>806</v>
      </c>
      <c r="I298" s="324">
        <v>1</v>
      </c>
    </row>
    <row r="299" spans="2:9">
      <c r="B299" s="324">
        <v>280</v>
      </c>
      <c r="C299" s="324" t="s">
        <v>318</v>
      </c>
      <c r="D299" s="324">
        <v>1998</v>
      </c>
      <c r="E299" s="325">
        <v>218.17</v>
      </c>
      <c r="F299" s="324"/>
      <c r="G299" s="324">
        <v>2021</v>
      </c>
      <c r="H299" s="324" t="s">
        <v>806</v>
      </c>
      <c r="I299" s="324">
        <v>1</v>
      </c>
    </row>
    <row r="300" spans="2:9">
      <c r="B300" s="324">
        <v>281</v>
      </c>
      <c r="C300" s="324" t="s">
        <v>318</v>
      </c>
      <c r="D300" s="324">
        <v>2000</v>
      </c>
      <c r="E300" s="325">
        <v>3336.46</v>
      </c>
      <c r="F300" s="324"/>
      <c r="G300" s="324">
        <v>2021</v>
      </c>
      <c r="H300" s="324" t="s">
        <v>806</v>
      </c>
      <c r="I300" s="324">
        <v>1</v>
      </c>
    </row>
    <row r="301" spans="2:9">
      <c r="B301" s="324">
        <v>282</v>
      </c>
      <c r="C301" s="324" t="s">
        <v>318</v>
      </c>
      <c r="D301" s="324">
        <v>2001</v>
      </c>
      <c r="E301" s="325">
        <v>7332.67</v>
      </c>
      <c r="F301" s="324"/>
      <c r="G301" s="324">
        <v>2021</v>
      </c>
      <c r="H301" s="324" t="s">
        <v>806</v>
      </c>
      <c r="I301" s="324">
        <v>1</v>
      </c>
    </row>
    <row r="302" spans="2:9">
      <c r="B302" s="324">
        <v>283</v>
      </c>
      <c r="C302" s="324" t="s">
        <v>318</v>
      </c>
      <c r="D302" s="324">
        <v>2004</v>
      </c>
      <c r="E302" s="325">
        <v>32470.219999999998</v>
      </c>
      <c r="F302" s="324"/>
      <c r="G302" s="324">
        <v>2021</v>
      </c>
      <c r="H302" s="324" t="s">
        <v>806</v>
      </c>
      <c r="I302" s="324">
        <v>1</v>
      </c>
    </row>
    <row r="303" spans="2:9">
      <c r="B303" s="324">
        <v>284</v>
      </c>
      <c r="C303" s="324" t="s">
        <v>318</v>
      </c>
      <c r="D303" s="324">
        <v>2007</v>
      </c>
      <c r="E303" s="325">
        <v>36698.050000000003</v>
      </c>
      <c r="F303" s="324"/>
      <c r="G303" s="324">
        <v>2021</v>
      </c>
      <c r="H303" s="324" t="s">
        <v>806</v>
      </c>
      <c r="I303" s="324">
        <v>1</v>
      </c>
    </row>
    <row r="304" spans="2:9">
      <c r="B304" s="324">
        <v>285</v>
      </c>
      <c r="C304" s="324" t="s">
        <v>318</v>
      </c>
      <c r="D304" s="324">
        <v>2007</v>
      </c>
      <c r="E304" s="325">
        <v>814.86374062264201</v>
      </c>
      <c r="F304" s="324"/>
      <c r="G304" s="324">
        <v>2021</v>
      </c>
      <c r="H304" s="324" t="s">
        <v>806</v>
      </c>
      <c r="I304" s="324">
        <v>1</v>
      </c>
    </row>
    <row r="305" spans="2:9">
      <c r="B305" s="324">
        <v>286</v>
      </c>
      <c r="C305" s="324" t="s">
        <v>318</v>
      </c>
      <c r="D305" s="324">
        <v>2008</v>
      </c>
      <c r="E305" s="325">
        <v>1697.82</v>
      </c>
      <c r="F305" s="324"/>
      <c r="G305" s="324">
        <v>2021</v>
      </c>
      <c r="H305" s="324" t="s">
        <v>806</v>
      </c>
      <c r="I305" s="324">
        <v>1</v>
      </c>
    </row>
    <row r="306" spans="2:9">
      <c r="B306" s="324">
        <v>287</v>
      </c>
      <c r="C306" s="324" t="s">
        <v>318</v>
      </c>
      <c r="D306" s="324">
        <v>2009</v>
      </c>
      <c r="E306" s="325">
        <v>306.17</v>
      </c>
      <c r="F306" s="324"/>
      <c r="G306" s="324">
        <v>2021</v>
      </c>
      <c r="H306" s="324" t="s">
        <v>806</v>
      </c>
      <c r="I306" s="324">
        <v>1</v>
      </c>
    </row>
    <row r="307" spans="2:9">
      <c r="B307" s="324">
        <v>288</v>
      </c>
      <c r="C307" s="324" t="s">
        <v>318</v>
      </c>
      <c r="D307" s="324">
        <v>2013</v>
      </c>
      <c r="E307" s="325">
        <v>111081.36098285067</v>
      </c>
      <c r="F307" s="324">
        <v>100715.06465923195</v>
      </c>
      <c r="G307" s="324">
        <v>2021</v>
      </c>
      <c r="H307" s="324" t="s">
        <v>806</v>
      </c>
      <c r="I307" s="324">
        <v>1</v>
      </c>
    </row>
    <row r="308" spans="2:9">
      <c r="B308" s="324">
        <v>289</v>
      </c>
      <c r="C308" s="324" t="s">
        <v>318</v>
      </c>
      <c r="D308" s="324">
        <v>2015</v>
      </c>
      <c r="E308" s="325">
        <v>10546.74451914087</v>
      </c>
      <c r="F308" s="324">
        <v>9851.7215859841872</v>
      </c>
      <c r="G308" s="324">
        <v>2021</v>
      </c>
      <c r="H308" s="324" t="s">
        <v>806</v>
      </c>
      <c r="I308" s="324">
        <v>1</v>
      </c>
    </row>
    <row r="309" spans="2:9">
      <c r="B309" s="324">
        <v>290</v>
      </c>
      <c r="C309" s="324" t="s">
        <v>318</v>
      </c>
      <c r="D309" s="324">
        <v>2016</v>
      </c>
      <c r="E309" s="325">
        <v>23513.843749704858</v>
      </c>
      <c r="F309" s="324"/>
      <c r="G309" s="324">
        <v>2021</v>
      </c>
      <c r="H309" s="324" t="s">
        <v>806</v>
      </c>
      <c r="I309" s="324">
        <v>1</v>
      </c>
    </row>
    <row r="310" spans="2:9">
      <c r="B310" s="324">
        <v>291</v>
      </c>
      <c r="C310" s="324" t="s">
        <v>323</v>
      </c>
      <c r="D310" s="324">
        <v>1980</v>
      </c>
      <c r="E310" s="325">
        <v>634.20000000000005</v>
      </c>
      <c r="F310" s="324"/>
      <c r="G310" s="324">
        <v>2021</v>
      </c>
      <c r="H310" s="324" t="s">
        <v>806</v>
      </c>
      <c r="I310" s="324">
        <v>1</v>
      </c>
    </row>
    <row r="311" spans="2:9">
      <c r="B311" s="324">
        <v>292</v>
      </c>
      <c r="C311" s="324" t="s">
        <v>323</v>
      </c>
      <c r="D311" s="324">
        <v>1995</v>
      </c>
      <c r="E311" s="325">
        <v>3276.15</v>
      </c>
      <c r="F311" s="324"/>
      <c r="G311" s="324">
        <v>2021</v>
      </c>
      <c r="H311" s="324" t="s">
        <v>806</v>
      </c>
      <c r="I311" s="324">
        <v>1</v>
      </c>
    </row>
    <row r="312" spans="2:9">
      <c r="B312" s="324">
        <v>293</v>
      </c>
      <c r="C312" s="324" t="s">
        <v>324</v>
      </c>
      <c r="D312" s="324">
        <v>1964</v>
      </c>
      <c r="E312" s="325">
        <v>6186.9699999999993</v>
      </c>
      <c r="F312" s="324"/>
      <c r="G312" s="324">
        <v>2021</v>
      </c>
      <c r="H312" s="324" t="s">
        <v>806</v>
      </c>
      <c r="I312" s="324">
        <v>1</v>
      </c>
    </row>
    <row r="313" spans="2:9">
      <c r="B313" s="324">
        <v>294</v>
      </c>
      <c r="C313" s="324" t="s">
        <v>324</v>
      </c>
      <c r="D313" s="324">
        <v>1966</v>
      </c>
      <c r="E313" s="325">
        <v>944.59</v>
      </c>
      <c r="F313" s="324"/>
      <c r="G313" s="324">
        <v>2021</v>
      </c>
      <c r="H313" s="324" t="s">
        <v>806</v>
      </c>
      <c r="I313" s="324">
        <v>1</v>
      </c>
    </row>
    <row r="314" spans="2:9">
      <c r="B314" s="324">
        <v>295</v>
      </c>
      <c r="C314" s="324" t="s">
        <v>324</v>
      </c>
      <c r="D314" s="324">
        <v>1967</v>
      </c>
      <c r="E314" s="325">
        <v>5645.93</v>
      </c>
      <c r="F314" s="324"/>
      <c r="G314" s="324">
        <v>2021</v>
      </c>
      <c r="H314" s="324" t="s">
        <v>806</v>
      </c>
      <c r="I314" s="324">
        <v>1</v>
      </c>
    </row>
    <row r="315" spans="2:9">
      <c r="B315" s="324">
        <v>296</v>
      </c>
      <c r="C315" s="324" t="s">
        <v>324</v>
      </c>
      <c r="D315" s="324">
        <v>1972</v>
      </c>
      <c r="E315" s="325">
        <v>33239.620000000003</v>
      </c>
      <c r="F315" s="324"/>
      <c r="G315" s="324">
        <v>2021</v>
      </c>
      <c r="H315" s="324" t="s">
        <v>806</v>
      </c>
      <c r="I315" s="324">
        <v>1</v>
      </c>
    </row>
    <row r="316" spans="2:9">
      <c r="B316" s="324">
        <v>297</v>
      </c>
      <c r="C316" s="324" t="s">
        <v>324</v>
      </c>
      <c r="D316" s="324">
        <v>1973</v>
      </c>
      <c r="E316" s="325">
        <v>126124.84</v>
      </c>
      <c r="F316" s="324"/>
      <c r="G316" s="324">
        <v>2021</v>
      </c>
      <c r="H316" s="324" t="s">
        <v>806</v>
      </c>
      <c r="I316" s="324">
        <v>1</v>
      </c>
    </row>
    <row r="317" spans="2:9">
      <c r="B317" s="324">
        <v>298</v>
      </c>
      <c r="C317" s="324" t="s">
        <v>324</v>
      </c>
      <c r="D317" s="324">
        <v>1974</v>
      </c>
      <c r="E317" s="325">
        <v>12379.830000000002</v>
      </c>
      <c r="F317" s="324"/>
      <c r="G317" s="324">
        <v>2021</v>
      </c>
      <c r="H317" s="324" t="s">
        <v>806</v>
      </c>
      <c r="I317" s="324">
        <v>1</v>
      </c>
    </row>
    <row r="318" spans="2:9">
      <c r="B318" s="324">
        <v>299</v>
      </c>
      <c r="C318" s="324" t="s">
        <v>324</v>
      </c>
      <c r="D318" s="324">
        <v>1996</v>
      </c>
      <c r="E318" s="325">
        <v>4334.99</v>
      </c>
      <c r="F318" s="324"/>
      <c r="G318" s="324">
        <v>2021</v>
      </c>
      <c r="H318" s="324" t="s">
        <v>806</v>
      </c>
      <c r="I318" s="324">
        <v>1</v>
      </c>
    </row>
    <row r="319" spans="2:9">
      <c r="B319" s="324">
        <v>300</v>
      </c>
      <c r="C319" s="324" t="s">
        <v>324</v>
      </c>
      <c r="D319" s="324">
        <v>2004</v>
      </c>
      <c r="E319" s="325">
        <v>3261.03</v>
      </c>
      <c r="F319" s="324"/>
      <c r="G319" s="324">
        <v>2021</v>
      </c>
      <c r="H319" s="324" t="s">
        <v>806</v>
      </c>
      <c r="I319" s="324">
        <v>1</v>
      </c>
    </row>
    <row r="320" spans="2:9">
      <c r="B320" s="324">
        <v>301</v>
      </c>
      <c r="C320" s="324" t="s">
        <v>324</v>
      </c>
      <c r="D320" s="324">
        <v>2005</v>
      </c>
      <c r="E320" s="325">
        <v>6498.35</v>
      </c>
      <c r="F320" s="324"/>
      <c r="G320" s="324">
        <v>2021</v>
      </c>
      <c r="H320" s="324" t="s">
        <v>806</v>
      </c>
      <c r="I320" s="324">
        <v>1</v>
      </c>
    </row>
    <row r="321" spans="2:9">
      <c r="B321" s="324">
        <v>302</v>
      </c>
      <c r="C321" s="324" t="s">
        <v>327</v>
      </c>
      <c r="D321" s="324">
        <v>1966</v>
      </c>
      <c r="E321" s="325">
        <v>9693.7099999999991</v>
      </c>
      <c r="F321" s="324"/>
      <c r="G321" s="324">
        <v>2021</v>
      </c>
      <c r="H321" s="324" t="s">
        <v>806</v>
      </c>
      <c r="I321" s="324">
        <v>1</v>
      </c>
    </row>
    <row r="322" spans="2:9">
      <c r="B322" s="324">
        <v>303</v>
      </c>
      <c r="C322" s="324" t="s">
        <v>327</v>
      </c>
      <c r="D322" s="324">
        <v>1975</v>
      </c>
      <c r="E322" s="325">
        <v>41515.949999999997</v>
      </c>
      <c r="F322" s="324"/>
      <c r="G322" s="324">
        <v>2021</v>
      </c>
      <c r="H322" s="324" t="s">
        <v>806</v>
      </c>
      <c r="I322" s="324">
        <v>1</v>
      </c>
    </row>
    <row r="323" spans="2:9">
      <c r="B323" s="324">
        <v>304</v>
      </c>
      <c r="C323" s="324" t="s">
        <v>327</v>
      </c>
      <c r="D323" s="324">
        <v>1998</v>
      </c>
      <c r="E323" s="325">
        <v>15977.01</v>
      </c>
      <c r="F323" s="324"/>
      <c r="G323" s="324">
        <v>2021</v>
      </c>
      <c r="H323" s="324" t="s">
        <v>806</v>
      </c>
      <c r="I323" s="324">
        <v>1</v>
      </c>
    </row>
    <row r="324" spans="2:9">
      <c r="B324" s="324">
        <v>305</v>
      </c>
      <c r="C324" s="324" t="s">
        <v>327</v>
      </c>
      <c r="D324" s="324">
        <v>2006</v>
      </c>
      <c r="E324" s="325">
        <v>102233.51999999999</v>
      </c>
      <c r="F324" s="324"/>
      <c r="G324" s="324">
        <v>2021</v>
      </c>
      <c r="H324" s="324" t="s">
        <v>806</v>
      </c>
      <c r="I324" s="324">
        <v>1</v>
      </c>
    </row>
    <row r="325" spans="2:9">
      <c r="B325" s="324">
        <v>306</v>
      </c>
      <c r="C325" s="324" t="s">
        <v>329</v>
      </c>
      <c r="D325" s="324">
        <v>1986</v>
      </c>
      <c r="E325" s="325">
        <v>11474.46</v>
      </c>
      <c r="F325" s="324"/>
      <c r="G325" s="324">
        <v>2021</v>
      </c>
      <c r="H325" s="324" t="s">
        <v>806</v>
      </c>
      <c r="I325" s="324">
        <v>1</v>
      </c>
    </row>
    <row r="326" spans="2:9">
      <c r="B326" s="324">
        <v>307</v>
      </c>
      <c r="C326" s="324" t="s">
        <v>329</v>
      </c>
      <c r="D326" s="324">
        <v>1996</v>
      </c>
      <c r="E326" s="325">
        <v>3094.13</v>
      </c>
      <c r="F326" s="324"/>
      <c r="G326" s="324">
        <v>2021</v>
      </c>
      <c r="H326" s="324" t="s">
        <v>806</v>
      </c>
      <c r="I326" s="324">
        <v>1</v>
      </c>
    </row>
    <row r="327" spans="2:9">
      <c r="B327" s="324">
        <v>308</v>
      </c>
      <c r="C327" s="324" t="s">
        <v>329</v>
      </c>
      <c r="D327" s="324">
        <v>1997</v>
      </c>
      <c r="E327" s="325">
        <v>31484.79</v>
      </c>
      <c r="F327" s="324"/>
      <c r="G327" s="324">
        <v>2021</v>
      </c>
      <c r="H327" s="324" t="s">
        <v>806</v>
      </c>
      <c r="I327" s="324">
        <v>1</v>
      </c>
    </row>
    <row r="328" spans="2:9">
      <c r="B328" s="324">
        <v>309</v>
      </c>
      <c r="C328" s="324" t="s">
        <v>329</v>
      </c>
      <c r="D328" s="324">
        <v>1998</v>
      </c>
      <c r="E328" s="325">
        <v>1479.93</v>
      </c>
      <c r="F328" s="324"/>
      <c r="G328" s="324">
        <v>2021</v>
      </c>
      <c r="H328" s="324" t="s">
        <v>806</v>
      </c>
      <c r="I328" s="324">
        <v>1</v>
      </c>
    </row>
    <row r="329" spans="2:9">
      <c r="B329" s="324">
        <v>310</v>
      </c>
      <c r="C329" s="324" t="s">
        <v>334</v>
      </c>
      <c r="D329" s="324">
        <v>2014</v>
      </c>
      <c r="E329" s="325">
        <v>389821.72686058586</v>
      </c>
      <c r="F329" s="324"/>
      <c r="G329" s="324">
        <v>2021</v>
      </c>
      <c r="H329" s="324" t="s">
        <v>806</v>
      </c>
      <c r="I329" s="324">
        <v>1</v>
      </c>
    </row>
    <row r="330" spans="2:9">
      <c r="B330" s="324">
        <v>311</v>
      </c>
      <c r="C330" s="324" t="s">
        <v>334</v>
      </c>
      <c r="D330" s="324">
        <v>2016</v>
      </c>
      <c r="E330" s="325">
        <v>6703956.690605375</v>
      </c>
      <c r="F330" s="324"/>
      <c r="G330" s="324">
        <v>2021</v>
      </c>
      <c r="H330" s="324" t="s">
        <v>806</v>
      </c>
      <c r="I330" s="324">
        <v>1</v>
      </c>
    </row>
    <row r="331" spans="2:9">
      <c r="B331" s="324">
        <v>312</v>
      </c>
      <c r="C331" s="324" t="s">
        <v>334</v>
      </c>
      <c r="D331" s="324">
        <v>2017</v>
      </c>
      <c r="E331" s="325">
        <v>684727.21448209102</v>
      </c>
      <c r="F331" s="324"/>
      <c r="G331" s="324">
        <v>2021</v>
      </c>
      <c r="H331" s="324" t="s">
        <v>806</v>
      </c>
      <c r="I331" s="324">
        <v>1</v>
      </c>
    </row>
    <row r="332" spans="2:9">
      <c r="B332" s="324">
        <v>313</v>
      </c>
      <c r="C332" s="324" t="s">
        <v>334</v>
      </c>
      <c r="D332" s="324">
        <v>2018</v>
      </c>
      <c r="E332" s="325">
        <v>493959.41966385196</v>
      </c>
      <c r="F332" s="324"/>
      <c r="G332" s="324">
        <v>2021</v>
      </c>
      <c r="H332" s="324" t="s">
        <v>806</v>
      </c>
      <c r="I332" s="324">
        <v>1</v>
      </c>
    </row>
    <row r="333" spans="2:9">
      <c r="B333" s="324">
        <v>314</v>
      </c>
      <c r="C333" s="324" t="s">
        <v>334</v>
      </c>
      <c r="D333" s="324">
        <v>2019</v>
      </c>
      <c r="E333" s="325">
        <v>890860.60513630731</v>
      </c>
      <c r="F333" s="324"/>
      <c r="G333" s="324">
        <v>2021</v>
      </c>
      <c r="H333" s="324" t="s">
        <v>806</v>
      </c>
      <c r="I333" s="324">
        <v>1</v>
      </c>
    </row>
    <row r="334" spans="2:9">
      <c r="B334" s="324">
        <v>315</v>
      </c>
      <c r="C334" s="324" t="s">
        <v>339</v>
      </c>
      <c r="D334" s="324">
        <v>2019</v>
      </c>
      <c r="E334" s="325">
        <v>211448.77498552162</v>
      </c>
      <c r="F334" s="324"/>
      <c r="G334" s="324">
        <v>2021</v>
      </c>
      <c r="H334" s="324" t="s">
        <v>806</v>
      </c>
      <c r="I334" s="324">
        <v>1</v>
      </c>
    </row>
    <row r="335" spans="2:9">
      <c r="B335" s="324">
        <v>316</v>
      </c>
      <c r="C335" s="324" t="s">
        <v>277</v>
      </c>
      <c r="D335" s="324">
        <v>1949</v>
      </c>
      <c r="E335" s="325">
        <v>160877.82</v>
      </c>
      <c r="F335" s="324"/>
      <c r="G335" s="324">
        <v>2022</v>
      </c>
      <c r="H335" s="324" t="s">
        <v>800</v>
      </c>
      <c r="I335" s="324">
        <v>2</v>
      </c>
    </row>
    <row r="336" spans="2:9">
      <c r="B336" s="324">
        <v>317</v>
      </c>
      <c r="C336" s="324" t="s">
        <v>277</v>
      </c>
      <c r="D336" s="324">
        <v>1951</v>
      </c>
      <c r="E336" s="325">
        <v>84605.79</v>
      </c>
      <c r="F336" s="324"/>
      <c r="G336" s="324">
        <v>2022</v>
      </c>
      <c r="H336" s="324" t="s">
        <v>800</v>
      </c>
      <c r="I336" s="324">
        <v>2</v>
      </c>
    </row>
    <row r="337" spans="2:9">
      <c r="B337" s="324">
        <v>318</v>
      </c>
      <c r="C337" s="324" t="s">
        <v>277</v>
      </c>
      <c r="D337" s="324">
        <v>1955</v>
      </c>
      <c r="E337" s="325">
        <v>144.74</v>
      </c>
      <c r="F337" s="324"/>
      <c r="G337" s="324">
        <v>2022</v>
      </c>
      <c r="H337" s="324" t="s">
        <v>800</v>
      </c>
      <c r="I337" s="324">
        <v>2</v>
      </c>
    </row>
    <row r="338" spans="2:9">
      <c r="B338" s="324">
        <v>319</v>
      </c>
      <c r="C338" s="324" t="s">
        <v>277</v>
      </c>
      <c r="D338" s="324">
        <v>1960</v>
      </c>
      <c r="E338" s="325">
        <v>0.01</v>
      </c>
      <c r="F338" s="324"/>
      <c r="G338" s="324">
        <v>2022</v>
      </c>
      <c r="H338" s="324" t="s">
        <v>800</v>
      </c>
      <c r="I338" s="324">
        <v>2</v>
      </c>
    </row>
    <row r="339" spans="2:9">
      <c r="B339" s="324">
        <v>320</v>
      </c>
      <c r="C339" s="324" t="s">
        <v>277</v>
      </c>
      <c r="D339" s="324">
        <v>1964</v>
      </c>
      <c r="E339" s="325">
        <v>30000</v>
      </c>
      <c r="F339" s="324"/>
      <c r="G339" s="324">
        <v>2022</v>
      </c>
      <c r="H339" s="324" t="s">
        <v>800</v>
      </c>
      <c r="I339" s="324">
        <v>2</v>
      </c>
    </row>
    <row r="340" spans="2:9">
      <c r="B340" s="324">
        <v>321</v>
      </c>
      <c r="C340" s="324" t="s">
        <v>277</v>
      </c>
      <c r="D340" s="324">
        <v>1965</v>
      </c>
      <c r="E340" s="325">
        <v>138426.70000000001</v>
      </c>
      <c r="F340" s="324"/>
      <c r="G340" s="324">
        <v>2022</v>
      </c>
      <c r="H340" s="324" t="s">
        <v>800</v>
      </c>
      <c r="I340" s="324">
        <v>2</v>
      </c>
    </row>
    <row r="341" spans="2:9">
      <c r="B341" s="324">
        <v>322</v>
      </c>
      <c r="C341" s="324" t="s">
        <v>277</v>
      </c>
      <c r="D341" s="324">
        <v>1966</v>
      </c>
      <c r="E341" s="325">
        <v>234290.08</v>
      </c>
      <c r="F341" s="324"/>
      <c r="G341" s="324">
        <v>2022</v>
      </c>
      <c r="H341" s="324" t="s">
        <v>800</v>
      </c>
      <c r="I341" s="324">
        <v>2</v>
      </c>
    </row>
    <row r="342" spans="2:9">
      <c r="B342" s="324">
        <v>323</v>
      </c>
      <c r="C342" s="324" t="s">
        <v>277</v>
      </c>
      <c r="D342" s="324">
        <v>1967</v>
      </c>
      <c r="E342" s="325">
        <v>91461.86</v>
      </c>
      <c r="F342" s="324"/>
      <c r="G342" s="324">
        <v>2022</v>
      </c>
      <c r="H342" s="324" t="s">
        <v>800</v>
      </c>
      <c r="I342" s="324">
        <v>2</v>
      </c>
    </row>
    <row r="343" spans="2:9">
      <c r="B343" s="324">
        <v>324</v>
      </c>
      <c r="C343" s="324" t="s">
        <v>277</v>
      </c>
      <c r="D343" s="324">
        <v>1968</v>
      </c>
      <c r="E343" s="325">
        <v>48585.87</v>
      </c>
      <c r="F343" s="324"/>
      <c r="G343" s="324">
        <v>2022</v>
      </c>
      <c r="H343" s="324" t="s">
        <v>800</v>
      </c>
      <c r="I343" s="324">
        <v>2</v>
      </c>
    </row>
    <row r="344" spans="2:9">
      <c r="B344" s="324">
        <v>325</v>
      </c>
      <c r="C344" s="324" t="s">
        <v>277</v>
      </c>
      <c r="D344" s="324">
        <v>1969</v>
      </c>
      <c r="E344" s="325">
        <v>78148.28</v>
      </c>
      <c r="F344" s="324"/>
      <c r="G344" s="324">
        <v>2022</v>
      </c>
      <c r="H344" s="324" t="s">
        <v>800</v>
      </c>
      <c r="I344" s="324">
        <v>2</v>
      </c>
    </row>
    <row r="345" spans="2:9">
      <c r="B345" s="324">
        <v>326</v>
      </c>
      <c r="C345" s="324" t="s">
        <v>277</v>
      </c>
      <c r="D345" s="324">
        <v>1970</v>
      </c>
      <c r="E345" s="325">
        <v>107313.68999999999</v>
      </c>
      <c r="F345" s="324"/>
      <c r="G345" s="324">
        <v>2022</v>
      </c>
      <c r="H345" s="324" t="s">
        <v>800</v>
      </c>
      <c r="I345" s="324">
        <v>2</v>
      </c>
    </row>
    <row r="346" spans="2:9">
      <c r="B346" s="324">
        <v>327</v>
      </c>
      <c r="C346" s="324" t="s">
        <v>277</v>
      </c>
      <c r="D346" s="324">
        <v>1971</v>
      </c>
      <c r="E346" s="325">
        <v>63212.38</v>
      </c>
      <c r="F346" s="324"/>
      <c r="G346" s="324">
        <v>2022</v>
      </c>
      <c r="H346" s="324" t="s">
        <v>800</v>
      </c>
      <c r="I346" s="324">
        <v>2</v>
      </c>
    </row>
    <row r="347" spans="2:9">
      <c r="B347" s="324">
        <v>328</v>
      </c>
      <c r="C347" s="324" t="s">
        <v>277</v>
      </c>
      <c r="D347" s="324">
        <v>1972</v>
      </c>
      <c r="E347" s="325">
        <v>191127.04000000001</v>
      </c>
      <c r="F347" s="324"/>
      <c r="G347" s="324">
        <v>2022</v>
      </c>
      <c r="H347" s="324" t="s">
        <v>800</v>
      </c>
      <c r="I347" s="324">
        <v>2</v>
      </c>
    </row>
    <row r="348" spans="2:9">
      <c r="B348" s="324">
        <v>329</v>
      </c>
      <c r="C348" s="324" t="s">
        <v>277</v>
      </c>
      <c r="D348" s="324">
        <v>1973</v>
      </c>
      <c r="E348" s="325">
        <v>149822.34</v>
      </c>
      <c r="F348" s="324"/>
      <c r="G348" s="324">
        <v>2022</v>
      </c>
      <c r="H348" s="324" t="s">
        <v>800</v>
      </c>
      <c r="I348" s="324">
        <v>2</v>
      </c>
    </row>
    <row r="349" spans="2:9">
      <c r="B349" s="324">
        <v>330</v>
      </c>
      <c r="C349" s="324" t="s">
        <v>277</v>
      </c>
      <c r="D349" s="324">
        <v>1974</v>
      </c>
      <c r="E349" s="325">
        <v>54981.1</v>
      </c>
      <c r="F349" s="324"/>
      <c r="G349" s="324">
        <v>2022</v>
      </c>
      <c r="H349" s="324" t="s">
        <v>800</v>
      </c>
      <c r="I349" s="324">
        <v>2</v>
      </c>
    </row>
    <row r="350" spans="2:9">
      <c r="B350" s="324">
        <v>331</v>
      </c>
      <c r="C350" s="324" t="s">
        <v>277</v>
      </c>
      <c r="D350" s="324">
        <v>1975</v>
      </c>
      <c r="E350" s="325">
        <v>42603.9</v>
      </c>
      <c r="F350" s="324"/>
      <c r="G350" s="324">
        <v>2022</v>
      </c>
      <c r="H350" s="324" t="s">
        <v>800</v>
      </c>
      <c r="I350" s="324">
        <v>2</v>
      </c>
    </row>
    <row r="351" spans="2:9">
      <c r="B351" s="324">
        <v>332</v>
      </c>
      <c r="C351" s="324" t="s">
        <v>277</v>
      </c>
      <c r="D351" s="324">
        <v>1976</v>
      </c>
      <c r="E351" s="325">
        <v>96350.659999999989</v>
      </c>
      <c r="F351" s="324"/>
      <c r="G351" s="324">
        <v>2022</v>
      </c>
      <c r="H351" s="324" t="s">
        <v>800</v>
      </c>
      <c r="I351" s="324">
        <v>2</v>
      </c>
    </row>
    <row r="352" spans="2:9">
      <c r="B352" s="324">
        <v>333</v>
      </c>
      <c r="C352" s="324" t="s">
        <v>277</v>
      </c>
      <c r="D352" s="324">
        <v>1977</v>
      </c>
      <c r="E352" s="325">
        <v>40000</v>
      </c>
      <c r="F352" s="324"/>
      <c r="G352" s="324">
        <v>2022</v>
      </c>
      <c r="H352" s="324" t="s">
        <v>800</v>
      </c>
      <c r="I352" s="324">
        <v>2</v>
      </c>
    </row>
    <row r="353" spans="2:9">
      <c r="B353" s="324">
        <v>334</v>
      </c>
      <c r="C353" s="324" t="s">
        <v>277</v>
      </c>
      <c r="D353" s="324">
        <v>1980</v>
      </c>
      <c r="E353" s="325">
        <v>120440.92</v>
      </c>
      <c r="F353" s="324"/>
      <c r="G353" s="324">
        <v>2022</v>
      </c>
      <c r="H353" s="324" t="s">
        <v>800</v>
      </c>
      <c r="I353" s="324">
        <v>2</v>
      </c>
    </row>
    <row r="354" spans="2:9">
      <c r="B354" s="324">
        <v>335</v>
      </c>
      <c r="C354" s="324" t="s">
        <v>277</v>
      </c>
      <c r="D354" s="324">
        <v>1986</v>
      </c>
      <c r="E354" s="325">
        <v>522.41999999999996</v>
      </c>
      <c r="F354" s="324"/>
      <c r="G354" s="324">
        <v>2022</v>
      </c>
      <c r="H354" s="324" t="s">
        <v>800</v>
      </c>
      <c r="I354" s="324">
        <v>2</v>
      </c>
    </row>
    <row r="355" spans="2:9">
      <c r="B355" s="324">
        <v>336</v>
      </c>
      <c r="C355" s="324" t="s">
        <v>277</v>
      </c>
      <c r="D355" s="324">
        <v>1987</v>
      </c>
      <c r="E355" s="325">
        <v>53825.87</v>
      </c>
      <c r="F355" s="324"/>
      <c r="G355" s="324">
        <v>2022</v>
      </c>
      <c r="H355" s="324" t="s">
        <v>800</v>
      </c>
      <c r="I355" s="324">
        <v>2</v>
      </c>
    </row>
    <row r="356" spans="2:9">
      <c r="B356" s="324">
        <v>337</v>
      </c>
      <c r="C356" s="324" t="s">
        <v>277</v>
      </c>
      <c r="D356" s="324">
        <v>1991</v>
      </c>
      <c r="E356" s="325">
        <v>27309.98</v>
      </c>
      <c r="F356" s="324"/>
      <c r="G356" s="324">
        <v>2022</v>
      </c>
      <c r="H356" s="324" t="s">
        <v>800</v>
      </c>
      <c r="I356" s="324">
        <v>2</v>
      </c>
    </row>
    <row r="357" spans="2:9">
      <c r="B357" s="324">
        <v>338</v>
      </c>
      <c r="C357" s="324" t="s">
        <v>277</v>
      </c>
      <c r="D357" s="324">
        <v>1994</v>
      </c>
      <c r="E357" s="325">
        <v>108598.45</v>
      </c>
      <c r="F357" s="324"/>
      <c r="G357" s="324">
        <v>2022</v>
      </c>
      <c r="H357" s="324" t="s">
        <v>800</v>
      </c>
      <c r="I357" s="324">
        <v>2</v>
      </c>
    </row>
    <row r="358" spans="2:9">
      <c r="B358" s="324">
        <v>339</v>
      </c>
      <c r="C358" s="324" t="s">
        <v>277</v>
      </c>
      <c r="D358" s="324">
        <v>1995</v>
      </c>
      <c r="E358" s="325">
        <v>22977.040000000001</v>
      </c>
      <c r="F358" s="324"/>
      <c r="G358" s="324">
        <v>2022</v>
      </c>
      <c r="H358" s="324" t="s">
        <v>800</v>
      </c>
      <c r="I358" s="324">
        <v>2</v>
      </c>
    </row>
    <row r="359" spans="2:9">
      <c r="B359" s="324">
        <v>340</v>
      </c>
      <c r="C359" s="324" t="s">
        <v>277</v>
      </c>
      <c r="D359" s="324">
        <v>1997</v>
      </c>
      <c r="E359" s="325">
        <v>4863.96</v>
      </c>
      <c r="F359" s="324"/>
      <c r="G359" s="324">
        <v>2022</v>
      </c>
      <c r="H359" s="324" t="s">
        <v>800</v>
      </c>
      <c r="I359" s="324">
        <v>2</v>
      </c>
    </row>
    <row r="360" spans="2:9">
      <c r="B360" s="324">
        <v>341</v>
      </c>
      <c r="C360" s="324" t="s">
        <v>277</v>
      </c>
      <c r="D360" s="324">
        <v>2001</v>
      </c>
      <c r="E360" s="325">
        <v>6708.79</v>
      </c>
      <c r="F360" s="324"/>
      <c r="G360" s="324">
        <v>2022</v>
      </c>
      <c r="H360" s="324" t="s">
        <v>800</v>
      </c>
      <c r="I360" s="324">
        <v>2</v>
      </c>
    </row>
    <row r="361" spans="2:9">
      <c r="B361" s="324">
        <v>342</v>
      </c>
      <c r="C361" s="324" t="s">
        <v>277</v>
      </c>
      <c r="D361" s="324">
        <v>2002</v>
      </c>
      <c r="E361" s="325">
        <v>4460.3999999999996</v>
      </c>
      <c r="F361" s="324"/>
      <c r="G361" s="324">
        <v>2022</v>
      </c>
      <c r="H361" s="324" t="s">
        <v>800</v>
      </c>
      <c r="I361" s="324">
        <v>2</v>
      </c>
    </row>
    <row r="362" spans="2:9">
      <c r="B362" s="324">
        <v>343</v>
      </c>
      <c r="C362" s="324" t="s">
        <v>277</v>
      </c>
      <c r="D362" s="324">
        <v>2004</v>
      </c>
      <c r="E362" s="325">
        <v>111686.38999999998</v>
      </c>
      <c r="F362" s="324"/>
      <c r="G362" s="324">
        <v>2022</v>
      </c>
      <c r="H362" s="324" t="s">
        <v>800</v>
      </c>
      <c r="I362" s="324">
        <v>2</v>
      </c>
    </row>
    <row r="363" spans="2:9">
      <c r="B363" s="324">
        <v>344</v>
      </c>
      <c r="C363" s="324" t="s">
        <v>277</v>
      </c>
      <c r="D363" s="324">
        <v>2005</v>
      </c>
      <c r="E363" s="325">
        <v>24040.95</v>
      </c>
      <c r="F363" s="324"/>
      <c r="G363" s="324">
        <v>2022</v>
      </c>
      <c r="H363" s="324" t="s">
        <v>800</v>
      </c>
      <c r="I363" s="324">
        <v>2</v>
      </c>
    </row>
    <row r="364" spans="2:9">
      <c r="B364" s="324">
        <v>345</v>
      </c>
      <c r="C364" s="324" t="s">
        <v>277</v>
      </c>
      <c r="D364" s="324">
        <v>2009</v>
      </c>
      <c r="E364" s="325">
        <v>382357.44</v>
      </c>
      <c r="F364" s="324"/>
      <c r="G364" s="324">
        <v>2022</v>
      </c>
      <c r="H364" s="324" t="s">
        <v>800</v>
      </c>
      <c r="I364" s="324">
        <v>2</v>
      </c>
    </row>
    <row r="365" spans="2:9">
      <c r="B365" s="324">
        <v>346</v>
      </c>
      <c r="C365" s="324" t="s">
        <v>277</v>
      </c>
      <c r="D365" s="324">
        <v>2010</v>
      </c>
      <c r="E365" s="325">
        <v>161319.04441174126</v>
      </c>
      <c r="F365" s="324"/>
      <c r="G365" s="324">
        <v>2022</v>
      </c>
      <c r="H365" s="324" t="s">
        <v>800</v>
      </c>
      <c r="I365" s="324">
        <v>2</v>
      </c>
    </row>
    <row r="366" spans="2:9">
      <c r="B366" s="324">
        <v>347</v>
      </c>
      <c r="C366" s="324" t="s">
        <v>277</v>
      </c>
      <c r="D366" s="324">
        <v>2011</v>
      </c>
      <c r="E366" s="325">
        <v>58878.280274353092</v>
      </c>
      <c r="F366" s="324"/>
      <c r="G366" s="324">
        <v>2022</v>
      </c>
      <c r="H366" s="324" t="s">
        <v>800</v>
      </c>
      <c r="I366" s="324">
        <v>2</v>
      </c>
    </row>
    <row r="367" spans="2:9">
      <c r="B367" s="324">
        <v>348</v>
      </c>
      <c r="C367" s="324" t="s">
        <v>277</v>
      </c>
      <c r="D367" s="324">
        <v>2012</v>
      </c>
      <c r="E367" s="325">
        <v>93953.985920705352</v>
      </c>
      <c r="F367" s="324"/>
      <c r="G367" s="324">
        <v>2022</v>
      </c>
      <c r="H367" s="324" t="s">
        <v>800</v>
      </c>
      <c r="I367" s="324">
        <v>2</v>
      </c>
    </row>
    <row r="368" spans="2:9">
      <c r="B368" s="324">
        <v>349</v>
      </c>
      <c r="C368" s="324" t="s">
        <v>277</v>
      </c>
      <c r="D368" s="324">
        <v>2013</v>
      </c>
      <c r="E368" s="325">
        <v>168956.89717004116</v>
      </c>
      <c r="F368" s="324"/>
      <c r="G368" s="324">
        <v>2022</v>
      </c>
      <c r="H368" s="324" t="s">
        <v>800</v>
      </c>
      <c r="I368" s="324">
        <v>2</v>
      </c>
    </row>
    <row r="369" spans="2:9">
      <c r="B369" s="324">
        <v>350</v>
      </c>
      <c r="C369" s="324" t="s">
        <v>281</v>
      </c>
      <c r="D369" s="324">
        <v>1965</v>
      </c>
      <c r="E369" s="325">
        <v>59962.48</v>
      </c>
      <c r="F369" s="324"/>
      <c r="G369" s="324">
        <v>2022</v>
      </c>
      <c r="H369" s="324" t="s">
        <v>800</v>
      </c>
      <c r="I369" s="324">
        <v>2</v>
      </c>
    </row>
    <row r="370" spans="2:9">
      <c r="B370" s="324">
        <v>351</v>
      </c>
      <c r="C370" s="324" t="s">
        <v>281</v>
      </c>
      <c r="D370" s="324">
        <v>1966</v>
      </c>
      <c r="E370" s="325">
        <v>318047.64</v>
      </c>
      <c r="F370" s="324"/>
      <c r="G370" s="324">
        <v>2022</v>
      </c>
      <c r="H370" s="324" t="s">
        <v>800</v>
      </c>
      <c r="I370" s="324">
        <v>2</v>
      </c>
    </row>
    <row r="371" spans="2:9">
      <c r="B371" s="324">
        <v>352</v>
      </c>
      <c r="C371" s="324" t="s">
        <v>281</v>
      </c>
      <c r="D371" s="324">
        <v>1967</v>
      </c>
      <c r="E371" s="325">
        <v>109472.13</v>
      </c>
      <c r="F371" s="324"/>
      <c r="G371" s="324">
        <v>2022</v>
      </c>
      <c r="H371" s="324" t="s">
        <v>800</v>
      </c>
      <c r="I371" s="324">
        <v>2</v>
      </c>
    </row>
    <row r="372" spans="2:9">
      <c r="B372" s="324">
        <v>353</v>
      </c>
      <c r="C372" s="324" t="s">
        <v>281</v>
      </c>
      <c r="D372" s="324">
        <v>1968</v>
      </c>
      <c r="E372" s="325">
        <v>205157.75</v>
      </c>
      <c r="F372" s="324"/>
      <c r="G372" s="324">
        <v>2022</v>
      </c>
      <c r="H372" s="324" t="s">
        <v>800</v>
      </c>
      <c r="I372" s="324">
        <v>2</v>
      </c>
    </row>
    <row r="373" spans="2:9">
      <c r="B373" s="324">
        <v>354</v>
      </c>
      <c r="C373" s="324" t="s">
        <v>281</v>
      </c>
      <c r="D373" s="324">
        <v>1969</v>
      </c>
      <c r="E373" s="325">
        <v>384223.42</v>
      </c>
      <c r="F373" s="324"/>
      <c r="G373" s="324">
        <v>2022</v>
      </c>
      <c r="H373" s="324" t="s">
        <v>800</v>
      </c>
      <c r="I373" s="324">
        <v>2</v>
      </c>
    </row>
    <row r="374" spans="2:9">
      <c r="B374" s="324">
        <v>355</v>
      </c>
      <c r="C374" s="324" t="s">
        <v>281</v>
      </c>
      <c r="D374" s="324">
        <v>1970</v>
      </c>
      <c r="E374" s="325">
        <v>158864.33000000002</v>
      </c>
      <c r="F374" s="324"/>
      <c r="G374" s="324">
        <v>2022</v>
      </c>
      <c r="H374" s="324" t="s">
        <v>800</v>
      </c>
      <c r="I374" s="324">
        <v>2</v>
      </c>
    </row>
    <row r="375" spans="2:9">
      <c r="B375" s="324">
        <v>356</v>
      </c>
      <c r="C375" s="324" t="s">
        <v>281</v>
      </c>
      <c r="D375" s="324">
        <v>1971</v>
      </c>
      <c r="E375" s="325">
        <v>262805.23</v>
      </c>
      <c r="F375" s="324"/>
      <c r="G375" s="324">
        <v>2022</v>
      </c>
      <c r="H375" s="324" t="s">
        <v>800</v>
      </c>
      <c r="I375" s="324">
        <v>2</v>
      </c>
    </row>
    <row r="376" spans="2:9">
      <c r="B376" s="324">
        <v>357</v>
      </c>
      <c r="C376" s="324" t="s">
        <v>281</v>
      </c>
      <c r="D376" s="324">
        <v>1972</v>
      </c>
      <c r="E376" s="325">
        <v>114985.86000000002</v>
      </c>
      <c r="F376" s="324"/>
      <c r="G376" s="324">
        <v>2022</v>
      </c>
      <c r="H376" s="324" t="s">
        <v>800</v>
      </c>
      <c r="I376" s="324">
        <v>2</v>
      </c>
    </row>
    <row r="377" spans="2:9">
      <c r="B377" s="324">
        <v>358</v>
      </c>
      <c r="C377" s="324" t="s">
        <v>281</v>
      </c>
      <c r="D377" s="324">
        <v>1973</v>
      </c>
      <c r="E377" s="325">
        <v>120091.87999999999</v>
      </c>
      <c r="F377" s="324"/>
      <c r="G377" s="324">
        <v>2022</v>
      </c>
      <c r="H377" s="324" t="s">
        <v>800</v>
      </c>
      <c r="I377" s="324">
        <v>2</v>
      </c>
    </row>
    <row r="378" spans="2:9">
      <c r="B378" s="324">
        <v>359</v>
      </c>
      <c r="C378" s="324" t="s">
        <v>281</v>
      </c>
      <c r="D378" s="324">
        <v>1974</v>
      </c>
      <c r="E378" s="325">
        <v>93174.06</v>
      </c>
      <c r="F378" s="324"/>
      <c r="G378" s="324">
        <v>2022</v>
      </c>
      <c r="H378" s="324" t="s">
        <v>800</v>
      </c>
      <c r="I378" s="324">
        <v>2</v>
      </c>
    </row>
    <row r="379" spans="2:9">
      <c r="B379" s="324">
        <v>360</v>
      </c>
      <c r="C379" s="324" t="s">
        <v>281</v>
      </c>
      <c r="D379" s="324">
        <v>1975</v>
      </c>
      <c r="E379" s="325">
        <v>4893.67</v>
      </c>
      <c r="F379" s="324"/>
      <c r="G379" s="324">
        <v>2022</v>
      </c>
      <c r="H379" s="324" t="s">
        <v>800</v>
      </c>
      <c r="I379" s="324">
        <v>2</v>
      </c>
    </row>
    <row r="380" spans="2:9">
      <c r="B380" s="324">
        <v>361</v>
      </c>
      <c r="C380" s="324" t="s">
        <v>281</v>
      </c>
      <c r="D380" s="324">
        <v>1976</v>
      </c>
      <c r="E380" s="325">
        <v>22029.58</v>
      </c>
      <c r="F380" s="324"/>
      <c r="G380" s="324">
        <v>2022</v>
      </c>
      <c r="H380" s="324" t="s">
        <v>800</v>
      </c>
      <c r="I380" s="324">
        <v>2</v>
      </c>
    </row>
    <row r="381" spans="2:9">
      <c r="B381" s="324">
        <v>362</v>
      </c>
      <c r="C381" s="324" t="s">
        <v>281</v>
      </c>
      <c r="D381" s="324">
        <v>1977</v>
      </c>
      <c r="E381" s="325">
        <v>46858.65</v>
      </c>
      <c r="F381" s="324"/>
      <c r="G381" s="324">
        <v>2022</v>
      </c>
      <c r="H381" s="324" t="s">
        <v>800</v>
      </c>
      <c r="I381" s="324">
        <v>2</v>
      </c>
    </row>
    <row r="382" spans="2:9">
      <c r="B382" s="324">
        <v>363</v>
      </c>
      <c r="C382" s="324" t="s">
        <v>281</v>
      </c>
      <c r="D382" s="324">
        <v>1979</v>
      </c>
      <c r="E382" s="325">
        <v>5905.65</v>
      </c>
      <c r="F382" s="324"/>
      <c r="G382" s="324">
        <v>2022</v>
      </c>
      <c r="H382" s="324" t="s">
        <v>800</v>
      </c>
      <c r="I382" s="324">
        <v>2</v>
      </c>
    </row>
    <row r="383" spans="2:9">
      <c r="B383" s="324">
        <v>364</v>
      </c>
      <c r="C383" s="324" t="s">
        <v>281</v>
      </c>
      <c r="D383" s="324">
        <v>1980</v>
      </c>
      <c r="E383" s="325">
        <v>150815.79</v>
      </c>
      <c r="F383" s="324"/>
      <c r="G383" s="324">
        <v>2022</v>
      </c>
      <c r="H383" s="324" t="s">
        <v>800</v>
      </c>
      <c r="I383" s="324">
        <v>2</v>
      </c>
    </row>
    <row r="384" spans="2:9">
      <c r="B384" s="324">
        <v>365</v>
      </c>
      <c r="C384" s="324" t="s">
        <v>281</v>
      </c>
      <c r="D384" s="324">
        <v>1981</v>
      </c>
      <c r="E384" s="325">
        <v>32315.9</v>
      </c>
      <c r="F384" s="324"/>
      <c r="G384" s="324">
        <v>2022</v>
      </c>
      <c r="H384" s="324" t="s">
        <v>800</v>
      </c>
      <c r="I384" s="324">
        <v>2</v>
      </c>
    </row>
    <row r="385" spans="2:9">
      <c r="B385" s="324">
        <v>366</v>
      </c>
      <c r="C385" s="324" t="s">
        <v>281</v>
      </c>
      <c r="D385" s="324">
        <v>1982</v>
      </c>
      <c r="E385" s="325">
        <v>8847.35</v>
      </c>
      <c r="F385" s="324"/>
      <c r="G385" s="324">
        <v>2022</v>
      </c>
      <c r="H385" s="324" t="s">
        <v>800</v>
      </c>
      <c r="I385" s="324">
        <v>2</v>
      </c>
    </row>
    <row r="386" spans="2:9">
      <c r="B386" s="324">
        <v>367</v>
      </c>
      <c r="C386" s="324" t="s">
        <v>281</v>
      </c>
      <c r="D386" s="324">
        <v>1984</v>
      </c>
      <c r="E386" s="325">
        <v>4950.9399999999996</v>
      </c>
      <c r="F386" s="324"/>
      <c r="G386" s="324">
        <v>2022</v>
      </c>
      <c r="H386" s="324" t="s">
        <v>800</v>
      </c>
      <c r="I386" s="324">
        <v>2</v>
      </c>
    </row>
    <row r="387" spans="2:9">
      <c r="B387" s="324">
        <v>368</v>
      </c>
      <c r="C387" s="324" t="s">
        <v>281</v>
      </c>
      <c r="D387" s="324">
        <v>1989</v>
      </c>
      <c r="E387" s="325">
        <v>51009.69</v>
      </c>
      <c r="F387" s="324"/>
      <c r="G387" s="324">
        <v>2022</v>
      </c>
      <c r="H387" s="324" t="s">
        <v>800</v>
      </c>
      <c r="I387" s="324">
        <v>2</v>
      </c>
    </row>
    <row r="388" spans="2:9">
      <c r="B388" s="324">
        <v>369</v>
      </c>
      <c r="C388" s="324" t="s">
        <v>281</v>
      </c>
      <c r="D388" s="324">
        <v>1990</v>
      </c>
      <c r="E388" s="325">
        <v>160044.32</v>
      </c>
      <c r="F388" s="324"/>
      <c r="G388" s="324">
        <v>2022</v>
      </c>
      <c r="H388" s="324" t="s">
        <v>800</v>
      </c>
      <c r="I388" s="324">
        <v>2</v>
      </c>
    </row>
    <row r="389" spans="2:9">
      <c r="B389" s="324">
        <v>370</v>
      </c>
      <c r="C389" s="324" t="s">
        <v>281</v>
      </c>
      <c r="D389" s="324">
        <v>1991</v>
      </c>
      <c r="E389" s="325">
        <v>8034.15</v>
      </c>
      <c r="F389" s="324"/>
      <c r="G389" s="324">
        <v>2022</v>
      </c>
      <c r="H389" s="324" t="s">
        <v>800</v>
      </c>
      <c r="I389" s="324">
        <v>2</v>
      </c>
    </row>
    <row r="390" spans="2:9">
      <c r="B390" s="324">
        <v>371</v>
      </c>
      <c r="C390" s="324" t="s">
        <v>281</v>
      </c>
      <c r="D390" s="324">
        <v>1992</v>
      </c>
      <c r="E390" s="325">
        <v>21906.92</v>
      </c>
      <c r="F390" s="324"/>
      <c r="G390" s="324">
        <v>2022</v>
      </c>
      <c r="H390" s="324" t="s">
        <v>800</v>
      </c>
      <c r="I390" s="324">
        <v>2</v>
      </c>
    </row>
    <row r="391" spans="2:9">
      <c r="B391" s="324">
        <v>372</v>
      </c>
      <c r="C391" s="324" t="s">
        <v>281</v>
      </c>
      <c r="D391" s="324">
        <v>1993</v>
      </c>
      <c r="E391" s="325">
        <v>15863.25</v>
      </c>
      <c r="F391" s="324"/>
      <c r="G391" s="324">
        <v>2022</v>
      </c>
      <c r="H391" s="324" t="s">
        <v>800</v>
      </c>
      <c r="I391" s="324">
        <v>2</v>
      </c>
    </row>
    <row r="392" spans="2:9">
      <c r="B392" s="324">
        <v>373</v>
      </c>
      <c r="C392" s="324" t="s">
        <v>281</v>
      </c>
      <c r="D392" s="324">
        <v>1994</v>
      </c>
      <c r="E392" s="325">
        <v>51450.05</v>
      </c>
      <c r="F392" s="324"/>
      <c r="G392" s="324">
        <v>2022</v>
      </c>
      <c r="H392" s="324" t="s">
        <v>800</v>
      </c>
      <c r="I392" s="324">
        <v>2</v>
      </c>
    </row>
    <row r="393" spans="2:9">
      <c r="B393" s="324">
        <v>374</v>
      </c>
      <c r="C393" s="324" t="s">
        <v>281</v>
      </c>
      <c r="D393" s="324">
        <v>1995</v>
      </c>
      <c r="E393" s="325">
        <v>62522.97</v>
      </c>
      <c r="F393" s="324"/>
      <c r="G393" s="324">
        <v>2022</v>
      </c>
      <c r="H393" s="324" t="s">
        <v>800</v>
      </c>
      <c r="I393" s="324">
        <v>2</v>
      </c>
    </row>
    <row r="394" spans="2:9">
      <c r="B394" s="324">
        <v>375</v>
      </c>
      <c r="C394" s="324" t="s">
        <v>281</v>
      </c>
      <c r="D394" s="324">
        <v>1996</v>
      </c>
      <c r="E394" s="325">
        <v>16582.84</v>
      </c>
      <c r="F394" s="324"/>
      <c r="G394" s="324">
        <v>2022</v>
      </c>
      <c r="H394" s="324" t="s">
        <v>800</v>
      </c>
      <c r="I394" s="324">
        <v>2</v>
      </c>
    </row>
    <row r="395" spans="2:9">
      <c r="B395" s="324">
        <v>376</v>
      </c>
      <c r="C395" s="324" t="s">
        <v>281</v>
      </c>
      <c r="D395" s="324">
        <v>1997</v>
      </c>
      <c r="E395" s="325">
        <v>16150.88</v>
      </c>
      <c r="F395" s="324"/>
      <c r="G395" s="324">
        <v>2022</v>
      </c>
      <c r="H395" s="324" t="s">
        <v>800</v>
      </c>
      <c r="I395" s="324">
        <v>2</v>
      </c>
    </row>
    <row r="396" spans="2:9">
      <c r="B396" s="324">
        <v>377</v>
      </c>
      <c r="C396" s="324" t="s">
        <v>281</v>
      </c>
      <c r="D396" s="324">
        <v>2000</v>
      </c>
      <c r="E396" s="325">
        <v>11054.31</v>
      </c>
      <c r="F396" s="324"/>
      <c r="G396" s="324">
        <v>2022</v>
      </c>
      <c r="H396" s="324" t="s">
        <v>800</v>
      </c>
      <c r="I396" s="324">
        <v>2</v>
      </c>
    </row>
    <row r="397" spans="2:9">
      <c r="B397" s="324">
        <v>378</v>
      </c>
      <c r="C397" s="324" t="s">
        <v>281</v>
      </c>
      <c r="D397" s="324">
        <v>2002</v>
      </c>
      <c r="E397" s="325">
        <v>9572.0400000000009</v>
      </c>
      <c r="F397" s="324"/>
      <c r="G397" s="324">
        <v>2022</v>
      </c>
      <c r="H397" s="324" t="s">
        <v>800</v>
      </c>
      <c r="I397" s="324">
        <v>2</v>
      </c>
    </row>
    <row r="398" spans="2:9">
      <c r="B398" s="324">
        <v>379</v>
      </c>
      <c r="C398" s="324" t="s">
        <v>281</v>
      </c>
      <c r="D398" s="324">
        <v>2003</v>
      </c>
      <c r="E398" s="325">
        <v>37361.589999999997</v>
      </c>
      <c r="F398" s="324"/>
      <c r="G398" s="324">
        <v>2022</v>
      </c>
      <c r="H398" s="324" t="s">
        <v>800</v>
      </c>
      <c r="I398" s="324">
        <v>2</v>
      </c>
    </row>
    <row r="399" spans="2:9">
      <c r="B399" s="324">
        <v>380</v>
      </c>
      <c r="C399" s="324" t="s">
        <v>281</v>
      </c>
      <c r="D399" s="324">
        <v>2005</v>
      </c>
      <c r="E399" s="325">
        <v>13619.77</v>
      </c>
      <c r="F399" s="324"/>
      <c r="G399" s="324">
        <v>2022</v>
      </c>
      <c r="H399" s="324" t="s">
        <v>800</v>
      </c>
      <c r="I399" s="324">
        <v>2</v>
      </c>
    </row>
    <row r="400" spans="2:9">
      <c r="B400" s="324">
        <v>381</v>
      </c>
      <c r="C400" s="324" t="s">
        <v>281</v>
      </c>
      <c r="D400" s="324">
        <v>2007</v>
      </c>
      <c r="E400" s="325">
        <v>316887.66000000003</v>
      </c>
      <c r="F400" s="324"/>
      <c r="G400" s="324">
        <v>2022</v>
      </c>
      <c r="H400" s="324" t="s">
        <v>800</v>
      </c>
      <c r="I400" s="324">
        <v>2</v>
      </c>
    </row>
    <row r="401" spans="2:9">
      <c r="B401" s="324">
        <v>382</v>
      </c>
      <c r="C401" s="324" t="s">
        <v>281</v>
      </c>
      <c r="D401" s="324">
        <v>2010</v>
      </c>
      <c r="E401" s="325">
        <v>154710.54390000002</v>
      </c>
      <c r="F401" s="324"/>
      <c r="G401" s="324">
        <v>2022</v>
      </c>
      <c r="H401" s="324" t="s">
        <v>800</v>
      </c>
      <c r="I401" s="324">
        <v>2</v>
      </c>
    </row>
    <row r="402" spans="2:9">
      <c r="B402" s="324">
        <v>383</v>
      </c>
      <c r="C402" s="324" t="s">
        <v>281</v>
      </c>
      <c r="D402" s="324">
        <v>2012</v>
      </c>
      <c r="E402" s="325">
        <v>41792.986548232657</v>
      </c>
      <c r="F402" s="324"/>
      <c r="G402" s="324">
        <v>2022</v>
      </c>
      <c r="H402" s="324" t="s">
        <v>800</v>
      </c>
      <c r="I402" s="324">
        <v>2</v>
      </c>
    </row>
    <row r="403" spans="2:9">
      <c r="B403" s="324">
        <v>384</v>
      </c>
      <c r="C403" s="324" t="s">
        <v>290</v>
      </c>
      <c r="D403" s="324">
        <v>1980</v>
      </c>
      <c r="E403" s="325">
        <v>47081.56</v>
      </c>
      <c r="F403" s="324"/>
      <c r="G403" s="324">
        <v>2022</v>
      </c>
      <c r="H403" s="324" t="s">
        <v>800</v>
      </c>
      <c r="I403" s="324">
        <v>2</v>
      </c>
    </row>
    <row r="404" spans="2:9">
      <c r="B404" s="324">
        <v>385</v>
      </c>
      <c r="C404" s="324" t="s">
        <v>310</v>
      </c>
      <c r="D404" s="324">
        <v>1970</v>
      </c>
      <c r="E404" s="325">
        <v>81298.009999999995</v>
      </c>
      <c r="F404" s="324"/>
      <c r="G404" s="324">
        <v>2022</v>
      </c>
      <c r="H404" s="324" t="s">
        <v>800</v>
      </c>
      <c r="I404" s="324">
        <v>2</v>
      </c>
    </row>
    <row r="405" spans="2:9">
      <c r="B405" s="324">
        <v>386</v>
      </c>
      <c r="C405" s="324" t="s">
        <v>310</v>
      </c>
      <c r="D405" s="324">
        <v>1971</v>
      </c>
      <c r="E405" s="325">
        <v>86713.88</v>
      </c>
      <c r="F405" s="324"/>
      <c r="G405" s="324">
        <v>2022</v>
      </c>
      <c r="H405" s="324" t="s">
        <v>800</v>
      </c>
      <c r="I405" s="324">
        <v>2</v>
      </c>
    </row>
    <row r="406" spans="2:9">
      <c r="B406" s="324">
        <v>387</v>
      </c>
      <c r="C406" s="324" t="s">
        <v>310</v>
      </c>
      <c r="D406" s="324">
        <v>1974</v>
      </c>
      <c r="E406" s="325">
        <v>177923.75</v>
      </c>
      <c r="F406" s="324"/>
      <c r="G406" s="324">
        <v>2022</v>
      </c>
      <c r="H406" s="324" t="s">
        <v>800</v>
      </c>
      <c r="I406" s="324">
        <v>2</v>
      </c>
    </row>
    <row r="407" spans="2:9">
      <c r="B407" s="324">
        <v>388</v>
      </c>
      <c r="C407" s="324" t="s">
        <v>310</v>
      </c>
      <c r="D407" s="324">
        <v>1997</v>
      </c>
      <c r="E407" s="325">
        <v>15658.35</v>
      </c>
      <c r="F407" s="324"/>
      <c r="G407" s="324">
        <v>2022</v>
      </c>
      <c r="H407" s="324" t="s">
        <v>800</v>
      </c>
      <c r="I407" s="324">
        <v>2</v>
      </c>
    </row>
    <row r="408" spans="2:9">
      <c r="B408" s="324">
        <v>389</v>
      </c>
      <c r="C408" s="324" t="s">
        <v>310</v>
      </c>
      <c r="D408" s="324">
        <v>2011</v>
      </c>
      <c r="E408" s="325">
        <v>117399.27471035083</v>
      </c>
      <c r="F408" s="324"/>
      <c r="G408" s="324">
        <v>2022</v>
      </c>
      <c r="H408" s="324" t="s">
        <v>800</v>
      </c>
      <c r="I408" s="324">
        <v>2</v>
      </c>
    </row>
    <row r="409" spans="2:9">
      <c r="B409" s="324">
        <v>390</v>
      </c>
      <c r="C409" s="324" t="s">
        <v>313</v>
      </c>
      <c r="D409" s="324">
        <v>1977</v>
      </c>
      <c r="E409" s="325">
        <v>1111944.56</v>
      </c>
      <c r="F409" s="324"/>
      <c r="G409" s="324">
        <v>2022</v>
      </c>
      <c r="H409" s="324" t="s">
        <v>800</v>
      </c>
      <c r="I409" s="324">
        <v>2</v>
      </c>
    </row>
    <row r="410" spans="2:9">
      <c r="B410" s="324">
        <v>391</v>
      </c>
      <c r="C410" s="324" t="s">
        <v>313</v>
      </c>
      <c r="D410" s="324">
        <v>1998</v>
      </c>
      <c r="E410" s="325">
        <v>1841303.44</v>
      </c>
      <c r="F410" s="324"/>
      <c r="G410" s="324">
        <v>2022</v>
      </c>
      <c r="H410" s="324" t="s">
        <v>800</v>
      </c>
      <c r="I410" s="324">
        <v>2</v>
      </c>
    </row>
    <row r="411" spans="2:9">
      <c r="B411" s="324">
        <v>392</v>
      </c>
      <c r="C411" s="324" t="s">
        <v>314</v>
      </c>
      <c r="D411" s="324">
        <v>2019</v>
      </c>
      <c r="E411" s="325">
        <v>64295.18960042399</v>
      </c>
      <c r="F411" s="324"/>
      <c r="G411" s="324">
        <v>2022</v>
      </c>
      <c r="H411" s="324" t="s">
        <v>800</v>
      </c>
      <c r="I411" s="324">
        <v>2</v>
      </c>
    </row>
    <row r="412" spans="2:9">
      <c r="B412" s="324">
        <v>393</v>
      </c>
      <c r="C412" s="324" t="s">
        <v>318</v>
      </c>
      <c r="D412" s="324">
        <v>1964</v>
      </c>
      <c r="E412" s="325">
        <v>1445.34</v>
      </c>
      <c r="F412" s="324"/>
      <c r="G412" s="324">
        <v>2022</v>
      </c>
      <c r="H412" s="324" t="s">
        <v>800</v>
      </c>
      <c r="I412" s="324">
        <v>2</v>
      </c>
    </row>
    <row r="413" spans="2:9">
      <c r="B413" s="324">
        <v>394</v>
      </c>
      <c r="C413" s="324" t="s">
        <v>318</v>
      </c>
      <c r="D413" s="324">
        <v>1977</v>
      </c>
      <c r="E413" s="325">
        <v>50000</v>
      </c>
      <c r="F413" s="324"/>
      <c r="G413" s="324">
        <v>2022</v>
      </c>
      <c r="H413" s="324" t="s">
        <v>800</v>
      </c>
      <c r="I413" s="324">
        <v>2</v>
      </c>
    </row>
    <row r="414" spans="2:9">
      <c r="B414" s="324">
        <v>395</v>
      </c>
      <c r="C414" s="324" t="s">
        <v>318</v>
      </c>
      <c r="D414" s="324">
        <v>1978</v>
      </c>
      <c r="E414" s="325">
        <v>16458.09</v>
      </c>
      <c r="F414" s="324"/>
      <c r="G414" s="324">
        <v>2022</v>
      </c>
      <c r="H414" s="324" t="s">
        <v>800</v>
      </c>
      <c r="I414" s="324">
        <v>2</v>
      </c>
    </row>
    <row r="415" spans="2:9">
      <c r="B415" s="324">
        <v>396</v>
      </c>
      <c r="C415" s="324" t="s">
        <v>318</v>
      </c>
      <c r="D415" s="324">
        <v>1983</v>
      </c>
      <c r="E415" s="325">
        <v>44290.400000000001</v>
      </c>
      <c r="F415" s="324"/>
      <c r="G415" s="324">
        <v>2022</v>
      </c>
      <c r="H415" s="324" t="s">
        <v>800</v>
      </c>
      <c r="I415" s="324">
        <v>2</v>
      </c>
    </row>
    <row r="416" spans="2:9">
      <c r="B416" s="324">
        <v>397</v>
      </c>
      <c r="C416" s="324" t="s">
        <v>318</v>
      </c>
      <c r="D416" s="324">
        <v>1987</v>
      </c>
      <c r="E416" s="325">
        <v>90000</v>
      </c>
      <c r="F416" s="324"/>
      <c r="G416" s="324">
        <v>2022</v>
      </c>
      <c r="H416" s="324" t="s">
        <v>800</v>
      </c>
      <c r="I416" s="324">
        <v>2</v>
      </c>
    </row>
    <row r="417" spans="2:9">
      <c r="B417" s="324">
        <v>398</v>
      </c>
      <c r="C417" s="324" t="s">
        <v>324</v>
      </c>
      <c r="D417" s="324">
        <v>1964</v>
      </c>
      <c r="E417" s="325">
        <v>184143.09</v>
      </c>
      <c r="F417" s="324"/>
      <c r="G417" s="324">
        <v>2022</v>
      </c>
      <c r="H417" s="324" t="s">
        <v>800</v>
      </c>
      <c r="I417" s="324">
        <v>2</v>
      </c>
    </row>
    <row r="418" spans="2:9">
      <c r="B418" s="324">
        <v>399</v>
      </c>
      <c r="C418" s="324" t="s">
        <v>324</v>
      </c>
      <c r="D418" s="324">
        <v>1967</v>
      </c>
      <c r="E418" s="325">
        <v>477869.69</v>
      </c>
      <c r="F418" s="324"/>
      <c r="G418" s="324">
        <v>2022</v>
      </c>
      <c r="H418" s="324" t="s">
        <v>800</v>
      </c>
      <c r="I418" s="324">
        <v>2</v>
      </c>
    </row>
    <row r="419" spans="2:9">
      <c r="B419" s="324">
        <v>400</v>
      </c>
      <c r="C419" s="324" t="s">
        <v>324</v>
      </c>
      <c r="D419" s="324">
        <v>1968</v>
      </c>
      <c r="E419" s="325">
        <v>7990.16</v>
      </c>
      <c r="F419" s="324"/>
      <c r="G419" s="324">
        <v>2022</v>
      </c>
      <c r="H419" s="324" t="s">
        <v>800</v>
      </c>
      <c r="I419" s="324">
        <v>2</v>
      </c>
    </row>
    <row r="420" spans="2:9">
      <c r="B420" s="324">
        <v>401</v>
      </c>
      <c r="C420" s="324" t="s">
        <v>324</v>
      </c>
      <c r="D420" s="324">
        <v>1969</v>
      </c>
      <c r="E420" s="325">
        <v>64322.44</v>
      </c>
      <c r="F420" s="324"/>
      <c r="G420" s="324">
        <v>2022</v>
      </c>
      <c r="H420" s="324" t="s">
        <v>800</v>
      </c>
      <c r="I420" s="324">
        <v>2</v>
      </c>
    </row>
    <row r="421" spans="2:9">
      <c r="B421" s="324">
        <v>402</v>
      </c>
      <c r="C421" s="324" t="s">
        <v>324</v>
      </c>
      <c r="D421" s="324">
        <v>1972</v>
      </c>
      <c r="E421" s="325">
        <v>58241.78</v>
      </c>
      <c r="F421" s="324"/>
      <c r="G421" s="324">
        <v>2022</v>
      </c>
      <c r="H421" s="324" t="s">
        <v>800</v>
      </c>
      <c r="I421" s="324">
        <v>2</v>
      </c>
    </row>
    <row r="422" spans="2:9">
      <c r="B422" s="324">
        <v>403</v>
      </c>
      <c r="C422" s="324" t="s">
        <v>324</v>
      </c>
      <c r="D422" s="324">
        <v>1974</v>
      </c>
      <c r="E422" s="325">
        <v>117946.1</v>
      </c>
      <c r="F422" s="324"/>
      <c r="G422" s="324">
        <v>2022</v>
      </c>
      <c r="H422" s="324" t="s">
        <v>800</v>
      </c>
      <c r="I422" s="324">
        <v>2</v>
      </c>
    </row>
    <row r="423" spans="2:9">
      <c r="B423" s="324">
        <v>404</v>
      </c>
      <c r="C423" s="324" t="s">
        <v>324</v>
      </c>
      <c r="D423" s="324">
        <v>1978</v>
      </c>
      <c r="E423" s="325">
        <v>1289616.6000000001</v>
      </c>
      <c r="F423" s="324"/>
      <c r="G423" s="324">
        <v>2022</v>
      </c>
      <c r="H423" s="324" t="s">
        <v>800</v>
      </c>
      <c r="I423" s="324">
        <v>2</v>
      </c>
    </row>
    <row r="424" spans="2:9">
      <c r="B424" s="324">
        <v>405</v>
      </c>
      <c r="C424" s="324" t="s">
        <v>324</v>
      </c>
      <c r="D424" s="324">
        <v>1995</v>
      </c>
      <c r="E424" s="325">
        <v>15754.34</v>
      </c>
      <c r="F424" s="324"/>
      <c r="G424" s="324">
        <v>2022</v>
      </c>
      <c r="H424" s="324" t="s">
        <v>800</v>
      </c>
      <c r="I424" s="324">
        <v>2</v>
      </c>
    </row>
    <row r="425" spans="2:9">
      <c r="B425" s="324">
        <v>406</v>
      </c>
      <c r="C425" s="324" t="s">
        <v>324</v>
      </c>
      <c r="D425" s="324">
        <v>2012</v>
      </c>
      <c r="E425" s="325">
        <v>386956.48760918935</v>
      </c>
      <c r="F425" s="324"/>
      <c r="G425" s="324">
        <v>2022</v>
      </c>
      <c r="H425" s="324" t="s">
        <v>800</v>
      </c>
      <c r="I425" s="324">
        <v>2</v>
      </c>
    </row>
    <row r="426" spans="2:9">
      <c r="B426" s="324">
        <v>407</v>
      </c>
      <c r="C426" s="324" t="s">
        <v>329</v>
      </c>
      <c r="D426" s="324">
        <v>1986</v>
      </c>
      <c r="E426" s="325">
        <v>29497.66</v>
      </c>
      <c r="F426" s="324"/>
      <c r="G426" s="324">
        <v>2022</v>
      </c>
      <c r="H426" s="324" t="s">
        <v>800</v>
      </c>
      <c r="I426" s="324">
        <v>2</v>
      </c>
    </row>
    <row r="427" spans="2:9">
      <c r="B427" s="324">
        <v>408</v>
      </c>
      <c r="C427" s="324" t="s">
        <v>277</v>
      </c>
      <c r="D427" s="324">
        <v>1954</v>
      </c>
      <c r="E427" s="325">
        <v>30000</v>
      </c>
      <c r="F427" s="324"/>
      <c r="G427" s="324">
        <v>2023</v>
      </c>
      <c r="H427" s="324" t="s">
        <v>813</v>
      </c>
      <c r="I427" s="324">
        <v>2</v>
      </c>
    </row>
    <row r="428" spans="2:9">
      <c r="B428" s="324">
        <v>409</v>
      </c>
      <c r="C428" s="324" t="s">
        <v>277</v>
      </c>
      <c r="D428" s="324">
        <v>1955</v>
      </c>
      <c r="E428" s="325">
        <v>26680</v>
      </c>
      <c r="F428" s="324"/>
      <c r="G428" s="324">
        <v>2023</v>
      </c>
      <c r="H428" s="324" t="s">
        <v>813</v>
      </c>
      <c r="I428" s="324">
        <v>2</v>
      </c>
    </row>
    <row r="429" spans="2:9">
      <c r="B429" s="324">
        <v>410</v>
      </c>
      <c r="C429" s="324" t="s">
        <v>277</v>
      </c>
      <c r="D429" s="324">
        <v>1958</v>
      </c>
      <c r="E429" s="325">
        <v>41066</v>
      </c>
      <c r="F429" s="324"/>
      <c r="G429" s="324">
        <v>2023</v>
      </c>
      <c r="H429" s="324" t="s">
        <v>813</v>
      </c>
      <c r="I429" s="324">
        <v>2</v>
      </c>
    </row>
    <row r="430" spans="2:9">
      <c r="B430" s="324">
        <v>411</v>
      </c>
      <c r="C430" s="324" t="s">
        <v>277</v>
      </c>
      <c r="D430" s="324">
        <v>1959</v>
      </c>
      <c r="E430" s="325">
        <v>38260</v>
      </c>
      <c r="F430" s="324"/>
      <c r="G430" s="324">
        <v>2023</v>
      </c>
      <c r="H430" s="324" t="s">
        <v>813</v>
      </c>
      <c r="I430" s="324">
        <v>2</v>
      </c>
    </row>
    <row r="431" spans="2:9">
      <c r="B431" s="324">
        <v>412</v>
      </c>
      <c r="C431" s="324" t="s">
        <v>277</v>
      </c>
      <c r="D431" s="324">
        <v>1965</v>
      </c>
      <c r="E431" s="325">
        <v>125091</v>
      </c>
      <c r="F431" s="324"/>
      <c r="G431" s="324">
        <v>2023</v>
      </c>
      <c r="H431" s="324" t="s">
        <v>813</v>
      </c>
      <c r="I431" s="324">
        <v>2</v>
      </c>
    </row>
    <row r="432" spans="2:9">
      <c r="B432" s="324">
        <v>413</v>
      </c>
      <c r="C432" s="324" t="s">
        <v>277</v>
      </c>
      <c r="D432" s="324">
        <v>1966</v>
      </c>
      <c r="E432" s="325">
        <v>71100</v>
      </c>
      <c r="F432" s="324"/>
      <c r="G432" s="324">
        <v>2023</v>
      </c>
      <c r="H432" s="324" t="s">
        <v>813</v>
      </c>
      <c r="I432" s="324">
        <v>2</v>
      </c>
    </row>
    <row r="433" spans="2:9">
      <c r="B433" s="324">
        <v>414</v>
      </c>
      <c r="C433" s="324" t="s">
        <v>277</v>
      </c>
      <c r="D433" s="324">
        <v>1967</v>
      </c>
      <c r="E433" s="325">
        <v>77488</v>
      </c>
      <c r="F433" s="324"/>
      <c r="G433" s="324">
        <v>2023</v>
      </c>
      <c r="H433" s="324" t="s">
        <v>813</v>
      </c>
      <c r="I433" s="324">
        <v>2</v>
      </c>
    </row>
    <row r="434" spans="2:9">
      <c r="B434" s="324">
        <v>415</v>
      </c>
      <c r="C434" s="324" t="s">
        <v>277</v>
      </c>
      <c r="D434" s="324">
        <v>1968</v>
      </c>
      <c r="E434" s="325">
        <v>477209</v>
      </c>
      <c r="F434" s="324"/>
      <c r="G434" s="324">
        <v>2023</v>
      </c>
      <c r="H434" s="324" t="s">
        <v>813</v>
      </c>
      <c r="I434" s="324">
        <v>2</v>
      </c>
    </row>
    <row r="435" spans="2:9">
      <c r="B435" s="324">
        <v>416</v>
      </c>
      <c r="C435" s="324" t="s">
        <v>277</v>
      </c>
      <c r="D435" s="324">
        <v>1969</v>
      </c>
      <c r="E435" s="325">
        <v>160414</v>
      </c>
      <c r="F435" s="324"/>
      <c r="G435" s="324">
        <v>2023</v>
      </c>
      <c r="H435" s="324" t="s">
        <v>813</v>
      </c>
      <c r="I435" s="324">
        <v>2</v>
      </c>
    </row>
    <row r="436" spans="2:9">
      <c r="B436" s="324">
        <v>417</v>
      </c>
      <c r="C436" s="324" t="s">
        <v>277</v>
      </c>
      <c r="D436" s="324">
        <v>1970</v>
      </c>
      <c r="E436" s="325">
        <v>218021</v>
      </c>
      <c r="F436" s="324"/>
      <c r="G436" s="324">
        <v>2023</v>
      </c>
      <c r="H436" s="324" t="s">
        <v>813</v>
      </c>
      <c r="I436" s="324">
        <v>2</v>
      </c>
    </row>
    <row r="437" spans="2:9">
      <c r="B437" s="324">
        <v>418</v>
      </c>
      <c r="C437" s="324" t="s">
        <v>277</v>
      </c>
      <c r="D437" s="324">
        <v>1971</v>
      </c>
      <c r="E437" s="325">
        <v>98792</v>
      </c>
      <c r="F437" s="324"/>
      <c r="G437" s="324">
        <v>2023</v>
      </c>
      <c r="H437" s="324" t="s">
        <v>813</v>
      </c>
      <c r="I437" s="324">
        <v>2</v>
      </c>
    </row>
    <row r="438" spans="2:9">
      <c r="B438" s="324">
        <v>419</v>
      </c>
      <c r="C438" s="324" t="s">
        <v>277</v>
      </c>
      <c r="D438" s="324">
        <v>1972</v>
      </c>
      <c r="E438" s="325">
        <v>49371</v>
      </c>
      <c r="F438" s="324"/>
      <c r="G438" s="324">
        <v>2023</v>
      </c>
      <c r="H438" s="324" t="s">
        <v>813</v>
      </c>
      <c r="I438" s="324">
        <v>2</v>
      </c>
    </row>
    <row r="439" spans="2:9">
      <c r="B439" s="324">
        <v>420</v>
      </c>
      <c r="C439" s="324" t="s">
        <v>277</v>
      </c>
      <c r="D439" s="324">
        <v>1973</v>
      </c>
      <c r="E439" s="325">
        <v>35155</v>
      </c>
      <c r="F439" s="324"/>
      <c r="G439" s="324">
        <v>2023</v>
      </c>
      <c r="H439" s="324" t="s">
        <v>813</v>
      </c>
      <c r="I439" s="324">
        <v>2</v>
      </c>
    </row>
    <row r="440" spans="2:9">
      <c r="B440" s="324">
        <v>421</v>
      </c>
      <c r="C440" s="324" t="s">
        <v>277</v>
      </c>
      <c r="D440" s="324">
        <v>1985</v>
      </c>
      <c r="E440" s="325">
        <v>4444</v>
      </c>
      <c r="F440" s="324"/>
      <c r="G440" s="324">
        <v>2023</v>
      </c>
      <c r="H440" s="324" t="s">
        <v>813</v>
      </c>
      <c r="I440" s="324">
        <v>2</v>
      </c>
    </row>
    <row r="441" spans="2:9">
      <c r="B441" s="324">
        <v>422</v>
      </c>
      <c r="C441" s="324" t="s">
        <v>277</v>
      </c>
      <c r="D441" s="324">
        <v>1988</v>
      </c>
      <c r="E441" s="325">
        <v>1378</v>
      </c>
      <c r="F441" s="324"/>
      <c r="G441" s="324">
        <v>2023</v>
      </c>
      <c r="H441" s="324" t="s">
        <v>813</v>
      </c>
      <c r="I441" s="324">
        <v>2</v>
      </c>
    </row>
    <row r="442" spans="2:9">
      <c r="B442" s="324">
        <v>423</v>
      </c>
      <c r="C442" s="324" t="s">
        <v>277</v>
      </c>
      <c r="D442" s="324">
        <v>1989</v>
      </c>
      <c r="E442" s="325">
        <v>2017</v>
      </c>
      <c r="F442" s="324"/>
      <c r="G442" s="324">
        <v>2023</v>
      </c>
      <c r="H442" s="324" t="s">
        <v>813</v>
      </c>
      <c r="I442" s="324">
        <v>2</v>
      </c>
    </row>
    <row r="443" spans="2:9">
      <c r="B443" s="324">
        <v>424</v>
      </c>
      <c r="C443" s="324" t="s">
        <v>277</v>
      </c>
      <c r="D443" s="324">
        <v>1992</v>
      </c>
      <c r="E443" s="325">
        <v>8976</v>
      </c>
      <c r="F443" s="324"/>
      <c r="G443" s="324">
        <v>2023</v>
      </c>
      <c r="H443" s="324" t="s">
        <v>813</v>
      </c>
      <c r="I443" s="324">
        <v>2</v>
      </c>
    </row>
    <row r="444" spans="2:9">
      <c r="B444" s="324">
        <v>425</v>
      </c>
      <c r="C444" s="324" t="s">
        <v>277</v>
      </c>
      <c r="D444" s="324">
        <v>1993</v>
      </c>
      <c r="E444" s="325">
        <v>168038</v>
      </c>
      <c r="F444" s="324"/>
      <c r="G444" s="324">
        <v>2023</v>
      </c>
      <c r="H444" s="324" t="s">
        <v>813</v>
      </c>
      <c r="I444" s="324">
        <v>2</v>
      </c>
    </row>
    <row r="445" spans="2:9">
      <c r="B445" s="324">
        <v>426</v>
      </c>
      <c r="C445" s="324" t="s">
        <v>277</v>
      </c>
      <c r="D445" s="324">
        <v>1998</v>
      </c>
      <c r="E445" s="325">
        <v>0</v>
      </c>
      <c r="F445" s="324"/>
      <c r="G445" s="324">
        <v>2023</v>
      </c>
      <c r="H445" s="324" t="s">
        <v>813</v>
      </c>
      <c r="I445" s="324">
        <v>2</v>
      </c>
    </row>
    <row r="446" spans="2:9">
      <c r="B446" s="324">
        <v>427</v>
      </c>
      <c r="C446" s="324" t="s">
        <v>277</v>
      </c>
      <c r="D446" s="324">
        <v>1999</v>
      </c>
      <c r="E446" s="325">
        <v>34291</v>
      </c>
      <c r="F446" s="324"/>
      <c r="G446" s="324">
        <v>2023</v>
      </c>
      <c r="H446" s="324" t="s">
        <v>813</v>
      </c>
      <c r="I446" s="324">
        <v>2</v>
      </c>
    </row>
    <row r="447" spans="2:9">
      <c r="B447" s="324">
        <v>428</v>
      </c>
      <c r="C447" s="324" t="s">
        <v>277</v>
      </c>
      <c r="D447" s="324">
        <v>2002</v>
      </c>
      <c r="E447" s="325">
        <v>15500</v>
      </c>
      <c r="F447" s="324"/>
      <c r="G447" s="324">
        <v>2023</v>
      </c>
      <c r="H447" s="324" t="s">
        <v>813</v>
      </c>
      <c r="I447" s="324">
        <v>2</v>
      </c>
    </row>
    <row r="448" spans="2:9">
      <c r="B448" s="324">
        <v>429</v>
      </c>
      <c r="C448" s="324" t="s">
        <v>277</v>
      </c>
      <c r="D448" s="324">
        <v>2004</v>
      </c>
      <c r="E448" s="325">
        <v>43774</v>
      </c>
      <c r="F448" s="324"/>
      <c r="G448" s="324">
        <v>2023</v>
      </c>
      <c r="H448" s="324" t="s">
        <v>813</v>
      </c>
      <c r="I448" s="324">
        <v>2</v>
      </c>
    </row>
    <row r="449" spans="2:9">
      <c r="B449" s="324">
        <v>430</v>
      </c>
      <c r="C449" s="324" t="s">
        <v>277</v>
      </c>
      <c r="D449" s="324">
        <v>2005</v>
      </c>
      <c r="E449" s="325">
        <v>54999</v>
      </c>
      <c r="F449" s="324"/>
      <c r="G449" s="324">
        <v>2023</v>
      </c>
      <c r="H449" s="324" t="s">
        <v>813</v>
      </c>
      <c r="I449" s="324">
        <v>2</v>
      </c>
    </row>
    <row r="450" spans="2:9">
      <c r="B450" s="324">
        <v>431</v>
      </c>
      <c r="C450" s="324" t="s">
        <v>277</v>
      </c>
      <c r="D450" s="324">
        <v>2006</v>
      </c>
      <c r="E450" s="325">
        <v>10076</v>
      </c>
      <c r="F450" s="324"/>
      <c r="G450" s="324">
        <v>2023</v>
      </c>
      <c r="H450" s="324" t="s">
        <v>813</v>
      </c>
      <c r="I450" s="324">
        <v>2</v>
      </c>
    </row>
    <row r="451" spans="2:9">
      <c r="B451" s="324">
        <v>432</v>
      </c>
      <c r="C451" s="324" t="s">
        <v>277</v>
      </c>
      <c r="D451" s="324">
        <v>2009</v>
      </c>
      <c r="E451" s="325">
        <v>378063</v>
      </c>
      <c r="F451" s="324"/>
      <c r="G451" s="324">
        <v>2023</v>
      </c>
      <c r="H451" s="324" t="s">
        <v>813</v>
      </c>
      <c r="I451" s="324">
        <v>2</v>
      </c>
    </row>
    <row r="452" spans="2:9">
      <c r="B452" s="324">
        <v>433</v>
      </c>
      <c r="C452" s="324" t="s">
        <v>277</v>
      </c>
      <c r="D452" s="324">
        <v>2011</v>
      </c>
      <c r="E452" s="325">
        <v>17627</v>
      </c>
      <c r="F452" s="324"/>
      <c r="G452" s="324">
        <v>2023</v>
      </c>
      <c r="H452" s="324" t="s">
        <v>813</v>
      </c>
      <c r="I452" s="324">
        <v>2</v>
      </c>
    </row>
    <row r="453" spans="2:9">
      <c r="B453" s="324">
        <v>434</v>
      </c>
      <c r="C453" s="324" t="s">
        <v>277</v>
      </c>
      <c r="D453" s="324">
        <v>2012</v>
      </c>
      <c r="E453" s="325">
        <v>388523</v>
      </c>
      <c r="F453" s="324"/>
      <c r="G453" s="324">
        <v>2023</v>
      </c>
      <c r="H453" s="324" t="s">
        <v>813</v>
      </c>
      <c r="I453" s="324">
        <v>2</v>
      </c>
    </row>
    <row r="454" spans="2:9">
      <c r="B454" s="324">
        <v>435</v>
      </c>
      <c r="C454" s="324" t="s">
        <v>281</v>
      </c>
      <c r="D454" s="324">
        <v>1965</v>
      </c>
      <c r="E454" s="325">
        <v>15848</v>
      </c>
      <c r="F454" s="324"/>
      <c r="G454" s="324">
        <v>2023</v>
      </c>
      <c r="H454" s="324" t="s">
        <v>813</v>
      </c>
      <c r="I454" s="324">
        <v>2</v>
      </c>
    </row>
    <row r="455" spans="2:9">
      <c r="B455" s="324">
        <v>436</v>
      </c>
      <c r="C455" s="324" t="s">
        <v>281</v>
      </c>
      <c r="D455" s="324">
        <v>1966</v>
      </c>
      <c r="E455" s="325">
        <v>120953</v>
      </c>
      <c r="F455" s="324"/>
      <c r="G455" s="324">
        <v>2023</v>
      </c>
      <c r="H455" s="324" t="s">
        <v>813</v>
      </c>
      <c r="I455" s="324">
        <v>2</v>
      </c>
    </row>
    <row r="456" spans="2:9">
      <c r="B456" s="324">
        <v>437</v>
      </c>
      <c r="C456" s="324" t="s">
        <v>281</v>
      </c>
      <c r="D456" s="324">
        <v>1967</v>
      </c>
      <c r="E456" s="325">
        <v>165153</v>
      </c>
      <c r="F456" s="324"/>
      <c r="G456" s="324">
        <v>2023</v>
      </c>
      <c r="H456" s="324" t="s">
        <v>813</v>
      </c>
      <c r="I456" s="324">
        <v>2</v>
      </c>
    </row>
    <row r="457" spans="2:9">
      <c r="B457" s="324">
        <v>438</v>
      </c>
      <c r="C457" s="324" t="s">
        <v>281</v>
      </c>
      <c r="D457" s="324">
        <v>1968</v>
      </c>
      <c r="E457" s="325">
        <v>28853</v>
      </c>
      <c r="F457" s="324"/>
      <c r="G457" s="324">
        <v>2023</v>
      </c>
      <c r="H457" s="324" t="s">
        <v>813</v>
      </c>
      <c r="I457" s="324">
        <v>2</v>
      </c>
    </row>
    <row r="458" spans="2:9">
      <c r="B458" s="324">
        <v>439</v>
      </c>
      <c r="C458" s="324" t="s">
        <v>281</v>
      </c>
      <c r="D458" s="324">
        <v>1969</v>
      </c>
      <c r="E458" s="325">
        <v>89836</v>
      </c>
      <c r="F458" s="324"/>
      <c r="G458" s="324">
        <v>2023</v>
      </c>
      <c r="H458" s="324" t="s">
        <v>813</v>
      </c>
      <c r="I458" s="324">
        <v>2</v>
      </c>
    </row>
    <row r="459" spans="2:9">
      <c r="B459" s="324">
        <v>440</v>
      </c>
      <c r="C459" s="324" t="s">
        <v>281</v>
      </c>
      <c r="D459" s="324">
        <v>1970</v>
      </c>
      <c r="E459" s="325">
        <v>72338</v>
      </c>
      <c r="F459" s="324"/>
      <c r="G459" s="324">
        <v>2023</v>
      </c>
      <c r="H459" s="324" t="s">
        <v>813</v>
      </c>
      <c r="I459" s="324">
        <v>2</v>
      </c>
    </row>
    <row r="460" spans="2:9">
      <c r="B460" s="324">
        <v>441</v>
      </c>
      <c r="C460" s="324" t="s">
        <v>281</v>
      </c>
      <c r="D460" s="324">
        <v>1971</v>
      </c>
      <c r="E460" s="325">
        <v>139522</v>
      </c>
      <c r="F460" s="324"/>
      <c r="G460" s="324">
        <v>2023</v>
      </c>
      <c r="H460" s="324" t="s">
        <v>813</v>
      </c>
      <c r="I460" s="324">
        <v>2</v>
      </c>
    </row>
    <row r="461" spans="2:9">
      <c r="B461" s="324">
        <v>442</v>
      </c>
      <c r="C461" s="324" t="s">
        <v>281</v>
      </c>
      <c r="D461" s="324">
        <v>1972</v>
      </c>
      <c r="E461" s="325">
        <v>67745</v>
      </c>
      <c r="F461" s="324"/>
      <c r="G461" s="324">
        <v>2023</v>
      </c>
      <c r="H461" s="324" t="s">
        <v>813</v>
      </c>
      <c r="I461" s="324">
        <v>2</v>
      </c>
    </row>
    <row r="462" spans="2:9">
      <c r="B462" s="324">
        <v>443</v>
      </c>
      <c r="C462" s="324" t="s">
        <v>281</v>
      </c>
      <c r="D462" s="324">
        <v>1973</v>
      </c>
      <c r="E462" s="325">
        <v>44525</v>
      </c>
      <c r="F462" s="324"/>
      <c r="G462" s="324">
        <v>2023</v>
      </c>
      <c r="H462" s="324" t="s">
        <v>813</v>
      </c>
      <c r="I462" s="324">
        <v>2</v>
      </c>
    </row>
    <row r="463" spans="2:9">
      <c r="B463" s="324">
        <v>444</v>
      </c>
      <c r="C463" s="324" t="s">
        <v>281</v>
      </c>
      <c r="D463" s="324">
        <v>1974</v>
      </c>
      <c r="E463" s="325">
        <v>39757</v>
      </c>
      <c r="F463" s="324"/>
      <c r="G463" s="324">
        <v>2023</v>
      </c>
      <c r="H463" s="324" t="s">
        <v>813</v>
      </c>
      <c r="I463" s="324">
        <v>2</v>
      </c>
    </row>
    <row r="464" spans="2:9">
      <c r="B464" s="324">
        <v>445</v>
      </c>
      <c r="C464" s="324" t="s">
        <v>281</v>
      </c>
      <c r="D464" s="324">
        <v>1976</v>
      </c>
      <c r="E464" s="325">
        <v>3452</v>
      </c>
      <c r="F464" s="324"/>
      <c r="G464" s="324">
        <v>2023</v>
      </c>
      <c r="H464" s="324" t="s">
        <v>813</v>
      </c>
      <c r="I464" s="324">
        <v>2</v>
      </c>
    </row>
    <row r="465" spans="2:9">
      <c r="B465" s="324">
        <v>446</v>
      </c>
      <c r="C465" s="324" t="s">
        <v>281</v>
      </c>
      <c r="D465" s="324">
        <v>1979</v>
      </c>
      <c r="E465" s="325">
        <v>44473</v>
      </c>
      <c r="F465" s="324"/>
      <c r="G465" s="324">
        <v>2023</v>
      </c>
      <c r="H465" s="324" t="s">
        <v>813</v>
      </c>
      <c r="I465" s="324">
        <v>2</v>
      </c>
    </row>
    <row r="466" spans="2:9">
      <c r="B466" s="324">
        <v>447</v>
      </c>
      <c r="C466" s="324" t="s">
        <v>281</v>
      </c>
      <c r="D466" s="324">
        <v>1980</v>
      </c>
      <c r="E466" s="325">
        <v>55424</v>
      </c>
      <c r="F466" s="324"/>
      <c r="G466" s="324">
        <v>2023</v>
      </c>
      <c r="H466" s="324" t="s">
        <v>813</v>
      </c>
      <c r="I466" s="324">
        <v>2</v>
      </c>
    </row>
    <row r="467" spans="2:9">
      <c r="B467" s="324">
        <v>448</v>
      </c>
      <c r="C467" s="324" t="s">
        <v>281</v>
      </c>
      <c r="D467" s="324">
        <v>1983</v>
      </c>
      <c r="E467" s="325">
        <v>83092</v>
      </c>
      <c r="F467" s="324"/>
      <c r="G467" s="324">
        <v>2023</v>
      </c>
      <c r="H467" s="324" t="s">
        <v>813</v>
      </c>
      <c r="I467" s="324">
        <v>2</v>
      </c>
    </row>
    <row r="468" spans="2:9">
      <c r="B468" s="324">
        <v>449</v>
      </c>
      <c r="C468" s="324" t="s">
        <v>281</v>
      </c>
      <c r="D468" s="324">
        <v>1986</v>
      </c>
      <c r="E468" s="325">
        <v>7736</v>
      </c>
      <c r="F468" s="324"/>
      <c r="G468" s="324">
        <v>2023</v>
      </c>
      <c r="H468" s="324" t="s">
        <v>813</v>
      </c>
      <c r="I468" s="324">
        <v>2</v>
      </c>
    </row>
    <row r="469" spans="2:9">
      <c r="B469" s="324">
        <v>450</v>
      </c>
      <c r="C469" s="324" t="s">
        <v>281</v>
      </c>
      <c r="D469" s="324">
        <v>1990</v>
      </c>
      <c r="E469" s="325">
        <v>2988</v>
      </c>
      <c r="F469" s="324"/>
      <c r="G469" s="324">
        <v>2023</v>
      </c>
      <c r="H469" s="324" t="s">
        <v>813</v>
      </c>
      <c r="I469" s="324">
        <v>2</v>
      </c>
    </row>
    <row r="470" spans="2:9">
      <c r="B470" s="324">
        <v>451</v>
      </c>
      <c r="C470" s="324" t="s">
        <v>281</v>
      </c>
      <c r="D470" s="324">
        <v>1992</v>
      </c>
      <c r="E470" s="325">
        <v>6529</v>
      </c>
      <c r="F470" s="324"/>
      <c r="G470" s="324">
        <v>2023</v>
      </c>
      <c r="H470" s="324" t="s">
        <v>813</v>
      </c>
      <c r="I470" s="324">
        <v>2</v>
      </c>
    </row>
    <row r="471" spans="2:9">
      <c r="B471" s="324">
        <v>452</v>
      </c>
      <c r="C471" s="324" t="s">
        <v>281</v>
      </c>
      <c r="D471" s="324">
        <v>1993</v>
      </c>
      <c r="E471" s="325">
        <v>204300</v>
      </c>
      <c r="F471" s="324"/>
      <c r="G471" s="324">
        <v>2023</v>
      </c>
      <c r="H471" s="324" t="s">
        <v>813</v>
      </c>
      <c r="I471" s="324">
        <v>2</v>
      </c>
    </row>
    <row r="472" spans="2:9">
      <c r="B472" s="324">
        <v>453</v>
      </c>
      <c r="C472" s="324" t="s">
        <v>281</v>
      </c>
      <c r="D472" s="324">
        <v>1995</v>
      </c>
      <c r="E472" s="325">
        <v>9078</v>
      </c>
      <c r="F472" s="324"/>
      <c r="G472" s="324">
        <v>2023</v>
      </c>
      <c r="H472" s="324" t="s">
        <v>813</v>
      </c>
      <c r="I472" s="324">
        <v>2</v>
      </c>
    </row>
    <row r="473" spans="2:9">
      <c r="B473" s="324">
        <v>454</v>
      </c>
      <c r="C473" s="324" t="s">
        <v>281</v>
      </c>
      <c r="D473" s="324">
        <v>1997</v>
      </c>
      <c r="E473" s="325">
        <v>9837</v>
      </c>
      <c r="F473" s="324"/>
      <c r="G473" s="324">
        <v>2023</v>
      </c>
      <c r="H473" s="324" t="s">
        <v>813</v>
      </c>
      <c r="I473" s="324">
        <v>2</v>
      </c>
    </row>
    <row r="474" spans="2:9">
      <c r="B474" s="324">
        <v>455</v>
      </c>
      <c r="C474" s="324" t="s">
        <v>281</v>
      </c>
      <c r="D474" s="324">
        <v>2003</v>
      </c>
      <c r="E474" s="325">
        <v>18238</v>
      </c>
      <c r="F474" s="324"/>
      <c r="G474" s="324">
        <v>2023</v>
      </c>
      <c r="H474" s="324" t="s">
        <v>813</v>
      </c>
      <c r="I474" s="324">
        <v>2</v>
      </c>
    </row>
    <row r="475" spans="2:9">
      <c r="B475" s="324">
        <v>456</v>
      </c>
      <c r="C475" s="324" t="s">
        <v>281</v>
      </c>
      <c r="D475" s="324">
        <v>2005</v>
      </c>
      <c r="E475" s="325">
        <v>24460</v>
      </c>
      <c r="F475" s="324"/>
      <c r="G475" s="324">
        <v>2023</v>
      </c>
      <c r="H475" s="324" t="s">
        <v>813</v>
      </c>
      <c r="I475" s="324">
        <v>2</v>
      </c>
    </row>
    <row r="476" spans="2:9">
      <c r="B476" s="324">
        <v>457</v>
      </c>
      <c r="C476" s="324" t="s">
        <v>281</v>
      </c>
      <c r="D476" s="324">
        <v>2007</v>
      </c>
      <c r="E476" s="325">
        <v>58086</v>
      </c>
      <c r="F476" s="324"/>
      <c r="G476" s="324">
        <v>2023</v>
      </c>
      <c r="H476" s="324" t="s">
        <v>813</v>
      </c>
      <c r="I476" s="324">
        <v>2</v>
      </c>
    </row>
    <row r="477" spans="2:9">
      <c r="B477" s="324">
        <v>458</v>
      </c>
      <c r="C477" s="324" t="s">
        <v>281</v>
      </c>
      <c r="D477" s="324">
        <v>2009</v>
      </c>
      <c r="E477" s="325">
        <v>26309</v>
      </c>
      <c r="F477" s="324"/>
      <c r="G477" s="324">
        <v>2023</v>
      </c>
      <c r="H477" s="324" t="s">
        <v>813</v>
      </c>
      <c r="I477" s="324">
        <v>2</v>
      </c>
    </row>
    <row r="478" spans="2:9">
      <c r="B478" s="324">
        <v>459</v>
      </c>
      <c r="C478" s="324" t="s">
        <v>290</v>
      </c>
      <c r="D478" s="324">
        <v>2007</v>
      </c>
      <c r="E478" s="325">
        <v>70174</v>
      </c>
      <c r="F478" s="324"/>
      <c r="G478" s="324">
        <v>2023</v>
      </c>
      <c r="H478" s="324" t="s">
        <v>813</v>
      </c>
      <c r="I478" s="324">
        <v>2</v>
      </c>
    </row>
    <row r="479" spans="2:9">
      <c r="B479" s="324">
        <v>460</v>
      </c>
      <c r="C479" s="324" t="s">
        <v>295</v>
      </c>
      <c r="D479" s="324">
        <v>2003</v>
      </c>
      <c r="E479" s="325">
        <v>5550</v>
      </c>
      <c r="F479" s="324"/>
      <c r="G479" s="324">
        <v>2023</v>
      </c>
      <c r="H479" s="324" t="s">
        <v>813</v>
      </c>
      <c r="I479" s="324">
        <v>2</v>
      </c>
    </row>
    <row r="480" spans="2:9">
      <c r="B480" s="324">
        <v>461</v>
      </c>
      <c r="C480" s="324" t="s">
        <v>312</v>
      </c>
      <c r="D480" s="324">
        <v>1970</v>
      </c>
      <c r="E480" s="325">
        <v>37182</v>
      </c>
      <c r="F480" s="324"/>
      <c r="G480" s="324">
        <v>2023</v>
      </c>
      <c r="H480" s="324" t="s">
        <v>813</v>
      </c>
      <c r="I480" s="324">
        <v>2</v>
      </c>
    </row>
    <row r="481" spans="2:9">
      <c r="B481" s="324">
        <v>462</v>
      </c>
      <c r="C481" s="324" t="s">
        <v>312</v>
      </c>
      <c r="D481" s="324">
        <v>1971</v>
      </c>
      <c r="E481" s="325">
        <v>5302</v>
      </c>
      <c r="F481" s="324"/>
      <c r="G481" s="324">
        <v>2023</v>
      </c>
      <c r="H481" s="324" t="s">
        <v>813</v>
      </c>
      <c r="I481" s="324">
        <v>2</v>
      </c>
    </row>
    <row r="482" spans="2:9">
      <c r="B482" s="324">
        <v>463</v>
      </c>
      <c r="C482" s="324" t="s">
        <v>310</v>
      </c>
      <c r="D482" s="324">
        <v>1970</v>
      </c>
      <c r="E482" s="325">
        <v>386046</v>
      </c>
      <c r="F482" s="324"/>
      <c r="G482" s="324">
        <v>2023</v>
      </c>
      <c r="H482" s="324" t="s">
        <v>813</v>
      </c>
      <c r="I482" s="324">
        <v>2</v>
      </c>
    </row>
    <row r="483" spans="2:9">
      <c r="B483" s="324">
        <v>464</v>
      </c>
      <c r="C483" s="324" t="s">
        <v>310</v>
      </c>
      <c r="D483" s="324">
        <v>1971</v>
      </c>
      <c r="E483" s="325">
        <v>17164</v>
      </c>
      <c r="F483" s="324"/>
      <c r="G483" s="324">
        <v>2023</v>
      </c>
      <c r="H483" s="324" t="s">
        <v>813</v>
      </c>
      <c r="I483" s="324">
        <v>2</v>
      </c>
    </row>
    <row r="484" spans="2:9">
      <c r="B484" s="324">
        <v>465</v>
      </c>
      <c r="C484" s="324" t="s">
        <v>310</v>
      </c>
      <c r="D484" s="324">
        <v>1973</v>
      </c>
      <c r="E484" s="325">
        <v>15941</v>
      </c>
      <c r="F484" s="324"/>
      <c r="G484" s="324">
        <v>2023</v>
      </c>
      <c r="H484" s="324" t="s">
        <v>813</v>
      </c>
      <c r="I484" s="324">
        <v>2</v>
      </c>
    </row>
    <row r="485" spans="2:9">
      <c r="B485" s="324">
        <v>466</v>
      </c>
      <c r="C485" s="324" t="s">
        <v>310</v>
      </c>
      <c r="D485" s="324">
        <v>1974</v>
      </c>
      <c r="E485" s="325">
        <v>14358</v>
      </c>
      <c r="F485" s="324"/>
      <c r="G485" s="324">
        <v>2023</v>
      </c>
      <c r="H485" s="324" t="s">
        <v>813</v>
      </c>
      <c r="I485" s="324">
        <v>2</v>
      </c>
    </row>
    <row r="486" spans="2:9">
      <c r="B486" s="324">
        <v>467</v>
      </c>
      <c r="C486" s="324" t="s">
        <v>310</v>
      </c>
      <c r="D486" s="324">
        <v>1977</v>
      </c>
      <c r="E486" s="325">
        <v>5493996</v>
      </c>
      <c r="F486" s="324"/>
      <c r="G486" s="324">
        <v>2023</v>
      </c>
      <c r="H486" s="324" t="s">
        <v>813</v>
      </c>
      <c r="I486" s="324">
        <v>2</v>
      </c>
    </row>
    <row r="487" spans="2:9">
      <c r="B487" s="324">
        <v>468</v>
      </c>
      <c r="C487" s="324" t="s">
        <v>310</v>
      </c>
      <c r="D487" s="324">
        <v>1978</v>
      </c>
      <c r="E487" s="325">
        <v>488039</v>
      </c>
      <c r="F487" s="324"/>
      <c r="G487" s="324">
        <v>2023</v>
      </c>
      <c r="H487" s="324" t="s">
        <v>813</v>
      </c>
      <c r="I487" s="324">
        <v>2</v>
      </c>
    </row>
    <row r="488" spans="2:9">
      <c r="B488" s="324">
        <v>469</v>
      </c>
      <c r="C488" s="324" t="s">
        <v>310</v>
      </c>
      <c r="D488" s="324">
        <v>1980</v>
      </c>
      <c r="E488" s="325">
        <v>1219567</v>
      </c>
      <c r="F488" s="324"/>
      <c r="G488" s="324">
        <v>2023</v>
      </c>
      <c r="H488" s="324" t="s">
        <v>813</v>
      </c>
      <c r="I488" s="324">
        <v>2</v>
      </c>
    </row>
    <row r="489" spans="2:9">
      <c r="B489" s="324">
        <v>470</v>
      </c>
      <c r="C489" s="324" t="s">
        <v>310</v>
      </c>
      <c r="D489" s="324">
        <v>1989</v>
      </c>
      <c r="E489" s="325">
        <v>920373</v>
      </c>
      <c r="F489" s="324"/>
      <c r="G489" s="324">
        <v>2023</v>
      </c>
      <c r="H489" s="324" t="s">
        <v>813</v>
      </c>
      <c r="I489" s="324">
        <v>2</v>
      </c>
    </row>
    <row r="490" spans="2:9">
      <c r="B490" s="324">
        <v>471</v>
      </c>
      <c r="C490" s="324" t="s">
        <v>310</v>
      </c>
      <c r="D490" s="324">
        <v>1990</v>
      </c>
      <c r="E490" s="325">
        <v>17770</v>
      </c>
      <c r="F490" s="324"/>
      <c r="G490" s="324">
        <v>2023</v>
      </c>
      <c r="H490" s="324" t="s">
        <v>813</v>
      </c>
      <c r="I490" s="324">
        <v>2</v>
      </c>
    </row>
    <row r="491" spans="2:9">
      <c r="B491" s="324">
        <v>472</v>
      </c>
      <c r="C491" s="324" t="s">
        <v>310</v>
      </c>
      <c r="D491" s="324">
        <v>1992</v>
      </c>
      <c r="E491" s="325">
        <v>697451</v>
      </c>
      <c r="F491" s="324"/>
      <c r="G491" s="324">
        <v>2023</v>
      </c>
      <c r="H491" s="324" t="s">
        <v>813</v>
      </c>
      <c r="I491" s="324">
        <v>2</v>
      </c>
    </row>
    <row r="492" spans="2:9">
      <c r="B492" s="324">
        <v>473</v>
      </c>
      <c r="C492" s="324" t="s">
        <v>310</v>
      </c>
      <c r="D492" s="324">
        <v>1998</v>
      </c>
      <c r="E492" s="325">
        <v>18065</v>
      </c>
      <c r="F492" s="324"/>
      <c r="G492" s="324">
        <v>2023</v>
      </c>
      <c r="H492" s="324" t="s">
        <v>813</v>
      </c>
      <c r="I492" s="324">
        <v>2</v>
      </c>
    </row>
    <row r="493" spans="2:9">
      <c r="B493" s="324">
        <v>474</v>
      </c>
      <c r="C493" s="324" t="s">
        <v>310</v>
      </c>
      <c r="D493" s="324">
        <v>2002</v>
      </c>
      <c r="E493" s="325">
        <v>237214</v>
      </c>
      <c r="F493" s="324"/>
      <c r="G493" s="324">
        <v>2023</v>
      </c>
      <c r="H493" s="324" t="s">
        <v>813</v>
      </c>
      <c r="I493" s="324">
        <v>2</v>
      </c>
    </row>
    <row r="494" spans="2:9">
      <c r="B494" s="324">
        <v>475</v>
      </c>
      <c r="C494" s="324" t="s">
        <v>310</v>
      </c>
      <c r="D494" s="324">
        <v>2004</v>
      </c>
      <c r="E494" s="325">
        <v>1858941</v>
      </c>
      <c r="F494" s="324"/>
      <c r="G494" s="324">
        <v>2023</v>
      </c>
      <c r="H494" s="324" t="s">
        <v>813</v>
      </c>
      <c r="I494" s="324">
        <v>2</v>
      </c>
    </row>
    <row r="495" spans="2:9">
      <c r="B495" s="324">
        <v>476</v>
      </c>
      <c r="C495" s="324" t="s">
        <v>310</v>
      </c>
      <c r="D495" s="324">
        <v>2005</v>
      </c>
      <c r="E495" s="325">
        <v>189548</v>
      </c>
      <c r="F495" s="324"/>
      <c r="G495" s="324">
        <v>2023</v>
      </c>
      <c r="H495" s="324" t="s">
        <v>813</v>
      </c>
      <c r="I495" s="324">
        <v>2</v>
      </c>
    </row>
    <row r="496" spans="2:9">
      <c r="B496" s="324">
        <v>477</v>
      </c>
      <c r="C496" s="324" t="s">
        <v>310</v>
      </c>
      <c r="D496" s="324">
        <v>2006</v>
      </c>
      <c r="E496" s="325">
        <v>43450</v>
      </c>
      <c r="F496" s="324"/>
      <c r="G496" s="324">
        <v>2023</v>
      </c>
      <c r="H496" s="324" t="s">
        <v>813</v>
      </c>
      <c r="I496" s="324">
        <v>2</v>
      </c>
    </row>
    <row r="497" spans="2:9">
      <c r="B497" s="324">
        <v>478</v>
      </c>
      <c r="C497" s="324" t="s">
        <v>310</v>
      </c>
      <c r="D497" s="324">
        <v>2008</v>
      </c>
      <c r="E497" s="325">
        <v>2149449</v>
      </c>
      <c r="F497" s="324"/>
      <c r="G497" s="324">
        <v>2023</v>
      </c>
      <c r="H497" s="324" t="s">
        <v>813</v>
      </c>
      <c r="I497" s="324">
        <v>2</v>
      </c>
    </row>
    <row r="498" spans="2:9">
      <c r="B498" s="324">
        <v>479</v>
      </c>
      <c r="C498" s="324" t="s">
        <v>310</v>
      </c>
      <c r="D498" s="324">
        <v>2009</v>
      </c>
      <c r="E498" s="325">
        <v>38325</v>
      </c>
      <c r="F498" s="324"/>
      <c r="G498" s="324">
        <v>2023</v>
      </c>
      <c r="H498" s="324" t="s">
        <v>813</v>
      </c>
      <c r="I498" s="324">
        <v>2</v>
      </c>
    </row>
    <row r="499" spans="2:9">
      <c r="B499" s="324">
        <v>480</v>
      </c>
      <c r="C499" s="324" t="s">
        <v>310</v>
      </c>
      <c r="D499" s="324">
        <v>2010</v>
      </c>
      <c r="E499" s="325">
        <v>194639</v>
      </c>
      <c r="F499" s="324"/>
      <c r="G499" s="324">
        <v>2023</v>
      </c>
      <c r="H499" s="324" t="s">
        <v>813</v>
      </c>
      <c r="I499" s="324">
        <v>2</v>
      </c>
    </row>
    <row r="500" spans="2:9">
      <c r="B500" s="324">
        <v>481</v>
      </c>
      <c r="C500" s="324" t="s">
        <v>310</v>
      </c>
      <c r="D500" s="324">
        <v>2011</v>
      </c>
      <c r="E500" s="325">
        <v>49243</v>
      </c>
      <c r="F500" s="324"/>
      <c r="G500" s="324">
        <v>2023</v>
      </c>
      <c r="H500" s="324" t="s">
        <v>813</v>
      </c>
      <c r="I500" s="324">
        <v>2</v>
      </c>
    </row>
    <row r="501" spans="2:9">
      <c r="B501" s="324">
        <v>482</v>
      </c>
      <c r="C501" s="324" t="s">
        <v>310</v>
      </c>
      <c r="D501" s="324">
        <v>2012</v>
      </c>
      <c r="E501" s="325">
        <v>7253368</v>
      </c>
      <c r="F501" s="324"/>
      <c r="G501" s="324">
        <v>2023</v>
      </c>
      <c r="H501" s="324" t="s">
        <v>813</v>
      </c>
      <c r="I501" s="324">
        <v>2</v>
      </c>
    </row>
    <row r="502" spans="2:9">
      <c r="B502" s="324">
        <v>483</v>
      </c>
      <c r="C502" s="324" t="s">
        <v>310</v>
      </c>
      <c r="D502" s="324">
        <v>2014</v>
      </c>
      <c r="E502" s="325">
        <v>746917</v>
      </c>
      <c r="F502" s="324"/>
      <c r="G502" s="324">
        <v>2023</v>
      </c>
      <c r="H502" s="324" t="s">
        <v>813</v>
      </c>
      <c r="I502" s="324">
        <v>2</v>
      </c>
    </row>
    <row r="503" spans="2:9">
      <c r="B503" s="324">
        <v>484</v>
      </c>
      <c r="C503" s="324" t="s">
        <v>310</v>
      </c>
      <c r="D503" s="324">
        <v>2015</v>
      </c>
      <c r="E503" s="325">
        <v>411557</v>
      </c>
      <c r="F503" s="324"/>
      <c r="G503" s="324">
        <v>2023</v>
      </c>
      <c r="H503" s="324" t="s">
        <v>813</v>
      </c>
      <c r="I503" s="324">
        <v>2</v>
      </c>
    </row>
    <row r="504" spans="2:9">
      <c r="B504" s="324">
        <v>485</v>
      </c>
      <c r="C504" s="324" t="s">
        <v>310</v>
      </c>
      <c r="D504" s="324">
        <v>2016</v>
      </c>
      <c r="E504" s="325">
        <v>136755</v>
      </c>
      <c r="F504" s="324"/>
      <c r="G504" s="324">
        <v>2023</v>
      </c>
      <c r="H504" s="324" t="s">
        <v>813</v>
      </c>
      <c r="I504" s="324">
        <v>2</v>
      </c>
    </row>
    <row r="505" spans="2:9">
      <c r="B505" s="324">
        <v>486</v>
      </c>
      <c r="C505" s="324" t="s">
        <v>313</v>
      </c>
      <c r="D505" s="324">
        <v>1977</v>
      </c>
      <c r="E505" s="325">
        <v>804746</v>
      </c>
      <c r="F505" s="324"/>
      <c r="G505" s="324">
        <v>2023</v>
      </c>
      <c r="H505" s="324" t="s">
        <v>813</v>
      </c>
      <c r="I505" s="324">
        <v>2</v>
      </c>
    </row>
    <row r="506" spans="2:9">
      <c r="B506" s="324">
        <v>487</v>
      </c>
      <c r="C506" s="324" t="s">
        <v>314</v>
      </c>
      <c r="D506" s="324">
        <v>1985</v>
      </c>
      <c r="E506" s="325">
        <v>7919770</v>
      </c>
      <c r="F506" s="324"/>
      <c r="G506" s="324">
        <v>2023</v>
      </c>
      <c r="H506" s="324" t="s">
        <v>813</v>
      </c>
      <c r="I506" s="324">
        <v>2</v>
      </c>
    </row>
    <row r="507" spans="2:9">
      <c r="B507" s="324">
        <v>488</v>
      </c>
      <c r="C507" s="324" t="s">
        <v>314</v>
      </c>
      <c r="D507" s="324">
        <v>1988</v>
      </c>
      <c r="E507" s="325">
        <v>378309</v>
      </c>
      <c r="F507" s="324"/>
      <c r="G507" s="324">
        <v>2023</v>
      </c>
      <c r="H507" s="324" t="s">
        <v>813</v>
      </c>
      <c r="I507" s="324">
        <v>2</v>
      </c>
    </row>
    <row r="508" spans="2:9">
      <c r="B508" s="324">
        <v>489</v>
      </c>
      <c r="C508" s="324" t="s">
        <v>314</v>
      </c>
      <c r="D508" s="324">
        <v>1990</v>
      </c>
      <c r="E508" s="325">
        <v>29867</v>
      </c>
      <c r="F508" s="324"/>
      <c r="G508" s="324">
        <v>2023</v>
      </c>
      <c r="H508" s="324" t="s">
        <v>813</v>
      </c>
      <c r="I508" s="324">
        <v>2</v>
      </c>
    </row>
    <row r="509" spans="2:9">
      <c r="B509" s="324">
        <v>490</v>
      </c>
      <c r="C509" s="324" t="s">
        <v>314</v>
      </c>
      <c r="D509" s="324">
        <v>1992</v>
      </c>
      <c r="E509" s="325">
        <v>5605988</v>
      </c>
      <c r="F509" s="324"/>
      <c r="G509" s="324">
        <v>2023</v>
      </c>
      <c r="H509" s="324" t="s">
        <v>813</v>
      </c>
      <c r="I509" s="324">
        <v>2</v>
      </c>
    </row>
    <row r="510" spans="2:9">
      <c r="B510" s="324">
        <v>491</v>
      </c>
      <c r="C510" s="324" t="s">
        <v>314</v>
      </c>
      <c r="D510" s="324">
        <v>1995</v>
      </c>
      <c r="E510" s="325">
        <v>2552054</v>
      </c>
      <c r="F510" s="324"/>
      <c r="G510" s="324">
        <v>2023</v>
      </c>
      <c r="H510" s="324" t="s">
        <v>813</v>
      </c>
      <c r="I510" s="324">
        <v>2</v>
      </c>
    </row>
    <row r="511" spans="2:9">
      <c r="B511" s="324">
        <v>492</v>
      </c>
      <c r="C511" s="324" t="s">
        <v>314</v>
      </c>
      <c r="D511" s="324">
        <v>1996</v>
      </c>
      <c r="E511" s="325">
        <v>11549</v>
      </c>
      <c r="F511" s="324"/>
      <c r="G511" s="324">
        <v>2023</v>
      </c>
      <c r="H511" s="324" t="s">
        <v>813</v>
      </c>
      <c r="I511" s="324">
        <v>2</v>
      </c>
    </row>
    <row r="512" spans="2:9">
      <c r="B512" s="324">
        <v>493</v>
      </c>
      <c r="C512" s="324" t="s">
        <v>314</v>
      </c>
      <c r="D512" s="324">
        <v>1998</v>
      </c>
      <c r="E512" s="325">
        <v>28291</v>
      </c>
      <c r="F512" s="324"/>
      <c r="G512" s="324">
        <v>2023</v>
      </c>
      <c r="H512" s="324" t="s">
        <v>813</v>
      </c>
      <c r="I512" s="324">
        <v>2</v>
      </c>
    </row>
    <row r="513" spans="2:9">
      <c r="B513" s="324">
        <v>494</v>
      </c>
      <c r="C513" s="324" t="s">
        <v>314</v>
      </c>
      <c r="D513" s="324">
        <v>2001</v>
      </c>
      <c r="E513" s="325">
        <v>273838</v>
      </c>
      <c r="F513" s="324"/>
      <c r="G513" s="324">
        <v>2023</v>
      </c>
      <c r="H513" s="324" t="s">
        <v>813</v>
      </c>
      <c r="I513" s="324">
        <v>2</v>
      </c>
    </row>
    <row r="514" spans="2:9">
      <c r="B514" s="324">
        <v>495</v>
      </c>
      <c r="C514" s="324" t="s">
        <v>314</v>
      </c>
      <c r="D514" s="324">
        <v>2003</v>
      </c>
      <c r="E514" s="325">
        <v>35370</v>
      </c>
      <c r="F514" s="324"/>
      <c r="G514" s="324">
        <v>2023</v>
      </c>
      <c r="H514" s="324" t="s">
        <v>813</v>
      </c>
      <c r="I514" s="324">
        <v>2</v>
      </c>
    </row>
    <row r="515" spans="2:9">
      <c r="B515" s="324">
        <v>496</v>
      </c>
      <c r="C515" s="324" t="s">
        <v>314</v>
      </c>
      <c r="D515" s="324">
        <v>2004</v>
      </c>
      <c r="E515" s="325">
        <v>45503</v>
      </c>
      <c r="F515" s="324"/>
      <c r="G515" s="324">
        <v>2023</v>
      </c>
      <c r="H515" s="324" t="s">
        <v>813</v>
      </c>
      <c r="I515" s="324">
        <v>2</v>
      </c>
    </row>
    <row r="516" spans="2:9">
      <c r="B516" s="324">
        <v>497</v>
      </c>
      <c r="C516" s="324" t="s">
        <v>314</v>
      </c>
      <c r="D516" s="324">
        <v>2005</v>
      </c>
      <c r="E516" s="325">
        <v>165266</v>
      </c>
      <c r="F516" s="324"/>
      <c r="G516" s="324">
        <v>2023</v>
      </c>
      <c r="H516" s="324" t="s">
        <v>813</v>
      </c>
      <c r="I516" s="324">
        <v>2</v>
      </c>
    </row>
    <row r="517" spans="2:9">
      <c r="B517" s="324">
        <v>498</v>
      </c>
      <c r="C517" s="324" t="s">
        <v>314</v>
      </c>
      <c r="D517" s="324">
        <v>2006</v>
      </c>
      <c r="E517" s="325">
        <v>419198</v>
      </c>
      <c r="F517" s="324"/>
      <c r="G517" s="324">
        <v>2023</v>
      </c>
      <c r="H517" s="324" t="s">
        <v>813</v>
      </c>
      <c r="I517" s="324">
        <v>2</v>
      </c>
    </row>
    <row r="518" spans="2:9">
      <c r="B518" s="324">
        <v>499</v>
      </c>
      <c r="C518" s="324" t="s">
        <v>314</v>
      </c>
      <c r="D518" s="324">
        <v>2007</v>
      </c>
      <c r="E518" s="325">
        <v>1086511</v>
      </c>
      <c r="F518" s="324"/>
      <c r="G518" s="324">
        <v>2023</v>
      </c>
      <c r="H518" s="324" t="s">
        <v>813</v>
      </c>
      <c r="I518" s="324">
        <v>2</v>
      </c>
    </row>
    <row r="519" spans="2:9">
      <c r="B519" s="324">
        <v>500</v>
      </c>
      <c r="C519" s="324" t="s">
        <v>314</v>
      </c>
      <c r="D519" s="324">
        <v>2008</v>
      </c>
      <c r="E519" s="325">
        <v>1532964</v>
      </c>
      <c r="F519" s="324"/>
      <c r="G519" s="324">
        <v>2023</v>
      </c>
      <c r="H519" s="324" t="s">
        <v>813</v>
      </c>
      <c r="I519" s="324">
        <v>2</v>
      </c>
    </row>
    <row r="520" spans="2:9">
      <c r="B520" s="324">
        <v>501</v>
      </c>
      <c r="C520" s="324" t="s">
        <v>314</v>
      </c>
      <c r="D520" s="324">
        <v>2009</v>
      </c>
      <c r="E520" s="325">
        <v>100227</v>
      </c>
      <c r="F520" s="324"/>
      <c r="G520" s="324">
        <v>2023</v>
      </c>
      <c r="H520" s="324" t="s">
        <v>813</v>
      </c>
      <c r="I520" s="324">
        <v>2</v>
      </c>
    </row>
    <row r="521" spans="2:9">
      <c r="B521" s="324">
        <v>502</v>
      </c>
      <c r="C521" s="324" t="s">
        <v>314</v>
      </c>
      <c r="D521" s="324">
        <v>2010</v>
      </c>
      <c r="E521" s="325">
        <v>956327</v>
      </c>
      <c r="F521" s="324"/>
      <c r="G521" s="324">
        <v>2023</v>
      </c>
      <c r="H521" s="324" t="s">
        <v>813</v>
      </c>
      <c r="I521" s="324">
        <v>2</v>
      </c>
    </row>
    <row r="522" spans="2:9">
      <c r="B522" s="324">
        <v>503</v>
      </c>
      <c r="C522" s="324" t="s">
        <v>314</v>
      </c>
      <c r="D522" s="324">
        <v>2011</v>
      </c>
      <c r="E522" s="325">
        <v>1338329</v>
      </c>
      <c r="F522" s="324"/>
      <c r="G522" s="324">
        <v>2023</v>
      </c>
      <c r="H522" s="324" t="s">
        <v>813</v>
      </c>
      <c r="I522" s="324">
        <v>2</v>
      </c>
    </row>
    <row r="523" spans="2:9">
      <c r="B523" s="324">
        <v>504</v>
      </c>
      <c r="C523" s="324" t="s">
        <v>314</v>
      </c>
      <c r="D523" s="324">
        <v>2012</v>
      </c>
      <c r="E523" s="325">
        <v>479994</v>
      </c>
      <c r="F523" s="324"/>
      <c r="G523" s="324">
        <v>2023</v>
      </c>
      <c r="H523" s="324" t="s">
        <v>813</v>
      </c>
      <c r="I523" s="324">
        <v>2</v>
      </c>
    </row>
    <row r="524" spans="2:9">
      <c r="B524" s="324">
        <v>505</v>
      </c>
      <c r="C524" s="324" t="s">
        <v>314</v>
      </c>
      <c r="D524" s="324">
        <v>2013</v>
      </c>
      <c r="E524" s="325">
        <v>640497</v>
      </c>
      <c r="F524" s="324"/>
      <c r="G524" s="324">
        <v>2023</v>
      </c>
      <c r="H524" s="324" t="s">
        <v>813</v>
      </c>
      <c r="I524" s="324">
        <v>2</v>
      </c>
    </row>
    <row r="525" spans="2:9">
      <c r="B525" s="324">
        <v>506</v>
      </c>
      <c r="C525" s="324" t="s">
        <v>314</v>
      </c>
      <c r="D525" s="324">
        <v>2014</v>
      </c>
      <c r="E525" s="325">
        <v>1591</v>
      </c>
      <c r="F525" s="324"/>
      <c r="G525" s="324">
        <v>2023</v>
      </c>
      <c r="H525" s="324" t="s">
        <v>813</v>
      </c>
      <c r="I525" s="324">
        <v>2</v>
      </c>
    </row>
    <row r="526" spans="2:9">
      <c r="B526" s="324">
        <v>507</v>
      </c>
      <c r="C526" s="324" t="s">
        <v>314</v>
      </c>
      <c r="D526" s="324">
        <v>2016</v>
      </c>
      <c r="E526" s="325">
        <v>36980</v>
      </c>
      <c r="F526" s="324"/>
      <c r="G526" s="324">
        <v>2023</v>
      </c>
      <c r="H526" s="324" t="s">
        <v>813</v>
      </c>
      <c r="I526" s="324">
        <v>2</v>
      </c>
    </row>
    <row r="527" spans="2:9">
      <c r="B527" s="324">
        <v>508</v>
      </c>
      <c r="C527" s="324" t="s">
        <v>318</v>
      </c>
      <c r="D527" s="324">
        <v>1964</v>
      </c>
      <c r="E527" s="325">
        <v>3025</v>
      </c>
      <c r="F527" s="324"/>
      <c r="G527" s="324">
        <v>2023</v>
      </c>
      <c r="H527" s="324" t="s">
        <v>813</v>
      </c>
      <c r="I527" s="324">
        <v>2</v>
      </c>
    </row>
    <row r="528" spans="2:9">
      <c r="B528" s="324">
        <v>509</v>
      </c>
      <c r="C528" s="324" t="s">
        <v>318</v>
      </c>
      <c r="D528" s="324">
        <v>1966</v>
      </c>
      <c r="E528" s="325">
        <v>70000</v>
      </c>
      <c r="F528" s="324"/>
      <c r="G528" s="324">
        <v>2023</v>
      </c>
      <c r="H528" s="324" t="s">
        <v>813</v>
      </c>
      <c r="I528" s="324">
        <v>2</v>
      </c>
    </row>
    <row r="529" spans="2:9">
      <c r="B529" s="324">
        <v>510</v>
      </c>
      <c r="C529" s="324" t="s">
        <v>318</v>
      </c>
      <c r="D529" s="324">
        <v>1967</v>
      </c>
      <c r="E529" s="325">
        <v>7455</v>
      </c>
      <c r="F529" s="324"/>
      <c r="G529" s="324">
        <v>2023</v>
      </c>
      <c r="H529" s="324" t="s">
        <v>813</v>
      </c>
      <c r="I529" s="324">
        <v>2</v>
      </c>
    </row>
    <row r="530" spans="2:9">
      <c r="B530" s="324">
        <v>511</v>
      </c>
      <c r="C530" s="324" t="s">
        <v>318</v>
      </c>
      <c r="D530" s="324">
        <v>1970</v>
      </c>
      <c r="E530" s="325">
        <v>18136</v>
      </c>
      <c r="F530" s="324"/>
      <c r="G530" s="324">
        <v>2023</v>
      </c>
      <c r="H530" s="324" t="s">
        <v>813</v>
      </c>
      <c r="I530" s="324">
        <v>2</v>
      </c>
    </row>
    <row r="531" spans="2:9">
      <c r="B531" s="324">
        <v>512</v>
      </c>
      <c r="C531" s="324" t="s">
        <v>318</v>
      </c>
      <c r="D531" s="324">
        <v>1971</v>
      </c>
      <c r="E531" s="325">
        <v>9848</v>
      </c>
      <c r="F531" s="324"/>
      <c r="G531" s="324">
        <v>2023</v>
      </c>
      <c r="H531" s="324" t="s">
        <v>813</v>
      </c>
      <c r="I531" s="324">
        <v>2</v>
      </c>
    </row>
    <row r="532" spans="2:9">
      <c r="B532" s="324">
        <v>513</v>
      </c>
      <c r="C532" s="324" t="s">
        <v>318</v>
      </c>
      <c r="D532" s="324">
        <v>1975</v>
      </c>
      <c r="E532" s="325">
        <v>126847</v>
      </c>
      <c r="F532" s="324"/>
      <c r="G532" s="324">
        <v>2023</v>
      </c>
      <c r="H532" s="324" t="s">
        <v>813</v>
      </c>
      <c r="I532" s="324">
        <v>2</v>
      </c>
    </row>
    <row r="533" spans="2:9">
      <c r="B533" s="324">
        <v>514</v>
      </c>
      <c r="C533" s="324" t="s">
        <v>318</v>
      </c>
      <c r="D533" s="324">
        <v>1976</v>
      </c>
      <c r="E533" s="325">
        <v>34143</v>
      </c>
      <c r="F533" s="324"/>
      <c r="G533" s="324">
        <v>2023</v>
      </c>
      <c r="H533" s="324" t="s">
        <v>813</v>
      </c>
      <c r="I533" s="324">
        <v>2</v>
      </c>
    </row>
    <row r="534" spans="2:9">
      <c r="B534" s="324">
        <v>515</v>
      </c>
      <c r="C534" s="324" t="s">
        <v>318</v>
      </c>
      <c r="D534" s="324">
        <v>1978</v>
      </c>
      <c r="E534" s="325">
        <v>16987</v>
      </c>
      <c r="F534" s="324"/>
      <c r="G534" s="324">
        <v>2023</v>
      </c>
      <c r="H534" s="324" t="s">
        <v>813</v>
      </c>
      <c r="I534" s="324">
        <v>2</v>
      </c>
    </row>
    <row r="535" spans="2:9">
      <c r="B535" s="324">
        <v>516</v>
      </c>
      <c r="C535" s="324" t="s">
        <v>318</v>
      </c>
      <c r="D535" s="324">
        <v>1980</v>
      </c>
      <c r="E535" s="325">
        <v>18508</v>
      </c>
      <c r="F535" s="324"/>
      <c r="G535" s="324">
        <v>2023</v>
      </c>
      <c r="H535" s="324" t="s">
        <v>813</v>
      </c>
      <c r="I535" s="324">
        <v>2</v>
      </c>
    </row>
    <row r="536" spans="2:9">
      <c r="B536" s="324">
        <v>517</v>
      </c>
      <c r="C536" s="324" t="s">
        <v>318</v>
      </c>
      <c r="D536" s="324">
        <v>1982</v>
      </c>
      <c r="E536" s="325">
        <v>28372</v>
      </c>
      <c r="F536" s="324"/>
      <c r="G536" s="324">
        <v>2023</v>
      </c>
      <c r="H536" s="324" t="s">
        <v>813</v>
      </c>
      <c r="I536" s="324">
        <v>2</v>
      </c>
    </row>
    <row r="537" spans="2:9">
      <c r="B537" s="324">
        <v>518</v>
      </c>
      <c r="C537" s="324" t="s">
        <v>318</v>
      </c>
      <c r="D537" s="324">
        <v>1986</v>
      </c>
      <c r="E537" s="325">
        <v>22360</v>
      </c>
      <c r="F537" s="324"/>
      <c r="G537" s="324">
        <v>2023</v>
      </c>
      <c r="H537" s="324" t="s">
        <v>813</v>
      </c>
      <c r="I537" s="324">
        <v>2</v>
      </c>
    </row>
    <row r="538" spans="2:9">
      <c r="B538" s="324">
        <v>519</v>
      </c>
      <c r="C538" s="324" t="s">
        <v>318</v>
      </c>
      <c r="D538" s="324">
        <v>1987</v>
      </c>
      <c r="E538" s="325">
        <v>22132</v>
      </c>
      <c r="F538" s="324"/>
      <c r="G538" s="324">
        <v>2023</v>
      </c>
      <c r="H538" s="324" t="s">
        <v>813</v>
      </c>
      <c r="I538" s="324">
        <v>2</v>
      </c>
    </row>
    <row r="539" spans="2:9">
      <c r="B539" s="324">
        <v>520</v>
      </c>
      <c r="C539" s="324" t="s">
        <v>318</v>
      </c>
      <c r="D539" s="324">
        <v>1993</v>
      </c>
      <c r="E539" s="325">
        <v>24502</v>
      </c>
      <c r="F539" s="324"/>
      <c r="G539" s="324">
        <v>2023</v>
      </c>
      <c r="H539" s="324" t="s">
        <v>813</v>
      </c>
      <c r="I539" s="324">
        <v>2</v>
      </c>
    </row>
    <row r="540" spans="2:9">
      <c r="B540" s="324">
        <v>521</v>
      </c>
      <c r="C540" s="324" t="s">
        <v>318</v>
      </c>
      <c r="D540" s="324">
        <v>1996</v>
      </c>
      <c r="E540" s="325">
        <v>67710</v>
      </c>
      <c r="F540" s="324"/>
      <c r="G540" s="324">
        <v>2023</v>
      </c>
      <c r="H540" s="324" t="s">
        <v>813</v>
      </c>
      <c r="I540" s="324">
        <v>2</v>
      </c>
    </row>
    <row r="541" spans="2:9">
      <c r="B541" s="324">
        <v>522</v>
      </c>
      <c r="C541" s="324" t="s">
        <v>318</v>
      </c>
      <c r="D541" s="324">
        <v>2002</v>
      </c>
      <c r="E541" s="325">
        <v>278598</v>
      </c>
      <c r="F541" s="324"/>
      <c r="G541" s="324">
        <v>2023</v>
      </c>
      <c r="H541" s="324" t="s">
        <v>813</v>
      </c>
      <c r="I541" s="324">
        <v>2</v>
      </c>
    </row>
    <row r="542" spans="2:9">
      <c r="B542" s="324">
        <v>523</v>
      </c>
      <c r="C542" s="324" t="s">
        <v>318</v>
      </c>
      <c r="D542" s="324">
        <v>2008</v>
      </c>
      <c r="E542" s="325">
        <v>34070</v>
      </c>
      <c r="F542" s="324"/>
      <c r="G542" s="324">
        <v>2023</v>
      </c>
      <c r="H542" s="324" t="s">
        <v>813</v>
      </c>
      <c r="I542" s="324">
        <v>2</v>
      </c>
    </row>
    <row r="543" spans="2:9">
      <c r="B543" s="324">
        <v>524</v>
      </c>
      <c r="C543" s="324" t="s">
        <v>324</v>
      </c>
      <c r="D543" s="324">
        <v>1974</v>
      </c>
      <c r="E543" s="325">
        <v>91446</v>
      </c>
      <c r="F543" s="324"/>
      <c r="G543" s="324">
        <v>2023</v>
      </c>
      <c r="H543" s="324" t="s">
        <v>813</v>
      </c>
      <c r="I543" s="324">
        <v>2</v>
      </c>
    </row>
    <row r="544" spans="2:9">
      <c r="B544" s="324">
        <v>525</v>
      </c>
      <c r="C544" s="324" t="s">
        <v>327</v>
      </c>
      <c r="D544" s="324">
        <v>1966</v>
      </c>
      <c r="E544" s="325">
        <v>5667</v>
      </c>
      <c r="F544" s="324"/>
      <c r="G544" s="324">
        <v>2023</v>
      </c>
      <c r="H544" s="324" t="s">
        <v>813</v>
      </c>
      <c r="I544" s="324">
        <v>2</v>
      </c>
    </row>
    <row r="545" spans="2:9">
      <c r="B545" s="324">
        <v>526</v>
      </c>
      <c r="C545" s="324" t="s">
        <v>327</v>
      </c>
      <c r="D545" s="324">
        <v>1967</v>
      </c>
      <c r="E545" s="325">
        <v>13495</v>
      </c>
      <c r="F545" s="324"/>
      <c r="G545" s="324">
        <v>2023</v>
      </c>
      <c r="H545" s="324" t="s">
        <v>813</v>
      </c>
      <c r="I545" s="324">
        <v>2</v>
      </c>
    </row>
    <row r="546" spans="2:9">
      <c r="B546" s="324">
        <v>527</v>
      </c>
      <c r="C546" s="324" t="s">
        <v>327</v>
      </c>
      <c r="D546" s="324">
        <v>1972</v>
      </c>
      <c r="E546" s="325">
        <v>7627</v>
      </c>
      <c r="F546" s="324"/>
      <c r="G546" s="324">
        <v>2023</v>
      </c>
      <c r="H546" s="324" t="s">
        <v>813</v>
      </c>
      <c r="I546" s="324">
        <v>2</v>
      </c>
    </row>
    <row r="547" spans="2:9">
      <c r="B547" s="324">
        <v>528</v>
      </c>
      <c r="C547" s="324" t="s">
        <v>327</v>
      </c>
      <c r="D547" s="324">
        <v>1974</v>
      </c>
      <c r="E547" s="325">
        <v>12366</v>
      </c>
      <c r="F547" s="324"/>
      <c r="G547" s="324">
        <v>2023</v>
      </c>
      <c r="H547" s="324" t="s">
        <v>813</v>
      </c>
      <c r="I547" s="324">
        <v>2</v>
      </c>
    </row>
    <row r="548" spans="2:9">
      <c r="B548" s="324">
        <v>529</v>
      </c>
      <c r="C548" s="324" t="s">
        <v>327</v>
      </c>
      <c r="D548" s="324">
        <v>1975</v>
      </c>
      <c r="E548" s="325">
        <v>28804</v>
      </c>
      <c r="F548" s="324"/>
      <c r="G548" s="324">
        <v>2023</v>
      </c>
      <c r="H548" s="324" t="s">
        <v>813</v>
      </c>
      <c r="I548" s="324">
        <v>2</v>
      </c>
    </row>
    <row r="549" spans="2:9">
      <c r="B549" s="324">
        <v>530</v>
      </c>
      <c r="C549" s="324" t="s">
        <v>329</v>
      </c>
      <c r="D549" s="324">
        <v>1979</v>
      </c>
      <c r="E549" s="325">
        <v>1824</v>
      </c>
      <c r="F549" s="324"/>
      <c r="G549" s="324">
        <v>2023</v>
      </c>
      <c r="H549" s="324" t="s">
        <v>813</v>
      </c>
      <c r="I549" s="324">
        <v>2</v>
      </c>
    </row>
    <row r="550" spans="2:9">
      <c r="B550" s="324">
        <v>531</v>
      </c>
      <c r="C550" s="324" t="s">
        <v>333</v>
      </c>
      <c r="D550" s="324">
        <v>2007</v>
      </c>
      <c r="E550" s="325">
        <v>4508703</v>
      </c>
      <c r="F550" s="324"/>
      <c r="G550" s="324">
        <v>2023</v>
      </c>
      <c r="H550" s="324" t="s">
        <v>813</v>
      </c>
      <c r="I550" s="324">
        <v>2</v>
      </c>
    </row>
    <row r="551" spans="2:9">
      <c r="B551" s="324">
        <v>532</v>
      </c>
      <c r="C551" s="324" t="s">
        <v>277</v>
      </c>
      <c r="D551" s="324">
        <v>1946</v>
      </c>
      <c r="E551" s="325">
        <v>881</v>
      </c>
      <c r="F551" s="324"/>
      <c r="G551" s="324">
        <v>2024</v>
      </c>
      <c r="H551" s="324" t="s">
        <v>1095</v>
      </c>
      <c r="I551" s="324">
        <v>1</v>
      </c>
    </row>
    <row r="552" spans="2:9">
      <c r="B552" s="324">
        <v>533</v>
      </c>
      <c r="C552" s="324" t="s">
        <v>277</v>
      </c>
      <c r="D552" s="324">
        <v>1949</v>
      </c>
      <c r="E552" s="325">
        <v>4199</v>
      </c>
      <c r="F552" s="324"/>
      <c r="G552" s="324">
        <v>2024</v>
      </c>
      <c r="H552" s="324" t="s">
        <v>1095</v>
      </c>
      <c r="I552" s="324">
        <v>1</v>
      </c>
    </row>
    <row r="553" spans="2:9">
      <c r="B553" s="324">
        <v>534</v>
      </c>
      <c r="C553" s="324" t="s">
        <v>277</v>
      </c>
      <c r="D553" s="324">
        <v>1958</v>
      </c>
      <c r="E553" s="325">
        <v>75794</v>
      </c>
      <c r="F553" s="324"/>
      <c r="G553" s="324">
        <v>2024</v>
      </c>
      <c r="H553" s="324" t="s">
        <v>1095</v>
      </c>
      <c r="I553" s="324">
        <v>1</v>
      </c>
    </row>
    <row r="554" spans="2:9">
      <c r="B554" s="324">
        <v>535</v>
      </c>
      <c r="C554" s="324" t="s">
        <v>277</v>
      </c>
      <c r="D554" s="324">
        <v>1961</v>
      </c>
      <c r="E554" s="325">
        <v>43899</v>
      </c>
      <c r="F554" s="324"/>
      <c r="G554" s="324">
        <v>2024</v>
      </c>
      <c r="H554" s="324" t="s">
        <v>1095</v>
      </c>
      <c r="I554" s="324">
        <v>1</v>
      </c>
    </row>
    <row r="555" spans="2:9">
      <c r="B555" s="324">
        <v>536</v>
      </c>
      <c r="C555" s="324" t="s">
        <v>277</v>
      </c>
      <c r="D555" s="324">
        <v>1965</v>
      </c>
      <c r="E555" s="325">
        <v>65000</v>
      </c>
      <c r="F555" s="324"/>
      <c r="G555" s="324">
        <v>2024</v>
      </c>
      <c r="H555" s="324" t="s">
        <v>1095</v>
      </c>
      <c r="I555" s="324">
        <v>1</v>
      </c>
    </row>
    <row r="556" spans="2:9">
      <c r="B556" s="324">
        <v>537</v>
      </c>
      <c r="C556" s="324" t="s">
        <v>277</v>
      </c>
      <c r="D556" s="324">
        <v>1966</v>
      </c>
      <c r="E556" s="325">
        <v>84988</v>
      </c>
      <c r="F556" s="324"/>
      <c r="G556" s="324">
        <v>2024</v>
      </c>
      <c r="H556" s="324" t="s">
        <v>1095</v>
      </c>
      <c r="I556" s="324">
        <v>1</v>
      </c>
    </row>
    <row r="557" spans="2:9">
      <c r="B557" s="324">
        <v>538</v>
      </c>
      <c r="C557" s="324" t="s">
        <v>277</v>
      </c>
      <c r="D557" s="324">
        <v>1967</v>
      </c>
      <c r="E557" s="325">
        <v>30000</v>
      </c>
      <c r="F557" s="324"/>
      <c r="G557" s="324">
        <v>2024</v>
      </c>
      <c r="H557" s="324" t="s">
        <v>1095</v>
      </c>
      <c r="I557" s="324">
        <v>1</v>
      </c>
    </row>
    <row r="558" spans="2:9">
      <c r="B558" s="324">
        <v>539</v>
      </c>
      <c r="C558" s="324" t="s">
        <v>277</v>
      </c>
      <c r="D558" s="324">
        <v>1968</v>
      </c>
      <c r="E558" s="325">
        <v>135146</v>
      </c>
      <c r="F558" s="324"/>
      <c r="G558" s="324">
        <v>2024</v>
      </c>
      <c r="H558" s="324" t="s">
        <v>1095</v>
      </c>
      <c r="I558" s="324">
        <v>1</v>
      </c>
    </row>
    <row r="559" spans="2:9">
      <c r="B559" s="324">
        <v>540</v>
      </c>
      <c r="C559" s="324" t="s">
        <v>277</v>
      </c>
      <c r="D559" s="324">
        <v>1969</v>
      </c>
      <c r="E559" s="325">
        <v>103785</v>
      </c>
      <c r="F559" s="324"/>
      <c r="G559" s="324">
        <v>2024</v>
      </c>
      <c r="H559" s="324" t="s">
        <v>1095</v>
      </c>
      <c r="I559" s="324">
        <v>1</v>
      </c>
    </row>
    <row r="560" spans="2:9">
      <c r="B560" s="324">
        <v>541</v>
      </c>
      <c r="C560" s="324" t="s">
        <v>277</v>
      </c>
      <c r="D560" s="324">
        <v>1970</v>
      </c>
      <c r="E560" s="325">
        <v>60959</v>
      </c>
      <c r="F560" s="324"/>
      <c r="G560" s="324">
        <v>2024</v>
      </c>
      <c r="H560" s="324" t="s">
        <v>1095</v>
      </c>
      <c r="I560" s="324">
        <v>1</v>
      </c>
    </row>
    <row r="561" spans="2:9">
      <c r="B561" s="324">
        <v>542</v>
      </c>
      <c r="C561" s="324" t="s">
        <v>277</v>
      </c>
      <c r="D561" s="324">
        <v>1971</v>
      </c>
      <c r="E561" s="325">
        <v>286240</v>
      </c>
      <c r="F561" s="324"/>
      <c r="G561" s="324">
        <v>2024</v>
      </c>
      <c r="H561" s="324" t="s">
        <v>1095</v>
      </c>
      <c r="I561" s="324">
        <v>1</v>
      </c>
    </row>
    <row r="562" spans="2:9">
      <c r="B562" s="324">
        <v>543</v>
      </c>
      <c r="C562" s="324" t="s">
        <v>277</v>
      </c>
      <c r="D562" s="324">
        <v>1972</v>
      </c>
      <c r="E562" s="325">
        <v>71451</v>
      </c>
      <c r="F562" s="324"/>
      <c r="G562" s="324">
        <v>2024</v>
      </c>
      <c r="H562" s="324" t="s">
        <v>1095</v>
      </c>
      <c r="I562" s="324">
        <v>1</v>
      </c>
    </row>
    <row r="563" spans="2:9">
      <c r="B563" s="324">
        <v>544</v>
      </c>
      <c r="C563" s="324" t="s">
        <v>277</v>
      </c>
      <c r="D563" s="324">
        <v>1973</v>
      </c>
      <c r="E563" s="325">
        <v>102767</v>
      </c>
      <c r="F563" s="324"/>
      <c r="G563" s="324">
        <v>2024</v>
      </c>
      <c r="H563" s="324" t="s">
        <v>1095</v>
      </c>
      <c r="I563" s="324">
        <v>1</v>
      </c>
    </row>
    <row r="564" spans="2:9">
      <c r="B564" s="324">
        <v>545</v>
      </c>
      <c r="C564" s="324" t="s">
        <v>277</v>
      </c>
      <c r="D564" s="324">
        <v>1974</v>
      </c>
      <c r="E564" s="325">
        <v>39996</v>
      </c>
      <c r="F564" s="324"/>
      <c r="G564" s="324">
        <v>2024</v>
      </c>
      <c r="H564" s="324" t="s">
        <v>1095</v>
      </c>
      <c r="I564" s="324">
        <v>1</v>
      </c>
    </row>
    <row r="565" spans="2:9">
      <c r="B565" s="324">
        <v>546</v>
      </c>
      <c r="C565" s="324" t="s">
        <v>277</v>
      </c>
      <c r="D565" s="324">
        <v>1975</v>
      </c>
      <c r="E565" s="325">
        <v>39996</v>
      </c>
      <c r="F565" s="324"/>
      <c r="G565" s="324">
        <v>2024</v>
      </c>
      <c r="H565" s="324" t="s">
        <v>1095</v>
      </c>
      <c r="I565" s="324">
        <v>1</v>
      </c>
    </row>
    <row r="566" spans="2:9">
      <c r="B566" s="324">
        <v>547</v>
      </c>
      <c r="C566" s="324" t="s">
        <v>277</v>
      </c>
      <c r="D566" s="324">
        <v>1976</v>
      </c>
      <c r="E566" s="325">
        <v>230753</v>
      </c>
      <c r="F566" s="324"/>
      <c r="G566" s="324">
        <v>2024</v>
      </c>
      <c r="H566" s="324" t="s">
        <v>1095</v>
      </c>
      <c r="I566" s="324">
        <v>1</v>
      </c>
    </row>
    <row r="567" spans="2:9">
      <c r="B567" s="324">
        <v>548</v>
      </c>
      <c r="C567" s="324" t="s">
        <v>277</v>
      </c>
      <c r="D567" s="324">
        <v>1977</v>
      </c>
      <c r="E567" s="325">
        <v>19732</v>
      </c>
      <c r="F567" s="324"/>
      <c r="G567" s="324">
        <v>2024</v>
      </c>
      <c r="H567" s="324" t="s">
        <v>1095</v>
      </c>
      <c r="I567" s="324">
        <v>1</v>
      </c>
    </row>
    <row r="568" spans="2:9">
      <c r="B568" s="324">
        <v>549</v>
      </c>
      <c r="C568" s="324" t="s">
        <v>277</v>
      </c>
      <c r="D568" s="324">
        <v>1979</v>
      </c>
      <c r="E568" s="325">
        <v>1056</v>
      </c>
      <c r="F568" s="324"/>
      <c r="G568" s="324">
        <v>2024</v>
      </c>
      <c r="H568" s="324" t="s">
        <v>1095</v>
      </c>
      <c r="I568" s="324">
        <v>1</v>
      </c>
    </row>
    <row r="569" spans="2:9">
      <c r="B569" s="324">
        <v>550</v>
      </c>
      <c r="C569" s="324" t="s">
        <v>277</v>
      </c>
      <c r="D569" s="324">
        <v>1985</v>
      </c>
      <c r="E569" s="325">
        <v>2726</v>
      </c>
      <c r="F569" s="324"/>
      <c r="G569" s="324">
        <v>2024</v>
      </c>
      <c r="H569" s="324" t="s">
        <v>1095</v>
      </c>
      <c r="I569" s="324">
        <v>1</v>
      </c>
    </row>
    <row r="570" spans="2:9">
      <c r="B570" s="324">
        <v>551</v>
      </c>
      <c r="C570" s="324" t="s">
        <v>277</v>
      </c>
      <c r="D570" s="324">
        <v>1988</v>
      </c>
      <c r="E570" s="325">
        <v>14341</v>
      </c>
      <c r="F570" s="324"/>
      <c r="G570" s="324">
        <v>2024</v>
      </c>
      <c r="H570" s="324" t="s">
        <v>1095</v>
      </c>
      <c r="I570" s="324">
        <v>1</v>
      </c>
    </row>
    <row r="571" spans="2:9">
      <c r="B571" s="324">
        <v>552</v>
      </c>
      <c r="C571" s="324" t="s">
        <v>277</v>
      </c>
      <c r="D571" s="324">
        <v>1990</v>
      </c>
      <c r="E571" s="325">
        <v>10387</v>
      </c>
      <c r="F571" s="324"/>
      <c r="G571" s="324">
        <v>2024</v>
      </c>
      <c r="H571" s="324" t="s">
        <v>1095</v>
      </c>
      <c r="I571" s="324">
        <v>1</v>
      </c>
    </row>
    <row r="572" spans="2:9">
      <c r="B572" s="324">
        <v>553</v>
      </c>
      <c r="C572" s="324" t="s">
        <v>277</v>
      </c>
      <c r="D572" s="324">
        <v>1992</v>
      </c>
      <c r="E572" s="325">
        <v>127354</v>
      </c>
      <c r="F572" s="324"/>
      <c r="G572" s="324">
        <v>2024</v>
      </c>
      <c r="H572" s="324" t="s">
        <v>1095</v>
      </c>
      <c r="I572" s="324">
        <v>1</v>
      </c>
    </row>
    <row r="573" spans="2:9">
      <c r="B573" s="324">
        <v>554</v>
      </c>
      <c r="C573" s="324" t="s">
        <v>277</v>
      </c>
      <c r="D573" s="324">
        <v>1993</v>
      </c>
      <c r="E573" s="325">
        <v>60000</v>
      </c>
      <c r="F573" s="324"/>
      <c r="G573" s="324">
        <v>2024</v>
      </c>
      <c r="H573" s="324" t="s">
        <v>1095</v>
      </c>
      <c r="I573" s="324">
        <v>1</v>
      </c>
    </row>
    <row r="574" spans="2:9">
      <c r="B574" s="324">
        <v>555</v>
      </c>
      <c r="C574" s="324" t="s">
        <v>277</v>
      </c>
      <c r="D574" s="324">
        <v>1998</v>
      </c>
      <c r="E574" s="325">
        <v>7648</v>
      </c>
      <c r="F574" s="324"/>
      <c r="G574" s="324">
        <v>2024</v>
      </c>
      <c r="H574" s="324" t="s">
        <v>1095</v>
      </c>
      <c r="I574" s="324">
        <v>1</v>
      </c>
    </row>
    <row r="575" spans="2:9">
      <c r="B575" s="324">
        <v>556</v>
      </c>
      <c r="C575" s="324" t="s">
        <v>277</v>
      </c>
      <c r="D575" s="324">
        <v>2004</v>
      </c>
      <c r="E575" s="325">
        <v>77652</v>
      </c>
      <c r="F575" s="324"/>
      <c r="G575" s="324">
        <v>2024</v>
      </c>
      <c r="H575" s="324" t="s">
        <v>1095</v>
      </c>
      <c r="I575" s="324">
        <v>1</v>
      </c>
    </row>
    <row r="576" spans="2:9">
      <c r="B576" s="324">
        <v>557</v>
      </c>
      <c r="C576" s="324" t="s">
        <v>277</v>
      </c>
      <c r="D576" s="324">
        <v>2006</v>
      </c>
      <c r="E576" s="325">
        <v>5864</v>
      </c>
      <c r="F576" s="324"/>
      <c r="G576" s="324">
        <v>2024</v>
      </c>
      <c r="H576" s="324" t="s">
        <v>1095</v>
      </c>
      <c r="I576" s="324">
        <v>1</v>
      </c>
    </row>
    <row r="577" spans="2:9">
      <c r="B577" s="324">
        <v>558</v>
      </c>
      <c r="C577" s="324" t="s">
        <v>277</v>
      </c>
      <c r="D577" s="324">
        <v>2007</v>
      </c>
      <c r="E577" s="325">
        <v>6736</v>
      </c>
      <c r="F577" s="324"/>
      <c r="G577" s="324">
        <v>2024</v>
      </c>
      <c r="H577" s="324" t="s">
        <v>1095</v>
      </c>
      <c r="I577" s="324">
        <v>1</v>
      </c>
    </row>
    <row r="578" spans="2:9">
      <c r="B578" s="324">
        <v>559</v>
      </c>
      <c r="C578" s="324" t="s">
        <v>277</v>
      </c>
      <c r="D578" s="324">
        <v>2009</v>
      </c>
      <c r="E578" s="325">
        <v>396714</v>
      </c>
      <c r="F578" s="324"/>
      <c r="G578" s="324">
        <v>2024</v>
      </c>
      <c r="H578" s="324" t="s">
        <v>1095</v>
      </c>
      <c r="I578" s="324">
        <v>1</v>
      </c>
    </row>
    <row r="579" spans="2:9">
      <c r="B579" s="324">
        <v>560</v>
      </c>
      <c r="C579" s="324" t="s">
        <v>277</v>
      </c>
      <c r="D579" s="324">
        <v>2010</v>
      </c>
      <c r="E579" s="325">
        <v>521890</v>
      </c>
      <c r="F579" s="324"/>
      <c r="G579" s="324">
        <v>2024</v>
      </c>
      <c r="H579" s="324" t="s">
        <v>1095</v>
      </c>
      <c r="I579" s="324">
        <v>1</v>
      </c>
    </row>
    <row r="580" spans="2:9">
      <c r="B580" s="324">
        <v>561</v>
      </c>
      <c r="C580" s="324" t="s">
        <v>277</v>
      </c>
      <c r="D580" s="324">
        <v>2011</v>
      </c>
      <c r="E580" s="325">
        <v>3567</v>
      </c>
      <c r="F580" s="324"/>
      <c r="G580" s="324">
        <v>2024</v>
      </c>
      <c r="H580" s="324" t="s">
        <v>1095</v>
      </c>
      <c r="I580" s="324">
        <v>1</v>
      </c>
    </row>
    <row r="581" spans="2:9">
      <c r="B581" s="324">
        <v>562</v>
      </c>
      <c r="C581" s="324" t="s">
        <v>277</v>
      </c>
      <c r="D581" s="324">
        <v>2016</v>
      </c>
      <c r="E581" s="325">
        <v>430924</v>
      </c>
      <c r="F581" s="324"/>
      <c r="G581" s="324">
        <v>2024</v>
      </c>
      <c r="H581" s="324" t="s">
        <v>1095</v>
      </c>
      <c r="I581" s="324">
        <v>1</v>
      </c>
    </row>
    <row r="582" spans="2:9">
      <c r="B582" s="324">
        <v>563</v>
      </c>
      <c r="C582" s="324" t="s">
        <v>281</v>
      </c>
      <c r="D582" s="324">
        <v>1967</v>
      </c>
      <c r="E582" s="325">
        <v>70058</v>
      </c>
      <c r="F582" s="324"/>
      <c r="G582" s="324">
        <v>2024</v>
      </c>
      <c r="H582" s="324" t="s">
        <v>1095</v>
      </c>
      <c r="I582" s="324">
        <v>1</v>
      </c>
    </row>
    <row r="583" spans="2:9">
      <c r="B583" s="324">
        <v>564</v>
      </c>
      <c r="C583" s="324" t="s">
        <v>281</v>
      </c>
      <c r="D583" s="324">
        <v>1968</v>
      </c>
      <c r="E583" s="325">
        <v>206807</v>
      </c>
      <c r="F583" s="324"/>
      <c r="G583" s="324">
        <v>2024</v>
      </c>
      <c r="H583" s="324" t="s">
        <v>1095</v>
      </c>
      <c r="I583" s="324">
        <v>1</v>
      </c>
    </row>
    <row r="584" spans="2:9">
      <c r="B584" s="324">
        <v>565</v>
      </c>
      <c r="C584" s="324" t="s">
        <v>281</v>
      </c>
      <c r="D584" s="324">
        <v>1969</v>
      </c>
      <c r="E584" s="325">
        <v>39996</v>
      </c>
      <c r="F584" s="324"/>
      <c r="G584" s="324">
        <v>2024</v>
      </c>
      <c r="H584" s="324" t="s">
        <v>1095</v>
      </c>
      <c r="I584" s="324">
        <v>1</v>
      </c>
    </row>
    <row r="585" spans="2:9">
      <c r="B585" s="324">
        <v>566</v>
      </c>
      <c r="C585" s="324" t="s">
        <v>281</v>
      </c>
      <c r="D585" s="324">
        <v>1970</v>
      </c>
      <c r="E585" s="325">
        <v>52402</v>
      </c>
      <c r="F585" s="324"/>
      <c r="G585" s="324">
        <v>2024</v>
      </c>
      <c r="H585" s="324" t="s">
        <v>1095</v>
      </c>
      <c r="I585" s="324">
        <v>1</v>
      </c>
    </row>
    <row r="586" spans="2:9">
      <c r="B586" s="324">
        <v>567</v>
      </c>
      <c r="C586" s="324" t="s">
        <v>281</v>
      </c>
      <c r="D586" s="324">
        <v>1971</v>
      </c>
      <c r="E586" s="325">
        <v>153301</v>
      </c>
      <c r="F586" s="324"/>
      <c r="G586" s="324">
        <v>2024</v>
      </c>
      <c r="H586" s="324" t="s">
        <v>1095</v>
      </c>
      <c r="I586" s="324">
        <v>1</v>
      </c>
    </row>
    <row r="587" spans="2:9">
      <c r="B587" s="324">
        <v>568</v>
      </c>
      <c r="C587" s="324" t="s">
        <v>281</v>
      </c>
      <c r="D587" s="324">
        <v>1972</v>
      </c>
      <c r="E587" s="325">
        <v>23945</v>
      </c>
      <c r="F587" s="324"/>
      <c r="G587" s="324">
        <v>2024</v>
      </c>
      <c r="H587" s="324" t="s">
        <v>1095</v>
      </c>
      <c r="I587" s="324">
        <v>1</v>
      </c>
    </row>
    <row r="588" spans="2:9">
      <c r="B588" s="324">
        <v>569</v>
      </c>
      <c r="C588" s="324" t="s">
        <v>281</v>
      </c>
      <c r="D588" s="324">
        <v>1975</v>
      </c>
      <c r="E588" s="325">
        <v>31096</v>
      </c>
      <c r="F588" s="324"/>
      <c r="G588" s="324">
        <v>2024</v>
      </c>
      <c r="H588" s="324" t="s">
        <v>1095</v>
      </c>
      <c r="I588" s="324">
        <v>1</v>
      </c>
    </row>
    <row r="589" spans="2:9">
      <c r="B589" s="324">
        <v>570</v>
      </c>
      <c r="C589" s="324" t="s">
        <v>281</v>
      </c>
      <c r="D589" s="324">
        <v>1976</v>
      </c>
      <c r="E589" s="325">
        <v>12426</v>
      </c>
      <c r="F589" s="324"/>
      <c r="G589" s="324">
        <v>2024</v>
      </c>
      <c r="H589" s="324" t="s">
        <v>1095</v>
      </c>
      <c r="I589" s="324">
        <v>1</v>
      </c>
    </row>
    <row r="590" spans="2:9">
      <c r="B590" s="324">
        <v>571</v>
      </c>
      <c r="C590" s="324" t="s">
        <v>281</v>
      </c>
      <c r="D590" s="324">
        <v>1981</v>
      </c>
      <c r="E590" s="325">
        <v>34690</v>
      </c>
      <c r="F590" s="324"/>
      <c r="G590" s="324">
        <v>2024</v>
      </c>
      <c r="H590" s="324" t="s">
        <v>1095</v>
      </c>
      <c r="I590" s="324">
        <v>1</v>
      </c>
    </row>
    <row r="591" spans="2:9">
      <c r="B591" s="324">
        <v>572</v>
      </c>
      <c r="C591" s="324" t="s">
        <v>281</v>
      </c>
      <c r="D591" s="324">
        <v>1986</v>
      </c>
      <c r="E591" s="325">
        <v>78186</v>
      </c>
      <c r="F591" s="324"/>
      <c r="G591" s="324">
        <v>2024</v>
      </c>
      <c r="H591" s="324" t="s">
        <v>1095</v>
      </c>
      <c r="I591" s="324">
        <v>1</v>
      </c>
    </row>
    <row r="592" spans="2:9">
      <c r="B592" s="324">
        <v>573</v>
      </c>
      <c r="C592" s="324" t="s">
        <v>281</v>
      </c>
      <c r="D592" s="324">
        <v>1997</v>
      </c>
      <c r="E592" s="325">
        <v>184270</v>
      </c>
      <c r="F592" s="324"/>
      <c r="G592" s="324">
        <v>2024</v>
      </c>
      <c r="H592" s="324" t="s">
        <v>1095</v>
      </c>
      <c r="I592" s="324">
        <v>1</v>
      </c>
    </row>
    <row r="593" spans="2:9">
      <c r="B593" s="324">
        <v>574</v>
      </c>
      <c r="C593" s="324" t="s">
        <v>281</v>
      </c>
      <c r="D593" s="324">
        <v>1998</v>
      </c>
      <c r="E593" s="325">
        <v>20568</v>
      </c>
      <c r="F593" s="324"/>
      <c r="G593" s="324">
        <v>2024</v>
      </c>
      <c r="H593" s="324" t="s">
        <v>1095</v>
      </c>
      <c r="I593" s="324">
        <v>1</v>
      </c>
    </row>
    <row r="594" spans="2:9">
      <c r="B594" s="324">
        <v>575</v>
      </c>
      <c r="C594" s="324" t="s">
        <v>281</v>
      </c>
      <c r="D594" s="324">
        <v>2000</v>
      </c>
      <c r="E594" s="325">
        <v>11269</v>
      </c>
      <c r="F594" s="324"/>
      <c r="G594" s="324">
        <v>2024</v>
      </c>
      <c r="H594" s="324" t="s">
        <v>1095</v>
      </c>
      <c r="I594" s="324">
        <v>1</v>
      </c>
    </row>
    <row r="595" spans="2:9">
      <c r="B595" s="324">
        <v>576</v>
      </c>
      <c r="C595" s="324" t="s">
        <v>281</v>
      </c>
      <c r="D595" s="324">
        <v>2001</v>
      </c>
      <c r="E595" s="325">
        <v>144463</v>
      </c>
      <c r="F595" s="324"/>
      <c r="G595" s="324">
        <v>2024</v>
      </c>
      <c r="H595" s="324" t="s">
        <v>1095</v>
      </c>
      <c r="I595" s="324">
        <v>1</v>
      </c>
    </row>
    <row r="596" spans="2:9">
      <c r="B596" s="324">
        <v>577</v>
      </c>
      <c r="C596" s="324" t="s">
        <v>281</v>
      </c>
      <c r="D596" s="324">
        <v>2007</v>
      </c>
      <c r="E596" s="325">
        <v>38479</v>
      </c>
      <c r="F596" s="324"/>
      <c r="G596" s="324">
        <v>2024</v>
      </c>
      <c r="H596" s="324" t="s">
        <v>1095</v>
      </c>
      <c r="I596" s="324">
        <v>1</v>
      </c>
    </row>
    <row r="597" spans="2:9">
      <c r="B597" s="324">
        <v>578</v>
      </c>
      <c r="C597" s="324" t="s">
        <v>281</v>
      </c>
      <c r="D597" s="324">
        <v>2010</v>
      </c>
      <c r="E597" s="325">
        <v>29130</v>
      </c>
      <c r="F597" s="324"/>
      <c r="G597" s="324">
        <v>2024</v>
      </c>
      <c r="H597" s="324" t="s">
        <v>1095</v>
      </c>
      <c r="I597" s="324">
        <v>1</v>
      </c>
    </row>
    <row r="598" spans="2:9">
      <c r="B598" s="324">
        <v>579</v>
      </c>
      <c r="C598" s="324" t="s">
        <v>281</v>
      </c>
      <c r="D598" s="324">
        <v>2011</v>
      </c>
      <c r="E598" s="325">
        <v>108631</v>
      </c>
      <c r="F598" s="324"/>
      <c r="G598" s="324">
        <v>2024</v>
      </c>
      <c r="H598" s="324" t="s">
        <v>1095</v>
      </c>
      <c r="I598" s="324">
        <v>1</v>
      </c>
    </row>
    <row r="599" spans="2:9">
      <c r="B599" s="324">
        <v>580</v>
      </c>
      <c r="C599" s="324" t="s">
        <v>281</v>
      </c>
      <c r="D599" s="324">
        <v>2017</v>
      </c>
      <c r="E599" s="325">
        <v>46060</v>
      </c>
      <c r="F599" s="324"/>
      <c r="G599" s="324">
        <v>2024</v>
      </c>
      <c r="H599" s="324" t="s">
        <v>1095</v>
      </c>
      <c r="I599" s="324">
        <v>1</v>
      </c>
    </row>
    <row r="600" spans="2:9">
      <c r="B600" s="324">
        <v>581</v>
      </c>
      <c r="C600" s="324" t="s">
        <v>281</v>
      </c>
      <c r="D600" s="324">
        <v>2020</v>
      </c>
      <c r="E600" s="325">
        <v>17034</v>
      </c>
      <c r="F600" s="324"/>
      <c r="G600" s="324">
        <v>2024</v>
      </c>
      <c r="H600" s="324" t="s">
        <v>1095</v>
      </c>
      <c r="I600" s="324">
        <v>1</v>
      </c>
    </row>
    <row r="601" spans="2:9">
      <c r="B601" s="324">
        <v>582</v>
      </c>
      <c r="C601" s="324" t="s">
        <v>283</v>
      </c>
      <c r="D601" s="324">
        <v>1998</v>
      </c>
      <c r="E601" s="325">
        <v>62195</v>
      </c>
      <c r="F601" s="324"/>
      <c r="G601" s="324">
        <v>2024</v>
      </c>
      <c r="H601" s="324" t="s">
        <v>1095</v>
      </c>
      <c r="I601" s="324">
        <v>1</v>
      </c>
    </row>
    <row r="602" spans="2:9">
      <c r="B602" s="324">
        <v>583</v>
      </c>
      <c r="C602" s="324" t="s">
        <v>290</v>
      </c>
      <c r="D602" s="324">
        <v>1996</v>
      </c>
      <c r="E602" s="325">
        <v>646376</v>
      </c>
      <c r="F602" s="324"/>
      <c r="G602" s="324">
        <v>2024</v>
      </c>
      <c r="H602" s="324" t="s">
        <v>1095</v>
      </c>
      <c r="I602" s="324">
        <v>1</v>
      </c>
    </row>
    <row r="603" spans="2:9">
      <c r="B603" s="324">
        <v>584</v>
      </c>
      <c r="C603" s="324" t="s">
        <v>290</v>
      </c>
      <c r="D603" s="324">
        <v>1998</v>
      </c>
      <c r="E603" s="325">
        <v>1710727</v>
      </c>
      <c r="F603" s="324"/>
      <c r="G603" s="324">
        <v>2024</v>
      </c>
      <c r="H603" s="324" t="s">
        <v>1095</v>
      </c>
      <c r="I603" s="324">
        <v>1</v>
      </c>
    </row>
    <row r="604" spans="2:9">
      <c r="B604" s="324">
        <v>585</v>
      </c>
      <c r="C604" s="324" t="s">
        <v>290</v>
      </c>
      <c r="D604" s="324">
        <v>2005</v>
      </c>
      <c r="E604" s="325">
        <v>29127</v>
      </c>
      <c r="F604" s="324"/>
      <c r="G604" s="324">
        <v>2024</v>
      </c>
      <c r="H604" s="324" t="s">
        <v>1095</v>
      </c>
      <c r="I604" s="324">
        <v>1</v>
      </c>
    </row>
    <row r="605" spans="2:9">
      <c r="B605" s="324">
        <v>586</v>
      </c>
      <c r="C605" s="324" t="s">
        <v>290</v>
      </c>
      <c r="D605" s="324">
        <v>2007</v>
      </c>
      <c r="E605" s="325">
        <v>249780</v>
      </c>
      <c r="F605" s="324"/>
      <c r="G605" s="324">
        <v>2024</v>
      </c>
      <c r="H605" s="324" t="s">
        <v>1095</v>
      </c>
      <c r="I605" s="324">
        <v>1</v>
      </c>
    </row>
    <row r="606" spans="2:9">
      <c r="B606" s="324">
        <v>587</v>
      </c>
      <c r="C606" s="324" t="s">
        <v>290</v>
      </c>
      <c r="D606" s="324">
        <v>2008</v>
      </c>
      <c r="E606" s="325">
        <v>157410</v>
      </c>
      <c r="F606" s="324"/>
      <c r="G606" s="324">
        <v>2024</v>
      </c>
      <c r="H606" s="324" t="s">
        <v>1095</v>
      </c>
      <c r="I606" s="324">
        <v>1</v>
      </c>
    </row>
    <row r="607" spans="2:9">
      <c r="B607" s="324">
        <v>588</v>
      </c>
      <c r="C607" s="324" t="s">
        <v>290</v>
      </c>
      <c r="D607" s="324">
        <v>2009</v>
      </c>
      <c r="E607" s="325">
        <v>96928</v>
      </c>
      <c r="F607" s="324"/>
      <c r="G607" s="324">
        <v>2024</v>
      </c>
      <c r="H607" s="324" t="s">
        <v>1095</v>
      </c>
      <c r="I607" s="324">
        <v>1</v>
      </c>
    </row>
    <row r="608" spans="2:9">
      <c r="B608" s="324">
        <v>589</v>
      </c>
      <c r="C608" s="324" t="s">
        <v>290</v>
      </c>
      <c r="D608" s="324">
        <v>2010</v>
      </c>
      <c r="E608" s="325">
        <v>706017</v>
      </c>
      <c r="F608" s="324"/>
      <c r="G608" s="324">
        <v>2024</v>
      </c>
      <c r="H608" s="324" t="s">
        <v>1095</v>
      </c>
      <c r="I608" s="324">
        <v>1</v>
      </c>
    </row>
    <row r="609" spans="2:9">
      <c r="B609" s="324">
        <v>590</v>
      </c>
      <c r="C609" s="324" t="s">
        <v>294</v>
      </c>
      <c r="D609" s="324">
        <v>1998</v>
      </c>
      <c r="E609" s="325">
        <v>85531</v>
      </c>
      <c r="F609" s="324"/>
      <c r="G609" s="324">
        <v>2024</v>
      </c>
      <c r="H609" s="324" t="s">
        <v>1095</v>
      </c>
      <c r="I609" s="324">
        <v>1</v>
      </c>
    </row>
    <row r="610" spans="2:9">
      <c r="B610" s="324">
        <v>591</v>
      </c>
      <c r="C610" s="324" t="s">
        <v>294</v>
      </c>
      <c r="D610" s="324">
        <v>2001</v>
      </c>
      <c r="E610" s="325">
        <v>21994</v>
      </c>
      <c r="F610" s="324"/>
      <c r="G610" s="324">
        <v>2024</v>
      </c>
      <c r="H610" s="324" t="s">
        <v>1095</v>
      </c>
      <c r="I610" s="324">
        <v>1</v>
      </c>
    </row>
    <row r="611" spans="2:9">
      <c r="B611" s="324">
        <v>592</v>
      </c>
      <c r="C611" s="324" t="s">
        <v>294</v>
      </c>
      <c r="D611" s="324">
        <v>2003</v>
      </c>
      <c r="E611" s="325">
        <v>11100</v>
      </c>
      <c r="F611" s="324"/>
      <c r="G611" s="324">
        <v>2024</v>
      </c>
      <c r="H611" s="324" t="s">
        <v>1095</v>
      </c>
      <c r="I611" s="324">
        <v>1</v>
      </c>
    </row>
    <row r="612" spans="2:9">
      <c r="B612" s="324">
        <v>593</v>
      </c>
      <c r="C612" s="324" t="s">
        <v>310</v>
      </c>
      <c r="D612" s="324">
        <v>1970</v>
      </c>
      <c r="E612" s="325">
        <v>902449</v>
      </c>
      <c r="F612" s="324"/>
      <c r="G612" s="324">
        <v>2024</v>
      </c>
      <c r="H612" s="324" t="s">
        <v>1095</v>
      </c>
      <c r="I612" s="324">
        <v>1</v>
      </c>
    </row>
    <row r="613" spans="2:9">
      <c r="B613" s="324">
        <v>594</v>
      </c>
      <c r="C613" s="324" t="s">
        <v>310</v>
      </c>
      <c r="D613" s="324">
        <v>1971</v>
      </c>
      <c r="E613" s="325">
        <v>11276235</v>
      </c>
      <c r="F613" s="324"/>
      <c r="G613" s="324">
        <v>2024</v>
      </c>
      <c r="H613" s="324" t="s">
        <v>1095</v>
      </c>
      <c r="I613" s="324">
        <v>1</v>
      </c>
    </row>
    <row r="614" spans="2:9">
      <c r="B614" s="324">
        <v>595</v>
      </c>
      <c r="C614" s="324" t="s">
        <v>310</v>
      </c>
      <c r="D614" s="324">
        <v>1972</v>
      </c>
      <c r="E614" s="325">
        <v>3312496</v>
      </c>
      <c r="F614" s="324"/>
      <c r="G614" s="324">
        <v>2024</v>
      </c>
      <c r="H614" s="324" t="s">
        <v>1095</v>
      </c>
      <c r="I614" s="324">
        <v>1</v>
      </c>
    </row>
    <row r="615" spans="2:9">
      <c r="B615" s="324">
        <v>596</v>
      </c>
      <c r="C615" s="324" t="s">
        <v>310</v>
      </c>
      <c r="D615" s="324">
        <v>1973</v>
      </c>
      <c r="E615" s="325">
        <v>43935</v>
      </c>
      <c r="F615" s="324"/>
      <c r="G615" s="324">
        <v>2024</v>
      </c>
      <c r="H615" s="324" t="s">
        <v>1095</v>
      </c>
      <c r="I615" s="324">
        <v>1</v>
      </c>
    </row>
    <row r="616" spans="2:9">
      <c r="B616" s="324">
        <v>597</v>
      </c>
      <c r="C616" s="324" t="s">
        <v>310</v>
      </c>
      <c r="D616" s="324">
        <v>1977</v>
      </c>
      <c r="E616" s="325">
        <v>42959</v>
      </c>
      <c r="F616" s="324"/>
      <c r="G616" s="324">
        <v>2024</v>
      </c>
      <c r="H616" s="324" t="s">
        <v>1095</v>
      </c>
      <c r="I616" s="324">
        <v>1</v>
      </c>
    </row>
    <row r="617" spans="2:9">
      <c r="B617" s="324">
        <v>598</v>
      </c>
      <c r="C617" s="324" t="s">
        <v>310</v>
      </c>
      <c r="D617" s="324">
        <v>1978</v>
      </c>
      <c r="E617" s="325">
        <v>4451317</v>
      </c>
      <c r="F617" s="324"/>
      <c r="G617" s="324">
        <v>2024</v>
      </c>
      <c r="H617" s="324" t="s">
        <v>1095</v>
      </c>
      <c r="I617" s="324">
        <v>1</v>
      </c>
    </row>
    <row r="618" spans="2:9">
      <c r="B618" s="324">
        <v>599</v>
      </c>
      <c r="C618" s="324" t="s">
        <v>310</v>
      </c>
      <c r="D618" s="324">
        <v>1980</v>
      </c>
      <c r="E618" s="325">
        <v>140317</v>
      </c>
      <c r="F618" s="324"/>
      <c r="G618" s="324">
        <v>2024</v>
      </c>
      <c r="H618" s="324" t="s">
        <v>1095</v>
      </c>
      <c r="I618" s="324">
        <v>1</v>
      </c>
    </row>
    <row r="619" spans="2:9">
      <c r="B619" s="324">
        <v>600</v>
      </c>
      <c r="C619" s="324" t="s">
        <v>310</v>
      </c>
      <c r="D619" s="324">
        <v>1982</v>
      </c>
      <c r="E619" s="325">
        <v>42588</v>
      </c>
      <c r="F619" s="324"/>
      <c r="G619" s="324">
        <v>2024</v>
      </c>
      <c r="H619" s="324" t="s">
        <v>1095</v>
      </c>
      <c r="I619" s="324">
        <v>1</v>
      </c>
    </row>
    <row r="620" spans="2:9">
      <c r="B620" s="324">
        <v>601</v>
      </c>
      <c r="C620" s="324" t="s">
        <v>310</v>
      </c>
      <c r="D620" s="324">
        <v>1984</v>
      </c>
      <c r="E620" s="325">
        <v>25464</v>
      </c>
      <c r="F620" s="324"/>
      <c r="G620" s="324">
        <v>2024</v>
      </c>
      <c r="H620" s="324" t="s">
        <v>1095</v>
      </c>
      <c r="I620" s="324">
        <v>1</v>
      </c>
    </row>
    <row r="621" spans="2:9">
      <c r="B621" s="324">
        <v>602</v>
      </c>
      <c r="C621" s="324" t="s">
        <v>310</v>
      </c>
      <c r="D621" s="324">
        <v>1990</v>
      </c>
      <c r="E621" s="325">
        <v>64981</v>
      </c>
      <c r="F621" s="324"/>
      <c r="G621" s="324">
        <v>2024</v>
      </c>
      <c r="H621" s="324" t="s">
        <v>1095</v>
      </c>
      <c r="I621" s="324">
        <v>1</v>
      </c>
    </row>
    <row r="622" spans="2:9">
      <c r="B622" s="324">
        <v>603</v>
      </c>
      <c r="C622" s="324" t="s">
        <v>310</v>
      </c>
      <c r="D622" s="324">
        <v>1996</v>
      </c>
      <c r="E622" s="325">
        <v>24270</v>
      </c>
      <c r="F622" s="324"/>
      <c r="G622" s="324">
        <v>2024</v>
      </c>
      <c r="H622" s="324" t="s">
        <v>1095</v>
      </c>
      <c r="I622" s="324">
        <v>1</v>
      </c>
    </row>
    <row r="623" spans="2:9">
      <c r="B623" s="324">
        <v>604</v>
      </c>
      <c r="C623" s="324" t="s">
        <v>310</v>
      </c>
      <c r="D623" s="324">
        <v>1997</v>
      </c>
      <c r="E623" s="325">
        <v>31301050</v>
      </c>
      <c r="F623" s="324"/>
      <c r="G623" s="324">
        <v>2024</v>
      </c>
      <c r="H623" s="324" t="s">
        <v>1095</v>
      </c>
      <c r="I623" s="324">
        <v>1</v>
      </c>
    </row>
    <row r="624" spans="2:9">
      <c r="B624" s="324">
        <v>605</v>
      </c>
      <c r="C624" s="324" t="s">
        <v>310</v>
      </c>
      <c r="D624" s="324">
        <v>1998</v>
      </c>
      <c r="E624" s="325">
        <v>261490</v>
      </c>
      <c r="F624" s="324"/>
      <c r="G624" s="324">
        <v>2024</v>
      </c>
      <c r="H624" s="324" t="s">
        <v>1095</v>
      </c>
      <c r="I624" s="324">
        <v>1</v>
      </c>
    </row>
    <row r="625" spans="2:9">
      <c r="B625" s="324">
        <v>606</v>
      </c>
      <c r="C625" s="324" t="s">
        <v>310</v>
      </c>
      <c r="D625" s="324">
        <v>2001</v>
      </c>
      <c r="E625" s="325">
        <v>44919</v>
      </c>
      <c r="F625" s="324"/>
      <c r="G625" s="324">
        <v>2024</v>
      </c>
      <c r="H625" s="324" t="s">
        <v>1095</v>
      </c>
      <c r="I625" s="324">
        <v>1</v>
      </c>
    </row>
    <row r="626" spans="2:9">
      <c r="B626" s="324">
        <v>607</v>
      </c>
      <c r="C626" s="324" t="s">
        <v>310</v>
      </c>
      <c r="D626" s="324">
        <v>2002</v>
      </c>
      <c r="E626" s="325">
        <v>474428</v>
      </c>
      <c r="F626" s="324"/>
      <c r="G626" s="324">
        <v>2024</v>
      </c>
      <c r="H626" s="324" t="s">
        <v>1095</v>
      </c>
      <c r="I626" s="324">
        <v>1</v>
      </c>
    </row>
    <row r="627" spans="2:9">
      <c r="B627" s="324">
        <v>608</v>
      </c>
      <c r="C627" s="324" t="s">
        <v>310</v>
      </c>
      <c r="D627" s="324">
        <v>2003</v>
      </c>
      <c r="E627" s="325">
        <v>562107</v>
      </c>
      <c r="F627" s="324"/>
      <c r="G627" s="324">
        <v>2024</v>
      </c>
      <c r="H627" s="324" t="s">
        <v>1095</v>
      </c>
      <c r="I627" s="324">
        <v>1</v>
      </c>
    </row>
    <row r="628" spans="2:9">
      <c r="B628" s="324">
        <v>609</v>
      </c>
      <c r="C628" s="324" t="s">
        <v>310</v>
      </c>
      <c r="D628" s="324">
        <v>2004</v>
      </c>
      <c r="E628" s="325">
        <v>356008</v>
      </c>
      <c r="F628" s="324"/>
      <c r="G628" s="324">
        <v>2024</v>
      </c>
      <c r="H628" s="324" t="s">
        <v>1095</v>
      </c>
      <c r="I628" s="324">
        <v>1</v>
      </c>
    </row>
    <row r="629" spans="2:9">
      <c r="B629" s="324">
        <v>610</v>
      </c>
      <c r="C629" s="324" t="s">
        <v>310</v>
      </c>
      <c r="D629" s="324">
        <v>2005</v>
      </c>
      <c r="E629" s="325">
        <v>1378695</v>
      </c>
      <c r="F629" s="324"/>
      <c r="G629" s="324">
        <v>2024</v>
      </c>
      <c r="H629" s="324" t="s">
        <v>1095</v>
      </c>
      <c r="I629" s="324">
        <v>1</v>
      </c>
    </row>
    <row r="630" spans="2:9">
      <c r="B630" s="324">
        <v>611</v>
      </c>
      <c r="C630" s="324" t="s">
        <v>310</v>
      </c>
      <c r="D630" s="324">
        <v>2006</v>
      </c>
      <c r="E630" s="325">
        <v>1090118</v>
      </c>
      <c r="F630" s="324"/>
      <c r="G630" s="324">
        <v>2024</v>
      </c>
      <c r="H630" s="324" t="s">
        <v>1095</v>
      </c>
      <c r="I630" s="324">
        <v>1</v>
      </c>
    </row>
    <row r="631" spans="2:9">
      <c r="B631" s="324">
        <v>612</v>
      </c>
      <c r="C631" s="324" t="s">
        <v>310</v>
      </c>
      <c r="D631" s="324">
        <v>2007</v>
      </c>
      <c r="E631" s="325">
        <v>2897967</v>
      </c>
      <c r="F631" s="324"/>
      <c r="G631" s="324">
        <v>2024</v>
      </c>
      <c r="H631" s="324" t="s">
        <v>1095</v>
      </c>
      <c r="I631" s="324">
        <v>1</v>
      </c>
    </row>
    <row r="632" spans="2:9">
      <c r="B632" s="324">
        <v>613</v>
      </c>
      <c r="C632" s="324" t="s">
        <v>310</v>
      </c>
      <c r="D632" s="324">
        <v>2008</v>
      </c>
      <c r="E632" s="325">
        <v>3056602</v>
      </c>
      <c r="F632" s="324"/>
      <c r="G632" s="324">
        <v>2024</v>
      </c>
      <c r="H632" s="324" t="s">
        <v>1095</v>
      </c>
      <c r="I632" s="324">
        <v>1</v>
      </c>
    </row>
    <row r="633" spans="2:9">
      <c r="B633" s="324">
        <v>614</v>
      </c>
      <c r="C633" s="324" t="s">
        <v>310</v>
      </c>
      <c r="D633" s="324">
        <v>2008</v>
      </c>
      <c r="E633" s="325">
        <v>303052</v>
      </c>
      <c r="F633" s="324"/>
      <c r="G633" s="324">
        <v>2024</v>
      </c>
      <c r="H633" s="324" t="s">
        <v>1095</v>
      </c>
      <c r="I633" s="324">
        <v>1</v>
      </c>
    </row>
    <row r="634" spans="2:9">
      <c r="B634" s="324">
        <v>615</v>
      </c>
      <c r="C634" s="324" t="s">
        <v>310</v>
      </c>
      <c r="D634" s="324">
        <v>2009</v>
      </c>
      <c r="E634" s="325">
        <v>238210</v>
      </c>
      <c r="F634" s="324"/>
      <c r="G634" s="324">
        <v>2024</v>
      </c>
      <c r="H634" s="324" t="s">
        <v>1095</v>
      </c>
      <c r="I634" s="324">
        <v>1</v>
      </c>
    </row>
    <row r="635" spans="2:9">
      <c r="B635" s="324">
        <v>616</v>
      </c>
      <c r="C635" s="324" t="s">
        <v>310</v>
      </c>
      <c r="D635" s="324">
        <v>2010</v>
      </c>
      <c r="E635" s="325">
        <v>1418545</v>
      </c>
      <c r="F635" s="324"/>
      <c r="G635" s="324">
        <v>2024</v>
      </c>
      <c r="H635" s="324" t="s">
        <v>1095</v>
      </c>
      <c r="I635" s="324">
        <v>1</v>
      </c>
    </row>
    <row r="636" spans="2:9">
      <c r="B636" s="324">
        <v>617</v>
      </c>
      <c r="C636" s="324" t="s">
        <v>310</v>
      </c>
      <c r="D636" s="324">
        <v>2011</v>
      </c>
      <c r="E636" s="325">
        <v>5208178</v>
      </c>
      <c r="F636" s="324"/>
      <c r="G636" s="324">
        <v>2024</v>
      </c>
      <c r="H636" s="324" t="s">
        <v>1095</v>
      </c>
      <c r="I636" s="324">
        <v>1</v>
      </c>
    </row>
    <row r="637" spans="2:9">
      <c r="B637" s="324">
        <v>618</v>
      </c>
      <c r="C637" s="324" t="s">
        <v>310</v>
      </c>
      <c r="D637" s="324">
        <v>2011</v>
      </c>
      <c r="E637" s="325">
        <v>54286</v>
      </c>
      <c r="F637" s="324"/>
      <c r="G637" s="324">
        <v>2024</v>
      </c>
      <c r="H637" s="324" t="s">
        <v>1095</v>
      </c>
      <c r="I637" s="324">
        <v>1</v>
      </c>
    </row>
    <row r="638" spans="2:9">
      <c r="B638" s="324">
        <v>619</v>
      </c>
      <c r="C638" s="324" t="s">
        <v>310</v>
      </c>
      <c r="D638" s="324">
        <v>2012</v>
      </c>
      <c r="E638" s="325">
        <v>5403122</v>
      </c>
      <c r="F638" s="324"/>
      <c r="G638" s="324">
        <v>2024</v>
      </c>
      <c r="H638" s="324" t="s">
        <v>1095</v>
      </c>
      <c r="I638" s="324">
        <v>1</v>
      </c>
    </row>
    <row r="639" spans="2:9">
      <c r="B639" s="324">
        <v>620</v>
      </c>
      <c r="C639" s="324" t="s">
        <v>310</v>
      </c>
      <c r="D639" s="324">
        <v>2013</v>
      </c>
      <c r="E639" s="325">
        <v>1629366</v>
      </c>
      <c r="F639" s="324"/>
      <c r="G639" s="324">
        <v>2024</v>
      </c>
      <c r="H639" s="324" t="s">
        <v>1095</v>
      </c>
      <c r="I639" s="324">
        <v>1</v>
      </c>
    </row>
    <row r="640" spans="2:9">
      <c r="B640" s="324">
        <v>621</v>
      </c>
      <c r="C640" s="324" t="s">
        <v>310</v>
      </c>
      <c r="D640" s="324">
        <v>2014</v>
      </c>
      <c r="E640" s="325">
        <v>430444</v>
      </c>
      <c r="F640" s="324"/>
      <c r="G640" s="324">
        <v>2024</v>
      </c>
      <c r="H640" s="324" t="s">
        <v>1095</v>
      </c>
      <c r="I640" s="324">
        <v>1</v>
      </c>
    </row>
    <row r="641" spans="2:9">
      <c r="B641" s="324">
        <v>622</v>
      </c>
      <c r="C641" s="324" t="s">
        <v>310</v>
      </c>
      <c r="D641" s="324">
        <v>2015</v>
      </c>
      <c r="E641" s="325">
        <v>10178980</v>
      </c>
      <c r="F641" s="324"/>
      <c r="G641" s="324">
        <v>2024</v>
      </c>
      <c r="H641" s="324" t="s">
        <v>1095</v>
      </c>
      <c r="I641" s="324">
        <v>1</v>
      </c>
    </row>
    <row r="642" spans="2:9">
      <c r="B642" s="324">
        <v>623</v>
      </c>
      <c r="C642" s="324" t="s">
        <v>310</v>
      </c>
      <c r="D642" s="324">
        <v>2016</v>
      </c>
      <c r="E642" s="325">
        <v>234402</v>
      </c>
      <c r="F642" s="324"/>
      <c r="G642" s="324">
        <v>2024</v>
      </c>
      <c r="H642" s="324" t="s">
        <v>1095</v>
      </c>
      <c r="I642" s="324">
        <v>1</v>
      </c>
    </row>
    <row r="643" spans="2:9">
      <c r="B643" s="324">
        <v>624</v>
      </c>
      <c r="C643" s="324" t="s">
        <v>310</v>
      </c>
      <c r="D643" s="324">
        <v>2017</v>
      </c>
      <c r="E643" s="325">
        <v>16812217</v>
      </c>
      <c r="F643" s="324"/>
      <c r="G643" s="324">
        <v>2024</v>
      </c>
      <c r="H643" s="324" t="s">
        <v>1095</v>
      </c>
      <c r="I643" s="324">
        <v>1</v>
      </c>
    </row>
    <row r="644" spans="2:9">
      <c r="B644" s="324">
        <v>625</v>
      </c>
      <c r="C644" s="324" t="s">
        <v>310</v>
      </c>
      <c r="D644" s="324">
        <v>2020</v>
      </c>
      <c r="E644" s="325">
        <v>137668</v>
      </c>
      <c r="F644" s="324"/>
      <c r="G644" s="324">
        <v>2024</v>
      </c>
      <c r="H644" s="324" t="s">
        <v>1095</v>
      </c>
      <c r="I644" s="324">
        <v>1</v>
      </c>
    </row>
    <row r="645" spans="2:9">
      <c r="B645" s="324">
        <v>626</v>
      </c>
      <c r="C645" s="324" t="s">
        <v>314</v>
      </c>
      <c r="D645" s="324">
        <v>1972</v>
      </c>
      <c r="E645" s="325">
        <v>21452</v>
      </c>
      <c r="F645" s="324"/>
      <c r="G645" s="324">
        <v>2024</v>
      </c>
      <c r="H645" s="324" t="s">
        <v>1095</v>
      </c>
      <c r="I645" s="324">
        <v>1</v>
      </c>
    </row>
    <row r="646" spans="2:9">
      <c r="B646" s="324">
        <v>627</v>
      </c>
      <c r="C646" s="324" t="s">
        <v>314</v>
      </c>
      <c r="D646" s="324">
        <v>1979</v>
      </c>
      <c r="E646" s="325">
        <v>68889</v>
      </c>
      <c r="F646" s="324"/>
      <c r="G646" s="324">
        <v>2024</v>
      </c>
      <c r="H646" s="324" t="s">
        <v>1095</v>
      </c>
      <c r="I646" s="324">
        <v>1</v>
      </c>
    </row>
    <row r="647" spans="2:9">
      <c r="B647" s="324">
        <v>628</v>
      </c>
      <c r="C647" s="324" t="s">
        <v>314</v>
      </c>
      <c r="D647" s="324">
        <v>1993</v>
      </c>
      <c r="E647" s="325">
        <v>15217</v>
      </c>
      <c r="F647" s="324"/>
      <c r="G647" s="324">
        <v>2024</v>
      </c>
      <c r="H647" s="324" t="s">
        <v>1095</v>
      </c>
      <c r="I647" s="324">
        <v>1</v>
      </c>
    </row>
    <row r="648" spans="2:9">
      <c r="B648" s="324">
        <v>629</v>
      </c>
      <c r="C648" s="324" t="s">
        <v>314</v>
      </c>
      <c r="D648" s="324">
        <v>1994</v>
      </c>
      <c r="E648" s="325">
        <v>36896</v>
      </c>
      <c r="F648" s="324"/>
      <c r="G648" s="324">
        <v>2024</v>
      </c>
      <c r="H648" s="324" t="s">
        <v>1095</v>
      </c>
      <c r="I648" s="324">
        <v>1</v>
      </c>
    </row>
    <row r="649" spans="2:9">
      <c r="B649" s="324">
        <v>630</v>
      </c>
      <c r="C649" s="324" t="s">
        <v>314</v>
      </c>
      <c r="D649" s="324">
        <v>2001</v>
      </c>
      <c r="E649" s="325">
        <v>136657</v>
      </c>
      <c r="F649" s="324"/>
      <c r="G649" s="324">
        <v>2024</v>
      </c>
      <c r="H649" s="324" t="s">
        <v>1095</v>
      </c>
      <c r="I649" s="324">
        <v>1</v>
      </c>
    </row>
    <row r="650" spans="2:9">
      <c r="B650" s="324">
        <v>631</v>
      </c>
      <c r="C650" s="324" t="s">
        <v>314</v>
      </c>
      <c r="D650" s="324">
        <v>2005</v>
      </c>
      <c r="E650" s="325">
        <v>53318</v>
      </c>
      <c r="F650" s="324"/>
      <c r="G650" s="324">
        <v>2024</v>
      </c>
      <c r="H650" s="324" t="s">
        <v>1095</v>
      </c>
      <c r="I650" s="324">
        <v>1</v>
      </c>
    </row>
    <row r="651" spans="2:9">
      <c r="B651" s="324">
        <v>632</v>
      </c>
      <c r="C651" s="324" t="s">
        <v>314</v>
      </c>
      <c r="D651" s="324">
        <v>2006</v>
      </c>
      <c r="E651" s="325">
        <v>109055</v>
      </c>
      <c r="F651" s="324"/>
      <c r="G651" s="324">
        <v>2024</v>
      </c>
      <c r="H651" s="324" t="s">
        <v>1095</v>
      </c>
      <c r="I651" s="324">
        <v>1</v>
      </c>
    </row>
    <row r="652" spans="2:9">
      <c r="B652" s="324">
        <v>633</v>
      </c>
      <c r="C652" s="324" t="s">
        <v>314</v>
      </c>
      <c r="D652" s="324">
        <v>2014</v>
      </c>
      <c r="E652" s="325">
        <v>114078</v>
      </c>
      <c r="F652" s="324"/>
      <c r="G652" s="324">
        <v>2024</v>
      </c>
      <c r="H652" s="324" t="s">
        <v>1095</v>
      </c>
      <c r="I652" s="324">
        <v>1</v>
      </c>
    </row>
    <row r="653" spans="2:9">
      <c r="B653" s="324">
        <v>634</v>
      </c>
      <c r="C653" s="324" t="s">
        <v>318</v>
      </c>
      <c r="D653" s="324">
        <v>1964</v>
      </c>
      <c r="E653" s="325">
        <v>31497</v>
      </c>
      <c r="F653" s="324"/>
      <c r="G653" s="324">
        <v>2024</v>
      </c>
      <c r="H653" s="324" t="s">
        <v>1095</v>
      </c>
      <c r="I653" s="324">
        <v>1</v>
      </c>
    </row>
    <row r="654" spans="2:9">
      <c r="B654" s="324">
        <v>635</v>
      </c>
      <c r="C654" s="324" t="s">
        <v>318</v>
      </c>
      <c r="D654" s="324">
        <v>1966</v>
      </c>
      <c r="E654" s="325">
        <v>6226</v>
      </c>
      <c r="F654" s="324"/>
      <c r="G654" s="324">
        <v>2024</v>
      </c>
      <c r="H654" s="324" t="s">
        <v>1095</v>
      </c>
      <c r="I654" s="324">
        <v>1</v>
      </c>
    </row>
    <row r="655" spans="2:9">
      <c r="B655" s="324">
        <v>636</v>
      </c>
      <c r="C655" s="324" t="s">
        <v>318</v>
      </c>
      <c r="D655" s="324">
        <v>1968</v>
      </c>
      <c r="E655" s="325">
        <v>20904</v>
      </c>
      <c r="F655" s="324"/>
      <c r="G655" s="324">
        <v>2024</v>
      </c>
      <c r="H655" s="324" t="s">
        <v>1095</v>
      </c>
      <c r="I655" s="324">
        <v>1</v>
      </c>
    </row>
    <row r="656" spans="2:9">
      <c r="B656" s="324">
        <v>637</v>
      </c>
      <c r="C656" s="324" t="s">
        <v>318</v>
      </c>
      <c r="D656" s="324">
        <v>1970</v>
      </c>
      <c r="E656" s="325">
        <v>27359</v>
      </c>
      <c r="F656" s="324"/>
      <c r="G656" s="324">
        <v>2024</v>
      </c>
      <c r="H656" s="324" t="s">
        <v>1095</v>
      </c>
      <c r="I656" s="324">
        <v>1</v>
      </c>
    </row>
    <row r="657" spans="2:9">
      <c r="B657" s="324">
        <v>638</v>
      </c>
      <c r="C657" s="324" t="s">
        <v>318</v>
      </c>
      <c r="D657" s="324">
        <v>1971</v>
      </c>
      <c r="E657" s="325">
        <v>8621</v>
      </c>
      <c r="F657" s="324"/>
      <c r="G657" s="324">
        <v>2024</v>
      </c>
      <c r="H657" s="324" t="s">
        <v>1095</v>
      </c>
      <c r="I657" s="324">
        <v>1</v>
      </c>
    </row>
    <row r="658" spans="2:9">
      <c r="B658" s="324">
        <v>639</v>
      </c>
      <c r="C658" s="324" t="s">
        <v>318</v>
      </c>
      <c r="D658" s="324">
        <v>1992</v>
      </c>
      <c r="E658" s="325">
        <v>125847</v>
      </c>
      <c r="F658" s="324"/>
      <c r="G658" s="324">
        <v>2024</v>
      </c>
      <c r="H658" s="324" t="s">
        <v>1095</v>
      </c>
      <c r="I658" s="324">
        <v>1</v>
      </c>
    </row>
    <row r="659" spans="2:9">
      <c r="B659" s="324">
        <v>640</v>
      </c>
      <c r="C659" s="324" t="s">
        <v>318</v>
      </c>
      <c r="D659" s="324">
        <v>2008</v>
      </c>
      <c r="E659" s="325">
        <v>49793</v>
      </c>
      <c r="F659" s="324"/>
      <c r="G659" s="324">
        <v>2024</v>
      </c>
      <c r="H659" s="324" t="s">
        <v>1095</v>
      </c>
      <c r="I659" s="324">
        <v>1</v>
      </c>
    </row>
    <row r="660" spans="2:9">
      <c r="B660" s="324">
        <v>641</v>
      </c>
      <c r="C660" s="324" t="s">
        <v>318</v>
      </c>
      <c r="D660" s="324">
        <v>2010</v>
      </c>
      <c r="E660" s="325">
        <v>17971</v>
      </c>
      <c r="F660" s="324"/>
      <c r="G660" s="324">
        <v>2024</v>
      </c>
      <c r="H660" s="324" t="s">
        <v>1095</v>
      </c>
      <c r="I660" s="324">
        <v>1</v>
      </c>
    </row>
    <row r="661" spans="2:9">
      <c r="B661" s="324">
        <v>642</v>
      </c>
      <c r="C661" s="324" t="s">
        <v>318</v>
      </c>
      <c r="D661" s="324">
        <v>2020</v>
      </c>
      <c r="E661" s="325">
        <v>26412</v>
      </c>
      <c r="F661" s="324"/>
      <c r="G661" s="324">
        <v>2024</v>
      </c>
      <c r="H661" s="324" t="s">
        <v>1095</v>
      </c>
      <c r="I661" s="324">
        <v>1</v>
      </c>
    </row>
    <row r="662" spans="2:9">
      <c r="B662" s="324">
        <v>643</v>
      </c>
      <c r="C662" s="324" t="s">
        <v>318</v>
      </c>
      <c r="D662" s="324">
        <v>2022</v>
      </c>
      <c r="E662" s="325">
        <v>87808</v>
      </c>
      <c r="F662" s="324">
        <v>274866</v>
      </c>
      <c r="G662" s="324">
        <v>2024</v>
      </c>
      <c r="H662" s="324" t="s">
        <v>1095</v>
      </c>
      <c r="I662" s="324">
        <v>1</v>
      </c>
    </row>
    <row r="663" spans="2:9">
      <c r="B663" s="324">
        <v>644</v>
      </c>
      <c r="C663" s="324" t="s">
        <v>324</v>
      </c>
      <c r="D663" s="324">
        <v>1964</v>
      </c>
      <c r="E663" s="325">
        <v>64261</v>
      </c>
      <c r="F663" s="324"/>
      <c r="G663" s="324">
        <v>2024</v>
      </c>
      <c r="H663" s="324" t="s">
        <v>1095</v>
      </c>
      <c r="I663" s="324">
        <v>1</v>
      </c>
    </row>
    <row r="664" spans="2:9">
      <c r="B664" s="324">
        <v>645</v>
      </c>
      <c r="C664" s="324" t="s">
        <v>329</v>
      </c>
      <c r="D664" s="324">
        <v>1973</v>
      </c>
      <c r="E664" s="325">
        <v>21819</v>
      </c>
      <c r="F664" s="324"/>
      <c r="G664" s="324">
        <v>2024</v>
      </c>
      <c r="H664" s="324" t="s">
        <v>1095</v>
      </c>
      <c r="I664" s="324">
        <v>1</v>
      </c>
    </row>
    <row r="665" spans="2:9">
      <c r="B665" s="324">
        <v>646</v>
      </c>
      <c r="C665" s="324" t="s">
        <v>329</v>
      </c>
      <c r="D665" s="324">
        <v>1986</v>
      </c>
      <c r="E665" s="325">
        <v>21598</v>
      </c>
      <c r="F665" s="324"/>
      <c r="G665" s="324">
        <v>2024</v>
      </c>
      <c r="H665" s="324" t="s">
        <v>1095</v>
      </c>
      <c r="I665" s="324">
        <v>1</v>
      </c>
    </row>
    <row r="666" spans="2:9">
      <c r="B666" s="324">
        <v>647</v>
      </c>
      <c r="C666" s="324" t="s">
        <v>329</v>
      </c>
      <c r="D666" s="324">
        <v>2011</v>
      </c>
      <c r="E666" s="325">
        <v>34751</v>
      </c>
      <c r="F666" s="324"/>
      <c r="G666" s="324">
        <v>2024</v>
      </c>
      <c r="H666" s="324" t="s">
        <v>1095</v>
      </c>
      <c r="I666" s="324">
        <v>1</v>
      </c>
    </row>
    <row r="667" spans="2:9">
      <c r="B667" s="324">
        <v>648</v>
      </c>
      <c r="C667" s="324" t="s">
        <v>332</v>
      </c>
      <c r="D667" s="324">
        <v>1998</v>
      </c>
      <c r="E667" s="325">
        <v>13173</v>
      </c>
      <c r="F667" s="324"/>
      <c r="G667" s="324">
        <v>2024</v>
      </c>
      <c r="H667" s="324" t="s">
        <v>1095</v>
      </c>
      <c r="I667" s="324">
        <v>1</v>
      </c>
    </row>
    <row r="668" spans="2:9">
      <c r="B668" s="324">
        <v>649</v>
      </c>
      <c r="C668" s="324" t="s">
        <v>277</v>
      </c>
      <c r="D668" s="324">
        <v>1955</v>
      </c>
      <c r="E668" s="325">
        <v>0.01</v>
      </c>
      <c r="F668" s="324"/>
      <c r="G668" s="324">
        <v>2025</v>
      </c>
      <c r="H668" s="324" t="s">
        <v>1167</v>
      </c>
      <c r="I668" s="324">
        <v>1</v>
      </c>
    </row>
    <row r="669" spans="2:9">
      <c r="B669" s="324">
        <v>650</v>
      </c>
      <c r="C669" s="324" t="s">
        <v>277</v>
      </c>
      <c r="D669" s="324">
        <v>1958</v>
      </c>
      <c r="E669" s="325">
        <v>59582.83</v>
      </c>
      <c r="F669" s="324"/>
      <c r="G669" s="324">
        <v>2025</v>
      </c>
      <c r="H669" s="324" t="s">
        <v>1167</v>
      </c>
      <c r="I669" s="324">
        <v>1</v>
      </c>
    </row>
    <row r="670" spans="2:9">
      <c r="B670" s="324">
        <v>651</v>
      </c>
      <c r="C670" s="324" t="s">
        <v>277</v>
      </c>
      <c r="D670" s="324">
        <v>1959</v>
      </c>
      <c r="E670" s="325">
        <v>44892</v>
      </c>
      <c r="F670" s="324"/>
      <c r="G670" s="324">
        <v>2025</v>
      </c>
      <c r="H670" s="324" t="s">
        <v>1167</v>
      </c>
      <c r="I670" s="324">
        <v>1</v>
      </c>
    </row>
    <row r="671" spans="2:9">
      <c r="B671" s="324">
        <v>652</v>
      </c>
      <c r="C671" s="324" t="s">
        <v>277</v>
      </c>
      <c r="D671" s="324">
        <v>1960</v>
      </c>
      <c r="E671" s="325">
        <v>5478.6</v>
      </c>
      <c r="F671" s="324"/>
      <c r="G671" s="324">
        <v>2025</v>
      </c>
      <c r="H671" s="324" t="s">
        <v>1167</v>
      </c>
      <c r="I671" s="324">
        <v>1</v>
      </c>
    </row>
    <row r="672" spans="2:9">
      <c r="B672" s="324">
        <v>653</v>
      </c>
      <c r="C672" s="324" t="s">
        <v>277</v>
      </c>
      <c r="D672" s="324">
        <v>1962</v>
      </c>
      <c r="E672" s="325">
        <v>40000</v>
      </c>
      <c r="F672" s="324"/>
      <c r="G672" s="324">
        <v>2025</v>
      </c>
      <c r="H672" s="324" t="s">
        <v>1167</v>
      </c>
      <c r="I672" s="324">
        <v>1</v>
      </c>
    </row>
    <row r="673" spans="2:9">
      <c r="B673" s="324">
        <v>654</v>
      </c>
      <c r="C673" s="324" t="s">
        <v>277</v>
      </c>
      <c r="D673" s="324">
        <v>1964</v>
      </c>
      <c r="E673" s="325">
        <v>9532.64</v>
      </c>
      <c r="F673" s="324"/>
      <c r="G673" s="324">
        <v>2025</v>
      </c>
      <c r="H673" s="324" t="s">
        <v>1167</v>
      </c>
      <c r="I673" s="324">
        <v>1</v>
      </c>
    </row>
    <row r="674" spans="2:9">
      <c r="B674" s="324">
        <v>655</v>
      </c>
      <c r="C674" s="324" t="s">
        <v>277</v>
      </c>
      <c r="D674" s="324">
        <v>1965</v>
      </c>
      <c r="E674" s="325">
        <v>96092.19</v>
      </c>
      <c r="F674" s="324"/>
      <c r="G674" s="324">
        <v>2025</v>
      </c>
      <c r="H674" s="324" t="s">
        <v>1167</v>
      </c>
      <c r="I674" s="324">
        <v>1</v>
      </c>
    </row>
    <row r="675" spans="2:9">
      <c r="B675" s="324">
        <v>656</v>
      </c>
      <c r="C675" s="324" t="s">
        <v>277</v>
      </c>
      <c r="D675" s="324">
        <v>1966</v>
      </c>
      <c r="E675" s="325">
        <v>22198.9</v>
      </c>
      <c r="F675" s="324"/>
      <c r="G675" s="324">
        <v>2025</v>
      </c>
      <c r="H675" s="324" t="s">
        <v>1167</v>
      </c>
      <c r="I675" s="324">
        <v>1</v>
      </c>
    </row>
    <row r="676" spans="2:9">
      <c r="B676" s="324">
        <v>657</v>
      </c>
      <c r="C676" s="324" t="s">
        <v>277</v>
      </c>
      <c r="D676" s="324">
        <v>1967</v>
      </c>
      <c r="E676" s="325">
        <v>127525.68</v>
      </c>
      <c r="F676" s="324"/>
      <c r="G676" s="324">
        <v>2025</v>
      </c>
      <c r="H676" s="324" t="s">
        <v>1167</v>
      </c>
      <c r="I676" s="324">
        <v>1</v>
      </c>
    </row>
    <row r="677" spans="2:9">
      <c r="B677" s="324">
        <v>658</v>
      </c>
      <c r="C677" s="324" t="s">
        <v>277</v>
      </c>
      <c r="D677" s="324">
        <v>1968</v>
      </c>
      <c r="E677" s="325">
        <v>94809.16</v>
      </c>
      <c r="F677" s="324"/>
      <c r="G677" s="324">
        <v>2025</v>
      </c>
      <c r="H677" s="324" t="s">
        <v>1167</v>
      </c>
      <c r="I677" s="324">
        <v>1</v>
      </c>
    </row>
    <row r="678" spans="2:9">
      <c r="B678" s="324">
        <v>659</v>
      </c>
      <c r="C678" s="324" t="s">
        <v>277</v>
      </c>
      <c r="D678" s="324">
        <v>1969</v>
      </c>
      <c r="E678" s="325">
        <v>384260.95</v>
      </c>
      <c r="F678" s="324"/>
      <c r="G678" s="324">
        <v>2025</v>
      </c>
      <c r="H678" s="324" t="s">
        <v>1167</v>
      </c>
      <c r="I678" s="324">
        <v>1</v>
      </c>
    </row>
    <row r="679" spans="2:9">
      <c r="B679" s="324">
        <v>660</v>
      </c>
      <c r="C679" s="324" t="s">
        <v>277</v>
      </c>
      <c r="D679" s="324">
        <v>1970</v>
      </c>
      <c r="E679" s="325">
        <v>56836.09</v>
      </c>
      <c r="F679" s="324"/>
      <c r="G679" s="324">
        <v>2025</v>
      </c>
      <c r="H679" s="324" t="s">
        <v>1167</v>
      </c>
      <c r="I679" s="324">
        <v>1</v>
      </c>
    </row>
    <row r="680" spans="2:9">
      <c r="B680" s="324">
        <v>661</v>
      </c>
      <c r="C680" s="324" t="s">
        <v>277</v>
      </c>
      <c r="D680" s="324">
        <v>1971</v>
      </c>
      <c r="E680" s="325">
        <v>40095.18</v>
      </c>
      <c r="F680" s="324"/>
      <c r="G680" s="324">
        <v>2025</v>
      </c>
      <c r="H680" s="324" t="s">
        <v>1167</v>
      </c>
      <c r="I680" s="324">
        <v>1</v>
      </c>
    </row>
    <row r="681" spans="2:9">
      <c r="B681" s="324">
        <v>662</v>
      </c>
      <c r="C681" s="324" t="s">
        <v>277</v>
      </c>
      <c r="D681" s="324">
        <v>1972</v>
      </c>
      <c r="E681" s="325">
        <v>80611.679999999993</v>
      </c>
      <c r="F681" s="324"/>
      <c r="G681" s="324">
        <v>2025</v>
      </c>
      <c r="H681" s="324" t="s">
        <v>1167</v>
      </c>
      <c r="I681" s="324">
        <v>1</v>
      </c>
    </row>
    <row r="682" spans="2:9">
      <c r="B682" s="324">
        <v>663</v>
      </c>
      <c r="C682" s="324" t="s">
        <v>277</v>
      </c>
      <c r="D682" s="324">
        <v>1973</v>
      </c>
      <c r="E682" s="325">
        <v>39463.9</v>
      </c>
      <c r="F682" s="324"/>
      <c r="G682" s="324">
        <v>2025</v>
      </c>
      <c r="H682" s="324" t="s">
        <v>1167</v>
      </c>
      <c r="I682" s="324">
        <v>1</v>
      </c>
    </row>
    <row r="683" spans="2:9">
      <c r="B683" s="324">
        <v>664</v>
      </c>
      <c r="C683" s="324" t="s">
        <v>277</v>
      </c>
      <c r="D683" s="324">
        <v>1974</v>
      </c>
      <c r="E683" s="325">
        <v>40000</v>
      </c>
      <c r="F683" s="324"/>
      <c r="G683" s="324">
        <v>2025</v>
      </c>
      <c r="H683" s="324" t="s">
        <v>1167</v>
      </c>
      <c r="I683" s="324">
        <v>1</v>
      </c>
    </row>
    <row r="684" spans="2:9">
      <c r="B684" s="324">
        <v>665</v>
      </c>
      <c r="C684" s="324" t="s">
        <v>277</v>
      </c>
      <c r="D684" s="324">
        <v>1975</v>
      </c>
      <c r="E684" s="325">
        <v>40000</v>
      </c>
      <c r="F684" s="324"/>
      <c r="G684" s="324">
        <v>2025</v>
      </c>
      <c r="H684" s="324" t="s">
        <v>1167</v>
      </c>
      <c r="I684" s="324">
        <v>1</v>
      </c>
    </row>
    <row r="685" spans="2:9">
      <c r="B685" s="324">
        <v>666</v>
      </c>
      <c r="C685" s="324" t="s">
        <v>277</v>
      </c>
      <c r="D685" s="324">
        <v>1977</v>
      </c>
      <c r="E685" s="325">
        <v>40000</v>
      </c>
      <c r="F685" s="324"/>
      <c r="G685" s="324">
        <v>2025</v>
      </c>
      <c r="H685" s="324" t="s">
        <v>1167</v>
      </c>
      <c r="I685" s="324">
        <v>1</v>
      </c>
    </row>
    <row r="686" spans="2:9">
      <c r="B686" s="324">
        <v>667</v>
      </c>
      <c r="C686" s="324" t="s">
        <v>277</v>
      </c>
      <c r="D686" s="324">
        <v>1978</v>
      </c>
      <c r="E686" s="325">
        <v>40000</v>
      </c>
      <c r="F686" s="324"/>
      <c r="G686" s="324">
        <v>2025</v>
      </c>
      <c r="H686" s="324" t="s">
        <v>1167</v>
      </c>
      <c r="I686" s="324">
        <v>1</v>
      </c>
    </row>
    <row r="687" spans="2:9">
      <c r="B687" s="324">
        <v>668</v>
      </c>
      <c r="C687" s="324" t="s">
        <v>277</v>
      </c>
      <c r="D687" s="324">
        <v>1980</v>
      </c>
      <c r="E687" s="325">
        <v>39612.29</v>
      </c>
      <c r="F687" s="324"/>
      <c r="G687" s="324">
        <v>2025</v>
      </c>
      <c r="H687" s="324" t="s">
        <v>1167</v>
      </c>
      <c r="I687" s="324">
        <v>1</v>
      </c>
    </row>
    <row r="688" spans="2:9">
      <c r="B688" s="324">
        <v>669</v>
      </c>
      <c r="C688" s="324" t="s">
        <v>277</v>
      </c>
      <c r="D688" s="324">
        <v>1986</v>
      </c>
      <c r="E688" s="325">
        <v>50000</v>
      </c>
      <c r="F688" s="324"/>
      <c r="G688" s="324">
        <v>2025</v>
      </c>
      <c r="H688" s="324" t="s">
        <v>1167</v>
      </c>
      <c r="I688" s="324">
        <v>1</v>
      </c>
    </row>
    <row r="689" spans="2:9">
      <c r="B689" s="324">
        <v>670</v>
      </c>
      <c r="C689" s="324" t="s">
        <v>277</v>
      </c>
      <c r="D689" s="324">
        <v>1987</v>
      </c>
      <c r="E689" s="325">
        <v>21032.32</v>
      </c>
      <c r="F689" s="324"/>
      <c r="G689" s="324">
        <v>2025</v>
      </c>
      <c r="H689" s="324" t="s">
        <v>1167</v>
      </c>
      <c r="I689" s="324">
        <v>1</v>
      </c>
    </row>
    <row r="690" spans="2:9">
      <c r="B690" s="324">
        <v>671</v>
      </c>
      <c r="C690" s="324" t="s">
        <v>277</v>
      </c>
      <c r="D690" s="324">
        <v>1992</v>
      </c>
      <c r="E690" s="325">
        <v>26948.39</v>
      </c>
      <c r="F690" s="324"/>
      <c r="G690" s="324">
        <v>2025</v>
      </c>
      <c r="H690" s="324" t="s">
        <v>1167</v>
      </c>
      <c r="I690" s="324">
        <v>1</v>
      </c>
    </row>
    <row r="691" spans="2:9">
      <c r="B691" s="324">
        <v>672</v>
      </c>
      <c r="C691" s="324" t="s">
        <v>277</v>
      </c>
      <c r="D691" s="324">
        <v>1993</v>
      </c>
      <c r="E691" s="325">
        <v>40734.44</v>
      </c>
      <c r="F691" s="324"/>
      <c r="G691" s="324">
        <v>2025</v>
      </c>
      <c r="H691" s="324" t="s">
        <v>1167</v>
      </c>
      <c r="I691" s="324">
        <v>1</v>
      </c>
    </row>
    <row r="692" spans="2:9">
      <c r="B692" s="324">
        <v>673</v>
      </c>
      <c r="C692" s="324" t="s">
        <v>277</v>
      </c>
      <c r="D692" s="324">
        <v>1995</v>
      </c>
      <c r="E692" s="325">
        <v>17597.68</v>
      </c>
      <c r="F692" s="324"/>
      <c r="G692" s="324">
        <v>2025</v>
      </c>
      <c r="H692" s="324" t="s">
        <v>1167</v>
      </c>
      <c r="I692" s="324">
        <v>1</v>
      </c>
    </row>
    <row r="693" spans="2:9">
      <c r="B693" s="324">
        <v>674</v>
      </c>
      <c r="C693" s="324" t="s">
        <v>277</v>
      </c>
      <c r="D693" s="324">
        <v>1998</v>
      </c>
      <c r="E693" s="325">
        <v>6240.6</v>
      </c>
      <c r="F693" s="324"/>
      <c r="G693" s="324">
        <v>2025</v>
      </c>
      <c r="H693" s="324" t="s">
        <v>1167</v>
      </c>
      <c r="I693" s="324">
        <v>1</v>
      </c>
    </row>
    <row r="694" spans="2:9">
      <c r="B694" s="324">
        <v>675</v>
      </c>
      <c r="C694" s="324" t="s">
        <v>277</v>
      </c>
      <c r="D694" s="324">
        <v>2004</v>
      </c>
      <c r="E694" s="325">
        <v>7506.82</v>
      </c>
      <c r="F694" s="324"/>
      <c r="G694" s="324">
        <v>2025</v>
      </c>
      <c r="H694" s="324" t="s">
        <v>1167</v>
      </c>
      <c r="I694" s="324">
        <v>1</v>
      </c>
    </row>
    <row r="695" spans="2:9">
      <c r="B695" s="324">
        <v>676</v>
      </c>
      <c r="C695" s="324" t="s">
        <v>277</v>
      </c>
      <c r="D695" s="324">
        <v>2005</v>
      </c>
      <c r="E695" s="325">
        <v>500909.4</v>
      </c>
      <c r="F695" s="324"/>
      <c r="G695" s="324">
        <v>2025</v>
      </c>
      <c r="H695" s="324" t="s">
        <v>1167</v>
      </c>
      <c r="I695" s="324">
        <v>1</v>
      </c>
    </row>
    <row r="696" spans="2:9">
      <c r="B696" s="324">
        <v>677</v>
      </c>
      <c r="C696" s="324" t="s">
        <v>277</v>
      </c>
      <c r="D696" s="324">
        <v>2008</v>
      </c>
      <c r="E696" s="325">
        <v>232021.77</v>
      </c>
      <c r="F696" s="324">
        <v>189352</v>
      </c>
      <c r="G696" s="324">
        <v>2025</v>
      </c>
      <c r="H696" s="324" t="s">
        <v>1167</v>
      </c>
      <c r="I696" s="324">
        <v>1</v>
      </c>
    </row>
    <row r="697" spans="2:9">
      <c r="B697" s="324">
        <v>678</v>
      </c>
      <c r="C697" s="324" t="s">
        <v>277</v>
      </c>
      <c r="D697" s="324">
        <v>2010</v>
      </c>
      <c r="E697" s="325">
        <v>1064522.73</v>
      </c>
      <c r="F697" s="324"/>
      <c r="G697" s="324">
        <v>2025</v>
      </c>
      <c r="H697" s="324" t="s">
        <v>1167</v>
      </c>
      <c r="I697" s="324">
        <v>1</v>
      </c>
    </row>
    <row r="698" spans="2:9">
      <c r="B698" s="324">
        <v>679</v>
      </c>
      <c r="C698" s="324" t="s">
        <v>277</v>
      </c>
      <c r="D698" s="324">
        <v>2011</v>
      </c>
      <c r="E698" s="325">
        <v>89555.22</v>
      </c>
      <c r="F698" s="324"/>
      <c r="G698" s="324">
        <v>2025</v>
      </c>
      <c r="H698" s="324" t="s">
        <v>1167</v>
      </c>
      <c r="I698" s="324">
        <v>1</v>
      </c>
    </row>
    <row r="699" spans="2:9">
      <c r="B699" s="324">
        <v>680</v>
      </c>
      <c r="C699" s="324" t="s">
        <v>277</v>
      </c>
      <c r="D699" s="324">
        <v>2012</v>
      </c>
      <c r="E699" s="325">
        <v>609557.21</v>
      </c>
      <c r="F699" s="324"/>
      <c r="G699" s="324">
        <v>2025</v>
      </c>
      <c r="H699" s="324" t="s">
        <v>1167</v>
      </c>
      <c r="I699" s="324">
        <v>1</v>
      </c>
    </row>
    <row r="700" spans="2:9">
      <c r="B700" s="324">
        <v>681</v>
      </c>
      <c r="C700" s="324" t="s">
        <v>277</v>
      </c>
      <c r="D700" s="324">
        <v>2016</v>
      </c>
      <c r="E700" s="325">
        <v>190476.55</v>
      </c>
      <c r="F700" s="324"/>
      <c r="G700" s="324">
        <v>2025</v>
      </c>
      <c r="H700" s="324" t="s">
        <v>1167</v>
      </c>
      <c r="I700" s="324">
        <v>1</v>
      </c>
    </row>
    <row r="701" spans="2:9">
      <c r="B701" s="324">
        <v>682</v>
      </c>
      <c r="C701" s="324" t="s">
        <v>277</v>
      </c>
      <c r="D701" s="324">
        <v>2017</v>
      </c>
      <c r="E701" s="325">
        <v>439054.05</v>
      </c>
      <c r="F701" s="324"/>
      <c r="G701" s="324">
        <v>2025</v>
      </c>
      <c r="H701" s="324" t="s">
        <v>1167</v>
      </c>
      <c r="I701" s="324">
        <v>1</v>
      </c>
    </row>
    <row r="702" spans="2:9">
      <c r="B702" s="324">
        <v>683</v>
      </c>
      <c r="C702" s="324" t="s">
        <v>277</v>
      </c>
      <c r="D702" s="324">
        <v>2018</v>
      </c>
      <c r="E702" s="325">
        <v>-2874.02</v>
      </c>
      <c r="F702" s="324"/>
      <c r="G702" s="324">
        <v>2025</v>
      </c>
      <c r="H702" s="324" t="s">
        <v>1167</v>
      </c>
      <c r="I702" s="324">
        <v>1</v>
      </c>
    </row>
    <row r="703" spans="2:9">
      <c r="B703" s="324">
        <v>684</v>
      </c>
      <c r="C703" s="324" t="s">
        <v>281</v>
      </c>
      <c r="D703" s="324">
        <v>1966</v>
      </c>
      <c r="E703" s="325">
        <v>20442.080000000002</v>
      </c>
      <c r="F703" s="324"/>
      <c r="G703" s="324">
        <v>2025</v>
      </c>
      <c r="H703" s="324" t="s">
        <v>1167</v>
      </c>
      <c r="I703" s="324">
        <v>1</v>
      </c>
    </row>
    <row r="704" spans="2:9">
      <c r="B704" s="324">
        <v>685</v>
      </c>
      <c r="C704" s="324" t="s">
        <v>281</v>
      </c>
      <c r="D704" s="324">
        <v>1967</v>
      </c>
      <c r="E704" s="325">
        <v>70722.649999999994</v>
      </c>
      <c r="F704" s="324"/>
      <c r="G704" s="324">
        <v>2025</v>
      </c>
      <c r="H704" s="324" t="s">
        <v>1167</v>
      </c>
      <c r="I704" s="324">
        <v>1</v>
      </c>
    </row>
    <row r="705" spans="2:9">
      <c r="B705" s="324">
        <v>686</v>
      </c>
      <c r="C705" s="324" t="s">
        <v>281</v>
      </c>
      <c r="D705" s="324">
        <v>1968</v>
      </c>
      <c r="E705" s="325">
        <v>142783</v>
      </c>
      <c r="F705" s="324"/>
      <c r="G705" s="324">
        <v>2025</v>
      </c>
      <c r="H705" s="324" t="s">
        <v>1167</v>
      </c>
      <c r="I705" s="324">
        <v>1</v>
      </c>
    </row>
    <row r="706" spans="2:9">
      <c r="B706" s="324">
        <v>687</v>
      </c>
      <c r="C706" s="324" t="s">
        <v>281</v>
      </c>
      <c r="D706" s="324">
        <v>1969</v>
      </c>
      <c r="E706" s="325">
        <v>243331.28</v>
      </c>
      <c r="F706" s="324"/>
      <c r="G706" s="324">
        <v>2025</v>
      </c>
      <c r="H706" s="324" t="s">
        <v>1167</v>
      </c>
      <c r="I706" s="324">
        <v>1</v>
      </c>
    </row>
    <row r="707" spans="2:9">
      <c r="B707" s="324">
        <v>688</v>
      </c>
      <c r="C707" s="324" t="s">
        <v>281</v>
      </c>
      <c r="D707" s="324">
        <v>1970</v>
      </c>
      <c r="E707" s="325">
        <v>249536.62</v>
      </c>
      <c r="F707" s="324"/>
      <c r="G707" s="324">
        <v>2025</v>
      </c>
      <c r="H707" s="324" t="s">
        <v>1167</v>
      </c>
      <c r="I707" s="324">
        <v>1</v>
      </c>
    </row>
    <row r="708" spans="2:9">
      <c r="B708" s="324">
        <v>689</v>
      </c>
      <c r="C708" s="324" t="s">
        <v>281</v>
      </c>
      <c r="D708" s="324">
        <v>1971</v>
      </c>
      <c r="E708" s="325">
        <v>141153.21</v>
      </c>
      <c r="F708" s="324"/>
      <c r="G708" s="324">
        <v>2025</v>
      </c>
      <c r="H708" s="324" t="s">
        <v>1167</v>
      </c>
      <c r="I708" s="324">
        <v>1</v>
      </c>
    </row>
    <row r="709" spans="2:9">
      <c r="B709" s="324">
        <v>690</v>
      </c>
      <c r="C709" s="324" t="s">
        <v>281</v>
      </c>
      <c r="D709" s="324">
        <v>1972</v>
      </c>
      <c r="E709" s="325">
        <v>112822.17</v>
      </c>
      <c r="F709" s="324"/>
      <c r="G709" s="324">
        <v>2025</v>
      </c>
      <c r="H709" s="324" t="s">
        <v>1167</v>
      </c>
      <c r="I709" s="324">
        <v>1</v>
      </c>
    </row>
    <row r="710" spans="2:9">
      <c r="B710" s="324">
        <v>691</v>
      </c>
      <c r="C710" s="324" t="s">
        <v>281</v>
      </c>
      <c r="D710" s="324">
        <v>1973</v>
      </c>
      <c r="E710" s="325">
        <v>21109.19</v>
      </c>
      <c r="F710" s="324"/>
      <c r="G710" s="324">
        <v>2025</v>
      </c>
      <c r="H710" s="324" t="s">
        <v>1167</v>
      </c>
      <c r="I710" s="324">
        <v>1</v>
      </c>
    </row>
    <row r="711" spans="2:9">
      <c r="B711" s="324">
        <v>692</v>
      </c>
      <c r="C711" s="324" t="s">
        <v>281</v>
      </c>
      <c r="D711" s="324">
        <v>1974</v>
      </c>
      <c r="E711" s="325">
        <v>66336.070000000007</v>
      </c>
      <c r="F711" s="324"/>
      <c r="G711" s="324">
        <v>2025</v>
      </c>
      <c r="H711" s="324" t="s">
        <v>1167</v>
      </c>
      <c r="I711" s="324">
        <v>1</v>
      </c>
    </row>
    <row r="712" spans="2:9">
      <c r="B712" s="324">
        <v>693</v>
      </c>
      <c r="C712" s="324" t="s">
        <v>281</v>
      </c>
      <c r="D712" s="324">
        <v>1975</v>
      </c>
      <c r="E712" s="325">
        <v>116217.54</v>
      </c>
      <c r="F712" s="324"/>
      <c r="G712" s="324">
        <v>2025</v>
      </c>
      <c r="H712" s="324" t="s">
        <v>1167</v>
      </c>
      <c r="I712" s="324">
        <v>1</v>
      </c>
    </row>
    <row r="713" spans="2:9">
      <c r="B713" s="324">
        <v>694</v>
      </c>
      <c r="C713" s="324" t="s">
        <v>281</v>
      </c>
      <c r="D713" s="324">
        <v>1976</v>
      </c>
      <c r="E713" s="325">
        <v>112997.91</v>
      </c>
      <c r="F713" s="324"/>
      <c r="G713" s="324">
        <v>2025</v>
      </c>
      <c r="H713" s="324" t="s">
        <v>1167</v>
      </c>
      <c r="I713" s="324">
        <v>1</v>
      </c>
    </row>
    <row r="714" spans="2:9">
      <c r="B714" s="324">
        <v>695</v>
      </c>
      <c r="C714" s="324" t="s">
        <v>281</v>
      </c>
      <c r="D714" s="324">
        <v>1977</v>
      </c>
      <c r="E714" s="325">
        <v>102021.61</v>
      </c>
      <c r="F714" s="324"/>
      <c r="G714" s="324">
        <v>2025</v>
      </c>
      <c r="H714" s="324" t="s">
        <v>1167</v>
      </c>
      <c r="I714" s="324">
        <v>1</v>
      </c>
    </row>
    <row r="715" spans="2:9">
      <c r="B715" s="324">
        <v>696</v>
      </c>
      <c r="C715" s="324" t="s">
        <v>281</v>
      </c>
      <c r="D715" s="324">
        <v>1978</v>
      </c>
      <c r="E715" s="325">
        <v>29172.21</v>
      </c>
      <c r="F715" s="324"/>
      <c r="G715" s="324">
        <v>2025</v>
      </c>
      <c r="H715" s="324" t="s">
        <v>1167</v>
      </c>
      <c r="I715" s="324">
        <v>1</v>
      </c>
    </row>
    <row r="716" spans="2:9">
      <c r="B716" s="324">
        <v>697</v>
      </c>
      <c r="C716" s="324" t="s">
        <v>281</v>
      </c>
      <c r="D716" s="324">
        <v>1980</v>
      </c>
      <c r="E716" s="325">
        <v>15011.07</v>
      </c>
      <c r="F716" s="324"/>
      <c r="G716" s="324">
        <v>2025</v>
      </c>
      <c r="H716" s="324" t="s">
        <v>1167</v>
      </c>
      <c r="I716" s="324">
        <v>1</v>
      </c>
    </row>
    <row r="717" spans="2:9">
      <c r="B717" s="324">
        <v>698</v>
      </c>
      <c r="C717" s="324" t="s">
        <v>281</v>
      </c>
      <c r="D717" s="324">
        <v>1982</v>
      </c>
      <c r="E717" s="325">
        <v>44175.28</v>
      </c>
      <c r="F717" s="324"/>
      <c r="G717" s="324">
        <v>2025</v>
      </c>
      <c r="H717" s="324" t="s">
        <v>1167</v>
      </c>
      <c r="I717" s="324">
        <v>1</v>
      </c>
    </row>
    <row r="718" spans="2:9">
      <c r="B718" s="324">
        <v>699</v>
      </c>
      <c r="C718" s="324" t="s">
        <v>281</v>
      </c>
      <c r="D718" s="324">
        <v>1984</v>
      </c>
      <c r="E718" s="325">
        <v>17043.580000000002</v>
      </c>
      <c r="F718" s="324"/>
      <c r="G718" s="324">
        <v>2025</v>
      </c>
      <c r="H718" s="324" t="s">
        <v>1167</v>
      </c>
      <c r="I718" s="324">
        <v>1</v>
      </c>
    </row>
    <row r="719" spans="2:9">
      <c r="B719" s="324">
        <v>700</v>
      </c>
      <c r="C719" s="324" t="s">
        <v>281</v>
      </c>
      <c r="D719" s="324">
        <v>1985</v>
      </c>
      <c r="E719" s="325">
        <v>19671.18</v>
      </c>
      <c r="F719" s="324"/>
      <c r="G719" s="324">
        <v>2025</v>
      </c>
      <c r="H719" s="324" t="s">
        <v>1167</v>
      </c>
      <c r="I719" s="324">
        <v>1</v>
      </c>
    </row>
    <row r="720" spans="2:9">
      <c r="B720" s="324">
        <v>701</v>
      </c>
      <c r="C720" s="324" t="s">
        <v>281</v>
      </c>
      <c r="D720" s="324">
        <v>1987</v>
      </c>
      <c r="E720" s="325">
        <v>20031.16</v>
      </c>
      <c r="F720" s="324"/>
      <c r="G720" s="324">
        <v>2025</v>
      </c>
      <c r="H720" s="324" t="s">
        <v>1167</v>
      </c>
      <c r="I720" s="324">
        <v>1</v>
      </c>
    </row>
    <row r="721" spans="2:9">
      <c r="B721" s="324">
        <v>702</v>
      </c>
      <c r="C721" s="324" t="s">
        <v>281</v>
      </c>
      <c r="D721" s="324">
        <v>1988</v>
      </c>
      <c r="E721" s="325">
        <v>73937.05</v>
      </c>
      <c r="F721" s="324"/>
      <c r="G721" s="324">
        <v>2025</v>
      </c>
      <c r="H721" s="324" t="s">
        <v>1167</v>
      </c>
      <c r="I721" s="324">
        <v>1</v>
      </c>
    </row>
    <row r="722" spans="2:9">
      <c r="B722" s="324">
        <v>703</v>
      </c>
      <c r="C722" s="324" t="s">
        <v>281</v>
      </c>
      <c r="D722" s="324">
        <v>1989</v>
      </c>
      <c r="E722" s="325">
        <v>45174.17</v>
      </c>
      <c r="F722" s="324"/>
      <c r="G722" s="324">
        <v>2025</v>
      </c>
      <c r="H722" s="324" t="s">
        <v>1167</v>
      </c>
      <c r="I722" s="324">
        <v>1</v>
      </c>
    </row>
    <row r="723" spans="2:9">
      <c r="B723" s="324">
        <v>704</v>
      </c>
      <c r="C723" s="324" t="s">
        <v>281</v>
      </c>
      <c r="D723" s="324">
        <v>1992</v>
      </c>
      <c r="E723" s="325">
        <v>81859.009999999995</v>
      </c>
      <c r="F723" s="324"/>
      <c r="G723" s="324">
        <v>2025</v>
      </c>
      <c r="H723" s="324" t="s">
        <v>1167</v>
      </c>
      <c r="I723" s="324">
        <v>1</v>
      </c>
    </row>
    <row r="724" spans="2:9">
      <c r="B724" s="324">
        <v>705</v>
      </c>
      <c r="C724" s="324" t="s">
        <v>281</v>
      </c>
      <c r="D724" s="324">
        <v>1993</v>
      </c>
      <c r="E724" s="325">
        <v>157381.32</v>
      </c>
      <c r="F724" s="324"/>
      <c r="G724" s="324">
        <v>2025</v>
      </c>
      <c r="H724" s="324" t="s">
        <v>1167</v>
      </c>
      <c r="I724" s="324">
        <v>1</v>
      </c>
    </row>
    <row r="725" spans="2:9">
      <c r="B725" s="324">
        <v>706</v>
      </c>
      <c r="C725" s="324" t="s">
        <v>281</v>
      </c>
      <c r="D725" s="324">
        <v>1994</v>
      </c>
      <c r="E725" s="325">
        <v>65700.2</v>
      </c>
      <c r="F725" s="324"/>
      <c r="G725" s="324">
        <v>2025</v>
      </c>
      <c r="H725" s="324" t="s">
        <v>1167</v>
      </c>
      <c r="I725" s="324">
        <v>1</v>
      </c>
    </row>
    <row r="726" spans="2:9">
      <c r="B726" s="324">
        <v>707</v>
      </c>
      <c r="C726" s="324" t="s">
        <v>281</v>
      </c>
      <c r="D726" s="324">
        <v>1995</v>
      </c>
      <c r="E726" s="325">
        <v>155979.47</v>
      </c>
      <c r="F726" s="324"/>
      <c r="G726" s="324">
        <v>2025</v>
      </c>
      <c r="H726" s="324" t="s">
        <v>1167</v>
      </c>
      <c r="I726" s="324">
        <v>1</v>
      </c>
    </row>
    <row r="727" spans="2:9">
      <c r="B727" s="324">
        <v>708</v>
      </c>
      <c r="C727" s="324" t="s">
        <v>281</v>
      </c>
      <c r="D727" s="324">
        <v>1997</v>
      </c>
      <c r="E727" s="325">
        <v>23723.48</v>
      </c>
      <c r="F727" s="324"/>
      <c r="G727" s="324">
        <v>2025</v>
      </c>
      <c r="H727" s="324" t="s">
        <v>1167</v>
      </c>
      <c r="I727" s="324">
        <v>1</v>
      </c>
    </row>
    <row r="728" spans="2:9">
      <c r="B728" s="324">
        <v>709</v>
      </c>
      <c r="C728" s="324" t="s">
        <v>281</v>
      </c>
      <c r="D728" s="324">
        <v>1998</v>
      </c>
      <c r="E728" s="325">
        <v>70555.61</v>
      </c>
      <c r="F728" s="324"/>
      <c r="G728" s="324">
        <v>2025</v>
      </c>
      <c r="H728" s="324" t="s">
        <v>1167</v>
      </c>
      <c r="I728" s="324">
        <v>1</v>
      </c>
    </row>
    <row r="729" spans="2:9">
      <c r="B729" s="324">
        <v>710</v>
      </c>
      <c r="C729" s="324" t="s">
        <v>281</v>
      </c>
      <c r="D729" s="324">
        <v>2000</v>
      </c>
      <c r="E729" s="325">
        <v>25047.81</v>
      </c>
      <c r="F729" s="324"/>
      <c r="G729" s="324">
        <v>2025</v>
      </c>
      <c r="H729" s="324" t="s">
        <v>1167</v>
      </c>
      <c r="I729" s="324">
        <v>1</v>
      </c>
    </row>
    <row r="730" spans="2:9">
      <c r="B730" s="324">
        <v>711</v>
      </c>
      <c r="C730" s="324" t="s">
        <v>281</v>
      </c>
      <c r="D730" s="324">
        <v>2002</v>
      </c>
      <c r="E730" s="325">
        <v>26302.54</v>
      </c>
      <c r="F730" s="324"/>
      <c r="G730" s="324">
        <v>2025</v>
      </c>
      <c r="H730" s="324" t="s">
        <v>1167</v>
      </c>
      <c r="I730" s="324">
        <v>1</v>
      </c>
    </row>
    <row r="731" spans="2:9">
      <c r="B731" s="324">
        <v>712</v>
      </c>
      <c r="C731" s="324" t="s">
        <v>281</v>
      </c>
      <c r="D731" s="324">
        <v>2003</v>
      </c>
      <c r="E731" s="325">
        <v>34546.400000000001</v>
      </c>
      <c r="F731" s="324"/>
      <c r="G731" s="324">
        <v>2025</v>
      </c>
      <c r="H731" s="324" t="s">
        <v>1167</v>
      </c>
      <c r="I731" s="324">
        <v>1</v>
      </c>
    </row>
    <row r="732" spans="2:9">
      <c r="B732" s="324">
        <v>713</v>
      </c>
      <c r="C732" s="324" t="s">
        <v>281</v>
      </c>
      <c r="D732" s="324">
        <v>2005</v>
      </c>
      <c r="E732" s="325">
        <v>93426.13</v>
      </c>
      <c r="F732" s="324"/>
      <c r="G732" s="324">
        <v>2025</v>
      </c>
      <c r="H732" s="324" t="s">
        <v>1167</v>
      </c>
      <c r="I732" s="324">
        <v>1</v>
      </c>
    </row>
    <row r="733" spans="2:9">
      <c r="B733" s="324">
        <v>714</v>
      </c>
      <c r="C733" s="324" t="s">
        <v>281</v>
      </c>
      <c r="D733" s="324">
        <v>2006</v>
      </c>
      <c r="E733" s="325">
        <v>55849.25</v>
      </c>
      <c r="F733" s="324"/>
      <c r="G733" s="324">
        <v>2025</v>
      </c>
      <c r="H733" s="324" t="s">
        <v>1167</v>
      </c>
      <c r="I733" s="324">
        <v>1</v>
      </c>
    </row>
    <row r="734" spans="2:9">
      <c r="B734" s="324">
        <v>715</v>
      </c>
      <c r="C734" s="324" t="s">
        <v>281</v>
      </c>
      <c r="D734" s="324">
        <v>2007</v>
      </c>
      <c r="E734" s="325">
        <v>27068.3</v>
      </c>
      <c r="F734" s="324"/>
      <c r="G734" s="324">
        <v>2025</v>
      </c>
      <c r="H734" s="324" t="s">
        <v>1167</v>
      </c>
      <c r="I734" s="324">
        <v>1</v>
      </c>
    </row>
    <row r="735" spans="2:9">
      <c r="B735" s="324">
        <v>716</v>
      </c>
      <c r="C735" s="324" t="s">
        <v>281</v>
      </c>
      <c r="D735" s="324">
        <v>2009</v>
      </c>
      <c r="E735" s="325">
        <v>84141.16</v>
      </c>
      <c r="F735" s="324"/>
      <c r="G735" s="324">
        <v>2025</v>
      </c>
      <c r="H735" s="324" t="s">
        <v>1167</v>
      </c>
      <c r="I735" s="324">
        <v>1</v>
      </c>
    </row>
    <row r="736" spans="2:9">
      <c r="B736" s="324">
        <v>717</v>
      </c>
      <c r="C736" s="324" t="s">
        <v>281</v>
      </c>
      <c r="D736" s="324">
        <v>2011</v>
      </c>
      <c r="E736" s="325">
        <v>32415.49</v>
      </c>
      <c r="F736" s="324"/>
      <c r="G736" s="324">
        <v>2025</v>
      </c>
      <c r="H736" s="324" t="s">
        <v>1167</v>
      </c>
      <c r="I736" s="324">
        <v>1</v>
      </c>
    </row>
    <row r="737" spans="2:9">
      <c r="B737" s="324">
        <v>718</v>
      </c>
      <c r="C737" s="324" t="s">
        <v>281</v>
      </c>
      <c r="D737" s="324">
        <v>2017</v>
      </c>
      <c r="E737" s="325">
        <v>63625.98</v>
      </c>
      <c r="F737" s="324"/>
      <c r="G737" s="324">
        <v>2025</v>
      </c>
      <c r="H737" s="324" t="s">
        <v>1167</v>
      </c>
      <c r="I737" s="324">
        <v>1</v>
      </c>
    </row>
    <row r="738" spans="2:9">
      <c r="B738" s="324">
        <v>719</v>
      </c>
      <c r="C738" s="324" t="s">
        <v>281</v>
      </c>
      <c r="D738" s="324">
        <v>2018</v>
      </c>
      <c r="E738" s="325">
        <v>-1236.18</v>
      </c>
      <c r="F738" s="324"/>
      <c r="G738" s="324">
        <v>2025</v>
      </c>
      <c r="H738" s="324" t="s">
        <v>1167</v>
      </c>
      <c r="I738" s="324">
        <v>1</v>
      </c>
    </row>
    <row r="739" spans="2:9">
      <c r="B739" s="324">
        <v>720</v>
      </c>
      <c r="C739" s="324" t="s">
        <v>281</v>
      </c>
      <c r="D739" s="324">
        <v>2019</v>
      </c>
      <c r="E739" s="325">
        <v>21322.87</v>
      </c>
      <c r="F739" s="324"/>
      <c r="G739" s="324">
        <v>2025</v>
      </c>
      <c r="H739" s="324" t="s">
        <v>1167</v>
      </c>
      <c r="I739" s="324">
        <v>1</v>
      </c>
    </row>
    <row r="740" spans="2:9">
      <c r="B740" s="324">
        <v>721</v>
      </c>
      <c r="C740" s="324" t="s">
        <v>281</v>
      </c>
      <c r="D740" s="324">
        <v>2020</v>
      </c>
      <c r="E740" s="325">
        <v>57793.46</v>
      </c>
      <c r="F740" s="324"/>
      <c r="G740" s="324">
        <v>2025</v>
      </c>
      <c r="H740" s="324" t="s">
        <v>1167</v>
      </c>
      <c r="I740" s="324">
        <v>1</v>
      </c>
    </row>
    <row r="741" spans="2:9">
      <c r="B741" s="324">
        <v>722</v>
      </c>
      <c r="C741" s="324" t="s">
        <v>284</v>
      </c>
      <c r="D741" s="324">
        <v>1996</v>
      </c>
      <c r="E741" s="325">
        <v>0</v>
      </c>
      <c r="F741" s="324">
        <v>12665</v>
      </c>
      <c r="G741" s="324">
        <v>2025</v>
      </c>
      <c r="H741" s="324" t="s">
        <v>1167</v>
      </c>
      <c r="I741" s="324">
        <v>1</v>
      </c>
    </row>
    <row r="742" spans="2:9">
      <c r="B742" s="324">
        <v>723</v>
      </c>
      <c r="C742" s="324" t="s">
        <v>284</v>
      </c>
      <c r="D742" s="324">
        <v>2007</v>
      </c>
      <c r="E742" s="325">
        <v>7351.24</v>
      </c>
      <c r="F742" s="324"/>
      <c r="G742" s="324">
        <v>2025</v>
      </c>
      <c r="H742" s="324" t="s">
        <v>1167</v>
      </c>
      <c r="I742" s="324">
        <v>1</v>
      </c>
    </row>
    <row r="743" spans="2:9">
      <c r="B743" s="324">
        <v>724</v>
      </c>
      <c r="C743" s="324" t="s">
        <v>290</v>
      </c>
      <c r="D743" s="324">
        <v>2005</v>
      </c>
      <c r="E743" s="325">
        <v>73548.490000000005</v>
      </c>
      <c r="F743" s="324"/>
      <c r="G743" s="324">
        <v>2025</v>
      </c>
      <c r="H743" s="324" t="s">
        <v>1167</v>
      </c>
      <c r="I743" s="324">
        <v>1</v>
      </c>
    </row>
    <row r="744" spans="2:9">
      <c r="B744" s="324">
        <v>725</v>
      </c>
      <c r="C744" s="324" t="s">
        <v>290</v>
      </c>
      <c r="D744" s="324">
        <v>2008</v>
      </c>
      <c r="E744" s="325">
        <v>0</v>
      </c>
      <c r="F744" s="324">
        <v>7000</v>
      </c>
      <c r="G744" s="324">
        <v>2025</v>
      </c>
      <c r="H744" s="324" t="s">
        <v>1167</v>
      </c>
      <c r="I744" s="324">
        <v>1</v>
      </c>
    </row>
    <row r="745" spans="2:9">
      <c r="B745" s="324">
        <v>726</v>
      </c>
      <c r="C745" s="324" t="s">
        <v>290</v>
      </c>
      <c r="D745" s="324">
        <v>2010</v>
      </c>
      <c r="E745" s="325">
        <v>33850.980000000003</v>
      </c>
      <c r="F745" s="324"/>
      <c r="G745" s="324">
        <v>2025</v>
      </c>
      <c r="H745" s="324" t="s">
        <v>1167</v>
      </c>
      <c r="I745" s="324">
        <v>1</v>
      </c>
    </row>
    <row r="746" spans="2:9">
      <c r="B746" s="324">
        <v>727</v>
      </c>
      <c r="C746" s="324" t="s">
        <v>294</v>
      </c>
      <c r="D746" s="324">
        <v>1970</v>
      </c>
      <c r="E746" s="325">
        <v>12465.83</v>
      </c>
      <c r="F746" s="324"/>
      <c r="G746" s="324">
        <v>2025</v>
      </c>
      <c r="H746" s="324" t="s">
        <v>1167</v>
      </c>
      <c r="I746" s="324">
        <v>1</v>
      </c>
    </row>
    <row r="747" spans="2:9">
      <c r="B747" s="324">
        <v>728</v>
      </c>
      <c r="C747" s="324" t="s">
        <v>312</v>
      </c>
      <c r="D747" s="324">
        <v>1970</v>
      </c>
      <c r="E747" s="325">
        <v>1226.22</v>
      </c>
      <c r="F747" s="324"/>
      <c r="G747" s="324">
        <v>2025</v>
      </c>
      <c r="H747" s="324" t="s">
        <v>1167</v>
      </c>
      <c r="I747" s="324">
        <v>1</v>
      </c>
    </row>
    <row r="748" spans="2:9">
      <c r="B748" s="324">
        <v>729</v>
      </c>
      <c r="C748" s="324" t="s">
        <v>312</v>
      </c>
      <c r="D748" s="324">
        <v>1971</v>
      </c>
      <c r="E748" s="325">
        <v>21145.83</v>
      </c>
      <c r="F748" s="324"/>
      <c r="G748" s="324">
        <v>2025</v>
      </c>
      <c r="H748" s="324" t="s">
        <v>1167</v>
      </c>
      <c r="I748" s="324">
        <v>1</v>
      </c>
    </row>
    <row r="749" spans="2:9">
      <c r="B749" s="324">
        <v>730</v>
      </c>
      <c r="C749" s="324" t="s">
        <v>312</v>
      </c>
      <c r="D749" s="324">
        <v>1972</v>
      </c>
      <c r="E749" s="325">
        <v>415.23</v>
      </c>
      <c r="F749" s="324"/>
      <c r="G749" s="324">
        <v>2025</v>
      </c>
      <c r="H749" s="324" t="s">
        <v>1167</v>
      </c>
      <c r="I749" s="324">
        <v>1</v>
      </c>
    </row>
    <row r="750" spans="2:9">
      <c r="B750" s="324">
        <v>731</v>
      </c>
      <c r="C750" s="324" t="s">
        <v>312</v>
      </c>
      <c r="D750" s="324">
        <v>2010</v>
      </c>
      <c r="E750" s="325">
        <v>31970.31</v>
      </c>
      <c r="F750" s="324"/>
      <c r="G750" s="324">
        <v>2025</v>
      </c>
      <c r="H750" s="324" t="s">
        <v>1167</v>
      </c>
      <c r="I750" s="324">
        <v>1</v>
      </c>
    </row>
    <row r="751" spans="2:9">
      <c r="B751" s="324">
        <v>732</v>
      </c>
      <c r="C751" s="324" t="s">
        <v>310</v>
      </c>
      <c r="D751" s="324">
        <v>1970</v>
      </c>
      <c r="E751" s="325">
        <v>19829.099999999999</v>
      </c>
      <c r="F751" s="324"/>
      <c r="G751" s="324">
        <v>2025</v>
      </c>
      <c r="H751" s="324" t="s">
        <v>1167</v>
      </c>
      <c r="I751" s="324">
        <v>1</v>
      </c>
    </row>
    <row r="752" spans="2:9">
      <c r="B752" s="324">
        <v>733</v>
      </c>
      <c r="C752" s="324" t="s">
        <v>310</v>
      </c>
      <c r="D752" s="324">
        <v>1971</v>
      </c>
      <c r="E752" s="325">
        <v>68455.149999999994</v>
      </c>
      <c r="F752" s="324"/>
      <c r="G752" s="324">
        <v>2025</v>
      </c>
      <c r="H752" s="324" t="s">
        <v>1167</v>
      </c>
      <c r="I752" s="324">
        <v>1</v>
      </c>
    </row>
    <row r="753" spans="2:9">
      <c r="B753" s="324">
        <v>734</v>
      </c>
      <c r="C753" s="324" t="s">
        <v>310</v>
      </c>
      <c r="D753" s="324">
        <v>1972</v>
      </c>
      <c r="E753" s="325">
        <v>4002.08</v>
      </c>
      <c r="F753" s="324"/>
      <c r="G753" s="324">
        <v>2025</v>
      </c>
      <c r="H753" s="324" t="s">
        <v>1167</v>
      </c>
      <c r="I753" s="324">
        <v>1</v>
      </c>
    </row>
    <row r="754" spans="2:9">
      <c r="B754" s="324">
        <v>735</v>
      </c>
      <c r="C754" s="324" t="s">
        <v>310</v>
      </c>
      <c r="D754" s="324">
        <v>2007</v>
      </c>
      <c r="E754" s="325">
        <v>500384.61</v>
      </c>
      <c r="F754" s="324"/>
      <c r="G754" s="324">
        <v>2025</v>
      </c>
      <c r="H754" s="324" t="s">
        <v>1167</v>
      </c>
      <c r="I754" s="324">
        <v>1</v>
      </c>
    </row>
    <row r="755" spans="2:9">
      <c r="B755" s="324">
        <v>736</v>
      </c>
      <c r="C755" s="324" t="s">
        <v>310</v>
      </c>
      <c r="D755" s="324">
        <v>2010</v>
      </c>
      <c r="E755" s="325">
        <v>1009667.61</v>
      </c>
      <c r="F755" s="324"/>
      <c r="G755" s="324">
        <v>2025</v>
      </c>
      <c r="H755" s="324" t="s">
        <v>1167</v>
      </c>
      <c r="I755" s="324">
        <v>1</v>
      </c>
    </row>
    <row r="756" spans="2:9">
      <c r="B756" s="324">
        <v>737</v>
      </c>
      <c r="C756" s="324" t="s">
        <v>310</v>
      </c>
      <c r="D756" s="324">
        <v>2011</v>
      </c>
      <c r="E756" s="325">
        <v>200273.91999999998</v>
      </c>
      <c r="F756" s="324"/>
      <c r="G756" s="324">
        <v>2025</v>
      </c>
      <c r="H756" s="324" t="s">
        <v>1167</v>
      </c>
      <c r="I756" s="324">
        <v>1</v>
      </c>
    </row>
    <row r="757" spans="2:9">
      <c r="B757" s="324">
        <v>738</v>
      </c>
      <c r="C757" s="324" t="s">
        <v>313</v>
      </c>
      <c r="D757" s="324">
        <v>1977</v>
      </c>
      <c r="E757" s="325">
        <v>501531.13</v>
      </c>
      <c r="F757" s="324"/>
      <c r="G757" s="324">
        <v>2025</v>
      </c>
      <c r="H757" s="324" t="s">
        <v>1167</v>
      </c>
      <c r="I757" s="324">
        <v>1</v>
      </c>
    </row>
    <row r="758" spans="2:9">
      <c r="B758" s="324">
        <v>739</v>
      </c>
      <c r="C758" s="324" t="s">
        <v>314</v>
      </c>
      <c r="D758" s="324">
        <v>1978</v>
      </c>
      <c r="E758" s="325">
        <v>5765991.25</v>
      </c>
      <c r="F758" s="324"/>
      <c r="G758" s="324">
        <v>2025</v>
      </c>
      <c r="H758" s="324" t="s">
        <v>1167</v>
      </c>
      <c r="I758" s="324">
        <v>1</v>
      </c>
    </row>
    <row r="759" spans="2:9">
      <c r="B759" s="324">
        <v>740</v>
      </c>
      <c r="C759" s="324" t="s">
        <v>314</v>
      </c>
      <c r="D759" s="324">
        <v>1979</v>
      </c>
      <c r="E759" s="325">
        <v>12064.52</v>
      </c>
      <c r="F759" s="324"/>
      <c r="G759" s="324">
        <v>2025</v>
      </c>
      <c r="H759" s="324" t="s">
        <v>1167</v>
      </c>
      <c r="I759" s="324">
        <v>1</v>
      </c>
    </row>
    <row r="760" spans="2:9">
      <c r="B760" s="324">
        <v>741</v>
      </c>
      <c r="C760" s="324" t="s">
        <v>314</v>
      </c>
      <c r="D760" s="324">
        <v>1985</v>
      </c>
      <c r="E760" s="325">
        <v>0</v>
      </c>
      <c r="F760" s="324">
        <v>5000</v>
      </c>
      <c r="G760" s="324">
        <v>2025</v>
      </c>
      <c r="H760" s="324" t="s">
        <v>1167</v>
      </c>
      <c r="I760" s="324">
        <v>1</v>
      </c>
    </row>
    <row r="761" spans="2:9">
      <c r="B761" s="324">
        <v>742</v>
      </c>
      <c r="C761" s="324" t="s">
        <v>314</v>
      </c>
      <c r="D761" s="324">
        <v>1990</v>
      </c>
      <c r="E761" s="325">
        <v>60239.68</v>
      </c>
      <c r="F761" s="324"/>
      <c r="G761" s="324">
        <v>2025</v>
      </c>
      <c r="H761" s="324" t="s">
        <v>1167</v>
      </c>
      <c r="I761" s="324">
        <v>1</v>
      </c>
    </row>
    <row r="762" spans="2:9">
      <c r="B762" s="324">
        <v>743</v>
      </c>
      <c r="C762" s="324" t="s">
        <v>314</v>
      </c>
      <c r="D762" s="324">
        <v>1992</v>
      </c>
      <c r="E762" s="325">
        <v>477787.53</v>
      </c>
      <c r="F762" s="324"/>
      <c r="G762" s="324">
        <v>2025</v>
      </c>
      <c r="H762" s="324" t="s">
        <v>1167</v>
      </c>
      <c r="I762" s="324">
        <v>1</v>
      </c>
    </row>
    <row r="763" spans="2:9">
      <c r="B763" s="324">
        <v>744</v>
      </c>
      <c r="C763" s="324" t="s">
        <v>314</v>
      </c>
      <c r="D763" s="324">
        <v>2003</v>
      </c>
      <c r="E763" s="325">
        <v>803.59</v>
      </c>
      <c r="F763" s="324"/>
      <c r="G763" s="324">
        <v>2025</v>
      </c>
      <c r="H763" s="324" t="s">
        <v>1167</v>
      </c>
      <c r="I763" s="324">
        <v>1</v>
      </c>
    </row>
    <row r="764" spans="2:9">
      <c r="B764" s="324">
        <v>745</v>
      </c>
      <c r="C764" s="324" t="s">
        <v>314</v>
      </c>
      <c r="D764" s="324">
        <v>2011</v>
      </c>
      <c r="E764" s="325">
        <v>390154.47</v>
      </c>
      <c r="F764" s="324"/>
      <c r="G764" s="324">
        <v>2025</v>
      </c>
      <c r="H764" s="324" t="s">
        <v>1167</v>
      </c>
      <c r="I764" s="324">
        <v>1</v>
      </c>
    </row>
    <row r="765" spans="2:9">
      <c r="B765" s="324">
        <v>746</v>
      </c>
      <c r="C765" s="324" t="s">
        <v>314</v>
      </c>
      <c r="D765" s="324">
        <v>2013</v>
      </c>
      <c r="E765" s="325">
        <v>1165099.05</v>
      </c>
      <c r="F765" s="324"/>
      <c r="G765" s="324">
        <v>2025</v>
      </c>
      <c r="H765" s="324" t="s">
        <v>1167</v>
      </c>
      <c r="I765" s="324">
        <v>1</v>
      </c>
    </row>
    <row r="766" spans="2:9">
      <c r="B766" s="324">
        <v>747</v>
      </c>
      <c r="C766" s="324" t="s">
        <v>314</v>
      </c>
      <c r="D766" s="324">
        <v>2016</v>
      </c>
      <c r="E766" s="325">
        <v>119449.71</v>
      </c>
      <c r="F766" s="324"/>
      <c r="G766" s="324">
        <v>2025</v>
      </c>
      <c r="H766" s="324" t="s">
        <v>1167</v>
      </c>
      <c r="I766" s="324">
        <v>1</v>
      </c>
    </row>
    <row r="767" spans="2:9">
      <c r="B767" s="324">
        <v>748</v>
      </c>
      <c r="C767" s="324" t="s">
        <v>314</v>
      </c>
      <c r="D767" s="324">
        <v>2018</v>
      </c>
      <c r="E767" s="325">
        <v>95300.17</v>
      </c>
      <c r="F767" s="324"/>
      <c r="G767" s="324">
        <v>2025</v>
      </c>
      <c r="H767" s="324" t="s">
        <v>1167</v>
      </c>
      <c r="I767" s="324">
        <v>1</v>
      </c>
    </row>
    <row r="768" spans="2:9">
      <c r="B768" s="324">
        <v>749</v>
      </c>
      <c r="C768" s="324" t="s">
        <v>318</v>
      </c>
      <c r="D768" s="324">
        <v>1964</v>
      </c>
      <c r="E768" s="325">
        <v>77865.440000000002</v>
      </c>
      <c r="F768" s="324"/>
      <c r="G768" s="324">
        <v>2025</v>
      </c>
      <c r="H768" s="324" t="s">
        <v>1167</v>
      </c>
      <c r="I768" s="324">
        <v>1</v>
      </c>
    </row>
    <row r="769" spans="2:9">
      <c r="B769" s="324">
        <v>750</v>
      </c>
      <c r="C769" s="324" t="s">
        <v>318</v>
      </c>
      <c r="D769" s="324">
        <v>1966</v>
      </c>
      <c r="E769" s="325">
        <v>99174.45</v>
      </c>
      <c r="F769" s="324"/>
      <c r="G769" s="324">
        <v>2025</v>
      </c>
      <c r="H769" s="324" t="s">
        <v>1167</v>
      </c>
      <c r="I769" s="324">
        <v>1</v>
      </c>
    </row>
    <row r="770" spans="2:9">
      <c r="B770" s="324">
        <v>751</v>
      </c>
      <c r="C770" s="324" t="s">
        <v>318</v>
      </c>
      <c r="D770" s="324">
        <v>1968</v>
      </c>
      <c r="E770" s="325">
        <v>7832.59</v>
      </c>
      <c r="F770" s="324"/>
      <c r="G770" s="324">
        <v>2025</v>
      </c>
      <c r="H770" s="324" t="s">
        <v>1167</v>
      </c>
      <c r="I770" s="324">
        <v>1</v>
      </c>
    </row>
    <row r="771" spans="2:9">
      <c r="B771" s="324">
        <v>752</v>
      </c>
      <c r="C771" s="324" t="s">
        <v>318</v>
      </c>
      <c r="D771" s="324">
        <v>1970</v>
      </c>
      <c r="E771" s="325">
        <v>70000</v>
      </c>
      <c r="F771" s="324"/>
      <c r="G771" s="324">
        <v>2025</v>
      </c>
      <c r="H771" s="324" t="s">
        <v>1167</v>
      </c>
      <c r="I771" s="324">
        <v>1</v>
      </c>
    </row>
    <row r="772" spans="2:9">
      <c r="B772" s="324">
        <v>753</v>
      </c>
      <c r="C772" s="324" t="s">
        <v>318</v>
      </c>
      <c r="D772" s="324">
        <v>1971</v>
      </c>
      <c r="E772" s="325">
        <v>2807.5</v>
      </c>
      <c r="F772" s="324"/>
      <c r="G772" s="324">
        <v>2025</v>
      </c>
      <c r="H772" s="324" t="s">
        <v>1167</v>
      </c>
      <c r="I772" s="324">
        <v>1</v>
      </c>
    </row>
    <row r="773" spans="2:9">
      <c r="B773" s="324">
        <v>754</v>
      </c>
      <c r="C773" s="324" t="s">
        <v>318</v>
      </c>
      <c r="D773" s="324">
        <v>1972</v>
      </c>
      <c r="E773" s="325">
        <v>170910.43</v>
      </c>
      <c r="F773" s="324"/>
      <c r="G773" s="324">
        <v>2025</v>
      </c>
      <c r="H773" s="324" t="s">
        <v>1167</v>
      </c>
      <c r="I773" s="324">
        <v>1</v>
      </c>
    </row>
    <row r="774" spans="2:9">
      <c r="B774" s="324">
        <v>755</v>
      </c>
      <c r="C774" s="324" t="s">
        <v>318</v>
      </c>
      <c r="D774" s="324">
        <v>1973</v>
      </c>
      <c r="E774" s="325">
        <v>148797.57999999999</v>
      </c>
      <c r="F774" s="324"/>
      <c r="G774" s="324">
        <v>2025</v>
      </c>
      <c r="H774" s="324" t="s">
        <v>1167</v>
      </c>
      <c r="I774" s="324">
        <v>1</v>
      </c>
    </row>
    <row r="775" spans="2:9">
      <c r="B775" s="324">
        <v>756</v>
      </c>
      <c r="C775" s="324" t="s">
        <v>318</v>
      </c>
      <c r="D775" s="324">
        <v>1975</v>
      </c>
      <c r="E775" s="325">
        <v>18564.669999999998</v>
      </c>
      <c r="F775" s="324"/>
      <c r="G775" s="324">
        <v>2025</v>
      </c>
      <c r="H775" s="324" t="s">
        <v>1167</v>
      </c>
      <c r="I775" s="324">
        <v>1</v>
      </c>
    </row>
    <row r="776" spans="2:9">
      <c r="B776" s="324">
        <v>757</v>
      </c>
      <c r="C776" s="324" t="s">
        <v>318</v>
      </c>
      <c r="D776" s="324">
        <v>1978</v>
      </c>
      <c r="E776" s="325">
        <v>89246.22</v>
      </c>
      <c r="F776" s="324"/>
      <c r="G776" s="324">
        <v>2025</v>
      </c>
      <c r="H776" s="324" t="s">
        <v>1167</v>
      </c>
      <c r="I776" s="324">
        <v>1</v>
      </c>
    </row>
    <row r="777" spans="2:9">
      <c r="B777" s="324">
        <v>758</v>
      </c>
      <c r="C777" s="324" t="s">
        <v>318</v>
      </c>
      <c r="D777" s="324">
        <v>1979</v>
      </c>
      <c r="E777" s="325">
        <v>91234.26</v>
      </c>
      <c r="F777" s="324"/>
      <c r="G777" s="324">
        <v>2025</v>
      </c>
      <c r="H777" s="324" t="s">
        <v>1167</v>
      </c>
      <c r="I777" s="324">
        <v>1</v>
      </c>
    </row>
    <row r="778" spans="2:9">
      <c r="B778" s="324">
        <v>759</v>
      </c>
      <c r="C778" s="324" t="s">
        <v>318</v>
      </c>
      <c r="D778" s="324">
        <v>1980</v>
      </c>
      <c r="E778" s="325">
        <v>232659.4</v>
      </c>
      <c r="F778" s="324"/>
      <c r="G778" s="324">
        <v>2025</v>
      </c>
      <c r="H778" s="324" t="s">
        <v>1167</v>
      </c>
      <c r="I778" s="324">
        <v>1</v>
      </c>
    </row>
    <row r="779" spans="2:9">
      <c r="B779" s="324">
        <v>760</v>
      </c>
      <c r="C779" s="324" t="s">
        <v>318</v>
      </c>
      <c r="D779" s="324">
        <v>1984</v>
      </c>
      <c r="E779" s="325">
        <v>261656.56</v>
      </c>
      <c r="F779" s="324"/>
      <c r="G779" s="324">
        <v>2025</v>
      </c>
      <c r="H779" s="324" t="s">
        <v>1167</v>
      </c>
      <c r="I779" s="324">
        <v>1</v>
      </c>
    </row>
    <row r="780" spans="2:9">
      <c r="B780" s="324">
        <v>761</v>
      </c>
      <c r="C780" s="324" t="s">
        <v>318</v>
      </c>
      <c r="D780" s="324">
        <v>1985</v>
      </c>
      <c r="E780" s="325">
        <v>27354.11</v>
      </c>
      <c r="F780" s="324"/>
      <c r="G780" s="324">
        <v>2025</v>
      </c>
      <c r="H780" s="324" t="s">
        <v>1167</v>
      </c>
      <c r="I780" s="324">
        <v>1</v>
      </c>
    </row>
    <row r="781" spans="2:9">
      <c r="B781" s="324">
        <v>762</v>
      </c>
      <c r="C781" s="324" t="s">
        <v>318</v>
      </c>
      <c r="D781" s="324">
        <v>1996</v>
      </c>
      <c r="E781" s="325">
        <v>9238.51</v>
      </c>
      <c r="F781" s="324"/>
      <c r="G781" s="324">
        <v>2025</v>
      </c>
      <c r="H781" s="324" t="s">
        <v>1167</v>
      </c>
      <c r="I781" s="324">
        <v>1</v>
      </c>
    </row>
    <row r="782" spans="2:9">
      <c r="B782" s="324">
        <v>763</v>
      </c>
      <c r="C782" s="324" t="s">
        <v>318</v>
      </c>
      <c r="D782" s="324">
        <v>2005</v>
      </c>
      <c r="E782" s="325">
        <v>13067.35</v>
      </c>
      <c r="F782" s="324"/>
      <c r="G782" s="324">
        <v>2025</v>
      </c>
      <c r="H782" s="324" t="s">
        <v>1167</v>
      </c>
      <c r="I782" s="324">
        <v>1</v>
      </c>
    </row>
    <row r="783" spans="2:9">
      <c r="B783" s="324">
        <v>764</v>
      </c>
      <c r="C783" s="324" t="s">
        <v>318</v>
      </c>
      <c r="D783" s="324">
        <v>2010</v>
      </c>
      <c r="E783" s="325">
        <v>94765.099999999991</v>
      </c>
      <c r="F783" s="324"/>
      <c r="G783" s="324">
        <v>2025</v>
      </c>
      <c r="H783" s="324" t="s">
        <v>1167</v>
      </c>
      <c r="I783" s="324">
        <v>1</v>
      </c>
    </row>
    <row r="784" spans="2:9">
      <c r="B784" s="324">
        <v>765</v>
      </c>
      <c r="C784" s="324" t="s">
        <v>318</v>
      </c>
      <c r="D784" s="324">
        <v>2015</v>
      </c>
      <c r="E784" s="325">
        <v>5962.19</v>
      </c>
      <c r="F784" s="324"/>
      <c r="G784" s="324">
        <v>2025</v>
      </c>
      <c r="H784" s="324" t="s">
        <v>1167</v>
      </c>
      <c r="I784" s="324">
        <v>1</v>
      </c>
    </row>
    <row r="785" spans="2:9">
      <c r="B785" s="324">
        <v>766</v>
      </c>
      <c r="C785" s="324" t="s">
        <v>318</v>
      </c>
      <c r="D785" s="324">
        <v>2016</v>
      </c>
      <c r="E785" s="325">
        <v>104948.47</v>
      </c>
      <c r="F785" s="324"/>
      <c r="G785" s="324">
        <v>2025</v>
      </c>
      <c r="H785" s="324" t="s">
        <v>1167</v>
      </c>
      <c r="I785" s="324">
        <v>1</v>
      </c>
    </row>
    <row r="786" spans="2:9">
      <c r="B786" s="324">
        <v>767</v>
      </c>
      <c r="C786" s="324" t="s">
        <v>318</v>
      </c>
      <c r="D786" s="324">
        <v>2018</v>
      </c>
      <c r="E786" s="325">
        <v>54575.82</v>
      </c>
      <c r="F786" s="324"/>
      <c r="G786" s="324">
        <v>2025</v>
      </c>
      <c r="H786" s="324" t="s">
        <v>1167</v>
      </c>
      <c r="I786" s="324">
        <v>1</v>
      </c>
    </row>
    <row r="787" spans="2:9">
      <c r="B787" s="324">
        <v>768</v>
      </c>
      <c r="C787" s="324" t="s">
        <v>318</v>
      </c>
      <c r="D787" s="324">
        <v>2021</v>
      </c>
      <c r="E787" s="325">
        <v>45.76</v>
      </c>
      <c r="F787" s="324"/>
      <c r="G787" s="324">
        <v>2025</v>
      </c>
      <c r="H787" s="324" t="s">
        <v>1167</v>
      </c>
      <c r="I787" s="324">
        <v>1</v>
      </c>
    </row>
    <row r="788" spans="2:9">
      <c r="B788" s="324">
        <v>769</v>
      </c>
      <c r="C788" s="324" t="s">
        <v>318</v>
      </c>
      <c r="D788" s="324">
        <v>2022</v>
      </c>
      <c r="E788" s="325">
        <v>217452.82</v>
      </c>
      <c r="F788" s="324"/>
      <c r="G788" s="324">
        <v>2025</v>
      </c>
      <c r="H788" s="324" t="s">
        <v>1167</v>
      </c>
      <c r="I788" s="324">
        <v>1</v>
      </c>
    </row>
    <row r="789" spans="2:9">
      <c r="B789" s="324">
        <v>770</v>
      </c>
      <c r="C789" s="324" t="s">
        <v>324</v>
      </c>
      <c r="D789" s="324">
        <v>1966</v>
      </c>
      <c r="E789" s="325">
        <v>1942.4</v>
      </c>
      <c r="F789" s="324"/>
      <c r="G789" s="324">
        <v>2025</v>
      </c>
      <c r="H789" s="324" t="s">
        <v>1167</v>
      </c>
      <c r="I789" s="324">
        <v>1</v>
      </c>
    </row>
    <row r="790" spans="2:9">
      <c r="B790" s="324">
        <v>771</v>
      </c>
      <c r="C790" s="324" t="s">
        <v>324</v>
      </c>
      <c r="D790" s="324">
        <v>2006</v>
      </c>
      <c r="E790" s="325">
        <v>28075.7</v>
      </c>
      <c r="F790" s="324"/>
      <c r="G790" s="324">
        <v>2025</v>
      </c>
      <c r="H790" s="324" t="s">
        <v>1167</v>
      </c>
      <c r="I790" s="324">
        <v>1</v>
      </c>
    </row>
    <row r="791" spans="2:9">
      <c r="B791" s="324">
        <v>772</v>
      </c>
      <c r="C791" s="324" t="s">
        <v>327</v>
      </c>
      <c r="D791" s="324">
        <v>1966</v>
      </c>
      <c r="E791" s="325">
        <v>379080.76</v>
      </c>
      <c r="F791" s="324"/>
      <c r="G791" s="324">
        <v>2025</v>
      </c>
      <c r="H791" s="324" t="s">
        <v>1167</v>
      </c>
      <c r="I791" s="324">
        <v>1</v>
      </c>
    </row>
    <row r="792" spans="2:9">
      <c r="B792" s="324">
        <v>773</v>
      </c>
      <c r="C792" s="324" t="s">
        <v>327</v>
      </c>
      <c r="D792" s="324">
        <v>1980</v>
      </c>
      <c r="E792" s="325">
        <v>84708.06</v>
      </c>
      <c r="F792" s="324"/>
      <c r="G792" s="324">
        <v>2025</v>
      </c>
      <c r="H792" s="324" t="s">
        <v>1167</v>
      </c>
      <c r="I792" s="324">
        <v>1</v>
      </c>
    </row>
    <row r="793" spans="2:9">
      <c r="B793" s="324">
        <v>774</v>
      </c>
      <c r="C793" s="324" t="s">
        <v>327</v>
      </c>
      <c r="D793" s="324">
        <v>1982</v>
      </c>
      <c r="E793" s="325">
        <v>30674.639999999999</v>
      </c>
      <c r="F793" s="324"/>
      <c r="G793" s="324">
        <v>2025</v>
      </c>
      <c r="H793" s="324" t="s">
        <v>1167</v>
      </c>
      <c r="I793" s="324">
        <v>1</v>
      </c>
    </row>
    <row r="794" spans="2:9">
      <c r="B794" s="324">
        <v>775</v>
      </c>
      <c r="C794" s="324" t="s">
        <v>327</v>
      </c>
      <c r="D794" s="324">
        <v>1998</v>
      </c>
      <c r="E794" s="325">
        <v>43038.32</v>
      </c>
      <c r="F794" s="324"/>
      <c r="G794" s="324">
        <v>2025</v>
      </c>
      <c r="H794" s="324" t="s">
        <v>1167</v>
      </c>
      <c r="I794" s="324">
        <v>1</v>
      </c>
    </row>
    <row r="795" spans="2:9">
      <c r="B795" s="324">
        <v>776</v>
      </c>
      <c r="C795" s="324" t="s">
        <v>327</v>
      </c>
      <c r="D795" s="324">
        <v>2005</v>
      </c>
      <c r="E795" s="325">
        <v>173542.6</v>
      </c>
      <c r="F795" s="324"/>
      <c r="G795" s="324">
        <v>2025</v>
      </c>
      <c r="H795" s="324" t="s">
        <v>1167</v>
      </c>
      <c r="I795" s="324">
        <v>1</v>
      </c>
    </row>
    <row r="796" spans="2:9">
      <c r="B796" s="324">
        <v>777</v>
      </c>
      <c r="C796" s="324" t="s">
        <v>327</v>
      </c>
      <c r="D796" s="324">
        <v>2006</v>
      </c>
      <c r="E796" s="325">
        <v>13931.96</v>
      </c>
      <c r="F796" s="324"/>
      <c r="G796" s="324">
        <v>2025</v>
      </c>
      <c r="H796" s="324" t="s">
        <v>1167</v>
      </c>
      <c r="I796" s="324">
        <v>1</v>
      </c>
    </row>
    <row r="797" spans="2:9">
      <c r="B797" s="324">
        <v>778</v>
      </c>
      <c r="C797" s="324" t="s">
        <v>327</v>
      </c>
      <c r="D797" s="324">
        <v>2009</v>
      </c>
      <c r="E797" s="325">
        <v>20943.189999999999</v>
      </c>
      <c r="F797" s="324"/>
      <c r="G797" s="324">
        <v>2025</v>
      </c>
      <c r="H797" s="324" t="s">
        <v>1167</v>
      </c>
      <c r="I797" s="324">
        <v>1</v>
      </c>
    </row>
    <row r="798" spans="2:9">
      <c r="B798" s="324">
        <v>779</v>
      </c>
      <c r="C798" s="324" t="s">
        <v>327</v>
      </c>
      <c r="D798" s="324">
        <v>2011</v>
      </c>
      <c r="E798" s="325">
        <v>299723.8</v>
      </c>
      <c r="F798" s="324"/>
      <c r="G798" s="324">
        <v>2025</v>
      </c>
      <c r="H798" s="324" t="s">
        <v>1167</v>
      </c>
      <c r="I798" s="324">
        <v>1</v>
      </c>
    </row>
    <row r="799" spans="2:9">
      <c r="B799" s="324">
        <v>780</v>
      </c>
      <c r="C799" s="324" t="s">
        <v>327</v>
      </c>
      <c r="D799" s="324">
        <v>2016</v>
      </c>
      <c r="E799" s="325">
        <v>139526.74</v>
      </c>
      <c r="F799" s="324"/>
      <c r="G799" s="324">
        <v>2025</v>
      </c>
      <c r="H799" s="324" t="s">
        <v>1167</v>
      </c>
      <c r="I799" s="324">
        <v>1</v>
      </c>
    </row>
    <row r="800" spans="2:9">
      <c r="B800" s="324">
        <v>781</v>
      </c>
      <c r="C800" s="324" t="s">
        <v>327</v>
      </c>
      <c r="D800" s="324">
        <v>2023</v>
      </c>
      <c r="E800" s="325">
        <v>33018.629999999997</v>
      </c>
      <c r="F800" s="324"/>
      <c r="G800" s="324">
        <v>2025</v>
      </c>
      <c r="H800" s="324" t="s">
        <v>1167</v>
      </c>
      <c r="I800" s="324">
        <v>1</v>
      </c>
    </row>
    <row r="801" spans="2:9">
      <c r="B801" s="324">
        <v>782</v>
      </c>
      <c r="C801" s="324" t="s">
        <v>329</v>
      </c>
      <c r="D801" s="324">
        <v>1979</v>
      </c>
      <c r="E801" s="325">
        <v>423038.97</v>
      </c>
      <c r="F801" s="324"/>
      <c r="G801" s="324">
        <v>2025</v>
      </c>
      <c r="H801" s="324" t="s">
        <v>1167</v>
      </c>
      <c r="I801" s="324">
        <v>1</v>
      </c>
    </row>
    <row r="802" spans="2:9">
      <c r="B802" s="324">
        <v>783</v>
      </c>
      <c r="C802" s="324" t="s">
        <v>329</v>
      </c>
      <c r="D802" s="324">
        <v>1998</v>
      </c>
      <c r="E802" s="325">
        <v>277145.73</v>
      </c>
      <c r="F802" s="324"/>
      <c r="G802" s="324">
        <v>2025</v>
      </c>
      <c r="H802" s="324" t="s">
        <v>1167</v>
      </c>
      <c r="I802" s="324">
        <v>1</v>
      </c>
    </row>
    <row r="803" spans="2:9">
      <c r="B803" s="324">
        <v>784</v>
      </c>
      <c r="C803" s="324" t="s">
        <v>329</v>
      </c>
      <c r="D803" s="324">
        <v>2010</v>
      </c>
      <c r="E803" s="325">
        <v>183780.12</v>
      </c>
      <c r="F803" s="324"/>
      <c r="G803" s="324">
        <v>2025</v>
      </c>
      <c r="H803" s="324" t="s">
        <v>1167</v>
      </c>
      <c r="I803" s="324">
        <v>1</v>
      </c>
    </row>
    <row r="804" spans="2:9">
      <c r="B804" s="324">
        <v>785</v>
      </c>
      <c r="C804" s="324" t="s">
        <v>333</v>
      </c>
      <c r="D804" s="324">
        <v>1988</v>
      </c>
      <c r="E804" s="325">
        <v>28938.61</v>
      </c>
      <c r="F804" s="324"/>
      <c r="G804" s="324">
        <v>2025</v>
      </c>
      <c r="H804" s="324" t="s">
        <v>1167</v>
      </c>
      <c r="I804" s="324">
        <v>1</v>
      </c>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5"/>
  <sheetViews>
    <sheetView showGridLines="0" zoomScale="85" zoomScaleNormal="85" workbookViewId="0"/>
  </sheetViews>
  <sheetFormatPr defaultRowHeight="12.5"/>
  <cols>
    <col min="1" max="1" width="2.54296875" customWidth="1"/>
    <col min="2" max="2" width="55.1796875" bestFit="1" customWidth="1"/>
    <col min="3" max="3" width="60.26953125" bestFit="1" customWidth="1"/>
    <col min="4" max="4" width="7.1796875" bestFit="1" customWidth="1"/>
    <col min="5" max="5" width="33" bestFit="1" customWidth="1"/>
    <col min="6" max="6" width="31.453125" bestFit="1" customWidth="1"/>
    <col min="7" max="7" width="14.54296875" bestFit="1" customWidth="1"/>
    <col min="8" max="8" width="30.1796875" bestFit="1" customWidth="1"/>
    <col min="9" max="9" width="69.453125" bestFit="1" customWidth="1"/>
    <col min="10" max="10" width="8.7265625" bestFit="1" customWidth="1"/>
  </cols>
  <sheetData>
    <row r="1" spans="2:14" s="3" customFormat="1"/>
    <row r="2" spans="2:14" s="12" customFormat="1" ht="18">
      <c r="B2" s="12" t="s">
        <v>814</v>
      </c>
    </row>
    <row r="3" spans="2:14" s="3" customFormat="1"/>
    <row r="4" spans="2:14" s="3" customFormat="1" ht="13">
      <c r="B4" s="2" t="s">
        <v>183</v>
      </c>
    </row>
    <row r="5" spans="2:14" s="3" customFormat="1" ht="38.25" customHeight="1">
      <c r="B5" s="352" t="s">
        <v>815</v>
      </c>
      <c r="C5" s="352"/>
      <c r="D5" s="352"/>
    </row>
    <row r="6" spans="2:14" s="3" customFormat="1"/>
    <row r="7" spans="2:14" s="3" customFormat="1" ht="13">
      <c r="B7" s="16" t="s">
        <v>785</v>
      </c>
      <c r="C7" s="181"/>
      <c r="D7" s="2"/>
    </row>
    <row r="8" spans="2:14" s="3" customFormat="1" ht="16.5" customHeight="1">
      <c r="B8" s="359" t="s">
        <v>816</v>
      </c>
      <c r="C8" s="359"/>
      <c r="D8" s="359"/>
      <c r="E8" s="359"/>
      <c r="F8" s="359"/>
      <c r="G8" s="359"/>
      <c r="H8" s="359"/>
      <c r="I8" s="359"/>
      <c r="J8" s="359"/>
      <c r="K8" s="359"/>
      <c r="L8" s="359"/>
      <c r="M8" s="359"/>
    </row>
    <row r="9" spans="2:14" s="3" customFormat="1" ht="13">
      <c r="B9" s="4"/>
      <c r="C9" s="181"/>
    </row>
    <row r="10" spans="2:14" s="3" customFormat="1" ht="13">
      <c r="B10" s="176" t="s">
        <v>787</v>
      </c>
      <c r="C10" s="181"/>
    </row>
    <row r="11" spans="2:14" s="3" customFormat="1">
      <c r="B11" s="361">
        <v>46150</v>
      </c>
      <c r="C11" s="361"/>
      <c r="D11" s="361"/>
      <c r="E11" s="118"/>
    </row>
    <row r="13" spans="2:14" ht="13">
      <c r="B13" s="176" t="s">
        <v>788</v>
      </c>
      <c r="C13" s="3"/>
      <c r="D13" s="3"/>
      <c r="E13" s="3"/>
      <c r="F13" s="3"/>
      <c r="G13" s="3"/>
      <c r="H13" s="3"/>
      <c r="I13" s="3"/>
      <c r="J13" s="3"/>
      <c r="K13" s="3"/>
      <c r="L13" s="3"/>
      <c r="M13" s="3"/>
      <c r="N13" s="3"/>
    </row>
    <row r="14" spans="2:14" ht="25.5" customHeight="1">
      <c r="B14" s="361" t="s">
        <v>817</v>
      </c>
      <c r="C14" s="352"/>
      <c r="D14" s="352"/>
      <c r="E14" s="1"/>
      <c r="F14" s="1"/>
      <c r="G14" s="1"/>
      <c r="H14" s="1"/>
      <c r="I14" s="1"/>
      <c r="J14" s="1"/>
      <c r="K14" s="1"/>
      <c r="L14" s="1"/>
      <c r="M14" s="1"/>
      <c r="N14" s="1"/>
    </row>
    <row r="16" spans="2:14" ht="13">
      <c r="B16" s="177" t="s">
        <v>790</v>
      </c>
    </row>
    <row r="17" spans="2:10">
      <c r="B17" s="125">
        <f>SUBTOTAL(103,B20:B460)</f>
        <v>6</v>
      </c>
    </row>
    <row r="18" spans="2:10" ht="14.25" customHeight="1"/>
    <row r="19" spans="2:10" s="8" customFormat="1" ht="13">
      <c r="B19" s="8" t="s">
        <v>818</v>
      </c>
      <c r="C19" s="8" t="s">
        <v>819</v>
      </c>
      <c r="D19" s="8" t="s">
        <v>149</v>
      </c>
      <c r="E19" s="8" t="s">
        <v>820</v>
      </c>
      <c r="F19" s="8" t="s">
        <v>821</v>
      </c>
      <c r="G19" s="8" t="s">
        <v>822</v>
      </c>
      <c r="H19" s="8" t="s">
        <v>823</v>
      </c>
      <c r="I19" s="8" t="s">
        <v>796</v>
      </c>
      <c r="J19" s="8" t="s">
        <v>805</v>
      </c>
    </row>
    <row r="20" spans="2:10">
      <c r="B20" s="339" t="s">
        <v>824</v>
      </c>
      <c r="C20" s="339" t="s">
        <v>825</v>
      </c>
      <c r="D20">
        <v>2020</v>
      </c>
      <c r="E20" s="178">
        <v>909823616.24000001</v>
      </c>
      <c r="F20" s="178">
        <v>7382022.1000000006</v>
      </c>
      <c r="G20" s="178">
        <v>1408616.89</v>
      </c>
      <c r="H20" s="178">
        <v>-7141324.5900000008</v>
      </c>
      <c r="I20" s="339" t="s">
        <v>799</v>
      </c>
      <c r="J20">
        <v>1</v>
      </c>
    </row>
    <row r="21" spans="2:10">
      <c r="B21" s="339" t="s">
        <v>824</v>
      </c>
      <c r="C21" s="339" t="s">
        <v>825</v>
      </c>
      <c r="D21">
        <v>2021</v>
      </c>
      <c r="E21" s="178">
        <v>922405562.78000021</v>
      </c>
      <c r="F21" s="178">
        <v>13494084.869999999</v>
      </c>
      <c r="G21" s="178">
        <v>1093413.33</v>
      </c>
      <c r="H21" s="178">
        <v>-21856587.380000003</v>
      </c>
      <c r="I21" s="339" t="s">
        <v>806</v>
      </c>
      <c r="J21">
        <v>1</v>
      </c>
    </row>
    <row r="22" spans="2:10">
      <c r="B22" s="339" t="s">
        <v>824</v>
      </c>
      <c r="C22" s="339" t="s">
        <v>825</v>
      </c>
      <c r="D22">
        <v>2022</v>
      </c>
      <c r="E22" s="178">
        <v>1354081798.3900001</v>
      </c>
      <c r="F22" s="178">
        <v>33326739.559999999</v>
      </c>
      <c r="G22" s="178">
        <v>221359938.30000001</v>
      </c>
      <c r="H22" s="178">
        <v>-2234578.129999999</v>
      </c>
      <c r="I22" s="339" t="s">
        <v>800</v>
      </c>
      <c r="J22">
        <v>2</v>
      </c>
    </row>
    <row r="23" spans="2:10">
      <c r="B23" s="350" t="s">
        <v>824</v>
      </c>
      <c r="C23" s="350" t="s">
        <v>825</v>
      </c>
      <c r="D23" s="324">
        <v>2023</v>
      </c>
      <c r="E23" s="351">
        <v>1053217263.61</v>
      </c>
      <c r="F23" s="351">
        <v>36546798.390000001</v>
      </c>
      <c r="G23" s="351">
        <v>161390059.07999998</v>
      </c>
      <c r="H23" s="351">
        <v>-76372358.110525161</v>
      </c>
      <c r="I23" s="350" t="s">
        <v>801</v>
      </c>
      <c r="J23" s="324">
        <v>1</v>
      </c>
    </row>
    <row r="24" spans="2:10">
      <c r="B24" s="350" t="s">
        <v>824</v>
      </c>
      <c r="C24" s="350" t="s">
        <v>825</v>
      </c>
      <c r="D24" s="324">
        <v>2024</v>
      </c>
      <c r="E24" s="351">
        <v>790445299.95999992</v>
      </c>
      <c r="F24" s="351">
        <v>17029575.25</v>
      </c>
      <c r="G24" s="351">
        <v>48324856.469999999</v>
      </c>
      <c r="H24" s="351">
        <v>-41469456.140000001</v>
      </c>
      <c r="I24" s="350" t="s">
        <v>1095</v>
      </c>
      <c r="J24" s="324">
        <v>1</v>
      </c>
    </row>
    <row r="25" spans="2:10">
      <c r="B25" s="339" t="s">
        <v>824</v>
      </c>
      <c r="C25" s="339" t="s">
        <v>825</v>
      </c>
      <c r="D25">
        <v>2025</v>
      </c>
      <c r="E25" s="178">
        <v>1006790076.3599999</v>
      </c>
      <c r="F25" s="178">
        <v>14646611.33</v>
      </c>
      <c r="G25" s="178">
        <v>4689355.4799999995</v>
      </c>
      <c r="H25" s="178">
        <v>-47704132.830000006</v>
      </c>
      <c r="I25" s="339" t="s">
        <v>1167</v>
      </c>
      <c r="J25">
        <v>1</v>
      </c>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5" zoomScaleNormal="85" workbookViewId="0">
      <pane ySplit="3" topLeftCell="A4" activePane="bottomLeft" state="frozen"/>
      <selection activeCell="C40" sqref="C40"/>
      <selection pane="bottomLeft" activeCell="A4" sqref="A4"/>
    </sheetView>
  </sheetViews>
  <sheetFormatPr defaultColWidth="9.1796875" defaultRowHeight="12.5"/>
  <cols>
    <col min="1" max="1" width="2.54296875" style="3" customWidth="1"/>
    <col min="2" max="2" width="19.1796875" style="3" customWidth="1"/>
    <col min="3" max="3" width="2.54296875" style="3" customWidth="1"/>
    <col min="4" max="4" width="35.54296875" style="3" customWidth="1"/>
    <col min="5" max="5" width="2.54296875" style="3" customWidth="1"/>
    <col min="6" max="6" width="10.54296875" style="3" customWidth="1"/>
    <col min="7" max="7" width="2.54296875" style="3" customWidth="1"/>
    <col min="8" max="8" width="37.81640625" style="3" customWidth="1"/>
    <col min="9" max="9" width="2.54296875" style="3" customWidth="1"/>
    <col min="10" max="10" width="10.54296875" style="3" customWidth="1"/>
    <col min="11" max="11" width="2.54296875" style="3" customWidth="1"/>
    <col min="12" max="12" width="25.54296875" style="3" customWidth="1"/>
    <col min="13" max="13" width="2.54296875" style="3" customWidth="1"/>
    <col min="14" max="14" width="10.54296875" style="3" customWidth="1"/>
    <col min="15" max="15" width="2.54296875" style="3" customWidth="1"/>
    <col min="16" max="16" width="25.54296875" style="3" customWidth="1"/>
    <col min="17" max="17" width="2.54296875" style="3" customWidth="1"/>
    <col min="18" max="18" width="10.54296875" style="3" customWidth="1"/>
    <col min="19" max="19" width="2.54296875" style="3" customWidth="1"/>
    <col min="20" max="20" width="25.54296875" style="3" customWidth="1"/>
    <col min="21" max="21" width="2.54296875" style="3" customWidth="1"/>
    <col min="22" max="22" width="10.54296875" style="3" customWidth="1"/>
    <col min="23" max="23" width="2.54296875" style="3" customWidth="1"/>
    <col min="24" max="24" width="25.54296875" style="3" customWidth="1"/>
    <col min="25" max="25" width="2.54296875" style="3" customWidth="1"/>
    <col min="26" max="16384" width="9.1796875" style="3"/>
  </cols>
  <sheetData>
    <row r="2" spans="2:26" s="7" customFormat="1" ht="18">
      <c r="B2" s="7" t="s">
        <v>23</v>
      </c>
    </row>
    <row r="4" spans="2:26" s="8" customFormat="1" ht="13">
      <c r="B4" s="8" t="s">
        <v>24</v>
      </c>
    </row>
    <row r="6" spans="2:26">
      <c r="B6" s="3" t="s">
        <v>1115</v>
      </c>
    </row>
    <row r="7" spans="2:26">
      <c r="B7" s="3" t="s">
        <v>1116</v>
      </c>
      <c r="H7" s="19"/>
    </row>
    <row r="9" spans="2:26" s="8" customFormat="1" ht="13">
      <c r="B9" s="8" t="s">
        <v>25</v>
      </c>
    </row>
    <row r="11" spans="2:26" s="58" customFormat="1">
      <c r="B11" s="58" t="s">
        <v>26</v>
      </c>
    </row>
    <row r="12" spans="2:26" s="58" customFormat="1"/>
    <row r="13" spans="2:26" s="58" customFormat="1" ht="13">
      <c r="B13" s="75"/>
      <c r="C13" s="75"/>
      <c r="D13" s="76" t="s">
        <v>27</v>
      </c>
      <c r="E13" s="75"/>
      <c r="F13" s="75"/>
      <c r="G13" s="75"/>
      <c r="H13" s="76" t="s">
        <v>28</v>
      </c>
      <c r="I13" s="75"/>
      <c r="J13" s="75"/>
      <c r="K13" s="75"/>
      <c r="L13" s="75"/>
      <c r="M13" s="75"/>
      <c r="N13" s="75"/>
      <c r="O13" s="75"/>
      <c r="P13" s="75"/>
      <c r="Q13" s="75"/>
      <c r="R13" s="75"/>
      <c r="S13" s="75"/>
      <c r="T13" s="76"/>
      <c r="U13" s="75"/>
      <c r="V13" s="75"/>
      <c r="W13" s="75"/>
      <c r="X13" s="76" t="s">
        <v>29</v>
      </c>
      <c r="Y13" s="75"/>
      <c r="Z13" s="75"/>
    </row>
    <row r="14" spans="2:26" s="58" customFormat="1" ht="14">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
      <c r="B15" s="59"/>
      <c r="C15" s="60"/>
      <c r="D15" s="61"/>
      <c r="E15" s="62"/>
      <c r="F15" s="63"/>
      <c r="G15" s="60"/>
      <c r="H15" s="61"/>
      <c r="I15" s="62"/>
      <c r="J15" s="63"/>
      <c r="K15" s="63"/>
      <c r="M15" s="63"/>
      <c r="N15" s="63"/>
      <c r="O15" s="63"/>
      <c r="Q15" s="63"/>
      <c r="R15" s="63"/>
      <c r="S15" s="59"/>
      <c r="V15" s="63"/>
      <c r="W15" s="59"/>
      <c r="Z15" s="63"/>
    </row>
    <row r="16" spans="2:26" s="58" customFormat="1" ht="14">
      <c r="B16" s="59"/>
      <c r="C16" s="64"/>
      <c r="D16" s="65" t="s">
        <v>30</v>
      </c>
      <c r="E16" s="66"/>
      <c r="F16" s="63"/>
      <c r="G16" s="64"/>
      <c r="H16" s="72" t="s">
        <v>31</v>
      </c>
      <c r="I16" s="66"/>
      <c r="J16" s="63"/>
      <c r="S16" s="59"/>
      <c r="W16" s="59"/>
    </row>
    <row r="17" spans="2:28" s="58" customFormat="1" ht="14">
      <c r="B17" s="59"/>
      <c r="C17" s="67"/>
      <c r="D17" s="68"/>
      <c r="E17" s="69"/>
      <c r="F17" s="63"/>
      <c r="G17" s="67"/>
      <c r="H17" s="68"/>
      <c r="I17" s="69"/>
      <c r="J17" s="63"/>
      <c r="S17" s="59"/>
      <c r="W17" s="59"/>
      <c r="AB17" s="70"/>
    </row>
    <row r="18" spans="2:28" s="58" customFormat="1" ht="14">
      <c r="B18" s="59"/>
      <c r="F18" s="63"/>
      <c r="J18" s="63"/>
      <c r="S18" s="59"/>
      <c r="W18" s="59"/>
    </row>
    <row r="19" spans="2:28" s="58" customFormat="1" ht="14">
      <c r="B19" s="59"/>
      <c r="F19" s="63"/>
      <c r="J19" s="63"/>
      <c r="S19" s="59"/>
      <c r="W19" s="59"/>
    </row>
    <row r="20" spans="2:28" s="58" customFormat="1" ht="14">
      <c r="B20" s="59"/>
      <c r="C20" s="60"/>
      <c r="D20" s="61"/>
      <c r="E20" s="62"/>
      <c r="F20" s="63"/>
      <c r="J20" s="63"/>
      <c r="S20" s="59"/>
      <c r="W20" s="59"/>
    </row>
    <row r="21" spans="2:28" s="58" customFormat="1" ht="14">
      <c r="B21" s="59"/>
      <c r="C21" s="64"/>
      <c r="D21" s="65" t="s">
        <v>32</v>
      </c>
      <c r="E21" s="66"/>
      <c r="F21" s="63"/>
      <c r="J21" s="63"/>
      <c r="S21" s="59"/>
      <c r="W21" s="59"/>
    </row>
    <row r="22" spans="2:28" s="58" customFormat="1" ht="14">
      <c r="B22" s="59"/>
      <c r="C22" s="67"/>
      <c r="D22" s="68"/>
      <c r="E22" s="69"/>
      <c r="F22" s="63"/>
      <c r="J22" s="63"/>
      <c r="S22" s="59"/>
      <c r="W22" s="59"/>
    </row>
    <row r="23" spans="2:28" s="58" customFormat="1" ht="14">
      <c r="B23" s="59"/>
      <c r="C23" s="63"/>
      <c r="D23" s="63"/>
      <c r="E23" s="63"/>
      <c r="F23" s="63"/>
      <c r="J23" s="63"/>
      <c r="S23" s="59"/>
      <c r="W23" s="59"/>
    </row>
    <row r="24" spans="2:28" s="58" customFormat="1" ht="14">
      <c r="B24" s="59"/>
      <c r="C24" s="60"/>
      <c r="D24" s="61"/>
      <c r="E24" s="62"/>
      <c r="F24" s="63"/>
      <c r="G24" s="60"/>
      <c r="H24" s="61"/>
      <c r="I24" s="62"/>
      <c r="J24" s="63"/>
      <c r="S24" s="59"/>
      <c r="W24" s="59"/>
    </row>
    <row r="25" spans="2:28" s="58" customFormat="1" ht="14">
      <c r="B25" s="59"/>
      <c r="C25" s="64"/>
      <c r="D25" s="65" t="s">
        <v>33</v>
      </c>
      <c r="E25" s="66"/>
      <c r="F25" s="63"/>
      <c r="G25" s="64"/>
      <c r="H25" s="84" t="s">
        <v>34</v>
      </c>
      <c r="I25" s="66"/>
      <c r="J25" s="63"/>
      <c r="S25" s="59"/>
      <c r="W25" s="59"/>
    </row>
    <row r="26" spans="2:28" s="58" customFormat="1" ht="14">
      <c r="B26" s="59"/>
      <c r="C26" s="67"/>
      <c r="D26" s="68"/>
      <c r="E26" s="69"/>
      <c r="F26" s="63"/>
      <c r="G26" s="67"/>
      <c r="H26" s="68"/>
      <c r="I26" s="69"/>
      <c r="J26" s="63"/>
      <c r="S26" s="59"/>
      <c r="W26" s="59"/>
    </row>
    <row r="27" spans="2:28" s="58" customFormat="1" ht="14">
      <c r="B27" s="59"/>
      <c r="C27" s="63"/>
      <c r="D27" s="63"/>
      <c r="E27" s="63"/>
      <c r="F27" s="63"/>
      <c r="J27" s="63"/>
      <c r="S27" s="59"/>
      <c r="W27" s="59"/>
    </row>
    <row r="28" spans="2:28" s="58" customFormat="1" ht="14">
      <c r="B28" s="59"/>
      <c r="C28" s="60"/>
      <c r="D28" s="61"/>
      <c r="E28" s="62"/>
      <c r="F28" s="63"/>
      <c r="G28" s="60"/>
      <c r="H28" s="61"/>
      <c r="I28" s="62"/>
      <c r="J28" s="63"/>
      <c r="S28" s="59"/>
      <c r="W28" s="59"/>
    </row>
    <row r="29" spans="2:28" s="58" customFormat="1" ht="14">
      <c r="B29" s="59"/>
      <c r="C29" s="64"/>
      <c r="D29" s="65" t="s">
        <v>35</v>
      </c>
      <c r="E29" s="66"/>
      <c r="F29" s="63"/>
      <c r="G29" s="64"/>
      <c r="H29" s="84" t="s">
        <v>36</v>
      </c>
      <c r="I29" s="66"/>
      <c r="J29" s="63"/>
      <c r="S29" s="59"/>
      <c r="W29" s="59"/>
    </row>
    <row r="30" spans="2:28" s="58" customFormat="1" ht="14">
      <c r="B30" s="59"/>
      <c r="C30" s="67"/>
      <c r="D30" s="68"/>
      <c r="E30" s="69"/>
      <c r="F30" s="63"/>
      <c r="G30" s="67"/>
      <c r="H30" s="68"/>
      <c r="I30" s="69"/>
      <c r="J30" s="63"/>
      <c r="S30" s="59"/>
      <c r="W30" s="59"/>
    </row>
    <row r="31" spans="2:28" s="58" customFormat="1" ht="14">
      <c r="B31" s="59"/>
      <c r="C31" s="63"/>
      <c r="D31" s="63"/>
      <c r="E31" s="63"/>
      <c r="F31" s="63"/>
      <c r="G31" s="59"/>
      <c r="H31" s="59"/>
      <c r="J31" s="63"/>
      <c r="S31" s="59"/>
      <c r="W31" s="59"/>
    </row>
    <row r="32" spans="2:28" s="58" customFormat="1" ht="14">
      <c r="B32" s="59"/>
      <c r="C32" s="60"/>
      <c r="D32" s="61"/>
      <c r="E32" s="62"/>
      <c r="F32" s="63"/>
      <c r="G32" s="60"/>
      <c r="H32" s="61"/>
      <c r="I32" s="62"/>
      <c r="J32" s="63"/>
      <c r="S32" s="59"/>
      <c r="W32" s="59"/>
    </row>
    <row r="33" spans="2:25" s="58" customFormat="1" ht="14">
      <c r="B33" s="59"/>
      <c r="C33" s="64"/>
      <c r="D33" s="65" t="s">
        <v>37</v>
      </c>
      <c r="E33" s="66"/>
      <c r="F33" s="63"/>
      <c r="G33" s="64"/>
      <c r="H33" s="84" t="s">
        <v>38</v>
      </c>
      <c r="I33" s="66"/>
      <c r="J33" s="63"/>
    </row>
    <row r="34" spans="2:25" s="58" customFormat="1" ht="14">
      <c r="B34" s="59"/>
      <c r="C34" s="67"/>
      <c r="D34" s="68"/>
      <c r="E34" s="69"/>
      <c r="F34" s="63"/>
      <c r="G34" s="67"/>
      <c r="H34" s="68"/>
      <c r="I34" s="69"/>
      <c r="J34" s="63"/>
      <c r="K34" s="60"/>
      <c r="L34" s="61"/>
      <c r="M34" s="62"/>
      <c r="O34" s="60"/>
      <c r="P34" s="61"/>
      <c r="Q34" s="62"/>
      <c r="S34" s="60"/>
      <c r="T34" s="61"/>
      <c r="U34" s="62"/>
      <c r="W34" s="60"/>
      <c r="X34" s="61"/>
      <c r="Y34" s="62"/>
    </row>
    <row r="35" spans="2:25" s="58" customFormat="1" ht="14">
      <c r="B35" s="59"/>
      <c r="F35" s="63"/>
      <c r="J35" s="63"/>
      <c r="K35" s="64"/>
      <c r="L35" s="84" t="s">
        <v>1145</v>
      </c>
      <c r="M35" s="66"/>
      <c r="O35" s="64"/>
      <c r="P35" s="84" t="s">
        <v>1146</v>
      </c>
      <c r="Q35" s="66"/>
      <c r="S35" s="64"/>
      <c r="T35" s="84" t="s">
        <v>1147</v>
      </c>
      <c r="U35" s="66"/>
      <c r="W35" s="64"/>
      <c r="X35" s="71" t="s">
        <v>39</v>
      </c>
      <c r="Y35" s="66"/>
    </row>
    <row r="36" spans="2:25" s="58" customFormat="1" ht="14">
      <c r="B36" s="59"/>
      <c r="C36" s="60"/>
      <c r="D36" s="61"/>
      <c r="E36" s="62"/>
      <c r="F36" s="63"/>
      <c r="G36" s="60"/>
      <c r="H36" s="61"/>
      <c r="I36" s="62"/>
      <c r="J36" s="63"/>
      <c r="K36" s="67"/>
      <c r="L36" s="68"/>
      <c r="M36" s="69"/>
      <c r="O36" s="67"/>
      <c r="P36" s="68"/>
      <c r="Q36" s="69"/>
      <c r="S36" s="67"/>
      <c r="T36" s="68"/>
      <c r="U36" s="69"/>
      <c r="W36" s="67"/>
      <c r="X36" s="68"/>
      <c r="Y36" s="69"/>
    </row>
    <row r="37" spans="2:25" s="58" customFormat="1" ht="14">
      <c r="B37" s="59"/>
      <c r="C37" s="64"/>
      <c r="D37" s="65" t="s">
        <v>40</v>
      </c>
      <c r="E37" s="66"/>
      <c r="F37" s="63"/>
      <c r="G37" s="64"/>
      <c r="H37" s="84" t="s">
        <v>41</v>
      </c>
      <c r="I37" s="66"/>
      <c r="J37" s="63"/>
      <c r="K37" s="73"/>
      <c r="L37" s="74"/>
      <c r="M37" s="73"/>
      <c r="O37" s="73"/>
      <c r="P37" s="74"/>
      <c r="Q37" s="73"/>
      <c r="S37" s="59"/>
      <c r="W37" s="59"/>
    </row>
    <row r="38" spans="2:25" s="58" customFormat="1" ht="14">
      <c r="B38" s="59"/>
      <c r="C38" s="67"/>
      <c r="D38" s="68"/>
      <c r="E38" s="69"/>
      <c r="F38" s="63"/>
      <c r="G38" s="67"/>
      <c r="H38" s="68"/>
      <c r="I38" s="69"/>
      <c r="J38" s="63"/>
      <c r="K38" s="73"/>
      <c r="L38" s="73"/>
      <c r="M38" s="73"/>
      <c r="O38" s="73"/>
      <c r="P38" s="73"/>
      <c r="Q38" s="73"/>
      <c r="S38" s="59"/>
      <c r="W38" s="59"/>
    </row>
    <row r="39" spans="2:25" s="58" customFormat="1" ht="14">
      <c r="B39" s="309"/>
      <c r="C39" s="63"/>
      <c r="D39" s="63"/>
      <c r="E39" s="63"/>
      <c r="F39" s="63"/>
      <c r="J39" s="63"/>
      <c r="S39" s="59"/>
      <c r="W39" s="59"/>
    </row>
    <row r="40" spans="2:25" s="58" customFormat="1" ht="14">
      <c r="B40" s="59"/>
      <c r="C40" s="60"/>
      <c r="D40" s="61"/>
      <c r="E40" s="62"/>
      <c r="F40" s="63"/>
      <c r="G40" s="60"/>
      <c r="H40" s="61"/>
      <c r="I40" s="62"/>
      <c r="J40" s="63"/>
      <c r="K40" s="73"/>
      <c r="L40" s="73"/>
      <c r="M40" s="73"/>
      <c r="O40" s="73"/>
      <c r="P40" s="73"/>
      <c r="Q40" s="73"/>
    </row>
    <row r="41" spans="2:25" s="58" customFormat="1" ht="14">
      <c r="B41" s="59"/>
      <c r="C41" s="64"/>
      <c r="D41" s="65" t="s">
        <v>42</v>
      </c>
      <c r="E41" s="66"/>
      <c r="F41" s="63"/>
      <c r="G41" s="64"/>
      <c r="H41" s="84" t="s">
        <v>43</v>
      </c>
      <c r="I41" s="66"/>
      <c r="J41" s="63"/>
      <c r="K41" s="73"/>
      <c r="L41" s="74"/>
      <c r="M41" s="73"/>
      <c r="O41" s="73"/>
      <c r="P41" s="74"/>
      <c r="Q41" s="73"/>
    </row>
    <row r="42" spans="2:25" s="58" customFormat="1" ht="14">
      <c r="B42" s="59"/>
      <c r="C42" s="67"/>
      <c r="D42" s="68"/>
      <c r="E42" s="69"/>
      <c r="F42" s="63"/>
      <c r="G42" s="67"/>
      <c r="H42" s="68"/>
      <c r="I42" s="69"/>
      <c r="J42" s="63"/>
      <c r="K42" s="73"/>
      <c r="L42" s="73"/>
      <c r="M42" s="73"/>
      <c r="O42" s="73"/>
      <c r="P42" s="73"/>
      <c r="Q42" s="73"/>
    </row>
    <row r="43" spans="2:25" s="58" customFormat="1" ht="14">
      <c r="B43" s="59"/>
      <c r="C43" s="63"/>
      <c r="D43" s="63"/>
      <c r="E43" s="63"/>
      <c r="F43" s="63"/>
      <c r="G43" s="63"/>
      <c r="H43" s="63"/>
      <c r="I43" s="63"/>
      <c r="J43" s="63"/>
      <c r="K43" s="73"/>
      <c r="L43" s="73"/>
      <c r="M43" s="73"/>
      <c r="O43" s="73"/>
      <c r="P43" s="73"/>
      <c r="Q43" s="73"/>
    </row>
    <row r="44" spans="2:25" s="58" customFormat="1" ht="14">
      <c r="B44" s="59"/>
      <c r="C44" s="60"/>
      <c r="D44" s="61"/>
      <c r="E44" s="62"/>
      <c r="F44" s="63"/>
      <c r="G44" s="60"/>
      <c r="H44" s="61"/>
      <c r="I44" s="62"/>
      <c r="J44" s="63"/>
      <c r="K44" s="73"/>
      <c r="L44" s="73"/>
      <c r="M44" s="73"/>
      <c r="O44" s="73"/>
      <c r="P44" s="73"/>
      <c r="Q44" s="73"/>
    </row>
    <row r="45" spans="2:25" s="58" customFormat="1" ht="14">
      <c r="B45" s="59"/>
      <c r="C45" s="64"/>
      <c r="D45" s="65" t="s">
        <v>44</v>
      </c>
      <c r="E45" s="66"/>
      <c r="F45" s="63"/>
      <c r="G45" s="64"/>
      <c r="H45" s="84" t="s">
        <v>45</v>
      </c>
      <c r="I45" s="66"/>
      <c r="J45" s="63"/>
      <c r="K45" s="73"/>
      <c r="L45" s="73"/>
      <c r="M45" s="73"/>
      <c r="O45" s="73"/>
      <c r="P45" s="73"/>
      <c r="Q45" s="73"/>
    </row>
    <row r="46" spans="2:25" s="58" customFormat="1" ht="14">
      <c r="B46" s="59"/>
      <c r="C46" s="67"/>
      <c r="D46" s="68"/>
      <c r="E46" s="69"/>
      <c r="F46" s="63"/>
      <c r="G46" s="67"/>
      <c r="H46" s="68"/>
      <c r="I46" s="69"/>
      <c r="J46" s="63"/>
      <c r="K46" s="73"/>
      <c r="L46" s="73"/>
      <c r="M46" s="73"/>
      <c r="O46" s="73"/>
      <c r="P46" s="73"/>
      <c r="Q46" s="73"/>
    </row>
    <row r="47" spans="2:25" s="58" customFormat="1" ht="14">
      <c r="B47" s="59"/>
      <c r="F47" s="63"/>
      <c r="J47" s="63"/>
      <c r="S47" s="59"/>
      <c r="W47" s="59"/>
    </row>
    <row r="48" spans="2:25" s="58" customFormat="1" ht="14">
      <c r="B48" s="59"/>
      <c r="C48" s="60"/>
      <c r="D48" s="61"/>
      <c r="E48" s="62"/>
      <c r="G48" s="60"/>
      <c r="H48" s="61"/>
      <c r="I48" s="62"/>
      <c r="K48" s="73"/>
      <c r="L48" s="73"/>
      <c r="M48" s="73"/>
      <c r="O48" s="73"/>
    </row>
    <row r="49" spans="2:25" s="58" customFormat="1" ht="14">
      <c r="B49" s="59"/>
      <c r="C49" s="64"/>
      <c r="D49" s="65" t="s">
        <v>46</v>
      </c>
      <c r="E49" s="66"/>
      <c r="G49" s="64"/>
      <c r="H49" s="84" t="s">
        <v>47</v>
      </c>
      <c r="I49" s="66"/>
      <c r="K49" s="73"/>
      <c r="L49" s="74"/>
      <c r="M49" s="73"/>
      <c r="O49" s="73"/>
    </row>
    <row r="50" spans="2:25" s="58" customFormat="1" ht="14">
      <c r="B50" s="59"/>
      <c r="C50" s="67"/>
      <c r="D50" s="68"/>
      <c r="E50" s="69"/>
      <c r="G50" s="67"/>
      <c r="H50" s="68"/>
      <c r="I50" s="69"/>
      <c r="K50" s="73"/>
      <c r="L50" s="73"/>
      <c r="M50" s="73"/>
      <c r="N50" s="73"/>
      <c r="O50" s="73"/>
    </row>
    <row r="51" spans="2:25" s="58" customFormat="1" ht="14">
      <c r="C51" s="63"/>
      <c r="D51" s="63"/>
      <c r="E51" s="63"/>
      <c r="F51" s="59"/>
      <c r="J51" s="59"/>
      <c r="N51" s="74"/>
      <c r="O51" s="73"/>
      <c r="Y51" s="73"/>
    </row>
    <row r="52" spans="2:25" s="58" customFormat="1" ht="14">
      <c r="B52" s="59"/>
      <c r="C52" s="60"/>
      <c r="D52" s="61"/>
      <c r="E52" s="62"/>
      <c r="G52" s="60"/>
      <c r="H52" s="61"/>
      <c r="I52" s="62"/>
      <c r="N52" s="73"/>
      <c r="O52" s="73"/>
      <c r="Y52" s="73"/>
    </row>
    <row r="53" spans="2:25" s="58" customFormat="1" ht="14">
      <c r="B53" s="59"/>
      <c r="C53" s="64"/>
      <c r="D53" s="187" t="s">
        <v>48</v>
      </c>
      <c r="E53" s="66"/>
      <c r="G53" s="64"/>
      <c r="H53" s="84" t="s">
        <v>49</v>
      </c>
      <c r="I53" s="66"/>
      <c r="S53" s="73"/>
      <c r="U53" s="73"/>
      <c r="V53" s="73"/>
      <c r="Y53" s="73"/>
    </row>
    <row r="54" spans="2:25" s="58" customFormat="1" ht="14">
      <c r="B54" s="59"/>
      <c r="C54" s="67"/>
      <c r="D54" s="68"/>
      <c r="E54" s="69"/>
      <c r="G54" s="67"/>
      <c r="H54" s="68"/>
      <c r="I54" s="69"/>
      <c r="S54" s="73"/>
      <c r="U54" s="73"/>
      <c r="V54" s="73"/>
      <c r="W54" s="73"/>
      <c r="X54" s="74"/>
      <c r="Y54" s="73"/>
    </row>
    <row r="55" spans="2:25" s="58" customFormat="1" ht="14">
      <c r="B55" s="59"/>
      <c r="E55" s="59"/>
      <c r="S55" s="73"/>
      <c r="U55" s="73"/>
      <c r="V55" s="73"/>
      <c r="W55" s="73"/>
      <c r="X55" s="73"/>
      <c r="Y55" s="73"/>
    </row>
    <row r="56" spans="2:25" s="58" customFormat="1" ht="14">
      <c r="B56" s="59"/>
      <c r="C56" s="60"/>
      <c r="D56" s="61"/>
      <c r="E56" s="62"/>
      <c r="G56" s="60"/>
      <c r="H56" s="61"/>
      <c r="I56" s="62"/>
      <c r="S56" s="73"/>
      <c r="T56" s="73"/>
      <c r="U56" s="73"/>
      <c r="W56" s="73"/>
      <c r="X56" s="73"/>
      <c r="Y56" s="73"/>
    </row>
    <row r="57" spans="2:25" s="58" customFormat="1" ht="14">
      <c r="B57" s="59"/>
      <c r="C57" s="64"/>
      <c r="D57" s="187" t="s">
        <v>50</v>
      </c>
      <c r="E57" s="66"/>
      <c r="G57" s="64"/>
      <c r="H57" s="84" t="s">
        <v>1144</v>
      </c>
      <c r="I57" s="66"/>
      <c r="Q57" s="73"/>
      <c r="R57" s="73"/>
      <c r="S57" s="73"/>
      <c r="T57" s="73"/>
      <c r="U57" s="73"/>
      <c r="W57" s="73"/>
      <c r="X57" s="73"/>
      <c r="Y57" s="73"/>
    </row>
    <row r="58" spans="2:25" s="58" customFormat="1" ht="14">
      <c r="B58" s="59"/>
      <c r="C58" s="67"/>
      <c r="D58" s="68"/>
      <c r="E58" s="69"/>
      <c r="G58" s="67"/>
      <c r="H58" s="68"/>
      <c r="I58" s="69"/>
      <c r="Q58" s="73"/>
      <c r="R58" s="73"/>
      <c r="S58" s="73"/>
      <c r="T58" s="73"/>
      <c r="U58" s="73"/>
      <c r="W58" s="73"/>
      <c r="X58" s="73"/>
      <c r="Y58" s="73"/>
    </row>
    <row r="59" spans="2:25" s="58" customFormat="1" ht="14">
      <c r="B59" s="59"/>
      <c r="H59" s="74"/>
      <c r="S59" s="73"/>
      <c r="T59" s="73"/>
      <c r="U59" s="73"/>
      <c r="W59" s="73"/>
      <c r="X59" s="73"/>
      <c r="Y59" s="73"/>
    </row>
    <row r="60" spans="2:25" s="58" customFormat="1" ht="14">
      <c r="B60" s="59"/>
      <c r="C60" s="60"/>
      <c r="D60" s="61"/>
      <c r="E60" s="62"/>
      <c r="S60" s="73"/>
      <c r="T60" s="73"/>
      <c r="U60" s="73"/>
      <c r="W60" s="73"/>
      <c r="X60" s="73"/>
      <c r="Y60" s="73"/>
    </row>
    <row r="61" spans="2:25" s="58" customFormat="1" ht="14">
      <c r="B61" s="59"/>
      <c r="C61" s="64"/>
      <c r="D61" s="187" t="s">
        <v>51</v>
      </c>
      <c r="E61" s="66"/>
      <c r="S61" s="73"/>
      <c r="T61" s="73"/>
      <c r="U61" s="73"/>
      <c r="W61" s="73"/>
      <c r="X61" s="73"/>
      <c r="Y61" s="73"/>
    </row>
    <row r="62" spans="2:25" s="58" customFormat="1" ht="14">
      <c r="B62" s="59"/>
      <c r="C62" s="67"/>
      <c r="D62" s="68"/>
      <c r="E62" s="69"/>
      <c r="S62" s="73"/>
      <c r="T62" s="73"/>
      <c r="U62" s="73"/>
      <c r="W62" s="73"/>
      <c r="X62" s="73"/>
      <c r="Y62" s="73"/>
    </row>
    <row r="63" spans="2:25" s="58" customFormat="1" ht="14">
      <c r="B63" s="59"/>
      <c r="S63" s="73"/>
      <c r="T63" s="73"/>
      <c r="U63" s="73"/>
      <c r="W63" s="73"/>
      <c r="X63" s="73"/>
      <c r="Y63" s="73"/>
    </row>
    <row r="64" spans="2:25" s="58" customFormat="1" ht="14">
      <c r="B64" s="59"/>
      <c r="C64" s="60"/>
      <c r="D64" s="61"/>
      <c r="E64" s="62"/>
      <c r="S64" s="73"/>
      <c r="T64" s="73"/>
      <c r="U64" s="73"/>
      <c r="W64" s="73"/>
      <c r="X64" s="73"/>
      <c r="Y64" s="73"/>
    </row>
    <row r="65" spans="2:25" s="58" customFormat="1" ht="14">
      <c r="B65" s="59"/>
      <c r="C65" s="64"/>
      <c r="D65" s="187" t="s">
        <v>52</v>
      </c>
      <c r="E65" s="66"/>
      <c r="S65" s="73"/>
      <c r="T65" s="73"/>
      <c r="U65" s="73"/>
      <c r="W65" s="73"/>
      <c r="X65" s="73"/>
      <c r="Y65" s="73"/>
    </row>
    <row r="66" spans="2:25" s="58" customFormat="1" ht="14">
      <c r="B66" s="59"/>
      <c r="C66" s="67"/>
      <c r="D66" s="68"/>
      <c r="E66" s="69"/>
      <c r="S66" s="73"/>
      <c r="T66" s="73"/>
      <c r="U66" s="73"/>
      <c r="W66" s="73"/>
      <c r="X66" s="73"/>
      <c r="Y66" s="73"/>
    </row>
    <row r="67" spans="2:25" s="58" customFormat="1" ht="14">
      <c r="B67" s="59"/>
      <c r="S67" s="73"/>
      <c r="T67" s="73"/>
      <c r="U67" s="73"/>
      <c r="W67" s="73"/>
      <c r="X67" s="73"/>
      <c r="Y67" s="73"/>
    </row>
    <row r="68" spans="2:25" s="58" customFormat="1" ht="14">
      <c r="B68" s="59"/>
      <c r="C68" s="60"/>
      <c r="D68" s="61"/>
      <c r="E68" s="62"/>
      <c r="S68" s="73"/>
      <c r="T68" s="73"/>
      <c r="U68" s="73"/>
      <c r="W68" s="73"/>
      <c r="X68" s="73"/>
      <c r="Y68" s="73"/>
    </row>
    <row r="69" spans="2:25" s="58" customFormat="1" ht="14">
      <c r="B69" s="59"/>
      <c r="C69" s="64"/>
      <c r="D69" s="187" t="s">
        <v>53</v>
      </c>
      <c r="E69" s="66"/>
      <c r="S69" s="73"/>
      <c r="T69" s="73"/>
      <c r="U69" s="73"/>
      <c r="W69" s="73"/>
      <c r="X69" s="73"/>
      <c r="Y69" s="73"/>
    </row>
    <row r="70" spans="2:25" s="58" customFormat="1" ht="14">
      <c r="B70" s="59"/>
      <c r="C70" s="67"/>
      <c r="D70" s="68"/>
      <c r="E70" s="69"/>
      <c r="S70" s="73"/>
      <c r="T70" s="73"/>
      <c r="U70" s="73"/>
      <c r="W70" s="73"/>
      <c r="X70" s="73"/>
      <c r="Y70" s="73"/>
    </row>
    <row r="71" spans="2:25" s="58" customFormat="1" ht="14">
      <c r="B71" s="59"/>
      <c r="C71" s="63"/>
      <c r="D71" s="63"/>
      <c r="E71" s="63"/>
      <c r="S71" s="73"/>
      <c r="T71" s="73"/>
      <c r="U71" s="73"/>
      <c r="W71" s="73"/>
      <c r="X71" s="73"/>
      <c r="Y71" s="73"/>
    </row>
    <row r="72" spans="2:25" s="58" customFormat="1" ht="14">
      <c r="B72" s="59"/>
      <c r="C72" s="63"/>
      <c r="D72" s="63"/>
      <c r="E72" s="63"/>
      <c r="S72" s="73"/>
      <c r="T72" s="73"/>
      <c r="U72" s="73"/>
      <c r="W72" s="73"/>
      <c r="X72" s="73"/>
      <c r="Y72" s="73"/>
    </row>
    <row r="73" spans="2:25" s="58" customFormat="1" ht="14">
      <c r="B73" s="59"/>
      <c r="C73" s="63"/>
      <c r="D73" s="63"/>
      <c r="E73" s="63"/>
      <c r="S73" s="73"/>
      <c r="T73" s="73"/>
      <c r="U73" s="73"/>
      <c r="W73" s="73"/>
      <c r="X73" s="73"/>
      <c r="Y73" s="73"/>
    </row>
    <row r="74" spans="2:25" s="58" customFormat="1" ht="14">
      <c r="B74" s="59"/>
      <c r="C74" s="63"/>
      <c r="D74" s="63"/>
      <c r="E74" s="63"/>
      <c r="S74" s="73"/>
      <c r="T74" s="73"/>
      <c r="U74" s="73"/>
      <c r="W74" s="73"/>
      <c r="X74" s="73"/>
      <c r="Y74" s="73"/>
    </row>
    <row r="75" spans="2:25" s="58" customFormat="1" ht="14">
      <c r="B75" s="59"/>
      <c r="C75" s="63"/>
      <c r="D75" s="63"/>
      <c r="E75" s="63"/>
      <c r="S75" s="73"/>
      <c r="T75" s="73"/>
      <c r="U75" s="73"/>
      <c r="W75" s="73"/>
      <c r="X75" s="73"/>
      <c r="Y75" s="73"/>
    </row>
    <row r="76" spans="2:25" s="58" customFormat="1" ht="14">
      <c r="B76" s="59"/>
      <c r="C76" s="63"/>
      <c r="D76" s="63"/>
      <c r="E76" s="63"/>
      <c r="S76" s="73"/>
      <c r="T76" s="73"/>
      <c r="U76" s="73"/>
      <c r="W76" s="73"/>
      <c r="X76" s="73"/>
      <c r="Y76" s="73"/>
    </row>
    <row r="77" spans="2:25" s="58" customFormat="1" ht="14">
      <c r="B77" s="59"/>
      <c r="C77" s="63"/>
      <c r="D77" s="63"/>
      <c r="E77" s="63"/>
      <c r="S77" s="73"/>
      <c r="T77" s="73"/>
      <c r="U77" s="73"/>
      <c r="W77" s="73"/>
      <c r="X77" s="73"/>
      <c r="Y77" s="73"/>
    </row>
    <row r="78" spans="2:25" s="58" customFormat="1" ht="14">
      <c r="B78" s="59"/>
      <c r="C78" s="59"/>
      <c r="D78" s="59"/>
      <c r="E78" s="59"/>
      <c r="F78" s="59"/>
      <c r="G78" s="59"/>
      <c r="S78" s="73"/>
      <c r="T78" s="73"/>
      <c r="U78" s="73"/>
      <c r="W78" s="73"/>
      <c r="X78" s="73"/>
      <c r="Y78" s="73"/>
    </row>
    <row r="79" spans="2:25" s="58" customFormat="1" ht="14">
      <c r="B79" s="59"/>
      <c r="S79" s="73"/>
      <c r="T79" s="73"/>
      <c r="U79" s="73"/>
      <c r="W79" s="73"/>
      <c r="X79" s="73"/>
      <c r="Y79" s="73"/>
    </row>
    <row r="80" spans="2:25" s="8" customFormat="1" ht="13">
      <c r="B80" s="8" t="s">
        <v>54</v>
      </c>
    </row>
    <row r="82" spans="2:10" ht="13">
      <c r="B82" s="16" t="s">
        <v>55</v>
      </c>
      <c r="D82" s="16" t="s">
        <v>56</v>
      </c>
      <c r="F82" s="5"/>
      <c r="J82" s="5"/>
    </row>
    <row r="83" spans="2:10" ht="13">
      <c r="F83" s="5"/>
      <c r="J83" s="5"/>
    </row>
    <row r="84" spans="2:10">
      <c r="B84" s="154">
        <v>123</v>
      </c>
      <c r="D84" s="3" t="s">
        <v>57</v>
      </c>
    </row>
    <row r="85" spans="2:10">
      <c r="B85" s="155">
        <f>B84</f>
        <v>123</v>
      </c>
      <c r="D85" s="3" t="s">
        <v>58</v>
      </c>
    </row>
    <row r="86" spans="2:10">
      <c r="B86" s="156">
        <f>B85+B84</f>
        <v>246</v>
      </c>
      <c r="D86" s="3" t="s">
        <v>59</v>
      </c>
    </row>
    <row r="87" spans="2:10">
      <c r="B87" s="18">
        <f>B85+B86</f>
        <v>369</v>
      </c>
      <c r="D87" s="3" t="s">
        <v>60</v>
      </c>
    </row>
    <row r="88" spans="2:10">
      <c r="B88" s="188">
        <v>123</v>
      </c>
      <c r="D88" s="3" t="s">
        <v>61</v>
      </c>
    </row>
    <row r="89" spans="2:10" ht="13">
      <c r="B89" s="157"/>
      <c r="D89" s="3" t="s">
        <v>62</v>
      </c>
      <c r="E89" s="5"/>
      <c r="F89" s="5"/>
      <c r="J89" s="5"/>
    </row>
    <row r="90" spans="2:10" ht="13">
      <c r="E90" s="5"/>
    </row>
    <row r="91" spans="2:10" ht="13">
      <c r="B91" s="17" t="s">
        <v>63</v>
      </c>
      <c r="E91" s="5"/>
    </row>
    <row r="92" spans="2:10">
      <c r="B92" s="20">
        <f>B87+16</f>
        <v>385</v>
      </c>
      <c r="D92" s="3" t="s">
        <v>64</v>
      </c>
    </row>
    <row r="93" spans="2:10">
      <c r="B93" s="230">
        <v>385</v>
      </c>
      <c r="D93" t="s">
        <v>65</v>
      </c>
    </row>
    <row r="94" spans="2:10">
      <c r="B94" s="158"/>
      <c r="C94" s="158"/>
    </row>
    <row r="95" spans="2:10" ht="13">
      <c r="B95" s="17" t="s">
        <v>66</v>
      </c>
      <c r="C95" s="159"/>
    </row>
    <row r="96" spans="2:10" ht="13">
      <c r="B96" s="160">
        <v>123</v>
      </c>
      <c r="C96" s="159"/>
      <c r="D96" s="3" t="s">
        <v>67</v>
      </c>
    </row>
    <row r="97" spans="2:7" ht="13">
      <c r="B97" s="21">
        <v>124</v>
      </c>
      <c r="C97" s="159"/>
      <c r="D97" s="3" t="s">
        <v>68</v>
      </c>
    </row>
    <row r="98" spans="2:7" ht="13">
      <c r="B98" s="22">
        <f>B96-B97</f>
        <v>-1</v>
      </c>
      <c r="C98" s="161"/>
      <c r="D98" s="3" t="s">
        <v>69</v>
      </c>
      <c r="G98" s="5"/>
    </row>
    <row r="101" spans="2:7" ht="13">
      <c r="B101" s="16" t="s">
        <v>70</v>
      </c>
    </row>
    <row r="102" spans="2:7" ht="13">
      <c r="B102" s="2"/>
    </row>
    <row r="103" spans="2:7" ht="13">
      <c r="B103" s="17" t="s">
        <v>71</v>
      </c>
    </row>
    <row r="104" spans="2:7">
      <c r="B104" s="18" t="s">
        <v>72</v>
      </c>
      <c r="D104" s="3" t="s">
        <v>73</v>
      </c>
    </row>
    <row r="105" spans="2:7">
      <c r="B105" s="154" t="s">
        <v>74</v>
      </c>
      <c r="D105" s="3" t="s">
        <v>75</v>
      </c>
    </row>
    <row r="106" spans="2:7">
      <c r="B106" s="189" t="s">
        <v>76</v>
      </c>
      <c r="D106" s="3" t="s">
        <v>77</v>
      </c>
    </row>
    <row r="107" spans="2:7">
      <c r="B107" s="156" t="s">
        <v>78</v>
      </c>
      <c r="D107" s="3" t="s">
        <v>79</v>
      </c>
    </row>
    <row r="109" spans="2:7" ht="13">
      <c r="B109" s="17" t="s">
        <v>80</v>
      </c>
    </row>
    <row r="110" spans="2:7">
      <c r="B110" s="14" t="s">
        <v>81</v>
      </c>
      <c r="D110" s="3" t="s">
        <v>82</v>
      </c>
    </row>
    <row r="111" spans="2:7">
      <c r="B111" s="79" t="s">
        <v>83</v>
      </c>
      <c r="D111" s="3" t="s">
        <v>84</v>
      </c>
    </row>
    <row r="113" spans="2:2">
      <c r="B113" s="162"/>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31"/>
  <sheetViews>
    <sheetView showGridLines="0" zoomScale="85" zoomScaleNormal="85" workbookViewId="0"/>
  </sheetViews>
  <sheetFormatPr defaultRowHeight="12.5"/>
  <cols>
    <col min="1" max="1" width="2.54296875" customWidth="1"/>
    <col min="2" max="2" width="68.26953125" bestFit="1" customWidth="1"/>
    <col min="3" max="3" width="33.54296875" bestFit="1" customWidth="1"/>
    <col min="4" max="4" width="7.1796875" bestFit="1" customWidth="1"/>
    <col min="5" max="6" width="12" bestFit="1" customWidth="1"/>
    <col min="7" max="7" width="66.7265625" bestFit="1" customWidth="1"/>
    <col min="8" max="8" width="8.7265625" bestFit="1" customWidth="1"/>
    <col min="9" max="9" width="10.81640625" bestFit="1" customWidth="1"/>
    <col min="10" max="10" width="19.54296875" bestFit="1" customWidth="1"/>
    <col min="11" max="11" width="31" bestFit="1" customWidth="1"/>
    <col min="12" max="12" width="8.54296875" bestFit="1" customWidth="1"/>
    <col min="13" max="13" width="39" bestFit="1" customWidth="1"/>
    <col min="14" max="14" width="42.1796875" bestFit="1" customWidth="1"/>
    <col min="15" max="15" width="28.453125" bestFit="1" customWidth="1"/>
    <col min="16" max="16" width="80.54296875" bestFit="1" customWidth="1"/>
    <col min="17" max="17" width="66.54296875" bestFit="1" customWidth="1"/>
    <col min="18" max="18" width="37.81640625" bestFit="1" customWidth="1"/>
    <col min="19" max="19" width="8.453125" bestFit="1" customWidth="1"/>
    <col min="20" max="20" width="13.453125" bestFit="1" customWidth="1"/>
  </cols>
  <sheetData>
    <row r="1" spans="2:19" s="3" customFormat="1"/>
    <row r="2" spans="2:19" s="12" customFormat="1" ht="18">
      <c r="B2" s="12" t="s">
        <v>826</v>
      </c>
    </row>
    <row r="3" spans="2:19" s="3" customFormat="1"/>
    <row r="4" spans="2:19" s="3" customFormat="1" ht="13">
      <c r="B4" s="2" t="s">
        <v>183</v>
      </c>
    </row>
    <row r="5" spans="2:19" s="3" customFormat="1">
      <c r="B5" s="3" t="s">
        <v>827</v>
      </c>
    </row>
    <row r="6" spans="2:19" s="3" customFormat="1"/>
    <row r="7" spans="2:19" s="3" customFormat="1" ht="13">
      <c r="B7" s="16" t="s">
        <v>785</v>
      </c>
      <c r="C7" s="181"/>
      <c r="D7" s="2"/>
    </row>
    <row r="8" spans="2:19" s="3" customFormat="1" ht="16.5" customHeight="1">
      <c r="B8" s="359" t="s">
        <v>828</v>
      </c>
      <c r="C8" s="359"/>
      <c r="D8" s="359"/>
      <c r="E8" s="359"/>
      <c r="F8" s="359"/>
      <c r="G8" s="359"/>
      <c r="H8" s="359"/>
      <c r="I8" s="359"/>
      <c r="J8" s="359"/>
      <c r="K8" s="359"/>
      <c r="L8" s="359"/>
      <c r="M8" s="359"/>
    </row>
    <row r="9" spans="2:19" s="3" customFormat="1" ht="13">
      <c r="B9" s="4"/>
      <c r="C9" s="181"/>
    </row>
    <row r="10" spans="2:19" s="3" customFormat="1" ht="13">
      <c r="B10" s="176" t="s">
        <v>787</v>
      </c>
      <c r="C10" s="181"/>
    </row>
    <row r="11" spans="2:19" s="3" customFormat="1">
      <c r="B11" s="361">
        <v>46150</v>
      </c>
      <c r="C11" s="361"/>
      <c r="D11" s="361"/>
      <c r="E11" s="118"/>
    </row>
    <row r="13" spans="2:19" ht="13">
      <c r="B13" s="176" t="s">
        <v>788</v>
      </c>
      <c r="C13" s="3"/>
      <c r="D13" s="3"/>
      <c r="E13" s="3"/>
      <c r="F13" s="3"/>
      <c r="G13" s="3"/>
      <c r="H13" s="3"/>
      <c r="I13" s="3"/>
      <c r="J13" s="3"/>
      <c r="K13" s="3"/>
      <c r="L13" s="3"/>
      <c r="M13" s="3"/>
      <c r="N13" s="3"/>
      <c r="O13" s="3"/>
      <c r="P13" s="3"/>
      <c r="Q13" s="3"/>
      <c r="R13" s="3"/>
      <c r="S13" s="3"/>
    </row>
    <row r="14" spans="2:19" ht="12.75" customHeight="1">
      <c r="B14" s="361" t="s">
        <v>829</v>
      </c>
      <c r="C14" s="361"/>
      <c r="D14" s="361"/>
      <c r="E14" s="361"/>
      <c r="F14" s="361"/>
      <c r="G14" s="1"/>
      <c r="H14" s="1"/>
      <c r="I14" s="1"/>
      <c r="J14" s="1"/>
      <c r="K14" s="1"/>
      <c r="L14" s="1"/>
      <c r="M14" s="1"/>
      <c r="N14" s="1"/>
      <c r="O14" s="1"/>
      <c r="P14" s="1"/>
      <c r="Q14" s="1"/>
      <c r="R14" s="1"/>
      <c r="S14" s="1"/>
    </row>
    <row r="16" spans="2:19" ht="13">
      <c r="B16" s="177" t="s">
        <v>790</v>
      </c>
    </row>
    <row r="17" spans="2:8">
      <c r="B17" s="125">
        <f>SUBTOTAL(103,B20:B460)</f>
        <v>12</v>
      </c>
    </row>
    <row r="18" spans="2:8" ht="14.25" customHeight="1"/>
    <row r="19" spans="2:8" s="8" customFormat="1" ht="13">
      <c r="B19" s="8" t="s">
        <v>818</v>
      </c>
      <c r="C19" s="8" t="s">
        <v>819</v>
      </c>
      <c r="D19" s="8" t="s">
        <v>149</v>
      </c>
      <c r="E19" s="8" t="s">
        <v>830</v>
      </c>
      <c r="F19" s="8" t="s">
        <v>831</v>
      </c>
      <c r="G19" s="8" t="s">
        <v>796</v>
      </c>
      <c r="H19" s="8" t="s">
        <v>805</v>
      </c>
    </row>
    <row r="20" spans="2:8">
      <c r="B20" s="350" t="s">
        <v>498</v>
      </c>
      <c r="C20" s="350" t="s">
        <v>832</v>
      </c>
      <c r="D20" s="324">
        <v>2022</v>
      </c>
      <c r="E20" s="326">
        <v>117613906.59917724</v>
      </c>
      <c r="F20" s="326">
        <v>255375350.92082277</v>
      </c>
      <c r="G20" s="350" t="s">
        <v>800</v>
      </c>
      <c r="H20" s="324">
        <v>2</v>
      </c>
    </row>
    <row r="21" spans="2:8">
      <c r="B21" s="350" t="s">
        <v>498</v>
      </c>
      <c r="C21" s="350" t="s">
        <v>833</v>
      </c>
      <c r="D21" s="324">
        <v>2022</v>
      </c>
      <c r="E21" s="326"/>
      <c r="F21" s="326">
        <v>4045629</v>
      </c>
      <c r="G21" s="350" t="s">
        <v>800</v>
      </c>
      <c r="H21" s="324">
        <v>2</v>
      </c>
    </row>
    <row r="22" spans="2:8">
      <c r="B22" s="350" t="s">
        <v>834</v>
      </c>
      <c r="C22" s="350" t="s">
        <v>835</v>
      </c>
      <c r="D22" s="324">
        <v>2022</v>
      </c>
      <c r="E22" s="326">
        <v>15909724.839999994</v>
      </c>
      <c r="F22" s="326">
        <v>194686.33000000002</v>
      </c>
      <c r="G22" s="350" t="s">
        <v>800</v>
      </c>
      <c r="H22" s="324">
        <v>2</v>
      </c>
    </row>
    <row r="23" spans="2:8">
      <c r="B23" s="350" t="s">
        <v>498</v>
      </c>
      <c r="C23" s="350" t="s">
        <v>832</v>
      </c>
      <c r="D23" s="324">
        <v>2023</v>
      </c>
      <c r="E23" s="326">
        <v>85777606.813960448</v>
      </c>
      <c r="F23" s="326">
        <v>235931593.58603954</v>
      </c>
      <c r="G23" s="350" t="s">
        <v>801</v>
      </c>
      <c r="H23" s="324">
        <v>1</v>
      </c>
    </row>
    <row r="24" spans="2:8">
      <c r="B24" s="350" t="s">
        <v>498</v>
      </c>
      <c r="C24" s="350" t="s">
        <v>833</v>
      </c>
      <c r="D24" s="324">
        <v>2023</v>
      </c>
      <c r="E24" s="326"/>
      <c r="F24" s="326">
        <v>4280846.4400000004</v>
      </c>
      <c r="G24" s="350" t="s">
        <v>801</v>
      </c>
      <c r="H24" s="324">
        <v>1</v>
      </c>
    </row>
    <row r="25" spans="2:8">
      <c r="B25" s="350" t="s">
        <v>834</v>
      </c>
      <c r="C25" s="350" t="s">
        <v>835</v>
      </c>
      <c r="D25" s="324">
        <v>2023</v>
      </c>
      <c r="E25" s="326">
        <v>17090064.669999968</v>
      </c>
      <c r="F25" s="326">
        <v>363492.70999999996</v>
      </c>
      <c r="G25" s="350" t="s">
        <v>801</v>
      </c>
      <c r="H25" s="324">
        <v>1</v>
      </c>
    </row>
    <row r="26" spans="2:8">
      <c r="B26" s="350" t="s">
        <v>498</v>
      </c>
      <c r="C26" s="350" t="s">
        <v>832</v>
      </c>
      <c r="D26" s="324">
        <v>2024</v>
      </c>
      <c r="E26" s="326">
        <v>57272557.30969505</v>
      </c>
      <c r="F26" s="326">
        <v>151724179.39030492</v>
      </c>
      <c r="G26" s="350" t="s">
        <v>1095</v>
      </c>
      <c r="H26" s="324">
        <v>1</v>
      </c>
    </row>
    <row r="27" spans="2:8">
      <c r="B27" s="350" t="s">
        <v>498</v>
      </c>
      <c r="C27" s="350" t="s">
        <v>833</v>
      </c>
      <c r="D27" s="324">
        <v>2024</v>
      </c>
      <c r="E27" s="326"/>
      <c r="F27" s="326">
        <v>2788340.2199999997</v>
      </c>
      <c r="G27" s="350" t="s">
        <v>1095</v>
      </c>
      <c r="H27" s="324">
        <v>1</v>
      </c>
    </row>
    <row r="28" spans="2:8">
      <c r="B28" s="350" t="s">
        <v>834</v>
      </c>
      <c r="C28" s="350" t="s">
        <v>835</v>
      </c>
      <c r="D28" s="324">
        <v>2024</v>
      </c>
      <c r="E28" s="326">
        <v>19166694.399999991</v>
      </c>
      <c r="F28" s="326">
        <v>88813.959999999992</v>
      </c>
      <c r="G28" s="350" t="s">
        <v>1095</v>
      </c>
      <c r="H28" s="324">
        <v>1</v>
      </c>
    </row>
    <row r="29" spans="2:8">
      <c r="B29" s="350" t="s">
        <v>498</v>
      </c>
      <c r="C29" s="350" t="s">
        <v>832</v>
      </c>
      <c r="D29" s="324">
        <v>2025</v>
      </c>
      <c r="E29" s="326">
        <v>56906269.52304472</v>
      </c>
      <c r="F29" s="326">
        <v>131989332.8269553</v>
      </c>
      <c r="G29" s="350" t="s">
        <v>1167</v>
      </c>
      <c r="H29" s="324">
        <v>1</v>
      </c>
    </row>
    <row r="30" spans="2:8">
      <c r="B30" s="350" t="s">
        <v>498</v>
      </c>
      <c r="C30" s="350" t="s">
        <v>833</v>
      </c>
      <c r="D30" s="324">
        <v>2025</v>
      </c>
      <c r="E30" s="326"/>
      <c r="F30" s="326">
        <v>2735428.1700000004</v>
      </c>
      <c r="G30" s="350" t="s">
        <v>1167</v>
      </c>
      <c r="H30" s="324">
        <v>1</v>
      </c>
    </row>
    <row r="31" spans="2:8">
      <c r="B31" s="350" t="s">
        <v>834</v>
      </c>
      <c r="C31" s="350" t="s">
        <v>835</v>
      </c>
      <c r="D31" s="324">
        <v>2025</v>
      </c>
      <c r="E31" s="326">
        <v>36720146.740000002</v>
      </c>
      <c r="F31" s="326">
        <v>362559.97</v>
      </c>
      <c r="G31" s="350" t="s">
        <v>1167</v>
      </c>
      <c r="H31" s="324">
        <v>1</v>
      </c>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796875" defaultRowHeight="12.5"/>
  <cols>
    <col min="1" max="16384" width="9.179687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CA106"/>
  <sheetViews>
    <sheetView showGridLines="0" zoomScale="85" zoomScaleNormal="85" workbookViewId="0">
      <pane xSplit="2" topLeftCell="C1" activePane="topRight" state="frozen"/>
      <selection activeCell="A46" sqref="A46"/>
      <selection pane="topRight" activeCell="C1" sqref="C1"/>
    </sheetView>
  </sheetViews>
  <sheetFormatPr defaultColWidth="13.54296875" defaultRowHeight="12.5"/>
  <cols>
    <col min="1" max="1" width="2.54296875" style="3" customWidth="1"/>
    <col min="2" max="2" width="63.453125" style="3" customWidth="1"/>
    <col min="3" max="3" width="2.54296875" style="3" customWidth="1"/>
    <col min="4" max="4" width="54.54296875" style="3" customWidth="1"/>
    <col min="5" max="5" width="2.54296875" style="3" customWidth="1"/>
    <col min="6" max="6" width="15.54296875" style="3" customWidth="1"/>
    <col min="7" max="7" width="2.54296875" style="3" customWidth="1"/>
    <col min="8" max="8" width="15.54296875" style="3" customWidth="1"/>
    <col min="9" max="9" width="22" style="3" bestFit="1" customWidth="1"/>
    <col min="10" max="10" width="25.453125" style="3" customWidth="1"/>
    <col min="11" max="11" width="27.453125" style="3" bestFit="1" customWidth="1"/>
    <col min="12" max="12" width="24.81640625" style="3" customWidth="1"/>
    <col min="13" max="14" width="15.54296875" style="3" customWidth="1"/>
    <col min="15" max="15" width="12.1796875" style="3" customWidth="1"/>
    <col min="16" max="18" width="15.54296875" style="3" customWidth="1"/>
    <col min="19" max="19" width="18" style="3" bestFit="1" customWidth="1"/>
    <col min="20" max="20" width="13.54296875" style="3" customWidth="1"/>
    <col min="21" max="21" width="30.453125" style="3" customWidth="1"/>
    <col min="22" max="22" width="40.1796875" style="3" bestFit="1" customWidth="1"/>
    <col min="23" max="23" width="2.54296875" style="3" customWidth="1"/>
    <col min="24" max="24" width="25" style="3" bestFit="1" customWidth="1"/>
    <col min="25" max="28" width="15.54296875" style="3" customWidth="1"/>
    <col min="29" max="29" width="2.54296875" style="3" customWidth="1"/>
    <col min="30" max="30" width="25" style="3" bestFit="1" customWidth="1"/>
    <col min="31" max="34" width="15.54296875" style="3" customWidth="1"/>
    <col min="35" max="35" width="2.54296875" style="3" customWidth="1"/>
    <col min="36" max="36" width="25" style="3" bestFit="1" customWidth="1"/>
    <col min="37" max="40" width="15.54296875" style="3" customWidth="1"/>
    <col min="41" max="41" width="2.54296875" style="3" customWidth="1"/>
    <col min="42" max="42" width="22.453125" style="3" bestFit="1" customWidth="1"/>
    <col min="43" max="46" width="15.54296875" style="3" customWidth="1"/>
    <col min="47" max="47" width="15.81640625" style="3" customWidth="1"/>
    <col min="48" max="48" width="15" style="3" bestFit="1" customWidth="1"/>
    <col min="49" max="54" width="13.54296875" style="3" customWidth="1"/>
    <col min="55" max="55" width="2.54296875" style="3" customWidth="1"/>
    <col min="56" max="56" width="15.81640625" style="3" customWidth="1"/>
    <col min="57" max="62" width="13.54296875" style="3" customWidth="1"/>
    <col min="63" max="63" width="2.54296875" style="3" customWidth="1"/>
    <col min="64" max="64" width="14.1796875" style="3" bestFit="1" customWidth="1"/>
    <col min="65" max="68" width="13.54296875" style="3" customWidth="1"/>
    <col min="69" max="70" width="13.54296875" style="3"/>
    <col min="71" max="71" width="2.54296875" style="3" customWidth="1"/>
    <col min="72" max="72" width="12.453125" style="3" bestFit="1" customWidth="1"/>
    <col min="73" max="79" width="13.54296875" style="3"/>
    <col min="80" max="80" width="15.54296875" style="3" customWidth="1"/>
    <col min="81" max="16384" width="13.54296875" style="3"/>
  </cols>
  <sheetData>
    <row r="2" spans="1:37" s="12" customFormat="1" ht="18">
      <c r="B2" s="12" t="s">
        <v>836</v>
      </c>
    </row>
    <row r="4" spans="1:37" ht="13">
      <c r="B4" s="16" t="s">
        <v>837</v>
      </c>
    </row>
    <row r="5" spans="1:37" ht="27.75" customHeight="1">
      <c r="B5" s="352" t="s">
        <v>838</v>
      </c>
      <c r="C5" s="352"/>
      <c r="D5" s="352"/>
      <c r="F5" s="13"/>
    </row>
    <row r="6" spans="1:37">
      <c r="B6" s="1"/>
      <c r="C6" s="1"/>
      <c r="D6" s="1"/>
      <c r="F6" s="13"/>
    </row>
    <row r="7" spans="1:37" ht="13">
      <c r="B7" s="360" t="s">
        <v>839</v>
      </c>
      <c r="C7" s="362"/>
      <c r="D7" s="362"/>
      <c r="F7" s="13"/>
    </row>
    <row r="8" spans="1:37" ht="27.75" customHeight="1">
      <c r="B8" s="352" t="s">
        <v>840</v>
      </c>
      <c r="C8" s="352"/>
      <c r="D8" s="352"/>
      <c r="F8" s="13"/>
    </row>
    <row r="10" spans="1:37" s="8" customFormat="1" ht="13">
      <c r="B10" s="8" t="s">
        <v>143</v>
      </c>
      <c r="H10" s="53"/>
      <c r="I10" s="46"/>
      <c r="J10" s="53"/>
      <c r="K10" s="46"/>
      <c r="L10" s="53"/>
      <c r="M10" s="46"/>
      <c r="N10" s="46"/>
      <c r="O10" s="46"/>
      <c r="P10" s="46"/>
      <c r="Q10" s="46"/>
      <c r="R10" s="46"/>
      <c r="S10" s="46"/>
      <c r="T10" s="46"/>
    </row>
    <row r="12" spans="1:37" s="33" customFormat="1" ht="13">
      <c r="A12" s="96"/>
      <c r="B12" s="33" t="s">
        <v>841</v>
      </c>
    </row>
    <row r="13" spans="1:37" s="34" customFormat="1" ht="13">
      <c r="A13" s="97"/>
      <c r="B13" s="34" t="s">
        <v>143</v>
      </c>
      <c r="D13" s="34" t="s">
        <v>184</v>
      </c>
      <c r="F13" s="34" t="s">
        <v>185</v>
      </c>
      <c r="H13" s="98">
        <v>2020</v>
      </c>
      <c r="I13" s="99">
        <v>2021</v>
      </c>
      <c r="J13" s="99">
        <v>2022</v>
      </c>
      <c r="K13" s="99">
        <v>2023</v>
      </c>
      <c r="L13" s="99">
        <v>2024</v>
      </c>
      <c r="M13" s="99">
        <v>2025</v>
      </c>
      <c r="N13" s="99">
        <v>2026</v>
      </c>
      <c r="O13" s="99">
        <v>2027</v>
      </c>
    </row>
    <row r="14" spans="1:37" s="100" customFormat="1" ht="13">
      <c r="H14" s="101"/>
      <c r="I14" s="102"/>
      <c r="J14" s="101"/>
      <c r="K14" s="102"/>
      <c r="L14" s="101"/>
      <c r="M14" s="102"/>
      <c r="N14" s="102"/>
      <c r="S14" s="102"/>
      <c r="T14" s="102"/>
      <c r="U14" s="102"/>
      <c r="V14" s="102"/>
      <c r="W14" s="102"/>
      <c r="X14" s="102"/>
      <c r="Y14" s="102"/>
      <c r="AC14" s="102"/>
      <c r="AD14" s="102"/>
      <c r="AE14" s="102"/>
      <c r="AI14" s="102"/>
      <c r="AJ14" s="102"/>
      <c r="AK14" s="102"/>
    </row>
    <row r="15" spans="1:37" ht="13">
      <c r="B15" s="16" t="s">
        <v>190</v>
      </c>
    </row>
    <row r="16" spans="1:37">
      <c r="B16" s="146" t="s">
        <v>192</v>
      </c>
      <c r="D16" s="3" t="s">
        <v>188</v>
      </c>
      <c r="H16" s="138">
        <f>'2. Parameters'!K17</f>
        <v>3.3000000000000002E-2</v>
      </c>
      <c r="I16" s="138">
        <f>'2. Parameters'!L17</f>
        <v>0.03</v>
      </c>
      <c r="J16" s="10"/>
      <c r="K16" s="10"/>
      <c r="L16" s="10"/>
      <c r="M16" s="10"/>
      <c r="N16" s="10"/>
      <c r="O16" s="10"/>
    </row>
    <row r="17" spans="1:15">
      <c r="B17" s="146" t="s">
        <v>842</v>
      </c>
      <c r="D17" s="3" t="s">
        <v>188</v>
      </c>
      <c r="H17" s="10"/>
      <c r="I17" s="10"/>
      <c r="J17" s="138">
        <f>'2. Parameters'!M19</f>
        <v>3.4000000000000002E-2</v>
      </c>
      <c r="K17" s="138">
        <f>'2. Parameters'!N19</f>
        <v>3.3000000000000002E-2</v>
      </c>
      <c r="L17" s="138">
        <f>'2. Parameters'!O19</f>
        <v>3.7999999999999999E-2</v>
      </c>
      <c r="M17" s="138">
        <f>'2. Parameters'!P19</f>
        <v>3.7999999999999999E-2</v>
      </c>
      <c r="N17" s="138">
        <f>'2. Parameters'!Q19</f>
        <v>3.7999999999999999E-2</v>
      </c>
      <c r="O17" s="10"/>
    </row>
    <row r="19" spans="1:15" ht="13">
      <c r="B19" s="16" t="s">
        <v>200</v>
      </c>
    </row>
    <row r="20" spans="1:15">
      <c r="B20" s="3" t="s">
        <v>200</v>
      </c>
      <c r="D20" s="3" t="s">
        <v>188</v>
      </c>
      <c r="F20" s="77">
        <f>'2. Parameters'!F27</f>
        <v>0.01</v>
      </c>
    </row>
    <row r="21" spans="1:15" s="89" customFormat="1">
      <c r="A21" s="3"/>
      <c r="F21" s="104"/>
    </row>
    <row r="22" spans="1:15" s="89" customFormat="1" ht="13">
      <c r="A22" s="3"/>
      <c r="B22" s="105" t="s">
        <v>225</v>
      </c>
      <c r="F22" s="104"/>
    </row>
    <row r="23" spans="1:15">
      <c r="B23" s="3" t="s">
        <v>225</v>
      </c>
      <c r="F23" s="106">
        <f>'2. Parameters'!F83</f>
        <v>1.3</v>
      </c>
    </row>
    <row r="25" spans="1:15" ht="13">
      <c r="B25" s="2" t="s">
        <v>226</v>
      </c>
    </row>
    <row r="26" spans="1:15">
      <c r="B26" s="3" t="s">
        <v>226</v>
      </c>
      <c r="D26" s="3" t="s">
        <v>188</v>
      </c>
      <c r="F26" s="78">
        <f>'2. Parameters'!F87</f>
        <v>0.1</v>
      </c>
    </row>
    <row r="28" spans="1:15" ht="13">
      <c r="B28" s="16" t="s">
        <v>220</v>
      </c>
    </row>
    <row r="29" spans="1:15">
      <c r="B29" s="28" t="s">
        <v>208</v>
      </c>
      <c r="D29" s="3" t="s">
        <v>843</v>
      </c>
      <c r="H29" s="32">
        <f>'2. Parameters'!K69</f>
        <v>1</v>
      </c>
      <c r="I29" s="32">
        <f>'2. Parameters'!L69</f>
        <v>1.02</v>
      </c>
      <c r="J29" s="32">
        <f>'2. Parameters'!M69</f>
        <v>1.0404</v>
      </c>
      <c r="K29" s="32">
        <f>'2. Parameters'!N69</f>
        <v>1.0612079999999999</v>
      </c>
      <c r="L29" s="32">
        <f>'2. Parameters'!O69</f>
        <v>1.10365632</v>
      </c>
      <c r="M29" s="32">
        <f>'2. Parameters'!P69</f>
        <v>1.1809122624000001</v>
      </c>
      <c r="N29" s="32">
        <f>'2. Parameters'!Q69</f>
        <v>1.2399578755200003</v>
      </c>
      <c r="O29" s="32">
        <f>'2. Parameters'!R69</f>
        <v>1.2895561905408004</v>
      </c>
    </row>
    <row r="30" spans="1:15">
      <c r="B30" s="28" t="s">
        <v>209</v>
      </c>
      <c r="D30" s="3" t="s">
        <v>843</v>
      </c>
      <c r="H30" s="10"/>
      <c r="I30" s="32">
        <f>'2. Parameters'!L70</f>
        <v>1</v>
      </c>
      <c r="J30" s="32">
        <f>'2. Parameters'!M70</f>
        <v>1.02</v>
      </c>
      <c r="K30" s="32">
        <f>'2. Parameters'!N70</f>
        <v>1.0404</v>
      </c>
      <c r="L30" s="32">
        <f>'2. Parameters'!O70</f>
        <v>1.0820160000000001</v>
      </c>
      <c r="M30" s="32">
        <f>'2. Parameters'!P70</f>
        <v>1.1577571200000001</v>
      </c>
      <c r="N30" s="32">
        <f>'2. Parameters'!Q70</f>
        <v>1.2156449760000001</v>
      </c>
      <c r="O30" s="32">
        <f>'2. Parameters'!R70</f>
        <v>1.2642707750400002</v>
      </c>
    </row>
    <row r="31" spans="1:15">
      <c r="B31" s="28" t="s">
        <v>210</v>
      </c>
      <c r="D31" s="3" t="s">
        <v>843</v>
      </c>
      <c r="H31" s="10"/>
      <c r="I31" s="10"/>
      <c r="J31" s="32">
        <f>'2. Parameters'!M71</f>
        <v>1</v>
      </c>
      <c r="K31" s="32">
        <f>'2. Parameters'!N71</f>
        <v>1.02</v>
      </c>
      <c r="L31" s="32">
        <f>'2. Parameters'!O71</f>
        <v>1.0608</v>
      </c>
      <c r="M31" s="32">
        <f>'2. Parameters'!P71</f>
        <v>1.1350560000000001</v>
      </c>
      <c r="N31" s="32">
        <f>'2. Parameters'!Q71</f>
        <v>1.1918088000000002</v>
      </c>
      <c r="O31" s="32">
        <f>'2. Parameters'!R71</f>
        <v>1.2394811520000002</v>
      </c>
    </row>
    <row r="32" spans="1:15">
      <c r="B32" s="28" t="s">
        <v>211</v>
      </c>
      <c r="D32" s="3" t="s">
        <v>843</v>
      </c>
      <c r="H32" s="10"/>
      <c r="I32" s="10"/>
      <c r="J32" s="10"/>
      <c r="K32" s="32">
        <f>'2. Parameters'!N72</f>
        <v>1</v>
      </c>
      <c r="L32" s="32">
        <f>'2. Parameters'!O72</f>
        <v>1.04</v>
      </c>
      <c r="M32" s="32">
        <f>'2. Parameters'!P72</f>
        <v>1.1128</v>
      </c>
      <c r="N32" s="32">
        <f>'2. Parameters'!Q72</f>
        <v>1.1684400000000001</v>
      </c>
      <c r="O32" s="32">
        <f>'2. Parameters'!R72</f>
        <v>1.2151776000000003</v>
      </c>
    </row>
    <row r="33" spans="2:15">
      <c r="B33" s="28" t="s">
        <v>212</v>
      </c>
      <c r="D33" s="3" t="s">
        <v>843</v>
      </c>
      <c r="H33" s="10"/>
      <c r="I33" s="10"/>
      <c r="J33" s="10"/>
      <c r="K33" s="10"/>
      <c r="L33" s="32">
        <f>'2. Parameters'!O73</f>
        <v>1</v>
      </c>
      <c r="M33" s="32">
        <f>'2. Parameters'!P73</f>
        <v>1.07</v>
      </c>
      <c r="N33" s="32">
        <f>'2. Parameters'!Q73</f>
        <v>1.1235000000000002</v>
      </c>
      <c r="O33" s="32">
        <f>'2. Parameters'!R73</f>
        <v>1.1684400000000001</v>
      </c>
    </row>
    <row r="34" spans="2:15">
      <c r="B34" s="28" t="s">
        <v>213</v>
      </c>
      <c r="D34" s="3" t="s">
        <v>843</v>
      </c>
      <c r="H34" s="10"/>
      <c r="I34" s="10"/>
      <c r="J34" s="10"/>
      <c r="K34" s="10"/>
      <c r="L34" s="10"/>
      <c r="M34" s="32">
        <f>'2. Parameters'!P74</f>
        <v>1</v>
      </c>
      <c r="N34" s="32">
        <f>'2. Parameters'!Q74</f>
        <v>1.05</v>
      </c>
      <c r="O34" s="32">
        <f>'2. Parameters'!R74</f>
        <v>1.0920000000000001</v>
      </c>
    </row>
    <row r="35" spans="2:15">
      <c r="B35" s="28" t="s">
        <v>214</v>
      </c>
      <c r="D35" s="3" t="s">
        <v>843</v>
      </c>
      <c r="H35" s="10"/>
      <c r="I35" s="10"/>
      <c r="J35" s="10"/>
      <c r="K35" s="10"/>
      <c r="L35" s="10"/>
      <c r="M35" s="10"/>
      <c r="N35" s="32">
        <f>'2. Parameters'!Q75</f>
        <v>1</v>
      </c>
      <c r="O35" s="32">
        <f>'2. Parameters'!R75</f>
        <v>1.04</v>
      </c>
    </row>
    <row r="37" spans="2:15" ht="13">
      <c r="B37" s="2" t="s">
        <v>201</v>
      </c>
    </row>
    <row r="38" spans="2:15">
      <c r="B38" s="3" t="s">
        <v>844</v>
      </c>
      <c r="D38" s="3" t="s">
        <v>205</v>
      </c>
      <c r="H38" s="32">
        <f>'2. Parameters'!K38</f>
        <v>1</v>
      </c>
      <c r="I38" s="32">
        <f>'2. Parameters'!L38</f>
        <v>1.016</v>
      </c>
      <c r="J38" s="32">
        <f>'2. Parameters'!M38</f>
        <v>1.0342880000000001</v>
      </c>
      <c r="K38" s="32">
        <f>'2. Parameters'!N38</f>
        <v>1.0984138560000001</v>
      </c>
      <c r="L38" s="32">
        <f>'2. Parameters'!O38</f>
        <v>1.1862869644800003</v>
      </c>
      <c r="M38" s="32">
        <f>'2. Parameters'!P38</f>
        <v>1.2195029994854403</v>
      </c>
      <c r="N38" s="32">
        <f>'2. Parameters'!Q38</f>
        <v>1.2658441134658871</v>
      </c>
      <c r="O38" s="10"/>
    </row>
    <row r="39" spans="2:15">
      <c r="B39" s="3" t="s">
        <v>845</v>
      </c>
      <c r="D39" s="3" t="s">
        <v>205</v>
      </c>
      <c r="H39" s="10"/>
      <c r="I39" s="32">
        <f>'2. Parameters'!L39</f>
        <v>1</v>
      </c>
      <c r="J39" s="32">
        <f>'2. Parameters'!M39</f>
        <v>1.018</v>
      </c>
      <c r="K39" s="32">
        <f>'2. Parameters'!N39</f>
        <v>1.081116</v>
      </c>
      <c r="L39" s="32">
        <f>'2. Parameters'!O39</f>
        <v>1.1676052800000001</v>
      </c>
      <c r="M39" s="32">
        <f>'2. Parameters'!P39</f>
        <v>1.2002982278400001</v>
      </c>
      <c r="N39" s="32">
        <f>'2. Parameters'!Q39</f>
        <v>1.24590956049792</v>
      </c>
      <c r="O39" s="10"/>
    </row>
    <row r="40" spans="2:15">
      <c r="B40" s="3" t="s">
        <v>846</v>
      </c>
      <c r="D40" s="3" t="s">
        <v>205</v>
      </c>
      <c r="H40" s="10"/>
      <c r="I40" s="10"/>
      <c r="J40" s="32">
        <f>'2. Parameters'!M40</f>
        <v>1</v>
      </c>
      <c r="K40" s="32">
        <f>'2. Parameters'!N40</f>
        <v>1.0620000000000001</v>
      </c>
      <c r="L40" s="32">
        <f>'2. Parameters'!O40</f>
        <v>1.1469600000000002</v>
      </c>
      <c r="M40" s="32">
        <f>'2. Parameters'!P40</f>
        <v>1.1790748800000002</v>
      </c>
      <c r="N40" s="32">
        <f>'2. Parameters'!Q40</f>
        <v>1.2238797254400002</v>
      </c>
      <c r="O40" s="10"/>
    </row>
    <row r="41" spans="2:15">
      <c r="B41" s="3" t="s">
        <v>847</v>
      </c>
      <c r="D41" s="3" t="s">
        <v>205</v>
      </c>
      <c r="H41" s="10"/>
      <c r="I41" s="10"/>
      <c r="J41" s="10"/>
      <c r="K41" s="32">
        <f>'2. Parameters'!N41</f>
        <v>1</v>
      </c>
      <c r="L41" s="32">
        <f>'2. Parameters'!O41</f>
        <v>1.08</v>
      </c>
      <c r="M41" s="32">
        <f>'2. Parameters'!P41</f>
        <v>1.1102400000000001</v>
      </c>
      <c r="N41" s="32">
        <f>'2. Parameters'!Q41</f>
        <v>1.1524291200000001</v>
      </c>
      <c r="O41" s="10"/>
    </row>
    <row r="42" spans="2:15">
      <c r="B42" s="3" t="s">
        <v>848</v>
      </c>
      <c r="D42" s="3" t="s">
        <v>205</v>
      </c>
      <c r="H42" s="10"/>
      <c r="I42" s="10"/>
      <c r="J42" s="10"/>
      <c r="K42" s="10"/>
      <c r="L42" s="32">
        <f>'2. Parameters'!O42</f>
        <v>1</v>
      </c>
      <c r="M42" s="32">
        <f>'2. Parameters'!P42</f>
        <v>1.028</v>
      </c>
      <c r="N42" s="32">
        <f>'2. Parameters'!Q42</f>
        <v>1.067064</v>
      </c>
      <c r="O42" s="10"/>
    </row>
    <row r="43" spans="2:15">
      <c r="B43" s="3" t="s">
        <v>849</v>
      </c>
      <c r="D43" s="3" t="s">
        <v>205</v>
      </c>
      <c r="H43" s="10"/>
      <c r="I43" s="10"/>
      <c r="J43" s="10"/>
      <c r="K43" s="10"/>
      <c r="L43" s="10"/>
      <c r="M43" s="32">
        <f>'2. Parameters'!P43</f>
        <v>1</v>
      </c>
      <c r="N43" s="32">
        <f>'2. Parameters'!Q43</f>
        <v>1.038</v>
      </c>
      <c r="O43" s="10"/>
    </row>
    <row r="44" spans="2:15">
      <c r="B44" s="3" t="s">
        <v>850</v>
      </c>
      <c r="D44" s="3" t="s">
        <v>205</v>
      </c>
      <c r="H44" s="10"/>
      <c r="I44" s="10"/>
      <c r="J44" s="10"/>
      <c r="K44" s="10"/>
      <c r="L44" s="10"/>
      <c r="M44" s="10"/>
      <c r="N44" s="32">
        <f>'2. Parameters'!Q44</f>
        <v>1</v>
      </c>
      <c r="O44" s="10"/>
    </row>
    <row r="46" spans="2:15" ht="13">
      <c r="B46" s="2" t="s">
        <v>215</v>
      </c>
    </row>
    <row r="47" spans="2:15">
      <c r="B47" s="28" t="s">
        <v>208</v>
      </c>
      <c r="D47" s="3" t="s">
        <v>219</v>
      </c>
      <c r="H47" s="32">
        <f>'2. Parameters'!K55</f>
        <v>1</v>
      </c>
      <c r="I47" s="32">
        <f>'2. Parameters'!L55</f>
        <v>0.999</v>
      </c>
      <c r="J47" s="32">
        <f>'2. Parameters'!M55</f>
        <v>0.995004</v>
      </c>
      <c r="K47" s="32">
        <f>'2. Parameters'!N55</f>
        <v>0.99102398400000002</v>
      </c>
      <c r="L47" s="32">
        <f>'2. Parameters'!O55</f>
        <v>0.98705988806400002</v>
      </c>
      <c r="M47" s="32">
        <f>'2. Parameters'!P55</f>
        <v>0.98311164851174404</v>
      </c>
      <c r="N47" s="32">
        <f>'2. Parameters'!Q55</f>
        <v>0.97917920191769703</v>
      </c>
      <c r="O47" s="10"/>
    </row>
    <row r="48" spans="2:15">
      <c r="B48" s="28" t="s">
        <v>209</v>
      </c>
      <c r="D48" s="3" t="s">
        <v>219</v>
      </c>
      <c r="H48" s="10"/>
      <c r="I48" s="32">
        <f>'2. Parameters'!L56</f>
        <v>1</v>
      </c>
      <c r="J48" s="32">
        <f>'2. Parameters'!M56</f>
        <v>0.996</v>
      </c>
      <c r="K48" s="32">
        <f>'2. Parameters'!N56</f>
        <v>0.99201600000000001</v>
      </c>
      <c r="L48" s="32">
        <f>'2. Parameters'!O56</f>
        <v>0.98804793599999996</v>
      </c>
      <c r="M48" s="32">
        <f>'2. Parameters'!P56</f>
        <v>0.98409574425599999</v>
      </c>
      <c r="N48" s="32">
        <f>'2. Parameters'!Q56</f>
        <v>0.98015936127897596</v>
      </c>
      <c r="O48" s="10"/>
    </row>
    <row r="49" spans="1:79">
      <c r="B49" s="28" t="s">
        <v>210</v>
      </c>
      <c r="D49" s="3" t="s">
        <v>219</v>
      </c>
      <c r="H49" s="10"/>
      <c r="I49" s="10"/>
      <c r="J49" s="32">
        <f>'2. Parameters'!M57</f>
        <v>1</v>
      </c>
      <c r="K49" s="32">
        <f>'2. Parameters'!N57</f>
        <v>0.996</v>
      </c>
      <c r="L49" s="32">
        <f>'2. Parameters'!O57</f>
        <v>0.99201600000000001</v>
      </c>
      <c r="M49" s="32">
        <f>'2. Parameters'!P57</f>
        <v>0.98804793599999996</v>
      </c>
      <c r="N49" s="32">
        <f>'2. Parameters'!Q57</f>
        <v>0.98409574425599999</v>
      </c>
      <c r="O49" s="10"/>
    </row>
    <row r="50" spans="1:79">
      <c r="B50" s="28" t="s">
        <v>211</v>
      </c>
      <c r="D50" s="3" t="s">
        <v>219</v>
      </c>
      <c r="H50" s="10"/>
      <c r="I50" s="10"/>
      <c r="J50" s="10"/>
      <c r="K50" s="32">
        <f>'2. Parameters'!N58</f>
        <v>1</v>
      </c>
      <c r="L50" s="32">
        <f>'2. Parameters'!O58</f>
        <v>0.996</v>
      </c>
      <c r="M50" s="32">
        <f>'2. Parameters'!P58</f>
        <v>0.99201600000000001</v>
      </c>
      <c r="N50" s="32">
        <f>'2. Parameters'!Q58</f>
        <v>0.98804793599999996</v>
      </c>
      <c r="O50" s="10"/>
    </row>
    <row r="51" spans="1:79">
      <c r="B51" s="28" t="s">
        <v>212</v>
      </c>
      <c r="D51" s="3" t="s">
        <v>219</v>
      </c>
      <c r="H51" s="10"/>
      <c r="I51" s="10"/>
      <c r="J51" s="10"/>
      <c r="K51" s="10"/>
      <c r="L51" s="32">
        <f>'2. Parameters'!O59</f>
        <v>1</v>
      </c>
      <c r="M51" s="32">
        <f>'2. Parameters'!P59</f>
        <v>0.996</v>
      </c>
      <c r="N51" s="32">
        <f>'2. Parameters'!Q59</f>
        <v>0.99201600000000001</v>
      </c>
      <c r="O51" s="10"/>
    </row>
    <row r="52" spans="1:79">
      <c r="B52" s="28" t="s">
        <v>213</v>
      </c>
      <c r="D52" s="3" t="s">
        <v>219</v>
      </c>
      <c r="H52" s="10"/>
      <c r="I52" s="10"/>
      <c r="J52" s="10"/>
      <c r="K52" s="10"/>
      <c r="L52" s="10"/>
      <c r="M52" s="32">
        <f>'2. Parameters'!P60</f>
        <v>1</v>
      </c>
      <c r="N52" s="32">
        <f>'2. Parameters'!Q60</f>
        <v>0.996</v>
      </c>
      <c r="O52" s="10"/>
    </row>
    <row r="53" spans="1:79">
      <c r="B53" s="28" t="s">
        <v>214</v>
      </c>
      <c r="D53" s="3" t="s">
        <v>219</v>
      </c>
      <c r="H53" s="10"/>
      <c r="I53" s="10"/>
      <c r="J53" s="10"/>
      <c r="K53" s="10"/>
      <c r="L53" s="10"/>
      <c r="M53" s="10"/>
      <c r="N53" s="32">
        <f>'2. Parameters'!Q61</f>
        <v>1</v>
      </c>
      <c r="O53" s="10"/>
    </row>
    <row r="55" spans="1:79" s="33" customFormat="1" ht="13">
      <c r="B55" s="33" t="s">
        <v>851</v>
      </c>
    </row>
    <row r="56" spans="1:79" s="36" customFormat="1" ht="13">
      <c r="B56" s="107"/>
    </row>
    <row r="57" spans="1:79" s="36" customFormat="1" ht="13">
      <c r="O57" s="36" t="s">
        <v>852</v>
      </c>
      <c r="R57" s="36" t="s">
        <v>853</v>
      </c>
      <c r="U57" s="36" t="s">
        <v>854</v>
      </c>
      <c r="X57" s="36" t="s">
        <v>855</v>
      </c>
      <c r="AD57" s="36" t="s">
        <v>856</v>
      </c>
      <c r="AJ57" s="36" t="s">
        <v>857</v>
      </c>
      <c r="AP57" s="36" t="s">
        <v>858</v>
      </c>
      <c r="AV57" s="36" t="s">
        <v>859</v>
      </c>
      <c r="BD57" s="36" t="s">
        <v>498</v>
      </c>
      <c r="BL57" s="36" t="s">
        <v>860</v>
      </c>
      <c r="BT57" s="36" t="s">
        <v>861</v>
      </c>
    </row>
    <row r="58" spans="1:79" s="39" customFormat="1" ht="13">
      <c r="B58" s="39" t="s">
        <v>862</v>
      </c>
      <c r="F58" s="39" t="s">
        <v>352</v>
      </c>
      <c r="H58" s="40" t="s">
        <v>863</v>
      </c>
      <c r="I58" s="40" t="s">
        <v>864</v>
      </c>
      <c r="J58" s="40" t="s">
        <v>794</v>
      </c>
      <c r="K58" s="40" t="s">
        <v>795</v>
      </c>
      <c r="L58" s="39" t="s">
        <v>865</v>
      </c>
      <c r="M58" s="39" t="s">
        <v>866</v>
      </c>
      <c r="O58" s="45">
        <v>2020</v>
      </c>
      <c r="P58" s="45">
        <v>2021</v>
      </c>
      <c r="R58" s="45">
        <v>2020</v>
      </c>
      <c r="S58" s="45">
        <v>2021</v>
      </c>
      <c r="U58" s="39" t="s">
        <v>867</v>
      </c>
      <c r="V58" s="39" t="s">
        <v>868</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c r="CA58" s="45">
        <v>2027</v>
      </c>
    </row>
    <row r="59" spans="1:79" s="48" customFormat="1" ht="13">
      <c r="H59" s="49"/>
      <c r="I59" s="49"/>
    </row>
    <row r="60" spans="1:79" ht="13">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'!$B$11:$B$89,'3. Input (des)investeringen '!$D$11:$D$89,0)</f>
        <v>30</v>
      </c>
      <c r="O60" s="43">
        <f t="shared" ref="O60:O89" si="0">IF($M60&gt;0, IF($H60&lt;=O$58, VDB($F60,0,$M60,MAX(0,O$58-$H60-0.5),MIN($M60,O$58-$H60+0.5),1)*INDEX(H$38:H$44,$H60-2019,1),0),0)</f>
        <v>9333.5084781210135</v>
      </c>
      <c r="P60" s="43">
        <f t="shared" ref="P60:P89" si="1">IF($M60&gt;0, IF($H60&lt;=P$58, VDB($F60,0,$M60,MAX(0,P$58-$H60-0.5),MIN($M60,P$58-$H60+0.5),1)*INDEX(I$38:I$44,$H60-2019,1),0),0)</f>
        <v>18965.689227541901</v>
      </c>
      <c r="R60" s="43">
        <f>IF($O60=0,IF($H60=O$58,$F60,0),IF(OR($H60&gt;R$58,$H60+$M60&lt;=R$58),0,F60-O60))</f>
        <v>550677.00020913978</v>
      </c>
      <c r="S60" s="43">
        <f t="shared" ref="S60:S89" si="2">IF($M60=0,IF($H60=P$58,$F60,$R60*I$38),IF(OR($H60&gt;S$58,$H60+$M60&lt;=S$58),0,
IF($H60=S$58,F60-P60,R60*I$38-P60)))</f>
        <v>540522.14298494416</v>
      </c>
      <c r="U60" s="43">
        <f>IF(H60&lt;=2021,S60,F60)</f>
        <v>540522.14298494416</v>
      </c>
      <c r="V60" s="38">
        <f>IF($M60&gt;0,IF(H60&lt;2022,M60-2021+H60-0.5,M60),0)</f>
        <v>28.5</v>
      </c>
      <c r="X60" s="43">
        <f t="shared" ref="X60:AB69" si="3">IF($M60&gt;0, IF(OR($H60&gt;X$58,$H60+$M60&lt;X$58),0,IF(OR($H60=2020,$H60=2021),VDB($U60,0,$V60,X$58-2022,MIN($V60,X$58-2021),$F$23,FALSE),
VDB($U60,0,$V60,MAX(0,X$58-$H60-0.5),MIN($V60,X$58-$H60+0.5),$F$23,FALSE)))*(1-$F$26), 0)</f>
        <v>22189.856396224026</v>
      </c>
      <c r="Y60" s="43">
        <f t="shared" si="3"/>
        <v>21177.68750797521</v>
      </c>
      <c r="Z60" s="43">
        <f t="shared" si="3"/>
        <v>20211.687726909673</v>
      </c>
      <c r="AA60" s="43">
        <f t="shared" si="3"/>
        <v>19289.751093752395</v>
      </c>
      <c r="AB60" s="43">
        <f t="shared" si="3"/>
        <v>18409.867710528601</v>
      </c>
      <c r="AD60" s="43">
        <f t="shared" ref="AD60:AH69" si="4">IF($M60&gt;0, IF(OR($H60&gt;AD$58,$H60+$M60&lt;AD$58),0,IF(OR($H60=2020,$H60=2021),VDB($U60,0,$V60,AD$58-2022,MIN($V60,AD$58-2021),1,FALSE),
VDB($U60,0,$V60,MAX(0,AD$58-$H60-0.5),MIN($V60,AD$58-$H60+0.5),1,FALSE)))*$F$26,0)</f>
        <v>1896.5689227541902</v>
      </c>
      <c r="AE60" s="43">
        <f t="shared" si="4"/>
        <v>1896.5689227541902</v>
      </c>
      <c r="AF60" s="43">
        <f t="shared" si="4"/>
        <v>1896.5689227541902</v>
      </c>
      <c r="AG60" s="43">
        <f t="shared" si="4"/>
        <v>1896.5689227541902</v>
      </c>
      <c r="AH60" s="43">
        <f t="shared" si="4"/>
        <v>1896.5689227541902</v>
      </c>
      <c r="AJ60" s="43">
        <f>X60+AD60</f>
        <v>24086.425318978218</v>
      </c>
      <c r="AK60" s="43">
        <f>Y60+AE60</f>
        <v>23074.256430729401</v>
      </c>
      <c r="AL60" s="43">
        <f>Z60+AF60</f>
        <v>22108.256649663865</v>
      </c>
      <c r="AM60" s="43">
        <f t="shared" ref="AM60:AN60" si="5">AA60+AG60</f>
        <v>21186.320016506586</v>
      </c>
      <c r="AN60" s="43">
        <f t="shared" si="5"/>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6">IF($M60=0, IF($H60 &gt; AR$58, 0, IF($H60=AR$58, $F60, AQ60)), IF(OR($H60&gt;AR$58,$H60+$M60&lt;=AR$58),0,
IF($H60=AR$58,$U60-AL60,
AQ60-AL60)))</f>
        <v>471253.2045855727</v>
      </c>
      <c r="AS60" s="43">
        <f t="shared" si="6"/>
        <v>450066.88456906611</v>
      </c>
      <c r="AT60" s="43">
        <f t="shared" si="6"/>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 t="shared" ref="BD60:BD89" si="7">IF(O60&gt;0,$F60*$F$20*INDEX($H$38:$N$44,$H60-2019,BD$58-2019)*INDEX($H$47:$N$53,$H60-2019,BD$58-2019)* IF(OR(BD$58=$H60,BD$58=$H60+$M60),0.5,1),0)</f>
        <v>2800.0525434363039</v>
      </c>
      <c r="BE60" s="43">
        <f t="shared" ref="BE60:BE89" si="8">IF(P60&gt;0,$F60*$F$20*INDEX($H$38:$N$44,$H60-2019,BE$58-2019)*INDEX($H$47:$N$53,$H60-2019,BE$58-2019)*
 IF(OR(BE$58=$H60,BE$58=$H60+$M60),0.5,1),0)</f>
        <v>5684.0170614943063</v>
      </c>
      <c r="BF60" s="43">
        <f t="shared" ref="BF60:BF89" si="9">IF(AJ60&gt;0,
$F60*$F$20*INDEX($H$38:$N$44,$H60-2019,BF$58-2019)*INDEX($H$47:$N$53,$H60-2019,BF$58-2019)*
 IF(OR(BF$58=$H60,BF$58=$H60+$M60),0.5,1),0)</f>
        <v>5763.1840511268001</v>
      </c>
      <c r="BG60" s="43">
        <f t="shared" ref="BG60:BG89" si="10">IF(AK60&gt;0,
$F60*$F$20*INDEX($H$38:$N$44,$H60-2019,BG$58-2019)*INDEX($H$47:$N$53,$H60-2019,BG$58-2019)*
 IF(OR(BG$58=$H60,BG$58=$H60+$M60),0.5,1),0)</f>
        <v>6096.019456447475</v>
      </c>
      <c r="BH60" s="43">
        <f t="shared" ref="BH60:BH89" si="11">IF(AL60&gt;0,
$F60*$F$20*INDEX($H$38:$N$44,$H60-2019,BH$58-2019)*INDEX($H$47:$N$53,$H60-2019,BH$58-2019)*
 IF(OR(BH$58=$H60,BH$58=$H60+$M60),0.5,1),0)</f>
        <v>6557.3662089114214</v>
      </c>
      <c r="BI60" s="43">
        <f t="shared" ref="BI60:BI89" si="12">IF(AM60&gt;0,
$F60*$F$20*INDEX($H$38:$N$44,$H60-2019,BI$58-2019)*INDEX($H$47:$N$53,$H60-2019,BI$58-2019)*
 IF(OR(BI$58=$H60,BI$58=$H60+$M60),0.5,1),0)</f>
        <v>6714.0085729098973</v>
      </c>
      <c r="BJ60" s="43">
        <f t="shared" ref="BJ60:BJ89" si="13">IF(AN60&gt;0,
$F60*$F$20*INDEX($H$38:$N$44,$H60-2019,BJ$58-2019)*INDEX($H$47:$N$53,$H60-2019,BJ$58-2019)*
 IF(OR(BJ$58=$H60,BJ$58=$H60+$M60),0.5,1),0)</f>
        <v>6941.2643350857525</v>
      </c>
      <c r="BL60" s="43">
        <f>AV60+BD60</f>
        <v>30305.902028458931</v>
      </c>
      <c r="BM60" s="43">
        <f t="shared" ref="BM60:BR60" si="14">AW60+BE60</f>
        <v>40865.37057858453</v>
      </c>
      <c r="BN60" s="43">
        <f t="shared" si="14"/>
        <v>47408.423770747868</v>
      </c>
      <c r="BO60" s="43">
        <f t="shared" si="14"/>
        <v>45451.20410793968</v>
      </c>
      <c r="BP60" s="43">
        <f t="shared" si="14"/>
        <v>46573.244632827045</v>
      </c>
      <c r="BQ60" s="43">
        <f t="shared" si="14"/>
        <v>45002.870203040991</v>
      </c>
      <c r="BR60" s="43">
        <f t="shared" si="14"/>
        <v>43578.597989928312</v>
      </c>
      <c r="BT60" s="10"/>
      <c r="BU60" s="10"/>
      <c r="BV60" s="51">
        <f t="shared" ref="BV60:BV89" si="15">IF($L60&gt;BV$58,0,
IF($L60=BV$58,BL60*INDEX(J$29:J$35,BV$58-2021)+BM60*INDEX(J$29:J$35,BV$58-2020)+BN60,BN60))</f>
        <v>120621.36223131276</v>
      </c>
      <c r="BW60" s="51">
        <f t="shared" ref="BW60:BW89" si="16">IF($L60&gt;BW$58,0,
IF($L60=BW$58,BM60*INDEX(K$29:K$35,BW$58-2021)+BN60*INDEX(K$29:K$35,BW$58-2020)+BO60,BO60))</f>
        <v>45451.20410793968</v>
      </c>
      <c r="BX60" s="51">
        <f t="shared" ref="BX60:BX89" si="17">IF($L60&gt;BX$58,0,
IF($L60=BX$58,BN60*INDEX(L$29:L$35,BX$58-2021)+BO60*INDEX(L$29:L$35,BX$58-2020)+BP60,BP60))</f>
        <v>46573.244632827045</v>
      </c>
      <c r="BY60" s="51">
        <f t="shared" ref="BY60:BY89" si="18">IF($L60&gt;BY$58,0,
IF($L60=BY$58,BO60*INDEX(M$29:M$35,BY$58-2021)+BP60*INDEX(M$29:M$35,BY$58-2020)+BQ60,BQ60))</f>
        <v>45002.870203040991</v>
      </c>
      <c r="BZ60" s="51">
        <f t="shared" ref="BZ60:BZ89" si="19">IF($L60&gt;BZ$58,0,
IF($L60=BZ$58,BP60*INDEX(N$29:N$35,BZ$58-2021)+BQ60*INDEX(N$29:N$35,BZ$58-2020)+BR60,BR60))</f>
        <v>43578.597989928312</v>
      </c>
      <c r="CA60" s="338">
        <f t="shared" ref="CA60:CA89" si="20" xml:space="preserve"> IF(
       $L60 = CA$58,
       BQ60 * _xlfn.SINGLE(INDEX(O$29:O$35, CA$58 - 2021)) + BR60 * _xlfn.SINGLE(INDEX(O$29:O$35, CA$58 - 2020)),
       0
  )</f>
        <v>0</v>
      </c>
    </row>
    <row r="61" spans="1:79" ht="13">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21">H61+2</f>
        <v>2024</v>
      </c>
      <c r="M61" s="38">
        <f>_xlfn.XLOOKUP(I61,'3. Input (des)investeringen '!$B$11:$B$89,'3. Input (des)investeringen '!$D$11:$D$89,0)</f>
        <v>55</v>
      </c>
      <c r="O61" s="43">
        <f t="shared" si="0"/>
        <v>0</v>
      </c>
      <c r="P61" s="43">
        <f t="shared" si="1"/>
        <v>0</v>
      </c>
      <c r="R61" s="43">
        <f t="shared" ref="R61:R78" si="22">IF($O61=0,IF($H61=O$58,$F61,0),IF(OR($H61&gt;R$58,$H61+$M61&lt;=R$58),0,F61-O61))</f>
        <v>0</v>
      </c>
      <c r="S61" s="43">
        <f t="shared" si="2"/>
        <v>0</v>
      </c>
      <c r="U61" s="43">
        <f t="shared" ref="U61:U64" si="23">IF(H61&lt;=2021,S61,F61)</f>
        <v>1887912.8589451036</v>
      </c>
      <c r="V61" s="38">
        <f t="shared" ref="V61:V65" si="24">IF($M61&gt;0,IF(H61&lt;2022,M61-2021+H61-0.5,M61),0)</f>
        <v>55</v>
      </c>
      <c r="X61" s="43">
        <f t="shared" si="3"/>
        <v>20080.527681507014</v>
      </c>
      <c r="Y61" s="43">
        <f t="shared" si="3"/>
        <v>39686.424708723855</v>
      </c>
      <c r="Z61" s="43">
        <f t="shared" si="3"/>
        <v>38748.381942881293</v>
      </c>
      <c r="AA61" s="43">
        <f t="shared" si="3"/>
        <v>37832.511096958646</v>
      </c>
      <c r="AB61" s="43">
        <f t="shared" si="3"/>
        <v>36938.288107394168</v>
      </c>
      <c r="AD61" s="43">
        <f t="shared" si="4"/>
        <v>1716.2844172228215</v>
      </c>
      <c r="AE61" s="43">
        <f t="shared" si="4"/>
        <v>3432.568834445643</v>
      </c>
      <c r="AF61" s="43">
        <f t="shared" si="4"/>
        <v>3432.568834445643</v>
      </c>
      <c r="AG61" s="43">
        <f t="shared" si="4"/>
        <v>3432.568834445643</v>
      </c>
      <c r="AH61" s="43">
        <f t="shared" si="4"/>
        <v>3432.568834445643</v>
      </c>
      <c r="AJ61" s="43">
        <f t="shared" ref="AJ61:AJ65" si="25">X61+AD61</f>
        <v>21796.812098729835</v>
      </c>
      <c r="AK61" s="43">
        <f t="shared" ref="AK61:AK65" si="26">Y61+AE61</f>
        <v>43118.993543169498</v>
      </c>
      <c r="AL61" s="43">
        <f t="shared" ref="AL61:AL65" si="27">Z61+AF61</f>
        <v>42180.950777326936</v>
      </c>
      <c r="AM61" s="43">
        <f t="shared" ref="AM61:AM65" si="28">AA61+AG61</f>
        <v>41265.079931404289</v>
      </c>
      <c r="AN61" s="43">
        <f t="shared" ref="AN61:AN65" si="29">AB61+AH61</f>
        <v>40370.856941839811</v>
      </c>
      <c r="AP61" s="43">
        <f t="shared" ref="AP61:AP78" si="30">IF($M61=0, IF($H61&gt;AP$58,0, $U61), IF(OR($H61&gt;AP$58,$H61+$M61&lt;=AP$58),0,
IF($H61=AP$58,$U61-AJ61,
U61-AJ61)))</f>
        <v>1866116.0468463737</v>
      </c>
      <c r="AQ61" s="43">
        <f t="shared" ref="AQ61:AQ79" si="31">IF($M61=0, IF($H61 &gt; AQ$58, 0, IF($H61=AQ$58, $F61, AP61)), IF(OR($H61&gt;AQ$58,$H61+$M61&lt;=AQ$58),0,
IF($H61=AQ$58,$U61-AK61,
AP61-AK61)))</f>
        <v>1822997.0533032042</v>
      </c>
      <c r="AR61" s="43">
        <f t="shared" si="6"/>
        <v>1780816.1025258773</v>
      </c>
      <c r="AS61" s="43">
        <f t="shared" si="6"/>
        <v>1739551.0225944731</v>
      </c>
      <c r="AT61" s="43">
        <f t="shared" si="6"/>
        <v>1699180.1656526332</v>
      </c>
      <c r="AV61" s="47">
        <f t="shared" ref="AV61:AV64" si="32">O61+R61*H$16</f>
        <v>0</v>
      </c>
      <c r="AW61" s="47">
        <f t="shared" ref="AW61:AW65" si="33">P61+S61*I$16</f>
        <v>0</v>
      </c>
      <c r="AX61" s="47">
        <f t="shared" ref="AX61:AX64" si="34">AJ61+AP61*J$17</f>
        <v>85244.757691506544</v>
      </c>
      <c r="AY61" s="47">
        <f t="shared" ref="AY61:AY65" si="35">AK61+AQ61*K$17</f>
        <v>103277.89630217524</v>
      </c>
      <c r="AZ61" s="47">
        <f t="shared" ref="AZ61:AZ65" si="36">AL61+AR61*L$17</f>
        <v>109851.96267331028</v>
      </c>
      <c r="BA61" s="43">
        <f t="shared" ref="BA61:BA65" si="37">AM61+AS61*M$17</f>
        <v>107368.01878999427</v>
      </c>
      <c r="BB61" s="43">
        <f t="shared" ref="BB61:BB65" si="38">AN61+AT61*N$17</f>
        <v>104939.70323663988</v>
      </c>
      <c r="BD61" s="43">
        <f t="shared" si="7"/>
        <v>0</v>
      </c>
      <c r="BE61" s="43">
        <f t="shared" si="8"/>
        <v>0</v>
      </c>
      <c r="BF61" s="43">
        <f t="shared" si="9"/>
        <v>9439.5642947255183</v>
      </c>
      <c r="BG61" s="43">
        <f t="shared" si="10"/>
        <v>19969.436023749015</v>
      </c>
      <c r="BH61" s="43">
        <f t="shared" si="11"/>
        <v>21480.722942026343</v>
      </c>
      <c r="BI61" s="43">
        <f t="shared" si="12"/>
        <v>21993.854451665466</v>
      </c>
      <c r="BJ61" s="43">
        <f t="shared" si="13"/>
        <v>22738.302437145438</v>
      </c>
      <c r="BL61" s="43">
        <f t="shared" ref="BL61:BL65" si="39">AV61+BD61</f>
        <v>0</v>
      </c>
      <c r="BM61" s="43">
        <f t="shared" ref="BM61:BM65" si="40">AW61+BE61</f>
        <v>0</v>
      </c>
      <c r="BN61" s="43">
        <f t="shared" ref="BN61:BN65" si="41">AX61+BF61</f>
        <v>94684.321986232069</v>
      </c>
      <c r="BO61" s="43">
        <f t="shared" ref="BO61:BO65" si="42">AY61+BG61</f>
        <v>123247.33232592426</v>
      </c>
      <c r="BP61" s="43">
        <f t="shared" ref="BP61:BP65" si="43">AZ61+BH61</f>
        <v>131332.68561533661</v>
      </c>
      <c r="BQ61" s="43">
        <f t="shared" ref="BQ61:BQ65" si="44">BA61+BI61</f>
        <v>129361.87324165973</v>
      </c>
      <c r="BR61" s="43">
        <f t="shared" ref="BR61:BR65" si="45">BB61+BJ61</f>
        <v>127678.00567378532</v>
      </c>
      <c r="BT61" s="10"/>
      <c r="BU61" s="10"/>
      <c r="BV61" s="51">
        <f t="shared" si="15"/>
        <v>0</v>
      </c>
      <c r="BW61" s="51">
        <f t="shared" si="16"/>
        <v>0</v>
      </c>
      <c r="BX61" s="51">
        <f t="shared" si="17"/>
        <v>359951.0399972928</v>
      </c>
      <c r="BY61" s="51">
        <f t="shared" si="18"/>
        <v>129361.87324165973</v>
      </c>
      <c r="BZ61" s="51">
        <f t="shared" si="19"/>
        <v>127678.00567378532</v>
      </c>
      <c r="CA61" s="338">
        <f t="shared" si="20"/>
        <v>0</v>
      </c>
    </row>
    <row r="62" spans="1:79" ht="13">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21"/>
        <v>2024</v>
      </c>
      <c r="M62" s="38">
        <f>_xlfn.XLOOKUP(I62,'3. Input (des)investeringen '!$B$11:$B$89,'3. Input (des)investeringen '!$D$11:$D$89,0)</f>
        <v>30</v>
      </c>
      <c r="O62" s="43">
        <f t="shared" si="0"/>
        <v>0</v>
      </c>
      <c r="P62" s="43">
        <f t="shared" si="1"/>
        <v>0</v>
      </c>
      <c r="R62" s="43">
        <f t="shared" si="22"/>
        <v>0</v>
      </c>
      <c r="S62" s="43">
        <f t="shared" si="2"/>
        <v>0</v>
      </c>
      <c r="U62" s="43">
        <f t="shared" si="23"/>
        <v>2724356.4622969897</v>
      </c>
      <c r="V62" s="38">
        <f t="shared" si="24"/>
        <v>30</v>
      </c>
      <c r="X62" s="43">
        <f t="shared" si="3"/>
        <v>53124.951014791302</v>
      </c>
      <c r="Y62" s="43">
        <f t="shared" si="3"/>
        <v>103947.82081894165</v>
      </c>
      <c r="Z62" s="43">
        <f t="shared" si="3"/>
        <v>99443.415250120845</v>
      </c>
      <c r="AA62" s="43">
        <f t="shared" si="3"/>
        <v>95134.200589282264</v>
      </c>
      <c r="AB62" s="43">
        <f t="shared" si="3"/>
        <v>91011.71856374669</v>
      </c>
      <c r="AD62" s="43">
        <f t="shared" si="4"/>
        <v>4540.5941038283163</v>
      </c>
      <c r="AE62" s="43">
        <f t="shared" si="4"/>
        <v>9081.1882076566326</v>
      </c>
      <c r="AF62" s="43">
        <f t="shared" si="4"/>
        <v>9081.1882076566326</v>
      </c>
      <c r="AG62" s="43">
        <f t="shared" si="4"/>
        <v>9081.1882076566326</v>
      </c>
      <c r="AH62" s="43">
        <f t="shared" si="4"/>
        <v>9081.1882076566326</v>
      </c>
      <c r="AJ62" s="43">
        <f t="shared" si="25"/>
        <v>57665.545118619615</v>
      </c>
      <c r="AK62" s="43">
        <f t="shared" si="26"/>
        <v>113029.00902659827</v>
      </c>
      <c r="AL62" s="43">
        <f t="shared" si="27"/>
        <v>108524.60345777747</v>
      </c>
      <c r="AM62" s="43">
        <f t="shared" si="28"/>
        <v>104215.3887969389</v>
      </c>
      <c r="AN62" s="43">
        <f t="shared" si="29"/>
        <v>100092.90677140333</v>
      </c>
      <c r="AP62" s="43">
        <f t="shared" si="30"/>
        <v>2666690.9171783701</v>
      </c>
      <c r="AQ62" s="43">
        <f t="shared" si="31"/>
        <v>2553661.9081517719</v>
      </c>
      <c r="AR62" s="43">
        <f t="shared" si="6"/>
        <v>2445137.3046939946</v>
      </c>
      <c r="AS62" s="43">
        <f t="shared" si="6"/>
        <v>2340921.9158970555</v>
      </c>
      <c r="AT62" s="43">
        <f t="shared" si="6"/>
        <v>2240829.0091256523</v>
      </c>
      <c r="AV62" s="47">
        <f t="shared" si="32"/>
        <v>0</v>
      </c>
      <c r="AW62" s="47">
        <f t="shared" si="33"/>
        <v>0</v>
      </c>
      <c r="AX62" s="47">
        <f t="shared" si="34"/>
        <v>148333.03630268422</v>
      </c>
      <c r="AY62" s="47">
        <f t="shared" si="35"/>
        <v>197299.85199560673</v>
      </c>
      <c r="AZ62" s="47">
        <f t="shared" si="36"/>
        <v>201439.82103614928</v>
      </c>
      <c r="BA62" s="43">
        <f t="shared" si="37"/>
        <v>193170.42160102702</v>
      </c>
      <c r="BB62" s="43">
        <f t="shared" si="38"/>
        <v>185244.40911817813</v>
      </c>
      <c r="BD62" s="43">
        <f t="shared" si="7"/>
        <v>0</v>
      </c>
      <c r="BE62" s="43">
        <f t="shared" si="8"/>
        <v>0</v>
      </c>
      <c r="BF62" s="43">
        <f t="shared" si="9"/>
        <v>13621.782311484949</v>
      </c>
      <c r="BG62" s="43">
        <f t="shared" si="10"/>
        <v>28816.934967075656</v>
      </c>
      <c r="BH62" s="43">
        <f t="shared" si="11"/>
        <v>30997.800605383945</v>
      </c>
      <c r="BI62" s="43">
        <f t="shared" si="12"/>
        <v>31738.276066245355</v>
      </c>
      <c r="BJ62" s="43">
        <f t="shared" si="13"/>
        <v>32812.553234535626</v>
      </c>
      <c r="BL62" s="43">
        <f t="shared" si="39"/>
        <v>0</v>
      </c>
      <c r="BM62" s="43">
        <f t="shared" si="40"/>
        <v>0</v>
      </c>
      <c r="BN62" s="43">
        <f t="shared" si="41"/>
        <v>161954.81861416917</v>
      </c>
      <c r="BO62" s="43">
        <f t="shared" si="42"/>
        <v>226116.78696268238</v>
      </c>
      <c r="BP62" s="43">
        <f t="shared" si="43"/>
        <v>232437.62164153322</v>
      </c>
      <c r="BQ62" s="43">
        <f t="shared" si="44"/>
        <v>224908.69766727238</v>
      </c>
      <c r="BR62" s="43">
        <f t="shared" si="45"/>
        <v>218056.96235271374</v>
      </c>
      <c r="BT62" s="10"/>
      <c r="BU62" s="10"/>
      <c r="BV62" s="51">
        <f t="shared" si="15"/>
        <v>0</v>
      </c>
      <c r="BW62" s="51">
        <f t="shared" si="16"/>
        <v>0</v>
      </c>
      <c r="BX62" s="51">
        <f t="shared" si="17"/>
        <v>639400.75166863354</v>
      </c>
      <c r="BY62" s="51">
        <f t="shared" si="18"/>
        <v>224908.69766727238</v>
      </c>
      <c r="BZ62" s="51">
        <f t="shared" si="19"/>
        <v>218056.96235271374</v>
      </c>
      <c r="CA62" s="338">
        <f t="shared" si="20"/>
        <v>0</v>
      </c>
    </row>
    <row r="63" spans="1:79" ht="13">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21"/>
        <v>2024</v>
      </c>
      <c r="M63" s="38">
        <f>_xlfn.XLOOKUP(I63,'3. Input (des)investeringen '!$B$11:$B$89,'3. Input (des)investeringen '!$D$11:$D$89,0)</f>
        <v>30</v>
      </c>
      <c r="O63" s="43">
        <f t="shared" si="0"/>
        <v>0</v>
      </c>
      <c r="P63" s="43">
        <f t="shared" si="1"/>
        <v>0</v>
      </c>
      <c r="R63" s="43">
        <f t="shared" si="22"/>
        <v>0</v>
      </c>
      <c r="S63" s="43">
        <f t="shared" si="2"/>
        <v>0</v>
      </c>
      <c r="U63" s="43">
        <f t="shared" si="23"/>
        <v>226794.9736094765</v>
      </c>
      <c r="V63" s="38">
        <f t="shared" si="24"/>
        <v>30</v>
      </c>
      <c r="X63" s="43">
        <f t="shared" si="3"/>
        <v>4422.5019853847925</v>
      </c>
      <c r="Y63" s="43">
        <f t="shared" si="3"/>
        <v>8653.3622180695766</v>
      </c>
      <c r="Z63" s="43">
        <f t="shared" si="3"/>
        <v>8278.3831886198932</v>
      </c>
      <c r="AA63" s="43">
        <f t="shared" si="3"/>
        <v>7919.6532504463667</v>
      </c>
      <c r="AB63" s="43">
        <f t="shared" si="3"/>
        <v>7576.468276260357</v>
      </c>
      <c r="AD63" s="43">
        <f t="shared" si="4"/>
        <v>377.99162268246084</v>
      </c>
      <c r="AE63" s="43">
        <f t="shared" si="4"/>
        <v>755.98324536492169</v>
      </c>
      <c r="AF63" s="43">
        <f t="shared" si="4"/>
        <v>755.98324536492169</v>
      </c>
      <c r="AG63" s="43">
        <f t="shared" si="4"/>
        <v>755.98324536492169</v>
      </c>
      <c r="AH63" s="43">
        <f t="shared" si="4"/>
        <v>755.98324536492169</v>
      </c>
      <c r="AJ63" s="43">
        <f t="shared" si="25"/>
        <v>4800.4936080672533</v>
      </c>
      <c r="AK63" s="43">
        <f t="shared" si="26"/>
        <v>9409.345463434498</v>
      </c>
      <c r="AL63" s="43">
        <f t="shared" si="27"/>
        <v>9034.3664339848146</v>
      </c>
      <c r="AM63" s="43">
        <f t="shared" si="28"/>
        <v>8675.6364958112881</v>
      </c>
      <c r="AN63" s="43">
        <f t="shared" si="29"/>
        <v>8332.4515216252785</v>
      </c>
      <c r="AP63" s="43">
        <f t="shared" si="30"/>
        <v>221994.48000140925</v>
      </c>
      <c r="AQ63" s="43">
        <f t="shared" si="31"/>
        <v>212585.13453797475</v>
      </c>
      <c r="AR63" s="43">
        <f t="shared" si="6"/>
        <v>203550.76810398995</v>
      </c>
      <c r="AS63" s="43">
        <f t="shared" si="6"/>
        <v>194875.13160817866</v>
      </c>
      <c r="AT63" s="43">
        <f t="shared" si="6"/>
        <v>186542.68008655339</v>
      </c>
      <c r="AV63" s="47">
        <f t="shared" si="32"/>
        <v>0</v>
      </c>
      <c r="AW63" s="47">
        <f t="shared" si="33"/>
        <v>0</v>
      </c>
      <c r="AX63" s="47">
        <f t="shared" si="34"/>
        <v>12348.305928115169</v>
      </c>
      <c r="AY63" s="47">
        <f t="shared" si="35"/>
        <v>16424.654903187664</v>
      </c>
      <c r="AZ63" s="47">
        <f t="shared" si="36"/>
        <v>16769.295621936431</v>
      </c>
      <c r="BA63" s="43">
        <f t="shared" si="37"/>
        <v>16080.891496922077</v>
      </c>
      <c r="BB63" s="43">
        <f t="shared" si="38"/>
        <v>15421.073364914308</v>
      </c>
      <c r="BD63" s="43">
        <f t="shared" si="7"/>
        <v>0</v>
      </c>
      <c r="BE63" s="43">
        <f t="shared" si="8"/>
        <v>0</v>
      </c>
      <c r="BF63" s="43">
        <f t="shared" si="9"/>
        <v>1133.9748680473824</v>
      </c>
      <c r="BG63" s="43">
        <f t="shared" si="10"/>
        <v>2398.9283692537101</v>
      </c>
      <c r="BH63" s="43">
        <f t="shared" si="11"/>
        <v>2580.4792682388306</v>
      </c>
      <c r="BI63" s="43">
        <f t="shared" si="12"/>
        <v>2642.1217569985201</v>
      </c>
      <c r="BJ63" s="43">
        <f t="shared" si="13"/>
        <v>2731.552294229406</v>
      </c>
      <c r="BL63" s="43">
        <f t="shared" si="39"/>
        <v>0</v>
      </c>
      <c r="BM63" s="43">
        <f t="shared" si="40"/>
        <v>0</v>
      </c>
      <c r="BN63" s="43">
        <f t="shared" si="41"/>
        <v>13482.280796162551</v>
      </c>
      <c r="BO63" s="43">
        <f>AY63+BG63</f>
        <v>18823.583272441374</v>
      </c>
      <c r="BP63" s="43">
        <f t="shared" si="43"/>
        <v>19349.774890175264</v>
      </c>
      <c r="BQ63" s="43">
        <f t="shared" si="44"/>
        <v>18723.013253920595</v>
      </c>
      <c r="BR63" s="43">
        <f t="shared" si="45"/>
        <v>18152.625659143712</v>
      </c>
      <c r="BT63" s="10"/>
      <c r="BU63" s="10"/>
      <c r="BV63" s="51">
        <f t="shared" si="15"/>
        <v>0</v>
      </c>
      <c r="BW63" s="51">
        <f t="shared" si="16"/>
        <v>0</v>
      </c>
      <c r="BX63" s="51">
        <f t="shared" si="17"/>
        <v>53228.304962083523</v>
      </c>
      <c r="BY63" s="51">
        <f t="shared" si="18"/>
        <v>18723.013253920595</v>
      </c>
      <c r="BZ63" s="51">
        <f t="shared" si="19"/>
        <v>18152.625659143712</v>
      </c>
      <c r="CA63" s="338">
        <f t="shared" si="20"/>
        <v>0</v>
      </c>
    </row>
    <row r="64" spans="1:79" ht="13">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21"/>
        <v>2024</v>
      </c>
      <c r="M64" s="38">
        <f>_xlfn.XLOOKUP(I64,'3. Input (des)investeringen '!$B$11:$B$89,'3. Input (des)investeringen '!$D$11:$D$89,0)</f>
        <v>55</v>
      </c>
      <c r="O64" s="43">
        <f t="shared" si="0"/>
        <v>0</v>
      </c>
      <c r="P64" s="43">
        <f t="shared" si="1"/>
        <v>0</v>
      </c>
      <c r="R64" s="43">
        <f t="shared" si="22"/>
        <v>0</v>
      </c>
      <c r="S64" s="43">
        <f t="shared" si="2"/>
        <v>0</v>
      </c>
      <c r="U64" s="43">
        <f t="shared" si="23"/>
        <v>3824577.1209736457</v>
      </c>
      <c r="V64" s="38">
        <f t="shared" si="24"/>
        <v>55</v>
      </c>
      <c r="X64" s="43">
        <f t="shared" si="3"/>
        <v>40679.593013992417</v>
      </c>
      <c r="Y64" s="43">
        <f t="shared" si="3"/>
        <v>80397.668374926827</v>
      </c>
      <c r="Z64" s="43">
        <f t="shared" si="3"/>
        <v>78497.359849701272</v>
      </c>
      <c r="AA64" s="43">
        <f t="shared" si="3"/>
        <v>76641.967707799253</v>
      </c>
      <c r="AB64" s="43">
        <f t="shared" si="3"/>
        <v>74830.430289251264</v>
      </c>
      <c r="AD64" s="43">
        <f t="shared" si="4"/>
        <v>3476.8882917942233</v>
      </c>
      <c r="AE64" s="43">
        <f t="shared" si="4"/>
        <v>6953.7765835884484</v>
      </c>
      <c r="AF64" s="43">
        <f t="shared" si="4"/>
        <v>6953.7765835884484</v>
      </c>
      <c r="AG64" s="43">
        <f t="shared" si="4"/>
        <v>6953.7765835884484</v>
      </c>
      <c r="AH64" s="43">
        <f t="shared" si="4"/>
        <v>6953.7765835884484</v>
      </c>
      <c r="AJ64" s="43">
        <f t="shared" si="25"/>
        <v>44156.481305786641</v>
      </c>
      <c r="AK64" s="43">
        <f t="shared" si="26"/>
        <v>87351.444958515276</v>
      </c>
      <c r="AL64" s="43">
        <f t="shared" si="27"/>
        <v>85451.136433289721</v>
      </c>
      <c r="AM64" s="43">
        <f t="shared" si="28"/>
        <v>83595.744291387702</v>
      </c>
      <c r="AN64" s="43">
        <f t="shared" si="29"/>
        <v>81784.206872839713</v>
      </c>
      <c r="AP64" s="43">
        <f t="shared" si="30"/>
        <v>3780420.6396678593</v>
      </c>
      <c r="AQ64" s="43">
        <f t="shared" si="31"/>
        <v>3693069.1947093438</v>
      </c>
      <c r="AR64" s="43">
        <f t="shared" si="6"/>
        <v>3607618.058276054</v>
      </c>
      <c r="AS64" s="43">
        <f t="shared" si="6"/>
        <v>3524022.3139846665</v>
      </c>
      <c r="AT64" s="43">
        <f t="shared" si="6"/>
        <v>3442238.1071118265</v>
      </c>
      <c r="AV64" s="47">
        <f t="shared" si="32"/>
        <v>0</v>
      </c>
      <c r="AW64" s="47">
        <f t="shared" si="33"/>
        <v>0</v>
      </c>
      <c r="AX64" s="47">
        <f t="shared" si="34"/>
        <v>172690.78305449386</v>
      </c>
      <c r="AY64" s="47">
        <f t="shared" si="35"/>
        <v>209222.72838392365</v>
      </c>
      <c r="AZ64" s="47">
        <f t="shared" si="36"/>
        <v>222540.62264777976</v>
      </c>
      <c r="BA64" s="43">
        <f t="shared" si="37"/>
        <v>217508.59222280502</v>
      </c>
      <c r="BB64" s="43">
        <f t="shared" si="38"/>
        <v>212589.25494308912</v>
      </c>
      <c r="BD64" s="43">
        <f t="shared" si="7"/>
        <v>0</v>
      </c>
      <c r="BE64" s="43">
        <f t="shared" si="8"/>
        <v>0</v>
      </c>
      <c r="BF64" s="43">
        <f t="shared" si="9"/>
        <v>19122.885604868228</v>
      </c>
      <c r="BG64" s="43">
        <f t="shared" si="10"/>
        <v>40454.540988641158</v>
      </c>
      <c r="BH64" s="43">
        <f t="shared" si="11"/>
        <v>43516.140650661524</v>
      </c>
      <c r="BI64" s="43">
        <f t="shared" si="12"/>
        <v>44555.654218524527</v>
      </c>
      <c r="BJ64" s="43">
        <f t="shared" si="13"/>
        <v>46063.77400251315</v>
      </c>
      <c r="BL64" s="43">
        <f t="shared" si="39"/>
        <v>0</v>
      </c>
      <c r="BM64" s="43">
        <f t="shared" si="40"/>
        <v>0</v>
      </c>
      <c r="BN64" s="43">
        <f t="shared" si="41"/>
        <v>191813.6686593621</v>
      </c>
      <c r="BO64" s="43">
        <f t="shared" si="42"/>
        <v>249677.2693725648</v>
      </c>
      <c r="BP64" s="43">
        <f t="shared" si="43"/>
        <v>266056.76329844131</v>
      </c>
      <c r="BQ64" s="43">
        <f t="shared" si="44"/>
        <v>262064.24644132954</v>
      </c>
      <c r="BR64" s="43">
        <f t="shared" si="45"/>
        <v>258653.02894560227</v>
      </c>
      <c r="BT64" s="10"/>
      <c r="BU64" s="10"/>
      <c r="BV64" s="51">
        <f t="shared" si="15"/>
        <v>0</v>
      </c>
      <c r="BW64" s="51">
        <f t="shared" si="16"/>
        <v>0</v>
      </c>
      <c r="BX64" s="51">
        <f t="shared" si="17"/>
        <v>729197.06315976009</v>
      </c>
      <c r="BY64" s="51">
        <f t="shared" si="18"/>
        <v>262064.24644132954</v>
      </c>
      <c r="BZ64" s="51">
        <f t="shared" si="19"/>
        <v>258653.02894560227</v>
      </c>
      <c r="CA64" s="338">
        <f t="shared" si="20"/>
        <v>0</v>
      </c>
    </row>
    <row r="65" spans="1:79" ht="13">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'!$B$11:$B$89,'3. Input (des)investeringen '!$D$11:$D$89,0)</f>
        <v>30</v>
      </c>
      <c r="O65" s="43">
        <f t="shared" si="0"/>
        <v>0</v>
      </c>
      <c r="P65" s="43">
        <f t="shared" si="1"/>
        <v>0</v>
      </c>
      <c r="R65" s="43">
        <f t="shared" si="22"/>
        <v>0</v>
      </c>
      <c r="S65" s="43">
        <f t="shared" si="2"/>
        <v>0</v>
      </c>
      <c r="U65" s="43">
        <f>IF(H65&lt;=2021,S65,F65)</f>
        <v>3150608.2540416676</v>
      </c>
      <c r="V65" s="38">
        <f t="shared" si="24"/>
        <v>30</v>
      </c>
      <c r="X65" s="43">
        <f t="shared" si="3"/>
        <v>61436.860953812517</v>
      </c>
      <c r="Y65" s="43">
        <f t="shared" si="3"/>
        <v>120211.45793295982</v>
      </c>
      <c r="Z65" s="43">
        <f t="shared" si="3"/>
        <v>115002.29475586492</v>
      </c>
      <c r="AA65" s="43">
        <f t="shared" si="3"/>
        <v>110018.86198311076</v>
      </c>
      <c r="AB65" s="43">
        <f t="shared" si="3"/>
        <v>105251.37796384263</v>
      </c>
      <c r="AD65" s="43">
        <f t="shared" si="4"/>
        <v>5251.0137567361126</v>
      </c>
      <c r="AE65" s="43">
        <f t="shared" si="4"/>
        <v>10502.027513472225</v>
      </c>
      <c r="AF65" s="43">
        <f t="shared" si="4"/>
        <v>10502.027513472225</v>
      </c>
      <c r="AG65" s="43">
        <f t="shared" si="4"/>
        <v>10502.027513472225</v>
      </c>
      <c r="AH65" s="43">
        <f t="shared" si="4"/>
        <v>10502.027513472225</v>
      </c>
      <c r="AJ65" s="43">
        <f t="shared" si="25"/>
        <v>66687.874710548625</v>
      </c>
      <c r="AK65" s="43">
        <f t="shared" si="26"/>
        <v>130713.48544643205</v>
      </c>
      <c r="AL65" s="43">
        <f t="shared" si="27"/>
        <v>125504.32226933714</v>
      </c>
      <c r="AM65" s="43">
        <f t="shared" si="28"/>
        <v>120520.889496583</v>
      </c>
      <c r="AN65" s="43">
        <f t="shared" si="29"/>
        <v>115753.40547731487</v>
      </c>
      <c r="AP65" s="43">
        <f t="shared" si="30"/>
        <v>3083920.3793311189</v>
      </c>
      <c r="AQ65" s="43">
        <f t="shared" si="31"/>
        <v>2953206.8938846868</v>
      </c>
      <c r="AR65" s="43">
        <f t="shared" si="6"/>
        <v>2827702.5716153495</v>
      </c>
      <c r="AS65" s="43">
        <f t="shared" si="6"/>
        <v>2707181.6821187665</v>
      </c>
      <c r="AT65" s="43">
        <f t="shared" si="6"/>
        <v>2591428.2766414518</v>
      </c>
      <c r="AV65" s="47">
        <f>O65+R65*H$16</f>
        <v>0</v>
      </c>
      <c r="AW65" s="47">
        <f t="shared" si="33"/>
        <v>0</v>
      </c>
      <c r="AX65" s="47">
        <f>AJ65+AP65*J$17</f>
        <v>171541.16760780668</v>
      </c>
      <c r="AY65" s="47">
        <f t="shared" si="35"/>
        <v>228169.31294462673</v>
      </c>
      <c r="AZ65" s="47">
        <f t="shared" si="36"/>
        <v>232957.01999072041</v>
      </c>
      <c r="BA65" s="43">
        <f t="shared" si="37"/>
        <v>223393.79341709614</v>
      </c>
      <c r="BB65" s="43">
        <f t="shared" si="38"/>
        <v>214227.67998969002</v>
      </c>
      <c r="BD65" s="43">
        <f t="shared" si="7"/>
        <v>0</v>
      </c>
      <c r="BE65" s="43">
        <f t="shared" si="8"/>
        <v>0</v>
      </c>
      <c r="BF65" s="43">
        <f t="shared" si="9"/>
        <v>15753.041270208338</v>
      </c>
      <c r="BG65" s="43">
        <f t="shared" si="10"/>
        <v>33325.62181929082</v>
      </c>
      <c r="BH65" s="43">
        <f t="shared" si="11"/>
        <v>35847.704878574754</v>
      </c>
      <c r="BI65" s="43">
        <f t="shared" si="12"/>
        <v>36704.034852714147</v>
      </c>
      <c r="BJ65" s="43">
        <f t="shared" si="13"/>
        <v>37946.393024408819</v>
      </c>
      <c r="BL65" s="43">
        <f t="shared" si="39"/>
        <v>0</v>
      </c>
      <c r="BM65" s="43">
        <f t="shared" si="40"/>
        <v>0</v>
      </c>
      <c r="BN65" s="43">
        <f t="shared" si="41"/>
        <v>187294.20887801502</v>
      </c>
      <c r="BO65" s="43">
        <f t="shared" si="42"/>
        <v>261494.93476391755</v>
      </c>
      <c r="BP65" s="43">
        <f t="shared" si="43"/>
        <v>268804.72486929514</v>
      </c>
      <c r="BQ65" s="43">
        <f t="shared" si="44"/>
        <v>260097.8282698103</v>
      </c>
      <c r="BR65" s="43">
        <f t="shared" si="45"/>
        <v>252174.07301409883</v>
      </c>
      <c r="BT65" s="10"/>
      <c r="BU65" s="10"/>
      <c r="BV65" s="51">
        <f t="shared" si="15"/>
        <v>0</v>
      </c>
      <c r="BW65" s="51">
        <f t="shared" si="16"/>
        <v>0</v>
      </c>
      <c r="BX65" s="51">
        <f t="shared" si="17"/>
        <v>739441.15380156774</v>
      </c>
      <c r="BY65" s="51">
        <f t="shared" si="18"/>
        <v>260097.8282698103</v>
      </c>
      <c r="BZ65" s="51">
        <f t="shared" si="19"/>
        <v>252174.07301409883</v>
      </c>
      <c r="CA65" s="338">
        <f t="shared" si="20"/>
        <v>0</v>
      </c>
    </row>
    <row r="66" spans="1:79" s="227" customFormat="1" ht="13">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6">H66+2</f>
        <v>2025</v>
      </c>
      <c r="M66" s="38">
        <f>_xlfn.XLOOKUP(I66,'3. Input (des)investeringen '!$B$11:$B$89,'3. Input (des)investeringen '!$D$11:$D$89,0)</f>
        <v>0</v>
      </c>
      <c r="N66" s="3"/>
      <c r="O66" s="43">
        <f t="shared" si="0"/>
        <v>0</v>
      </c>
      <c r="P66" s="43">
        <f t="shared" si="1"/>
        <v>0</v>
      </c>
      <c r="Q66" s="3"/>
      <c r="R66" s="43">
        <f t="shared" si="22"/>
        <v>0</v>
      </c>
      <c r="S66" s="43">
        <f t="shared" si="2"/>
        <v>0</v>
      </c>
      <c r="T66" s="3"/>
      <c r="U66" s="43">
        <f t="shared" ref="U66:U79" si="47">IF(H66&lt;=2021,S66,F66)</f>
        <v>1821898.5094885458</v>
      </c>
      <c r="V66" s="38">
        <f t="shared" ref="V66:V79" si="48">IF($M66&gt;0,IF(H66&lt;2022,M66-2021+H66-0.5,M66),0)</f>
        <v>0</v>
      </c>
      <c r="W66" s="3"/>
      <c r="X66" s="43">
        <f t="shared" si="3"/>
        <v>0</v>
      </c>
      <c r="Y66" s="43">
        <f t="shared" si="3"/>
        <v>0</v>
      </c>
      <c r="Z66" s="43">
        <f t="shared" si="3"/>
        <v>0</v>
      </c>
      <c r="AA66" s="43">
        <f t="shared" si="3"/>
        <v>0</v>
      </c>
      <c r="AB66" s="43">
        <f t="shared" si="3"/>
        <v>0</v>
      </c>
      <c r="AC66" s="3"/>
      <c r="AD66" s="43">
        <f t="shared" si="4"/>
        <v>0</v>
      </c>
      <c r="AE66" s="43">
        <f t="shared" si="4"/>
        <v>0</v>
      </c>
      <c r="AF66" s="43">
        <f t="shared" si="4"/>
        <v>0</v>
      </c>
      <c r="AG66" s="43">
        <f t="shared" si="4"/>
        <v>0</v>
      </c>
      <c r="AH66" s="43">
        <f t="shared" si="4"/>
        <v>0</v>
      </c>
      <c r="AI66" s="3"/>
      <c r="AJ66" s="43">
        <f t="shared" ref="AJ66:AJ79" si="49">X66+AD66</f>
        <v>0</v>
      </c>
      <c r="AK66" s="43">
        <f t="shared" ref="AK66:AK79" si="50">Y66+AE66</f>
        <v>0</v>
      </c>
      <c r="AL66" s="43">
        <f t="shared" ref="AL66:AL79" si="51">Z66+AF66</f>
        <v>0</v>
      </c>
      <c r="AM66" s="43">
        <f t="shared" ref="AM66:AM79" si="52">AA66+AG66</f>
        <v>0</v>
      </c>
      <c r="AN66" s="43">
        <f t="shared" ref="AN66:AN79" si="53">AB66+AH66</f>
        <v>0</v>
      </c>
      <c r="AO66" s="3"/>
      <c r="AP66" s="43">
        <f t="shared" si="30"/>
        <v>0</v>
      </c>
      <c r="AQ66" s="43">
        <f t="shared" si="31"/>
        <v>1821898.5094885458</v>
      </c>
      <c r="AR66" s="43">
        <f t="shared" si="6"/>
        <v>1821898.5094885458</v>
      </c>
      <c r="AS66" s="43">
        <f t="shared" si="6"/>
        <v>1821898.5094885458</v>
      </c>
      <c r="AT66" s="43">
        <f t="shared" si="6"/>
        <v>1821898.5094885458</v>
      </c>
      <c r="AU66" s="3"/>
      <c r="AV66" s="47">
        <f>O66+R66*H$16</f>
        <v>0</v>
      </c>
      <c r="AW66" s="47">
        <f t="shared" ref="AW66:AW79" si="54">P66+S66*I$16</f>
        <v>0</v>
      </c>
      <c r="AX66" s="47">
        <f>AJ66+AP66*J$17</f>
        <v>0</v>
      </c>
      <c r="AY66" s="47">
        <f t="shared" ref="AY66:AY79" si="55">AK66+AQ66*K$17</f>
        <v>60122.650813122018</v>
      </c>
      <c r="AZ66" s="47">
        <f t="shared" ref="AZ66:AZ79" si="56">AL66+AR66*L$17</f>
        <v>69232.143360564733</v>
      </c>
      <c r="BA66" s="43">
        <f t="shared" ref="BA66:BA79" si="57">AM66+AS66*M$17</f>
        <v>69232.143360564733</v>
      </c>
      <c r="BB66" s="43">
        <f t="shared" ref="BB66:BB79" si="58">AN66+AT66*N$17</f>
        <v>69232.143360564733</v>
      </c>
      <c r="BC66" s="3"/>
      <c r="BD66" s="43">
        <f t="shared" si="7"/>
        <v>0</v>
      </c>
      <c r="BE66" s="43">
        <f t="shared" si="8"/>
        <v>0</v>
      </c>
      <c r="BF66" s="43">
        <f t="shared" si="9"/>
        <v>0</v>
      </c>
      <c r="BG66" s="43">
        <f t="shared" si="10"/>
        <v>0</v>
      </c>
      <c r="BH66" s="43">
        <f t="shared" si="11"/>
        <v>0</v>
      </c>
      <c r="BI66" s="43">
        <f t="shared" si="12"/>
        <v>0</v>
      </c>
      <c r="BJ66" s="43">
        <f t="shared" si="13"/>
        <v>0</v>
      </c>
      <c r="BK66" s="3"/>
      <c r="BL66" s="43">
        <f t="shared" ref="BL66:BL79" si="59">AV66+BD66</f>
        <v>0</v>
      </c>
      <c r="BM66" s="43">
        <f t="shared" ref="BM66:BM79" si="60">AW66+BE66</f>
        <v>0</v>
      </c>
      <c r="BN66" s="43">
        <f t="shared" ref="BN66:BN79" si="61">AX66+BF66</f>
        <v>0</v>
      </c>
      <c r="BO66" s="43">
        <f t="shared" ref="BO66:BO79" si="62">AY66+BG66</f>
        <v>60122.650813122018</v>
      </c>
      <c r="BP66" s="43">
        <f t="shared" ref="BP66:BP79" si="63">AZ66+BH66</f>
        <v>69232.143360564733</v>
      </c>
      <c r="BQ66" s="43">
        <f t="shared" ref="BQ66:BQ79" si="64">BA66+BI66</f>
        <v>69232.143360564733</v>
      </c>
      <c r="BR66" s="43">
        <f t="shared" ref="BR66:BR79" si="65">BB66+BJ66</f>
        <v>69232.143360564733</v>
      </c>
      <c r="BS66" s="3"/>
      <c r="BT66" s="10"/>
      <c r="BU66" s="10"/>
      <c r="BV66" s="51">
        <f t="shared" si="15"/>
        <v>0</v>
      </c>
      <c r="BW66" s="51">
        <f t="shared" si="16"/>
        <v>0</v>
      </c>
      <c r="BX66" s="51">
        <f t="shared" si="17"/>
        <v>0</v>
      </c>
      <c r="BY66" s="320">
        <f t="shared" si="18"/>
        <v>210215.02258121117</v>
      </c>
      <c r="BZ66" s="51">
        <f t="shared" si="19"/>
        <v>69232.143360564733</v>
      </c>
      <c r="CA66" s="338">
        <f t="shared" si="20"/>
        <v>0</v>
      </c>
    </row>
    <row r="67" spans="1:79" s="227" customFormat="1" ht="13">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6"/>
        <v>2025</v>
      </c>
      <c r="M67" s="38">
        <f>_xlfn.XLOOKUP(I67,'3. Input (des)investeringen '!$B$11:$B$89,'3. Input (des)investeringen '!$D$11:$D$89,0)</f>
        <v>10</v>
      </c>
      <c r="N67" s="3"/>
      <c r="O67" s="43">
        <f t="shared" si="0"/>
        <v>0</v>
      </c>
      <c r="P67" s="43">
        <f t="shared" si="1"/>
        <v>0</v>
      </c>
      <c r="Q67" s="3"/>
      <c r="R67" s="43">
        <f t="shared" si="22"/>
        <v>0</v>
      </c>
      <c r="S67" s="43">
        <f t="shared" si="2"/>
        <v>0</v>
      </c>
      <c r="T67" s="3"/>
      <c r="U67" s="43">
        <f t="shared" si="47"/>
        <v>41241409.443761975</v>
      </c>
      <c r="V67" s="38">
        <f t="shared" si="48"/>
        <v>10</v>
      </c>
      <c r="W67" s="3"/>
      <c r="X67" s="43">
        <f t="shared" si="3"/>
        <v>0</v>
      </c>
      <c r="Y67" s="43">
        <f t="shared" si="3"/>
        <v>2412622.4524600757</v>
      </c>
      <c r="Z67" s="43">
        <f t="shared" si="3"/>
        <v>4511603.9861003421</v>
      </c>
      <c r="AA67" s="43">
        <f t="shared" si="3"/>
        <v>3925095.467907297</v>
      </c>
      <c r="AB67" s="43">
        <f t="shared" si="3"/>
        <v>3502392.8790557417</v>
      </c>
      <c r="AC67" s="3"/>
      <c r="AD67" s="43">
        <f t="shared" si="4"/>
        <v>0</v>
      </c>
      <c r="AE67" s="43">
        <f t="shared" si="4"/>
        <v>206207.04721880989</v>
      </c>
      <c r="AF67" s="43">
        <f t="shared" si="4"/>
        <v>412414.09443761973</v>
      </c>
      <c r="AG67" s="43">
        <f t="shared" si="4"/>
        <v>412414.09443761973</v>
      </c>
      <c r="AH67" s="43">
        <f t="shared" si="4"/>
        <v>412414.09443761973</v>
      </c>
      <c r="AI67" s="3"/>
      <c r="AJ67" s="43">
        <f t="shared" si="49"/>
        <v>0</v>
      </c>
      <c r="AK67" s="43">
        <f t="shared" si="50"/>
        <v>2618829.4996788856</v>
      </c>
      <c r="AL67" s="43">
        <f t="shared" si="51"/>
        <v>4924018.0805379618</v>
      </c>
      <c r="AM67" s="43">
        <f t="shared" si="52"/>
        <v>4337509.5623449171</v>
      </c>
      <c r="AN67" s="43">
        <f t="shared" si="53"/>
        <v>3914806.9734933614</v>
      </c>
      <c r="AO67" s="3"/>
      <c r="AP67" s="43">
        <f t="shared" si="30"/>
        <v>0</v>
      </c>
      <c r="AQ67" s="43">
        <f t="shared" si="31"/>
        <v>38622579.944083087</v>
      </c>
      <c r="AR67" s="43">
        <f t="shared" si="6"/>
        <v>33698561.863545127</v>
      </c>
      <c r="AS67" s="43">
        <f t="shared" si="6"/>
        <v>29361052.301200211</v>
      </c>
      <c r="AT67" s="43">
        <f t="shared" si="6"/>
        <v>25446245.327706851</v>
      </c>
      <c r="AU67" s="3"/>
      <c r="AV67" s="47">
        <f t="shared" ref="AV67:AV79" si="66">O67+R67*H$16</f>
        <v>0</v>
      </c>
      <c r="AW67" s="47">
        <f t="shared" si="54"/>
        <v>0</v>
      </c>
      <c r="AX67" s="47">
        <f t="shared" ref="AX67:AX79" si="67">AJ67+AP67*J$17</f>
        <v>0</v>
      </c>
      <c r="AY67" s="47">
        <f t="shared" si="55"/>
        <v>3893374.6378336274</v>
      </c>
      <c r="AZ67" s="47">
        <f t="shared" si="56"/>
        <v>6204563.4313526768</v>
      </c>
      <c r="BA67" s="43">
        <f t="shared" si="57"/>
        <v>5453229.5497905249</v>
      </c>
      <c r="BB67" s="43">
        <f t="shared" si="58"/>
        <v>4881764.2959462218</v>
      </c>
      <c r="BC67" s="3"/>
      <c r="BD67" s="43">
        <f t="shared" si="7"/>
        <v>0</v>
      </c>
      <c r="BE67" s="43">
        <f t="shared" si="8"/>
        <v>0</v>
      </c>
      <c r="BF67" s="43">
        <f t="shared" si="9"/>
        <v>0</v>
      </c>
      <c r="BG67" s="43">
        <f t="shared" si="10"/>
        <v>206207.04721880986</v>
      </c>
      <c r="BH67" s="43">
        <f t="shared" si="11"/>
        <v>443625.59310465882</v>
      </c>
      <c r="BI67" s="43">
        <f t="shared" si="12"/>
        <v>454222.92127274291</v>
      </c>
      <c r="BJ67" s="43">
        <f t="shared" si="13"/>
        <v>469597.4587119827</v>
      </c>
      <c r="BK67" s="3"/>
      <c r="BL67" s="43">
        <f t="shared" si="59"/>
        <v>0</v>
      </c>
      <c r="BM67" s="43">
        <f t="shared" si="60"/>
        <v>0</v>
      </c>
      <c r="BN67" s="43">
        <f t="shared" si="61"/>
        <v>0</v>
      </c>
      <c r="BO67" s="43">
        <f t="shared" si="62"/>
        <v>4099581.6850524372</v>
      </c>
      <c r="BP67" s="43">
        <f t="shared" si="63"/>
        <v>6648189.0244573355</v>
      </c>
      <c r="BQ67" s="43">
        <f t="shared" si="64"/>
        <v>5907452.4710632674</v>
      </c>
      <c r="BR67" s="43">
        <f t="shared" si="65"/>
        <v>5351361.7546582045</v>
      </c>
      <c r="BS67" s="3"/>
      <c r="BT67" s="10"/>
      <c r="BU67" s="10"/>
      <c r="BV67" s="51">
        <f t="shared" si="15"/>
        <v>0</v>
      </c>
      <c r="BW67" s="51">
        <f t="shared" si="16"/>
        <v>0</v>
      </c>
      <c r="BX67" s="51">
        <f t="shared" si="17"/>
        <v>0</v>
      </c>
      <c r="BY67" s="320">
        <f t="shared" si="18"/>
        <v>17583029.226358969</v>
      </c>
      <c r="BZ67" s="51">
        <f t="shared" si="19"/>
        <v>5351361.7546582045</v>
      </c>
      <c r="CA67" s="338">
        <f t="shared" si="20"/>
        <v>0</v>
      </c>
    </row>
    <row r="68" spans="1:79" s="227" customFormat="1" ht="13">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6"/>
        <v>2025</v>
      </c>
      <c r="M68" s="38">
        <f>_xlfn.XLOOKUP(I68,'3. Input (des)investeringen '!$B$11:$B$89,'3. Input (des)investeringen '!$D$11:$D$89,0)</f>
        <v>30</v>
      </c>
      <c r="N68" s="3"/>
      <c r="O68" s="43">
        <f t="shared" si="0"/>
        <v>0</v>
      </c>
      <c r="P68" s="43">
        <f t="shared" si="1"/>
        <v>0</v>
      </c>
      <c r="Q68" s="3"/>
      <c r="R68" s="43">
        <f t="shared" si="22"/>
        <v>0</v>
      </c>
      <c r="S68" s="43">
        <f t="shared" si="2"/>
        <v>0</v>
      </c>
      <c r="T68" s="3"/>
      <c r="U68" s="43">
        <f t="shared" si="47"/>
        <v>26179329.440538418</v>
      </c>
      <c r="V68" s="38">
        <f t="shared" si="48"/>
        <v>30</v>
      </c>
      <c r="W68" s="3"/>
      <c r="X68" s="43">
        <f t="shared" si="3"/>
        <v>0</v>
      </c>
      <c r="Y68" s="43">
        <f t="shared" si="3"/>
        <v>510496.92409049912</v>
      </c>
      <c r="Z68" s="43">
        <f t="shared" si="3"/>
        <v>998872.31480374327</v>
      </c>
      <c r="AA68" s="43">
        <f t="shared" si="3"/>
        <v>955587.84782891441</v>
      </c>
      <c r="AB68" s="43">
        <f t="shared" si="3"/>
        <v>914179.04108966154</v>
      </c>
      <c r="AC68" s="3"/>
      <c r="AD68" s="43">
        <f t="shared" si="4"/>
        <v>0</v>
      </c>
      <c r="AE68" s="43">
        <f t="shared" si="4"/>
        <v>43632.215734230704</v>
      </c>
      <c r="AF68" s="43">
        <f t="shared" si="4"/>
        <v>87264.431468461407</v>
      </c>
      <c r="AG68" s="43">
        <f t="shared" si="4"/>
        <v>87264.431468461407</v>
      </c>
      <c r="AH68" s="43">
        <f t="shared" si="4"/>
        <v>87264.431468461407</v>
      </c>
      <c r="AI68" s="3"/>
      <c r="AJ68" s="43">
        <f t="shared" si="49"/>
        <v>0</v>
      </c>
      <c r="AK68" s="43">
        <f t="shared" si="50"/>
        <v>554129.13982472988</v>
      </c>
      <c r="AL68" s="43">
        <f t="shared" si="51"/>
        <v>1086136.7462722047</v>
      </c>
      <c r="AM68" s="43">
        <f t="shared" si="52"/>
        <v>1042852.2792973758</v>
      </c>
      <c r="AN68" s="43">
        <f t="shared" si="53"/>
        <v>1001443.4725581229</v>
      </c>
      <c r="AO68" s="3"/>
      <c r="AP68" s="43">
        <f t="shared" si="30"/>
        <v>0</v>
      </c>
      <c r="AQ68" s="43">
        <f t="shared" si="31"/>
        <v>25625200.300713688</v>
      </c>
      <c r="AR68" s="43">
        <f t="shared" si="6"/>
        <v>24539063.554441482</v>
      </c>
      <c r="AS68" s="43">
        <f t="shared" si="6"/>
        <v>23496211.275144108</v>
      </c>
      <c r="AT68" s="43">
        <f t="shared" si="6"/>
        <v>22494767.802585986</v>
      </c>
      <c r="AU68" s="3"/>
      <c r="AV68" s="47">
        <f t="shared" si="66"/>
        <v>0</v>
      </c>
      <c r="AW68" s="47">
        <f t="shared" si="54"/>
        <v>0</v>
      </c>
      <c r="AX68" s="47">
        <f t="shared" si="67"/>
        <v>0</v>
      </c>
      <c r="AY68" s="47">
        <f t="shared" si="55"/>
        <v>1399760.7497482817</v>
      </c>
      <c r="AZ68" s="47">
        <f t="shared" si="56"/>
        <v>2018621.1613409808</v>
      </c>
      <c r="BA68" s="43">
        <f t="shared" si="57"/>
        <v>1935708.3077528519</v>
      </c>
      <c r="BB68" s="43">
        <f t="shared" si="58"/>
        <v>1856244.6490563904</v>
      </c>
      <c r="BC68" s="3"/>
      <c r="BD68" s="43">
        <f t="shared" si="7"/>
        <v>0</v>
      </c>
      <c r="BE68" s="43">
        <f t="shared" si="8"/>
        <v>0</v>
      </c>
      <c r="BF68" s="43">
        <f t="shared" si="9"/>
        <v>0</v>
      </c>
      <c r="BG68" s="43">
        <f t="shared" si="10"/>
        <v>130896.6472026921</v>
      </c>
      <c r="BH68" s="43">
        <f t="shared" si="11"/>
        <v>281605.81092598371</v>
      </c>
      <c r="BI68" s="43">
        <f t="shared" si="12"/>
        <v>288332.8105373836</v>
      </c>
      <c r="BJ68" s="43">
        <f t="shared" si="13"/>
        <v>298092.29950845294</v>
      </c>
      <c r="BK68" s="3"/>
      <c r="BL68" s="43">
        <f t="shared" si="59"/>
        <v>0</v>
      </c>
      <c r="BM68" s="43">
        <f t="shared" si="60"/>
        <v>0</v>
      </c>
      <c r="BN68" s="43">
        <f t="shared" si="61"/>
        <v>0</v>
      </c>
      <c r="BO68" s="43">
        <f t="shared" si="62"/>
        <v>1530657.3969509737</v>
      </c>
      <c r="BP68" s="43">
        <f t="shared" si="63"/>
        <v>2300226.9722669646</v>
      </c>
      <c r="BQ68" s="43">
        <f t="shared" si="64"/>
        <v>2224041.1182902353</v>
      </c>
      <c r="BR68" s="43">
        <f t="shared" si="65"/>
        <v>2154336.9485648433</v>
      </c>
      <c r="BS68" s="3"/>
      <c r="BT68" s="10"/>
      <c r="BU68" s="10"/>
      <c r="BV68" s="51">
        <f t="shared" si="15"/>
        <v>0</v>
      </c>
      <c r="BW68" s="51">
        <f t="shared" si="16"/>
        <v>0</v>
      </c>
      <c r="BX68" s="51">
        <f t="shared" si="17"/>
        <v>0</v>
      </c>
      <c r="BY68" s="320">
        <f t="shared" si="18"/>
        <v>6388599.5299429307</v>
      </c>
      <c r="BZ68" s="51">
        <f t="shared" si="19"/>
        <v>2154336.9485648433</v>
      </c>
      <c r="CA68" s="338">
        <f t="shared" si="20"/>
        <v>0</v>
      </c>
    </row>
    <row r="69" spans="1:79" s="227" customFormat="1" ht="13">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6"/>
        <v>2025</v>
      </c>
      <c r="M69" s="38">
        <f>_xlfn.XLOOKUP(I69,'3. Input (des)investeringen '!$B$11:$B$89,'3. Input (des)investeringen '!$D$11:$D$89,0)</f>
        <v>10</v>
      </c>
      <c r="N69" s="3"/>
      <c r="O69" s="43">
        <f t="shared" si="0"/>
        <v>0</v>
      </c>
      <c r="P69" s="43">
        <f t="shared" si="1"/>
        <v>0</v>
      </c>
      <c r="Q69" s="3"/>
      <c r="R69" s="43">
        <f t="shared" si="22"/>
        <v>0</v>
      </c>
      <c r="S69" s="43">
        <f t="shared" si="2"/>
        <v>0</v>
      </c>
      <c r="T69" s="3"/>
      <c r="U69" s="43">
        <f t="shared" si="47"/>
        <v>324466.46385633486</v>
      </c>
      <c r="V69" s="38">
        <f t="shared" si="48"/>
        <v>10</v>
      </c>
      <c r="W69" s="3"/>
      <c r="X69" s="43">
        <f t="shared" si="3"/>
        <v>0</v>
      </c>
      <c r="Y69" s="43">
        <f t="shared" si="3"/>
        <v>18981.288135595591</v>
      </c>
      <c r="Z69" s="43">
        <f t="shared" si="3"/>
        <v>35495.008813563756</v>
      </c>
      <c r="AA69" s="43">
        <f t="shared" si="3"/>
        <v>30880.657667800471</v>
      </c>
      <c r="AB69" s="43">
        <f t="shared" si="3"/>
        <v>27555.04838049888</v>
      </c>
      <c r="AC69" s="3"/>
      <c r="AD69" s="43">
        <f t="shared" si="4"/>
        <v>0</v>
      </c>
      <c r="AE69" s="43">
        <f t="shared" si="4"/>
        <v>1622.3323192816745</v>
      </c>
      <c r="AF69" s="43">
        <f t="shared" si="4"/>
        <v>3244.6646385633485</v>
      </c>
      <c r="AG69" s="43">
        <f t="shared" si="4"/>
        <v>3244.6646385633485</v>
      </c>
      <c r="AH69" s="43">
        <f t="shared" si="4"/>
        <v>3244.6646385633485</v>
      </c>
      <c r="AI69" s="3"/>
      <c r="AJ69" s="43">
        <f t="shared" si="49"/>
        <v>0</v>
      </c>
      <c r="AK69" s="43">
        <f t="shared" si="50"/>
        <v>20603.620454877266</v>
      </c>
      <c r="AL69" s="43">
        <f t="shared" si="51"/>
        <v>38739.673452127106</v>
      </c>
      <c r="AM69" s="43">
        <f t="shared" si="52"/>
        <v>34125.322306363822</v>
      </c>
      <c r="AN69" s="43">
        <f t="shared" si="53"/>
        <v>30799.713019062227</v>
      </c>
      <c r="AO69" s="3"/>
      <c r="AP69" s="43">
        <f t="shared" si="30"/>
        <v>0</v>
      </c>
      <c r="AQ69" s="43">
        <f t="shared" si="31"/>
        <v>303862.84340145759</v>
      </c>
      <c r="AR69" s="43">
        <f t="shared" si="6"/>
        <v>265123.16994933051</v>
      </c>
      <c r="AS69" s="43">
        <f t="shared" si="6"/>
        <v>230997.84764296669</v>
      </c>
      <c r="AT69" s="43">
        <f t="shared" si="6"/>
        <v>200198.13462390448</v>
      </c>
      <c r="AU69" s="3"/>
      <c r="AV69" s="47">
        <f t="shared" si="66"/>
        <v>0</v>
      </c>
      <c r="AW69" s="47">
        <f t="shared" si="54"/>
        <v>0</v>
      </c>
      <c r="AX69" s="47">
        <f t="shared" si="67"/>
        <v>0</v>
      </c>
      <c r="AY69" s="47">
        <f t="shared" si="55"/>
        <v>30631.094287125365</v>
      </c>
      <c r="AZ69" s="47">
        <f t="shared" si="56"/>
        <v>48814.353910201666</v>
      </c>
      <c r="BA69" s="43">
        <f t="shared" si="57"/>
        <v>42903.240516796555</v>
      </c>
      <c r="BB69" s="43">
        <f t="shared" si="58"/>
        <v>38407.242134770597</v>
      </c>
      <c r="BC69" s="3"/>
      <c r="BD69" s="43">
        <f t="shared" si="7"/>
        <v>0</v>
      </c>
      <c r="BE69" s="43">
        <f t="shared" si="8"/>
        <v>0</v>
      </c>
      <c r="BF69" s="43">
        <f t="shared" si="9"/>
        <v>0</v>
      </c>
      <c r="BG69" s="43">
        <f t="shared" si="10"/>
        <v>1622.3323192816742</v>
      </c>
      <c r="BH69" s="43">
        <f t="shared" si="11"/>
        <v>3490.220858409823</v>
      </c>
      <c r="BI69" s="43">
        <f t="shared" si="12"/>
        <v>3573.5952542755167</v>
      </c>
      <c r="BJ69" s="43">
        <f t="shared" si="13"/>
        <v>3694.5543064422345</v>
      </c>
      <c r="BK69" s="3"/>
      <c r="BL69" s="43">
        <f t="shared" si="59"/>
        <v>0</v>
      </c>
      <c r="BM69" s="43">
        <f t="shared" si="60"/>
        <v>0</v>
      </c>
      <c r="BN69" s="43">
        <f t="shared" si="61"/>
        <v>0</v>
      </c>
      <c r="BO69" s="43">
        <f t="shared" si="62"/>
        <v>32253.42660640704</v>
      </c>
      <c r="BP69" s="43">
        <f t="shared" si="63"/>
        <v>52304.574768611492</v>
      </c>
      <c r="BQ69" s="43">
        <f t="shared" si="64"/>
        <v>46476.835771072074</v>
      </c>
      <c r="BR69" s="43">
        <f t="shared" si="65"/>
        <v>42101.796441212835</v>
      </c>
      <c r="BS69" s="3"/>
      <c r="BT69" s="10"/>
      <c r="BU69" s="10"/>
      <c r="BV69" s="51">
        <f t="shared" si="15"/>
        <v>0</v>
      </c>
      <c r="BW69" s="51">
        <f t="shared" si="16"/>
        <v>0</v>
      </c>
      <c r="BX69" s="51">
        <f t="shared" si="17"/>
        <v>0</v>
      </c>
      <c r="BY69" s="320">
        <f t="shared" si="18"/>
        <v>138334.34390109612</v>
      </c>
      <c r="BZ69" s="51">
        <f t="shared" si="19"/>
        <v>42101.796441212835</v>
      </c>
      <c r="CA69" s="338">
        <f t="shared" si="20"/>
        <v>0</v>
      </c>
    </row>
    <row r="70" spans="1:79" s="227" customFormat="1" ht="13">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6"/>
        <v>2025</v>
      </c>
      <c r="M70" s="38">
        <f>_xlfn.XLOOKUP(I70,'3. Input (des)investeringen '!$B$11:$B$89,'3. Input (des)investeringen '!$D$11:$D$89,0)</f>
        <v>10</v>
      </c>
      <c r="N70" s="3"/>
      <c r="O70" s="43">
        <f t="shared" si="0"/>
        <v>0</v>
      </c>
      <c r="P70" s="43">
        <f t="shared" si="1"/>
        <v>0</v>
      </c>
      <c r="Q70" s="3"/>
      <c r="R70" s="43">
        <f t="shared" si="22"/>
        <v>0</v>
      </c>
      <c r="S70" s="43">
        <f t="shared" si="2"/>
        <v>0</v>
      </c>
      <c r="T70" s="3"/>
      <c r="U70" s="43">
        <f t="shared" si="47"/>
        <v>358620.80849138752</v>
      </c>
      <c r="V70" s="38">
        <f t="shared" si="48"/>
        <v>10</v>
      </c>
      <c r="W70" s="3"/>
      <c r="X70" s="43">
        <f t="shared" ref="X70:AB79" si="68">IF($M70&gt;0, IF(OR($H70&gt;X$58,$H70+$M70&lt;X$58),0,IF(OR($H70=2020,$H70=2021),VDB($U70,0,$V70,X$58-2022,MIN($V70,X$58-2021),$F$23,FALSE),
VDB($U70,0,$V70,MAX(0,X$58-$H70-0.5),MIN($V70,X$58-$H70+0.5),$F$23,FALSE)))*(1-$F$26), 0)</f>
        <v>0</v>
      </c>
      <c r="Y70" s="43">
        <f t="shared" si="68"/>
        <v>20979.317296746169</v>
      </c>
      <c r="Z70" s="43">
        <f t="shared" si="68"/>
        <v>39231.323344915341</v>
      </c>
      <c r="AA70" s="43">
        <f t="shared" si="68"/>
        <v>34131.251310076346</v>
      </c>
      <c r="AB70" s="43">
        <f t="shared" si="68"/>
        <v>30455.578092068125</v>
      </c>
      <c r="AC70" s="3"/>
      <c r="AD70" s="43">
        <f t="shared" ref="AD70:AH79" si="69">IF($M70&gt;0, IF(OR($H70&gt;AD$58,$H70+$M70&lt;AD$58),0,IF(OR($H70=2020,$H70=2021),VDB($U70,0,$V70,AD$58-2022,MIN($V70,AD$58-2021),1,FALSE),
VDB($U70,0,$V70,MAX(0,AD$58-$H70-0.5),MIN($V70,AD$58-$H70+0.5),1,FALSE)))*$F$26,0)</f>
        <v>0</v>
      </c>
      <c r="AE70" s="43">
        <f t="shared" si="69"/>
        <v>1793.1040424569376</v>
      </c>
      <c r="AF70" s="43">
        <f t="shared" si="69"/>
        <v>3586.2080849138752</v>
      </c>
      <c r="AG70" s="43">
        <f t="shared" si="69"/>
        <v>3586.2080849138752</v>
      </c>
      <c r="AH70" s="43">
        <f t="shared" si="69"/>
        <v>3586.2080849138752</v>
      </c>
      <c r="AI70" s="3"/>
      <c r="AJ70" s="43">
        <f t="shared" si="49"/>
        <v>0</v>
      </c>
      <c r="AK70" s="43">
        <f t="shared" si="50"/>
        <v>22772.421339203105</v>
      </c>
      <c r="AL70" s="43">
        <f t="shared" si="51"/>
        <v>42817.531429829214</v>
      </c>
      <c r="AM70" s="43">
        <f t="shared" si="52"/>
        <v>37717.459394990219</v>
      </c>
      <c r="AN70" s="43">
        <f t="shared" si="53"/>
        <v>34041.786176982001</v>
      </c>
      <c r="AO70" s="3"/>
      <c r="AP70" s="43">
        <f t="shared" si="30"/>
        <v>0</v>
      </c>
      <c r="AQ70" s="43">
        <f t="shared" si="31"/>
        <v>335848.38715218444</v>
      </c>
      <c r="AR70" s="43">
        <f t="shared" si="6"/>
        <v>293030.85572235525</v>
      </c>
      <c r="AS70" s="43">
        <f t="shared" si="6"/>
        <v>255313.39632736502</v>
      </c>
      <c r="AT70" s="43">
        <f t="shared" si="6"/>
        <v>221271.61015038303</v>
      </c>
      <c r="AU70" s="3"/>
      <c r="AV70" s="47">
        <f t="shared" si="66"/>
        <v>0</v>
      </c>
      <c r="AW70" s="47">
        <f t="shared" si="54"/>
        <v>0</v>
      </c>
      <c r="AX70" s="47">
        <f t="shared" si="67"/>
        <v>0</v>
      </c>
      <c r="AY70" s="47">
        <f t="shared" si="55"/>
        <v>33855.418115225191</v>
      </c>
      <c r="AZ70" s="47">
        <f t="shared" si="56"/>
        <v>53952.703947278715</v>
      </c>
      <c r="BA70" s="43">
        <f t="shared" si="57"/>
        <v>47419.368455430085</v>
      </c>
      <c r="BB70" s="43">
        <f t="shared" si="58"/>
        <v>42450.107362696552</v>
      </c>
      <c r="BC70" s="3"/>
      <c r="BD70" s="43">
        <f t="shared" si="7"/>
        <v>0</v>
      </c>
      <c r="BE70" s="43">
        <f t="shared" si="8"/>
        <v>0</v>
      </c>
      <c r="BF70" s="43">
        <f t="shared" si="9"/>
        <v>0</v>
      </c>
      <c r="BG70" s="43">
        <f t="shared" si="10"/>
        <v>1793.1040424569376</v>
      </c>
      <c r="BH70" s="43">
        <f t="shared" si="11"/>
        <v>3857.6123127801575</v>
      </c>
      <c r="BI70" s="43">
        <f t="shared" si="12"/>
        <v>3949.7629557078499</v>
      </c>
      <c r="BJ70" s="43">
        <f t="shared" si="13"/>
        <v>4083.4545322326489</v>
      </c>
      <c r="BK70" s="3"/>
      <c r="BL70" s="43">
        <f t="shared" si="59"/>
        <v>0</v>
      </c>
      <c r="BM70" s="43">
        <f t="shared" si="60"/>
        <v>0</v>
      </c>
      <c r="BN70" s="43">
        <f t="shared" si="61"/>
        <v>0</v>
      </c>
      <c r="BO70" s="43">
        <f t="shared" si="62"/>
        <v>35648.522157682128</v>
      </c>
      <c r="BP70" s="43">
        <f t="shared" si="63"/>
        <v>57810.316260058869</v>
      </c>
      <c r="BQ70" s="43">
        <f t="shared" si="64"/>
        <v>51369.131411137932</v>
      </c>
      <c r="BR70" s="43">
        <f t="shared" si="65"/>
        <v>46533.561894929204</v>
      </c>
      <c r="BS70" s="3"/>
      <c r="BT70" s="10"/>
      <c r="BU70" s="10"/>
      <c r="BV70" s="51">
        <f t="shared" si="15"/>
        <v>0</v>
      </c>
      <c r="BW70" s="51">
        <f t="shared" si="16"/>
        <v>0</v>
      </c>
      <c r="BX70" s="51">
        <f t="shared" si="17"/>
        <v>0</v>
      </c>
      <c r="BY70" s="320">
        <f t="shared" si="18"/>
        <v>152895.84526646961</v>
      </c>
      <c r="BZ70" s="51">
        <f t="shared" si="19"/>
        <v>46533.561894929204</v>
      </c>
      <c r="CA70" s="338">
        <f t="shared" si="20"/>
        <v>0</v>
      </c>
    </row>
    <row r="71" spans="1:79" s="227" customFormat="1" ht="13">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6"/>
        <v>2025</v>
      </c>
      <c r="M71" s="38">
        <f>_xlfn.XLOOKUP(I71,'3. Input (des)investeringen '!$B$11:$B$89,'3. Input (des)investeringen '!$D$11:$D$89,0)</f>
        <v>30</v>
      </c>
      <c r="N71" s="3"/>
      <c r="O71" s="43">
        <f t="shared" si="0"/>
        <v>0</v>
      </c>
      <c r="P71" s="43">
        <f t="shared" si="1"/>
        <v>0</v>
      </c>
      <c r="Q71" s="3"/>
      <c r="R71" s="43">
        <f t="shared" si="22"/>
        <v>0</v>
      </c>
      <c r="S71" s="43">
        <f t="shared" si="2"/>
        <v>0</v>
      </c>
      <c r="T71" s="3"/>
      <c r="U71" s="43">
        <f t="shared" si="47"/>
        <v>77940287.016589478</v>
      </c>
      <c r="V71" s="38">
        <f t="shared" si="48"/>
        <v>30</v>
      </c>
      <c r="W71" s="3"/>
      <c r="X71" s="43">
        <f t="shared" si="68"/>
        <v>0</v>
      </c>
      <c r="Y71" s="43">
        <f t="shared" si="68"/>
        <v>1519835.5968234949</v>
      </c>
      <c r="Z71" s="43">
        <f t="shared" si="68"/>
        <v>2973811.6511179721</v>
      </c>
      <c r="AA71" s="43">
        <f t="shared" si="68"/>
        <v>2844946.4795695264</v>
      </c>
      <c r="AB71" s="43">
        <f t="shared" si="68"/>
        <v>2721665.4654548471</v>
      </c>
      <c r="AC71" s="3"/>
      <c r="AD71" s="43">
        <f t="shared" si="69"/>
        <v>0</v>
      </c>
      <c r="AE71" s="43">
        <f t="shared" si="69"/>
        <v>129900.47836098248</v>
      </c>
      <c r="AF71" s="43">
        <f t="shared" si="69"/>
        <v>259800.95672196496</v>
      </c>
      <c r="AG71" s="43">
        <f t="shared" si="69"/>
        <v>259800.95672196496</v>
      </c>
      <c r="AH71" s="43">
        <f t="shared" si="69"/>
        <v>259800.95672196496</v>
      </c>
      <c r="AI71" s="3"/>
      <c r="AJ71" s="43">
        <f t="shared" si="49"/>
        <v>0</v>
      </c>
      <c r="AK71" s="43">
        <f t="shared" si="50"/>
        <v>1649736.0751844773</v>
      </c>
      <c r="AL71" s="43">
        <f t="shared" si="51"/>
        <v>3233612.6078399369</v>
      </c>
      <c r="AM71" s="43">
        <f t="shared" si="52"/>
        <v>3104747.4362914911</v>
      </c>
      <c r="AN71" s="43">
        <f t="shared" si="53"/>
        <v>2981466.4221768118</v>
      </c>
      <c r="AO71" s="3"/>
      <c r="AP71" s="43">
        <f t="shared" si="30"/>
        <v>0</v>
      </c>
      <c r="AQ71" s="43">
        <f t="shared" si="31"/>
        <v>76290550.941404998</v>
      </c>
      <c r="AR71" s="43">
        <f t="shared" si="6"/>
        <v>73056938.333565056</v>
      </c>
      <c r="AS71" s="43">
        <f t="shared" si="6"/>
        <v>69952190.89727357</v>
      </c>
      <c r="AT71" s="43">
        <f t="shared" si="6"/>
        <v>66970724.475096762</v>
      </c>
      <c r="AU71" s="3"/>
      <c r="AV71" s="47">
        <f t="shared" si="66"/>
        <v>0</v>
      </c>
      <c r="AW71" s="47">
        <f t="shared" si="54"/>
        <v>0</v>
      </c>
      <c r="AX71" s="47">
        <f t="shared" si="67"/>
        <v>0</v>
      </c>
      <c r="AY71" s="47">
        <f t="shared" si="55"/>
        <v>4167324.2562508425</v>
      </c>
      <c r="AZ71" s="47">
        <f t="shared" si="56"/>
        <v>6009776.2645154092</v>
      </c>
      <c r="BA71" s="43">
        <f t="shared" si="57"/>
        <v>5762930.6903878869</v>
      </c>
      <c r="BB71" s="43">
        <f t="shared" si="58"/>
        <v>5526353.9522304889</v>
      </c>
      <c r="BC71" s="3"/>
      <c r="BD71" s="43">
        <f t="shared" si="7"/>
        <v>0</v>
      </c>
      <c r="BE71" s="43">
        <f t="shared" si="8"/>
        <v>0</v>
      </c>
      <c r="BF71" s="43">
        <f t="shared" si="9"/>
        <v>0</v>
      </c>
      <c r="BG71" s="43">
        <f t="shared" si="10"/>
        <v>389701.43508294737</v>
      </c>
      <c r="BH71" s="43">
        <f t="shared" si="11"/>
        <v>838388.07938004972</v>
      </c>
      <c r="BI71" s="43">
        <f t="shared" si="12"/>
        <v>858415.4938202803</v>
      </c>
      <c r="BJ71" s="43">
        <f t="shared" si="13"/>
        <v>887471.14145510911</v>
      </c>
      <c r="BK71" s="3"/>
      <c r="BL71" s="43">
        <f t="shared" si="59"/>
        <v>0</v>
      </c>
      <c r="BM71" s="43">
        <f t="shared" si="60"/>
        <v>0</v>
      </c>
      <c r="BN71" s="43">
        <f t="shared" si="61"/>
        <v>0</v>
      </c>
      <c r="BO71" s="43">
        <f t="shared" si="62"/>
        <v>4557025.6913337894</v>
      </c>
      <c r="BP71" s="43">
        <f t="shared" si="63"/>
        <v>6848164.3438954586</v>
      </c>
      <c r="BQ71" s="43">
        <f t="shared" si="64"/>
        <v>6621346.1842081677</v>
      </c>
      <c r="BR71" s="43">
        <f t="shared" si="65"/>
        <v>6413825.0936855981</v>
      </c>
      <c r="BS71" s="3"/>
      <c r="BT71" s="10"/>
      <c r="BU71" s="10"/>
      <c r="BV71" s="51">
        <f t="shared" si="15"/>
        <v>0</v>
      </c>
      <c r="BW71" s="51">
        <f t="shared" si="16"/>
        <v>0</v>
      </c>
      <c r="BX71" s="51">
        <f t="shared" si="17"/>
        <v>0</v>
      </c>
      <c r="BY71" s="320">
        <f t="shared" si="18"/>
        <v>19019940.221492551</v>
      </c>
      <c r="BZ71" s="51">
        <f t="shared" si="19"/>
        <v>6413825.0936855981</v>
      </c>
      <c r="CA71" s="338">
        <f t="shared" si="20"/>
        <v>0</v>
      </c>
    </row>
    <row r="72" spans="1:79" s="227" customFormat="1" ht="13">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6"/>
        <v>2025</v>
      </c>
      <c r="M72" s="38">
        <f>_xlfn.XLOOKUP(I72,'3. Input (des)investeringen '!$B$11:$B$89,'3. Input (des)investeringen '!$D$11:$D$89,0)</f>
        <v>55</v>
      </c>
      <c r="N72" s="3"/>
      <c r="O72" s="43">
        <f t="shared" si="0"/>
        <v>0</v>
      </c>
      <c r="P72" s="43">
        <f t="shared" si="1"/>
        <v>0</v>
      </c>
      <c r="Q72" s="3"/>
      <c r="R72" s="43">
        <f t="shared" si="22"/>
        <v>0</v>
      </c>
      <c r="S72" s="43">
        <f t="shared" si="2"/>
        <v>0</v>
      </c>
      <c r="T72" s="3"/>
      <c r="U72" s="43">
        <f t="shared" si="47"/>
        <v>21107403.53252615</v>
      </c>
      <c r="V72" s="38">
        <f t="shared" si="48"/>
        <v>55</v>
      </c>
      <c r="W72" s="3"/>
      <c r="X72" s="43">
        <f t="shared" si="68"/>
        <v>0</v>
      </c>
      <c r="Y72" s="43">
        <f t="shared" si="68"/>
        <v>224506.01939141451</v>
      </c>
      <c r="Z72" s="43">
        <f t="shared" si="68"/>
        <v>443705.53286994109</v>
      </c>
      <c r="AA72" s="43">
        <f t="shared" si="68"/>
        <v>433217.94754756062</v>
      </c>
      <c r="AB72" s="43">
        <f t="shared" si="68"/>
        <v>422978.25060552737</v>
      </c>
      <c r="AC72" s="3"/>
      <c r="AD72" s="43">
        <f t="shared" si="69"/>
        <v>0</v>
      </c>
      <c r="AE72" s="43">
        <f t="shared" si="69"/>
        <v>19188.548665932864</v>
      </c>
      <c r="AF72" s="43">
        <f t="shared" si="69"/>
        <v>38377.097331865727</v>
      </c>
      <c r="AG72" s="43">
        <f t="shared" si="69"/>
        <v>38377.097331865727</v>
      </c>
      <c r="AH72" s="43">
        <f t="shared" si="69"/>
        <v>38377.097331865727</v>
      </c>
      <c r="AI72" s="3"/>
      <c r="AJ72" s="43">
        <f t="shared" si="49"/>
        <v>0</v>
      </c>
      <c r="AK72" s="43">
        <f t="shared" si="50"/>
        <v>243694.56805734738</v>
      </c>
      <c r="AL72" s="43">
        <f t="shared" si="51"/>
        <v>482082.63020180684</v>
      </c>
      <c r="AM72" s="43">
        <f t="shared" si="52"/>
        <v>471595.04487942636</v>
      </c>
      <c r="AN72" s="43">
        <f t="shared" si="53"/>
        <v>461355.34793739312</v>
      </c>
      <c r="AO72" s="3"/>
      <c r="AP72" s="43">
        <f t="shared" si="30"/>
        <v>0</v>
      </c>
      <c r="AQ72" s="43">
        <f t="shared" si="31"/>
        <v>20863708.964468803</v>
      </c>
      <c r="AR72" s="43">
        <f t="shared" si="6"/>
        <v>20381626.334266998</v>
      </c>
      <c r="AS72" s="43">
        <f t="shared" si="6"/>
        <v>19910031.289387573</v>
      </c>
      <c r="AT72" s="43">
        <f t="shared" si="6"/>
        <v>19448675.941450179</v>
      </c>
      <c r="AU72" s="3"/>
      <c r="AV72" s="47">
        <f t="shared" si="66"/>
        <v>0</v>
      </c>
      <c r="AW72" s="47">
        <f t="shared" si="54"/>
        <v>0</v>
      </c>
      <c r="AX72" s="47">
        <f t="shared" si="67"/>
        <v>0</v>
      </c>
      <c r="AY72" s="47">
        <f t="shared" si="55"/>
        <v>932196.9638848179</v>
      </c>
      <c r="AZ72" s="47">
        <f t="shared" si="56"/>
        <v>1256584.4309039528</v>
      </c>
      <c r="BA72" s="43">
        <f t="shared" si="57"/>
        <v>1228176.2338761541</v>
      </c>
      <c r="BB72" s="43">
        <f t="shared" si="58"/>
        <v>1200405.0337124998</v>
      </c>
      <c r="BC72" s="3"/>
      <c r="BD72" s="43">
        <f t="shared" si="7"/>
        <v>0</v>
      </c>
      <c r="BE72" s="43">
        <f t="shared" si="8"/>
        <v>0</v>
      </c>
      <c r="BF72" s="43">
        <f t="shared" si="9"/>
        <v>0</v>
      </c>
      <c r="BG72" s="43">
        <f t="shared" si="10"/>
        <v>105537.01766263075</v>
      </c>
      <c r="BH72" s="43">
        <f t="shared" si="11"/>
        <v>227048.11831867733</v>
      </c>
      <c r="BI72" s="43">
        <f t="shared" si="12"/>
        <v>232471.84376907389</v>
      </c>
      <c r="BJ72" s="43">
        <f t="shared" si="13"/>
        <v>240340.55073696948</v>
      </c>
      <c r="BK72" s="3"/>
      <c r="BL72" s="43">
        <f t="shared" si="59"/>
        <v>0</v>
      </c>
      <c r="BM72" s="43">
        <f t="shared" si="60"/>
        <v>0</v>
      </c>
      <c r="BN72" s="43">
        <f t="shared" si="61"/>
        <v>0</v>
      </c>
      <c r="BO72" s="43">
        <f t="shared" si="62"/>
        <v>1037733.9815474487</v>
      </c>
      <c r="BP72" s="43">
        <f t="shared" si="63"/>
        <v>1483632.5492226302</v>
      </c>
      <c r="BQ72" s="43">
        <f t="shared" si="64"/>
        <v>1460648.077645228</v>
      </c>
      <c r="BR72" s="43">
        <f t="shared" si="65"/>
        <v>1440745.5844494693</v>
      </c>
      <c r="BS72" s="3"/>
      <c r="BT72" s="10"/>
      <c r="BU72" s="10"/>
      <c r="BV72" s="51">
        <f t="shared" si="15"/>
        <v>0</v>
      </c>
      <c r="BW72" s="51">
        <f t="shared" si="16"/>
        <v>0</v>
      </c>
      <c r="BX72" s="51">
        <f t="shared" si="17"/>
        <v>0</v>
      </c>
      <c r="BY72" s="320">
        <f t="shared" si="18"/>
        <v>4202925.2799794432</v>
      </c>
      <c r="BZ72" s="51">
        <f t="shared" si="19"/>
        <v>1440745.5844494693</v>
      </c>
      <c r="CA72" s="338">
        <f t="shared" si="20"/>
        <v>0</v>
      </c>
    </row>
    <row r="73" spans="1:79" s="227" customFormat="1" ht="13">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6"/>
        <v>2025</v>
      </c>
      <c r="M73" s="38">
        <f>_xlfn.XLOOKUP(I73,'3. Input (des)investeringen '!$B$11:$B$89,'3. Input (des)investeringen '!$D$11:$D$89,0)</f>
        <v>30</v>
      </c>
      <c r="N73" s="3"/>
      <c r="O73" s="43">
        <f t="shared" si="0"/>
        <v>0</v>
      </c>
      <c r="P73" s="43">
        <f t="shared" si="1"/>
        <v>0</v>
      </c>
      <c r="Q73" s="3"/>
      <c r="R73" s="43">
        <f t="shared" si="22"/>
        <v>0</v>
      </c>
      <c r="S73" s="43">
        <f t="shared" si="2"/>
        <v>0</v>
      </c>
      <c r="T73" s="3"/>
      <c r="U73" s="43">
        <f t="shared" si="47"/>
        <v>18334898.10779709</v>
      </c>
      <c r="V73" s="38">
        <f t="shared" si="48"/>
        <v>30</v>
      </c>
      <c r="W73" s="3"/>
      <c r="X73" s="43">
        <f t="shared" si="68"/>
        <v>0</v>
      </c>
      <c r="Y73" s="43">
        <f t="shared" si="68"/>
        <v>357530.5131020433</v>
      </c>
      <c r="Z73" s="43">
        <f t="shared" si="68"/>
        <v>699568.03730299813</v>
      </c>
      <c r="AA73" s="43">
        <f t="shared" si="68"/>
        <v>669253.42235320143</v>
      </c>
      <c r="AB73" s="43">
        <f t="shared" si="68"/>
        <v>640252.44071789621</v>
      </c>
      <c r="AC73" s="3"/>
      <c r="AD73" s="43">
        <f t="shared" si="69"/>
        <v>0</v>
      </c>
      <c r="AE73" s="43">
        <f t="shared" si="69"/>
        <v>30558.163512995154</v>
      </c>
      <c r="AF73" s="43">
        <f t="shared" si="69"/>
        <v>61116.327025990307</v>
      </c>
      <c r="AG73" s="43">
        <f t="shared" si="69"/>
        <v>61116.327025990307</v>
      </c>
      <c r="AH73" s="43">
        <f t="shared" si="69"/>
        <v>61116.327025990307</v>
      </c>
      <c r="AI73" s="3"/>
      <c r="AJ73" s="43">
        <f t="shared" si="49"/>
        <v>0</v>
      </c>
      <c r="AK73" s="43">
        <f t="shared" si="50"/>
        <v>388088.67661503848</v>
      </c>
      <c r="AL73" s="43">
        <f t="shared" si="51"/>
        <v>760684.36432898848</v>
      </c>
      <c r="AM73" s="43">
        <f t="shared" si="52"/>
        <v>730369.74937919178</v>
      </c>
      <c r="AN73" s="43">
        <f t="shared" si="53"/>
        <v>701368.76774388656</v>
      </c>
      <c r="AO73" s="3"/>
      <c r="AP73" s="43">
        <f t="shared" si="30"/>
        <v>0</v>
      </c>
      <c r="AQ73" s="43">
        <f t="shared" si="31"/>
        <v>17946809.431182053</v>
      </c>
      <c r="AR73" s="43">
        <f t="shared" si="6"/>
        <v>17186125.066853065</v>
      </c>
      <c r="AS73" s="43">
        <f t="shared" si="6"/>
        <v>16455755.317473873</v>
      </c>
      <c r="AT73" s="43">
        <f t="shared" si="6"/>
        <v>15754386.549729986</v>
      </c>
      <c r="AU73" s="3"/>
      <c r="AV73" s="47">
        <f t="shared" si="66"/>
        <v>0</v>
      </c>
      <c r="AW73" s="47">
        <f t="shared" si="54"/>
        <v>0</v>
      </c>
      <c r="AX73" s="47">
        <f t="shared" si="67"/>
        <v>0</v>
      </c>
      <c r="AY73" s="47">
        <f t="shared" si="55"/>
        <v>980333.38784404634</v>
      </c>
      <c r="AZ73" s="47">
        <f t="shared" si="56"/>
        <v>1413757.1168694049</v>
      </c>
      <c r="BA73" s="43">
        <f t="shared" si="57"/>
        <v>1355688.4514431991</v>
      </c>
      <c r="BB73" s="43">
        <f t="shared" si="58"/>
        <v>1300035.456633626</v>
      </c>
      <c r="BC73" s="3"/>
      <c r="BD73" s="43">
        <f t="shared" si="7"/>
        <v>0</v>
      </c>
      <c r="BE73" s="43">
        <f t="shared" si="8"/>
        <v>0</v>
      </c>
      <c r="BF73" s="43">
        <f t="shared" si="9"/>
        <v>0</v>
      </c>
      <c r="BG73" s="43">
        <f t="shared" si="10"/>
        <v>91674.490538985454</v>
      </c>
      <c r="BH73" s="43">
        <f t="shared" si="11"/>
        <v>197224.83196595174</v>
      </c>
      <c r="BI73" s="43">
        <f t="shared" si="12"/>
        <v>201936.13875195442</v>
      </c>
      <c r="BJ73" s="43">
        <f t="shared" si="13"/>
        <v>208771.27317643055</v>
      </c>
      <c r="BK73" s="3"/>
      <c r="BL73" s="43">
        <f t="shared" si="59"/>
        <v>0</v>
      </c>
      <c r="BM73" s="43">
        <f t="shared" si="60"/>
        <v>0</v>
      </c>
      <c r="BN73" s="43">
        <f t="shared" si="61"/>
        <v>0</v>
      </c>
      <c r="BO73" s="43">
        <f t="shared" si="62"/>
        <v>1072007.8783830318</v>
      </c>
      <c r="BP73" s="43">
        <f t="shared" si="63"/>
        <v>1610981.9488353566</v>
      </c>
      <c r="BQ73" s="43">
        <f t="shared" si="64"/>
        <v>1557624.5901951534</v>
      </c>
      <c r="BR73" s="43">
        <f t="shared" si="65"/>
        <v>1508806.7298100565</v>
      </c>
      <c r="BS73" s="3"/>
      <c r="BT73" s="10"/>
      <c r="BU73" s="10"/>
      <c r="BV73" s="51">
        <f t="shared" si="15"/>
        <v>0</v>
      </c>
      <c r="BW73" s="51">
        <f t="shared" si="16"/>
        <v>0</v>
      </c>
      <c r="BX73" s="51">
        <f t="shared" si="17"/>
        <v>0</v>
      </c>
      <c r="BY73" s="320">
        <f t="shared" si="18"/>
        <v>4474305.6425136235</v>
      </c>
      <c r="BZ73" s="51">
        <f t="shared" si="19"/>
        <v>1508806.7298100565</v>
      </c>
      <c r="CA73" s="338">
        <f t="shared" si="20"/>
        <v>0</v>
      </c>
    </row>
    <row r="74" spans="1:79" s="227" customFormat="1" ht="13">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6"/>
        <v>2025</v>
      </c>
      <c r="M74" s="38">
        <f>_xlfn.XLOOKUP(I74,'3. Input (des)investeringen '!$B$11:$B$89,'3. Input (des)investeringen '!$D$11:$D$89,0)</f>
        <v>30</v>
      </c>
      <c r="N74" s="3"/>
      <c r="O74" s="43">
        <f t="shared" si="0"/>
        <v>0</v>
      </c>
      <c r="P74" s="43">
        <f t="shared" si="1"/>
        <v>0</v>
      </c>
      <c r="Q74" s="3"/>
      <c r="R74" s="43">
        <f t="shared" si="22"/>
        <v>0</v>
      </c>
      <c r="S74" s="43">
        <f t="shared" si="2"/>
        <v>0</v>
      </c>
      <c r="T74" s="3"/>
      <c r="U74" s="43">
        <f t="shared" si="47"/>
        <v>3620364.0601766575</v>
      </c>
      <c r="V74" s="38">
        <f t="shared" si="48"/>
        <v>30</v>
      </c>
      <c r="W74" s="3"/>
      <c r="X74" s="43">
        <f t="shared" si="68"/>
        <v>0</v>
      </c>
      <c r="Y74" s="43">
        <f t="shared" si="68"/>
        <v>70597.099173444818</v>
      </c>
      <c r="Z74" s="43">
        <f t="shared" si="68"/>
        <v>138134.99071604037</v>
      </c>
      <c r="AA74" s="43">
        <f t="shared" si="68"/>
        <v>132149.14111834532</v>
      </c>
      <c r="AB74" s="43">
        <f t="shared" si="68"/>
        <v>126422.67833655035</v>
      </c>
      <c r="AC74" s="3"/>
      <c r="AD74" s="43">
        <f t="shared" si="69"/>
        <v>0</v>
      </c>
      <c r="AE74" s="43">
        <f t="shared" si="69"/>
        <v>6033.9401002944296</v>
      </c>
      <c r="AF74" s="43">
        <f t="shared" si="69"/>
        <v>12067.880200588857</v>
      </c>
      <c r="AG74" s="43">
        <f t="shared" si="69"/>
        <v>12067.880200588857</v>
      </c>
      <c r="AH74" s="43">
        <f t="shared" si="69"/>
        <v>12067.880200588857</v>
      </c>
      <c r="AI74" s="3"/>
      <c r="AJ74" s="43">
        <f t="shared" si="49"/>
        <v>0</v>
      </c>
      <c r="AK74" s="43">
        <f t="shared" si="50"/>
        <v>76631.039273739254</v>
      </c>
      <c r="AL74" s="43">
        <f t="shared" si="51"/>
        <v>150202.87091662921</v>
      </c>
      <c r="AM74" s="43">
        <f t="shared" si="52"/>
        <v>144217.02131893416</v>
      </c>
      <c r="AN74" s="43">
        <f t="shared" si="53"/>
        <v>138490.55853713921</v>
      </c>
      <c r="AO74" s="3"/>
      <c r="AP74" s="43">
        <f t="shared" si="30"/>
        <v>0</v>
      </c>
      <c r="AQ74" s="43">
        <f t="shared" si="31"/>
        <v>3543733.0209029182</v>
      </c>
      <c r="AR74" s="43">
        <f t="shared" si="6"/>
        <v>3393530.149986289</v>
      </c>
      <c r="AS74" s="43">
        <f t="shared" si="6"/>
        <v>3249313.1286673546</v>
      </c>
      <c r="AT74" s="43">
        <f t="shared" si="6"/>
        <v>3110822.5701302155</v>
      </c>
      <c r="AU74" s="3"/>
      <c r="AV74" s="47">
        <f t="shared" si="66"/>
        <v>0</v>
      </c>
      <c r="AW74" s="47">
        <f t="shared" si="54"/>
        <v>0</v>
      </c>
      <c r="AX74" s="47">
        <f t="shared" si="67"/>
        <v>0</v>
      </c>
      <c r="AY74" s="47">
        <f t="shared" si="55"/>
        <v>193574.22896353557</v>
      </c>
      <c r="AZ74" s="47">
        <f t="shared" si="56"/>
        <v>279157.01661610819</v>
      </c>
      <c r="BA74" s="43">
        <f t="shared" si="57"/>
        <v>267690.9202082936</v>
      </c>
      <c r="BB74" s="43">
        <f t="shared" si="58"/>
        <v>256701.81620208739</v>
      </c>
      <c r="BC74" s="3"/>
      <c r="BD74" s="43">
        <f t="shared" si="7"/>
        <v>0</v>
      </c>
      <c r="BE74" s="43">
        <f t="shared" si="8"/>
        <v>0</v>
      </c>
      <c r="BF74" s="43">
        <f t="shared" si="9"/>
        <v>0</v>
      </c>
      <c r="BG74" s="43">
        <f t="shared" si="10"/>
        <v>18101.82030088329</v>
      </c>
      <c r="BH74" s="43">
        <f t="shared" si="11"/>
        <v>38943.532122508281</v>
      </c>
      <c r="BI74" s="43">
        <f t="shared" si="12"/>
        <v>39873.815217850752</v>
      </c>
      <c r="BJ74" s="43">
        <f t="shared" si="13"/>
        <v>41223.46411534457</v>
      </c>
      <c r="BK74" s="3"/>
      <c r="BL74" s="43">
        <f t="shared" si="59"/>
        <v>0</v>
      </c>
      <c r="BM74" s="43">
        <f t="shared" si="60"/>
        <v>0</v>
      </c>
      <c r="BN74" s="43">
        <f t="shared" si="61"/>
        <v>0</v>
      </c>
      <c r="BO74" s="43">
        <f t="shared" si="62"/>
        <v>211676.04926441886</v>
      </c>
      <c r="BP74" s="43">
        <f t="shared" si="63"/>
        <v>318100.54873861646</v>
      </c>
      <c r="BQ74" s="43">
        <f t="shared" si="64"/>
        <v>307564.73542614433</v>
      </c>
      <c r="BR74" s="43">
        <f t="shared" si="65"/>
        <v>297925.28031743196</v>
      </c>
      <c r="BS74" s="3"/>
      <c r="BT74" s="10"/>
      <c r="BU74" s="10"/>
      <c r="BV74" s="51">
        <f t="shared" si="15"/>
        <v>0</v>
      </c>
      <c r="BW74" s="51">
        <f t="shared" si="16"/>
        <v>0</v>
      </c>
      <c r="BX74" s="51">
        <f t="shared" si="17"/>
        <v>0</v>
      </c>
      <c r="BY74" s="320">
        <f t="shared" si="18"/>
        <v>883485.43019790936</v>
      </c>
      <c r="BZ74" s="51">
        <f t="shared" si="19"/>
        <v>297925.28031743196</v>
      </c>
      <c r="CA74" s="338">
        <f t="shared" si="20"/>
        <v>0</v>
      </c>
    </row>
    <row r="75" spans="1:79" s="227" customFormat="1" ht="13">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6"/>
        <v>2025</v>
      </c>
      <c r="M75" s="38">
        <f>_xlfn.XLOOKUP(I75,'3. Input (des)investeringen '!$B$11:$B$89,'3. Input (des)investeringen '!$D$11:$D$89,0)</f>
        <v>55</v>
      </c>
      <c r="N75" s="3"/>
      <c r="O75" s="43">
        <f t="shared" si="0"/>
        <v>0</v>
      </c>
      <c r="P75" s="43">
        <f t="shared" si="1"/>
        <v>0</v>
      </c>
      <c r="Q75" s="3"/>
      <c r="R75" s="43">
        <f t="shared" si="22"/>
        <v>0</v>
      </c>
      <c r="S75" s="43">
        <f t="shared" si="2"/>
        <v>0</v>
      </c>
      <c r="T75" s="3"/>
      <c r="U75" s="43">
        <f t="shared" si="47"/>
        <v>480761.86491484893</v>
      </c>
      <c r="V75" s="38">
        <f t="shared" si="48"/>
        <v>55</v>
      </c>
      <c r="W75" s="3"/>
      <c r="X75" s="43">
        <f t="shared" si="68"/>
        <v>0</v>
      </c>
      <c r="Y75" s="43">
        <f t="shared" si="68"/>
        <v>5113.5580177306656</v>
      </c>
      <c r="Z75" s="43">
        <f t="shared" si="68"/>
        <v>10106.250118678607</v>
      </c>
      <c r="AA75" s="43">
        <f t="shared" si="68"/>
        <v>9867.3751158734758</v>
      </c>
      <c r="AB75" s="43">
        <f t="shared" si="68"/>
        <v>9634.1462494982861</v>
      </c>
      <c r="AC75" s="3"/>
      <c r="AD75" s="43">
        <f t="shared" si="69"/>
        <v>0</v>
      </c>
      <c r="AE75" s="43">
        <f t="shared" si="69"/>
        <v>437.0562408316809</v>
      </c>
      <c r="AF75" s="43">
        <f t="shared" si="69"/>
        <v>874.11248166336179</v>
      </c>
      <c r="AG75" s="43">
        <f t="shared" si="69"/>
        <v>874.11248166336179</v>
      </c>
      <c r="AH75" s="43">
        <f t="shared" si="69"/>
        <v>874.11248166336179</v>
      </c>
      <c r="AI75" s="3"/>
      <c r="AJ75" s="43">
        <f t="shared" si="49"/>
        <v>0</v>
      </c>
      <c r="AK75" s="43">
        <f t="shared" si="50"/>
        <v>5550.6142585623465</v>
      </c>
      <c r="AL75" s="43">
        <f t="shared" si="51"/>
        <v>10980.362600341969</v>
      </c>
      <c r="AM75" s="43">
        <f t="shared" si="52"/>
        <v>10741.487597536838</v>
      </c>
      <c r="AN75" s="43">
        <f t="shared" si="53"/>
        <v>10508.258731161648</v>
      </c>
      <c r="AO75" s="3"/>
      <c r="AP75" s="43">
        <f t="shared" si="30"/>
        <v>0</v>
      </c>
      <c r="AQ75" s="43">
        <f t="shared" si="31"/>
        <v>475211.2506562866</v>
      </c>
      <c r="AR75" s="43">
        <f t="shared" si="6"/>
        <v>464230.88805594464</v>
      </c>
      <c r="AS75" s="43">
        <f t="shared" si="6"/>
        <v>453489.40045840782</v>
      </c>
      <c r="AT75" s="43">
        <f t="shared" si="6"/>
        <v>442981.14172724617</v>
      </c>
      <c r="AU75" s="3"/>
      <c r="AV75" s="47">
        <f t="shared" si="66"/>
        <v>0</v>
      </c>
      <c r="AW75" s="47">
        <f t="shared" si="54"/>
        <v>0</v>
      </c>
      <c r="AX75" s="47">
        <f t="shared" si="67"/>
        <v>0</v>
      </c>
      <c r="AY75" s="47">
        <f t="shared" si="55"/>
        <v>21232.585530219807</v>
      </c>
      <c r="AZ75" s="47">
        <f t="shared" si="56"/>
        <v>28621.136346467865</v>
      </c>
      <c r="BA75" s="43">
        <f t="shared" si="57"/>
        <v>27974.084814956335</v>
      </c>
      <c r="BB75" s="43">
        <f t="shared" si="58"/>
        <v>27341.542116797002</v>
      </c>
      <c r="BC75" s="3"/>
      <c r="BD75" s="43">
        <f t="shared" si="7"/>
        <v>0</v>
      </c>
      <c r="BE75" s="43">
        <f t="shared" si="8"/>
        <v>0</v>
      </c>
      <c r="BF75" s="43">
        <f t="shared" si="9"/>
        <v>0</v>
      </c>
      <c r="BG75" s="43">
        <f t="shared" si="10"/>
        <v>2403.8093245742448</v>
      </c>
      <c r="BH75" s="43">
        <f t="shared" si="11"/>
        <v>5171.459228516047</v>
      </c>
      <c r="BI75" s="43">
        <f t="shared" si="12"/>
        <v>5294.9950465668389</v>
      </c>
      <c r="BJ75" s="43">
        <f t="shared" si="13"/>
        <v>5474.2200389030331</v>
      </c>
      <c r="BK75" s="3"/>
      <c r="BL75" s="43">
        <f t="shared" si="59"/>
        <v>0</v>
      </c>
      <c r="BM75" s="43">
        <f t="shared" si="60"/>
        <v>0</v>
      </c>
      <c r="BN75" s="43">
        <f t="shared" si="61"/>
        <v>0</v>
      </c>
      <c r="BO75" s="43">
        <f t="shared" si="62"/>
        <v>23636.394854794053</v>
      </c>
      <c r="BP75" s="43">
        <f t="shared" si="63"/>
        <v>33792.595574983912</v>
      </c>
      <c r="BQ75" s="43">
        <f t="shared" si="64"/>
        <v>33269.079861523176</v>
      </c>
      <c r="BR75" s="43">
        <f t="shared" si="65"/>
        <v>32815.762155700038</v>
      </c>
      <c r="BS75" s="3"/>
      <c r="BT75" s="10"/>
      <c r="BU75" s="10"/>
      <c r="BV75" s="51">
        <f t="shared" si="15"/>
        <v>0</v>
      </c>
      <c r="BW75" s="51">
        <f t="shared" si="16"/>
        <v>0</v>
      </c>
      <c r="BX75" s="51">
        <f t="shared" si="17"/>
        <v>0</v>
      </c>
      <c r="BY75" s="51">
        <f t="shared" si="18"/>
        <v>95729.737321170789</v>
      </c>
      <c r="BZ75" s="51">
        <f t="shared" si="19"/>
        <v>32815.762155700038</v>
      </c>
      <c r="CA75" s="338">
        <f t="shared" si="20"/>
        <v>0</v>
      </c>
    </row>
    <row r="76" spans="1:79" s="227" customFormat="1" ht="13">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6"/>
        <v>2025</v>
      </c>
      <c r="M76" s="38">
        <f>_xlfn.XLOOKUP(I76,'3. Input (des)investeringen '!$B$11:$B$89,'3. Input (des)investeringen '!$D$11:$D$89,0)</f>
        <v>30</v>
      </c>
      <c r="N76" s="3"/>
      <c r="O76" s="43">
        <f t="shared" si="0"/>
        <v>0</v>
      </c>
      <c r="P76" s="43">
        <f t="shared" si="1"/>
        <v>0</v>
      </c>
      <c r="Q76" s="3"/>
      <c r="R76" s="43">
        <f t="shared" si="22"/>
        <v>0</v>
      </c>
      <c r="S76" s="43">
        <f t="shared" si="2"/>
        <v>0</v>
      </c>
      <c r="T76" s="3"/>
      <c r="U76" s="43">
        <f t="shared" si="47"/>
        <v>1837695.4875736441</v>
      </c>
      <c r="V76" s="38">
        <f t="shared" si="48"/>
        <v>30</v>
      </c>
      <c r="W76" s="3"/>
      <c r="X76" s="43">
        <f t="shared" si="68"/>
        <v>0</v>
      </c>
      <c r="Y76" s="43">
        <f t="shared" si="68"/>
        <v>35835.062007686065</v>
      </c>
      <c r="Z76" s="43">
        <f t="shared" si="68"/>
        <v>70117.271328372386</v>
      </c>
      <c r="AA76" s="43">
        <f t="shared" si="68"/>
        <v>67078.856237476255</v>
      </c>
      <c r="AB76" s="43">
        <f t="shared" si="68"/>
        <v>64172.105800518955</v>
      </c>
      <c r="AC76" s="3"/>
      <c r="AD76" s="43">
        <f t="shared" si="69"/>
        <v>0</v>
      </c>
      <c r="AE76" s="43">
        <f t="shared" si="69"/>
        <v>3062.8258126227406</v>
      </c>
      <c r="AF76" s="43">
        <f t="shared" si="69"/>
        <v>6125.6516252454812</v>
      </c>
      <c r="AG76" s="43">
        <f t="shared" si="69"/>
        <v>6125.6516252454812</v>
      </c>
      <c r="AH76" s="43">
        <f t="shared" si="69"/>
        <v>6125.6516252454812</v>
      </c>
      <c r="AI76" s="3"/>
      <c r="AJ76" s="43">
        <f t="shared" si="49"/>
        <v>0</v>
      </c>
      <c r="AK76" s="43">
        <f t="shared" si="50"/>
        <v>38897.887820308802</v>
      </c>
      <c r="AL76" s="43">
        <f t="shared" si="51"/>
        <v>76242.922953617861</v>
      </c>
      <c r="AM76" s="43">
        <f t="shared" si="52"/>
        <v>73204.50786272173</v>
      </c>
      <c r="AN76" s="43">
        <f t="shared" si="53"/>
        <v>70297.75742576443</v>
      </c>
      <c r="AO76" s="3"/>
      <c r="AP76" s="43">
        <f t="shared" si="30"/>
        <v>0</v>
      </c>
      <c r="AQ76" s="43">
        <f t="shared" si="31"/>
        <v>1798797.5997533354</v>
      </c>
      <c r="AR76" s="43">
        <f t="shared" ref="AR76:AR79" si="70">IF($M76=0, IF($H76 &gt; AR$58, 0, IF($H76=AR$58, $F76, AQ76)), IF(OR($H76&gt;AR$58,$H76+$M76&lt;=AR$58),0,
IF($H76=AR$58,$U76-AL76,
AQ76-AL76)))</f>
        <v>1722554.6767997176</v>
      </c>
      <c r="AS76" s="43">
        <f t="shared" ref="AS76:AS79" si="71">IF($M76=0, IF($H76 &gt; AS$58, 0, IF($H76=AS$58, $F76, AR76)), IF(OR($H76&gt;AS$58,$H76+$M76&lt;=AS$58),0,
IF($H76=AS$58,$U76-AM76,
AR76-AM76)))</f>
        <v>1649350.1689369958</v>
      </c>
      <c r="AT76" s="43">
        <f t="shared" ref="AT76:AT79" si="72">IF($M76=0, IF($H76 &gt; AT$58, 0, IF($H76=AT$58, $F76, AS76)), IF(OR($H76&gt;AT$58,$H76+$M76&lt;=AT$58),0,
IF($H76=AT$58,$U76-AN76,
AS76-AN76)))</f>
        <v>1579052.4115112314</v>
      </c>
      <c r="AU76" s="3"/>
      <c r="AV76" s="47">
        <f t="shared" si="66"/>
        <v>0</v>
      </c>
      <c r="AW76" s="47">
        <f t="shared" si="54"/>
        <v>0</v>
      </c>
      <c r="AX76" s="47">
        <f t="shared" si="67"/>
        <v>0</v>
      </c>
      <c r="AY76" s="47">
        <f t="shared" si="55"/>
        <v>98258.208612168877</v>
      </c>
      <c r="AZ76" s="47">
        <f t="shared" si="56"/>
        <v>141700.00067200713</v>
      </c>
      <c r="BA76" s="43">
        <f t="shared" si="57"/>
        <v>135879.81428232757</v>
      </c>
      <c r="BB76" s="43">
        <f t="shared" si="58"/>
        <v>130301.74906319122</v>
      </c>
      <c r="BC76" s="3"/>
      <c r="BD76" s="43">
        <f t="shared" si="7"/>
        <v>0</v>
      </c>
      <c r="BE76" s="43">
        <f t="shared" si="8"/>
        <v>0</v>
      </c>
      <c r="BF76" s="43">
        <f t="shared" si="9"/>
        <v>0</v>
      </c>
      <c r="BG76" s="43">
        <f t="shared" si="10"/>
        <v>9188.4774378682214</v>
      </c>
      <c r="BH76" s="43">
        <f t="shared" si="11"/>
        <v>19767.722820732179</v>
      </c>
      <c r="BI76" s="43">
        <f t="shared" si="12"/>
        <v>20239.934183473826</v>
      </c>
      <c r="BJ76" s="43">
        <f t="shared" si="13"/>
        <v>20925.015475716049</v>
      </c>
      <c r="BK76" s="3"/>
      <c r="BL76" s="43">
        <f t="shared" si="59"/>
        <v>0</v>
      </c>
      <c r="BM76" s="43">
        <f t="shared" si="60"/>
        <v>0</v>
      </c>
      <c r="BN76" s="43">
        <f t="shared" si="61"/>
        <v>0</v>
      </c>
      <c r="BO76" s="43">
        <f t="shared" si="62"/>
        <v>107446.6860500371</v>
      </c>
      <c r="BP76" s="43">
        <f t="shared" si="63"/>
        <v>161467.72349273931</v>
      </c>
      <c r="BQ76" s="43">
        <f t="shared" si="64"/>
        <v>156119.74846580139</v>
      </c>
      <c r="BR76" s="43">
        <f t="shared" si="65"/>
        <v>151226.76453890727</v>
      </c>
      <c r="BS76" s="3"/>
      <c r="BT76" s="10"/>
      <c r="BU76" s="10"/>
      <c r="BV76" s="51">
        <f t="shared" si="15"/>
        <v>0</v>
      </c>
      <c r="BW76" s="51">
        <f t="shared" si="16"/>
        <v>0</v>
      </c>
      <c r="BX76" s="51">
        <f t="shared" si="17"/>
        <v>0</v>
      </c>
      <c r="BY76" s="51">
        <f t="shared" si="18"/>
        <v>448456.8848395138</v>
      </c>
      <c r="BZ76" s="51">
        <f t="shared" si="19"/>
        <v>151226.76453890727</v>
      </c>
      <c r="CA76" s="338">
        <f t="shared" si="20"/>
        <v>0</v>
      </c>
    </row>
    <row r="77" spans="1:79" s="227" customFormat="1" ht="13">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6"/>
        <v>2025</v>
      </c>
      <c r="M77" s="38">
        <f>_xlfn.XLOOKUP(I77,'3. Input (des)investeringen '!$B$11:$B$89,'3. Input (des)investeringen '!$D$11:$D$89,0)</f>
        <v>30</v>
      </c>
      <c r="N77" s="3"/>
      <c r="O77" s="43">
        <f t="shared" si="0"/>
        <v>0</v>
      </c>
      <c r="P77" s="43">
        <f t="shared" si="1"/>
        <v>0</v>
      </c>
      <c r="Q77" s="3"/>
      <c r="R77" s="43">
        <f t="shared" si="22"/>
        <v>0</v>
      </c>
      <c r="S77" s="43">
        <f t="shared" si="2"/>
        <v>0</v>
      </c>
      <c r="T77" s="3"/>
      <c r="U77" s="43">
        <f t="shared" si="47"/>
        <v>12952.219318794072</v>
      </c>
      <c r="V77" s="38">
        <f t="shared" si="48"/>
        <v>30</v>
      </c>
      <c r="W77" s="3"/>
      <c r="X77" s="43">
        <f t="shared" si="68"/>
        <v>0</v>
      </c>
      <c r="Y77" s="43">
        <f t="shared" si="68"/>
        <v>252.56827671648441</v>
      </c>
      <c r="Z77" s="43">
        <f t="shared" si="68"/>
        <v>494.19192810858783</v>
      </c>
      <c r="AA77" s="43">
        <f t="shared" si="68"/>
        <v>472.77694455721564</v>
      </c>
      <c r="AB77" s="43">
        <f t="shared" si="68"/>
        <v>452.28994362640299</v>
      </c>
      <c r="AC77" s="3"/>
      <c r="AD77" s="43">
        <f t="shared" si="69"/>
        <v>0</v>
      </c>
      <c r="AE77" s="43">
        <f t="shared" si="69"/>
        <v>21.587032197990123</v>
      </c>
      <c r="AF77" s="43">
        <f t="shared" si="69"/>
        <v>43.174064395980245</v>
      </c>
      <c r="AG77" s="43">
        <f t="shared" si="69"/>
        <v>43.174064395980245</v>
      </c>
      <c r="AH77" s="43">
        <f t="shared" si="69"/>
        <v>43.174064395980245</v>
      </c>
      <c r="AI77" s="3"/>
      <c r="AJ77" s="43">
        <f t="shared" si="49"/>
        <v>0</v>
      </c>
      <c r="AK77" s="43">
        <f t="shared" si="50"/>
        <v>274.15530891447452</v>
      </c>
      <c r="AL77" s="43">
        <f t="shared" si="51"/>
        <v>537.36599250456811</v>
      </c>
      <c r="AM77" s="43">
        <f t="shared" si="52"/>
        <v>515.95100895319592</v>
      </c>
      <c r="AN77" s="43">
        <f t="shared" si="53"/>
        <v>495.46400802238321</v>
      </c>
      <c r="AO77" s="3"/>
      <c r="AP77" s="43">
        <f t="shared" si="30"/>
        <v>0</v>
      </c>
      <c r="AQ77" s="43">
        <f t="shared" si="31"/>
        <v>12678.064009879598</v>
      </c>
      <c r="AR77" s="43">
        <f t="shared" si="70"/>
        <v>12140.698017375029</v>
      </c>
      <c r="AS77" s="43">
        <f t="shared" si="71"/>
        <v>11624.747008421833</v>
      </c>
      <c r="AT77" s="43">
        <f t="shared" si="72"/>
        <v>11129.28300039945</v>
      </c>
      <c r="AU77" s="3"/>
      <c r="AV77" s="47">
        <f t="shared" si="66"/>
        <v>0</v>
      </c>
      <c r="AW77" s="47">
        <f t="shared" si="54"/>
        <v>0</v>
      </c>
      <c r="AX77" s="47">
        <f t="shared" si="67"/>
        <v>0</v>
      </c>
      <c r="AY77" s="47">
        <f t="shared" si="55"/>
        <v>692.53142124050123</v>
      </c>
      <c r="AZ77" s="47">
        <f t="shared" si="56"/>
        <v>998.71251716481925</v>
      </c>
      <c r="BA77" s="43">
        <f t="shared" si="57"/>
        <v>957.69139527322557</v>
      </c>
      <c r="BB77" s="43">
        <f t="shared" si="58"/>
        <v>918.37676203756223</v>
      </c>
      <c r="BC77" s="3"/>
      <c r="BD77" s="43">
        <f t="shared" si="7"/>
        <v>0</v>
      </c>
      <c r="BE77" s="43">
        <f t="shared" si="8"/>
        <v>0</v>
      </c>
      <c r="BF77" s="43">
        <f t="shared" si="9"/>
        <v>0</v>
      </c>
      <c r="BG77" s="43">
        <f t="shared" si="10"/>
        <v>64.761096593970365</v>
      </c>
      <c r="BH77" s="43">
        <f t="shared" si="11"/>
        <v>139.32443276840408</v>
      </c>
      <c r="BI77" s="43">
        <f t="shared" si="12"/>
        <v>142.65261481837575</v>
      </c>
      <c r="BJ77" s="43">
        <f t="shared" si="13"/>
        <v>147.48112052474812</v>
      </c>
      <c r="BK77" s="3"/>
      <c r="BL77" s="43">
        <f t="shared" si="59"/>
        <v>0</v>
      </c>
      <c r="BM77" s="43">
        <f t="shared" si="60"/>
        <v>0</v>
      </c>
      <c r="BN77" s="43">
        <f t="shared" si="61"/>
        <v>0</v>
      </c>
      <c r="BO77" s="43">
        <f t="shared" si="62"/>
        <v>757.2925178344716</v>
      </c>
      <c r="BP77" s="43">
        <f t="shared" si="63"/>
        <v>1138.0369499332232</v>
      </c>
      <c r="BQ77" s="43">
        <f t="shared" si="64"/>
        <v>1100.3440100916014</v>
      </c>
      <c r="BR77" s="43">
        <f t="shared" si="65"/>
        <v>1065.8578825623104</v>
      </c>
      <c r="BS77" s="3"/>
      <c r="BT77" s="10"/>
      <c r="BU77" s="10"/>
      <c r="BV77" s="51">
        <f t="shared" si="15"/>
        <v>0</v>
      </c>
      <c r="BW77" s="51">
        <f t="shared" si="16"/>
        <v>0</v>
      </c>
      <c r="BX77" s="51">
        <f t="shared" si="17"/>
        <v>0</v>
      </c>
      <c r="BY77" s="51">
        <f t="shared" si="18"/>
        <v>3160.7586603663503</v>
      </c>
      <c r="BZ77" s="51">
        <f t="shared" si="19"/>
        <v>1065.8578825623104</v>
      </c>
      <c r="CA77" s="338">
        <f t="shared" si="20"/>
        <v>0</v>
      </c>
    </row>
    <row r="78" spans="1:79" s="227" customFormat="1" ht="13">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6"/>
        <v>2025</v>
      </c>
      <c r="M78" s="38">
        <f>_xlfn.XLOOKUP(I78,'3. Input (des)investeringen '!$B$11:$B$89,'3. Input (des)investeringen '!$D$11:$D$89,0)</f>
        <v>55</v>
      </c>
      <c r="N78" s="3"/>
      <c r="O78" s="43">
        <f t="shared" si="0"/>
        <v>0</v>
      </c>
      <c r="P78" s="43">
        <f t="shared" si="1"/>
        <v>0</v>
      </c>
      <c r="Q78" s="3"/>
      <c r="R78" s="43">
        <f t="shared" si="22"/>
        <v>0</v>
      </c>
      <c r="S78" s="43">
        <f t="shared" si="2"/>
        <v>0</v>
      </c>
      <c r="T78" s="3"/>
      <c r="U78" s="43">
        <f t="shared" si="47"/>
        <v>4401460.9803481428</v>
      </c>
      <c r="V78" s="38">
        <f t="shared" si="48"/>
        <v>55</v>
      </c>
      <c r="W78" s="3"/>
      <c r="X78" s="43">
        <f t="shared" si="68"/>
        <v>0</v>
      </c>
      <c r="Y78" s="43">
        <f t="shared" si="68"/>
        <v>46815.539518248428</v>
      </c>
      <c r="Z78" s="43">
        <f t="shared" si="68"/>
        <v>92524.529920610978</v>
      </c>
      <c r="AA78" s="43">
        <f t="shared" si="68"/>
        <v>90337.586486123822</v>
      </c>
      <c r="AB78" s="43">
        <f t="shared" si="68"/>
        <v>88202.334441906351</v>
      </c>
      <c r="AC78" s="3"/>
      <c r="AD78" s="43">
        <f t="shared" si="69"/>
        <v>0</v>
      </c>
      <c r="AE78" s="43">
        <f t="shared" si="69"/>
        <v>4001.3281639528573</v>
      </c>
      <c r="AF78" s="43">
        <f t="shared" si="69"/>
        <v>8002.6563279057145</v>
      </c>
      <c r="AG78" s="43">
        <f t="shared" si="69"/>
        <v>8002.6563279057145</v>
      </c>
      <c r="AH78" s="43">
        <f t="shared" si="69"/>
        <v>8002.6563279057145</v>
      </c>
      <c r="AI78" s="3"/>
      <c r="AJ78" s="43">
        <f t="shared" si="49"/>
        <v>0</v>
      </c>
      <c r="AK78" s="43">
        <f t="shared" si="50"/>
        <v>50816.867682201286</v>
      </c>
      <c r="AL78" s="43">
        <f t="shared" si="51"/>
        <v>100527.18624851669</v>
      </c>
      <c r="AM78" s="43">
        <f t="shared" si="52"/>
        <v>98340.242814029538</v>
      </c>
      <c r="AN78" s="43">
        <f t="shared" si="53"/>
        <v>96204.990769812066</v>
      </c>
      <c r="AO78" s="3"/>
      <c r="AP78" s="43">
        <f t="shared" si="30"/>
        <v>0</v>
      </c>
      <c r="AQ78" s="43">
        <f t="shared" si="31"/>
        <v>4350644.1126659419</v>
      </c>
      <c r="AR78" s="43">
        <f t="shared" si="70"/>
        <v>4250116.9264174253</v>
      </c>
      <c r="AS78" s="43">
        <f t="shared" si="71"/>
        <v>4151776.6836033957</v>
      </c>
      <c r="AT78" s="43">
        <f t="shared" si="72"/>
        <v>4055571.6928335838</v>
      </c>
      <c r="AU78" s="3"/>
      <c r="AV78" s="47">
        <f t="shared" si="66"/>
        <v>0</v>
      </c>
      <c r="AW78" s="47">
        <f t="shared" si="54"/>
        <v>0</v>
      </c>
      <c r="AX78" s="47">
        <f t="shared" si="67"/>
        <v>0</v>
      </c>
      <c r="AY78" s="47">
        <f t="shared" si="55"/>
        <v>194388.12340017737</v>
      </c>
      <c r="AZ78" s="47">
        <f t="shared" si="56"/>
        <v>262031.62945237884</v>
      </c>
      <c r="BA78" s="43">
        <f t="shared" si="57"/>
        <v>256107.75679095858</v>
      </c>
      <c r="BB78" s="43">
        <f t="shared" si="58"/>
        <v>250316.71509748825</v>
      </c>
      <c r="BC78" s="3"/>
      <c r="BD78" s="43">
        <f t="shared" si="7"/>
        <v>0</v>
      </c>
      <c r="BE78" s="43">
        <f t="shared" si="8"/>
        <v>0</v>
      </c>
      <c r="BF78" s="43">
        <f t="shared" si="9"/>
        <v>0</v>
      </c>
      <c r="BG78" s="43">
        <f t="shared" si="10"/>
        <v>22007.304901740714</v>
      </c>
      <c r="BH78" s="43">
        <f t="shared" si="11"/>
        <v>47345.635473408904</v>
      </c>
      <c r="BI78" s="43">
        <f t="shared" si="12"/>
        <v>48476.628013597699</v>
      </c>
      <c r="BJ78" s="43">
        <f t="shared" si="13"/>
        <v>50117.464918601952</v>
      </c>
      <c r="BK78" s="3"/>
      <c r="BL78" s="43">
        <f t="shared" si="59"/>
        <v>0</v>
      </c>
      <c r="BM78" s="43">
        <f t="shared" si="60"/>
        <v>0</v>
      </c>
      <c r="BN78" s="43">
        <f t="shared" si="61"/>
        <v>0</v>
      </c>
      <c r="BO78" s="43">
        <f t="shared" si="62"/>
        <v>216395.42830191809</v>
      </c>
      <c r="BP78" s="43">
        <f t="shared" si="63"/>
        <v>309377.26492578775</v>
      </c>
      <c r="BQ78" s="43">
        <f t="shared" si="64"/>
        <v>304584.38480455626</v>
      </c>
      <c r="BR78" s="43">
        <f t="shared" si="65"/>
        <v>300434.18001609022</v>
      </c>
      <c r="BS78" s="3"/>
      <c r="BT78" s="10"/>
      <c r="BU78" s="10"/>
      <c r="BV78" s="51">
        <f t="shared" si="15"/>
        <v>0</v>
      </c>
      <c r="BW78" s="51">
        <f t="shared" si="16"/>
        <v>0</v>
      </c>
      <c r="BX78" s="51">
        <f t="shared" si="17"/>
        <v>0</v>
      </c>
      <c r="BY78" s="51">
        <f t="shared" si="18"/>
        <v>876422.89088952367</v>
      </c>
      <c r="BZ78" s="51">
        <f t="shared" si="19"/>
        <v>300434.18001609022</v>
      </c>
      <c r="CA78" s="338">
        <f t="shared" si="20"/>
        <v>0</v>
      </c>
    </row>
    <row r="79" spans="1:79" s="227" customFormat="1" ht="13">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6"/>
        <v>2025</v>
      </c>
      <c r="M79" s="38">
        <f>_xlfn.XLOOKUP(I79,'3. Input (des)investeringen '!$B$11:$B$89,'3. Input (des)investeringen '!$D$11:$D$89,0)</f>
        <v>30</v>
      </c>
      <c r="N79" s="3"/>
      <c r="O79" s="43">
        <f t="shared" si="0"/>
        <v>0</v>
      </c>
      <c r="P79" s="43">
        <f t="shared" si="1"/>
        <v>0</v>
      </c>
      <c r="Q79" s="3"/>
      <c r="R79" s="43">
        <f t="shared" ref="R79:R86" si="73">IF($O79=0,IF($H79=O$58,$F79,0),IF(OR($H79&gt;R$58,$H79+$M79&lt;=R$58),0,F79-O79))</f>
        <v>0</v>
      </c>
      <c r="S79" s="43">
        <f t="shared" si="2"/>
        <v>0</v>
      </c>
      <c r="T79" s="3"/>
      <c r="U79" s="43">
        <f t="shared" si="47"/>
        <v>179930.39320672158</v>
      </c>
      <c r="V79" s="38">
        <f t="shared" si="48"/>
        <v>30</v>
      </c>
      <c r="W79" s="3"/>
      <c r="X79" s="43">
        <f t="shared" si="68"/>
        <v>0</v>
      </c>
      <c r="Y79" s="43">
        <f t="shared" si="68"/>
        <v>3508.6426675310713</v>
      </c>
      <c r="Z79" s="43">
        <f t="shared" si="68"/>
        <v>6865.2441528024619</v>
      </c>
      <c r="AA79" s="43">
        <f t="shared" si="68"/>
        <v>6567.7502395143556</v>
      </c>
      <c r="AB79" s="43">
        <f t="shared" si="68"/>
        <v>6283.1477291354013</v>
      </c>
      <c r="AC79" s="3"/>
      <c r="AD79" s="43">
        <f t="shared" si="69"/>
        <v>0</v>
      </c>
      <c r="AE79" s="43">
        <f t="shared" si="69"/>
        <v>299.88398867786935</v>
      </c>
      <c r="AF79" s="43">
        <f t="shared" si="69"/>
        <v>599.76797735573871</v>
      </c>
      <c r="AG79" s="43">
        <f t="shared" si="69"/>
        <v>599.76797735573871</v>
      </c>
      <c r="AH79" s="43">
        <f t="shared" si="69"/>
        <v>599.76797735573871</v>
      </c>
      <c r="AI79" s="3"/>
      <c r="AJ79" s="43">
        <f t="shared" si="49"/>
        <v>0</v>
      </c>
      <c r="AK79" s="43">
        <f t="shared" si="50"/>
        <v>3808.5266562089405</v>
      </c>
      <c r="AL79" s="43">
        <f t="shared" si="51"/>
        <v>7465.0121301582003</v>
      </c>
      <c r="AM79" s="43">
        <f t="shared" si="52"/>
        <v>7167.518216870094</v>
      </c>
      <c r="AN79" s="43">
        <f t="shared" si="53"/>
        <v>6882.9157064911396</v>
      </c>
      <c r="AO79" s="3"/>
      <c r="AP79" s="43">
        <f>IF($M79=0, IF($H79&gt;AP$58,0, $U79), IF(OR($H79&gt;AP$58,$H79+$M79&lt;=AP$58),0,
IF($H79=AP$58,$U79-AJ79,
U79-AJ79)))</f>
        <v>0</v>
      </c>
      <c r="AQ79" s="43">
        <f t="shared" si="31"/>
        <v>176121.86655051264</v>
      </c>
      <c r="AR79" s="43">
        <f t="shared" si="70"/>
        <v>168656.85442035444</v>
      </c>
      <c r="AS79" s="43">
        <f t="shared" si="71"/>
        <v>161489.33620348436</v>
      </c>
      <c r="AT79" s="43">
        <f t="shared" si="72"/>
        <v>154606.42049699323</v>
      </c>
      <c r="AU79" s="3"/>
      <c r="AV79" s="47">
        <f t="shared" si="66"/>
        <v>0</v>
      </c>
      <c r="AW79" s="47">
        <f t="shared" si="54"/>
        <v>0</v>
      </c>
      <c r="AX79" s="47">
        <f t="shared" si="67"/>
        <v>0</v>
      </c>
      <c r="AY79" s="47">
        <f t="shared" si="55"/>
        <v>9620.5482523758583</v>
      </c>
      <c r="AZ79" s="47">
        <f t="shared" si="56"/>
        <v>13873.97259813167</v>
      </c>
      <c r="BA79" s="43">
        <f t="shared" si="57"/>
        <v>13304.112992602499</v>
      </c>
      <c r="BB79" s="43">
        <f t="shared" si="58"/>
        <v>12757.959685376882</v>
      </c>
      <c r="BC79" s="3"/>
      <c r="BD79" s="43">
        <f t="shared" si="7"/>
        <v>0</v>
      </c>
      <c r="BE79" s="43">
        <f t="shared" si="8"/>
        <v>0</v>
      </c>
      <c r="BF79" s="43">
        <f t="shared" si="9"/>
        <v>0</v>
      </c>
      <c r="BG79" s="43">
        <f t="shared" si="10"/>
        <v>899.65196603360789</v>
      </c>
      <c r="BH79" s="43">
        <f t="shared" si="11"/>
        <v>1935.4752536460628</v>
      </c>
      <c r="BI79" s="43">
        <f t="shared" si="12"/>
        <v>1981.7098865051601</v>
      </c>
      <c r="BJ79" s="43">
        <f t="shared" si="13"/>
        <v>2048.7868027435866</v>
      </c>
      <c r="BK79" s="3"/>
      <c r="BL79" s="43">
        <f t="shared" si="59"/>
        <v>0</v>
      </c>
      <c r="BM79" s="43">
        <f t="shared" si="60"/>
        <v>0</v>
      </c>
      <c r="BN79" s="43">
        <f t="shared" si="61"/>
        <v>0</v>
      </c>
      <c r="BO79" s="43">
        <f t="shared" si="62"/>
        <v>10520.200218409465</v>
      </c>
      <c r="BP79" s="43">
        <f t="shared" si="63"/>
        <v>15809.447851777732</v>
      </c>
      <c r="BQ79" s="43">
        <f t="shared" si="64"/>
        <v>15285.822879107658</v>
      </c>
      <c r="BR79" s="43">
        <f t="shared" si="65"/>
        <v>14806.746488120469</v>
      </c>
      <c r="BS79" s="3"/>
      <c r="BT79" s="10"/>
      <c r="BU79" s="10"/>
      <c r="BV79" s="51">
        <f t="shared" si="15"/>
        <v>0</v>
      </c>
      <c r="BW79" s="51">
        <f t="shared" si="16"/>
        <v>0</v>
      </c>
      <c r="BX79" s="51">
        <f t="shared" si="17"/>
        <v>0</v>
      </c>
      <c r="BY79" s="51">
        <f t="shared" si="18"/>
        <v>43908.810883555881</v>
      </c>
      <c r="BZ79" s="51">
        <f t="shared" si="19"/>
        <v>14806.746488120469</v>
      </c>
      <c r="CA79" s="338">
        <f t="shared" si="20"/>
        <v>0</v>
      </c>
    </row>
    <row r="80" spans="1:79" s="227" customFormat="1" ht="13">
      <c r="A80" s="48"/>
      <c r="B80" s="37">
        <f>'11. Investeringen (WUI+ombouw)'!B40</f>
        <v>21</v>
      </c>
      <c r="C80" s="226"/>
      <c r="D80" s="226"/>
      <c r="E80" s="226"/>
      <c r="F80" s="42">
        <f>'11. Investeringen (WUI+ombouw)'!C40</f>
        <v>30711053.134938359</v>
      </c>
      <c r="G80" s="48"/>
      <c r="H80" s="37">
        <f>'11. Investeringen (WUI+ombouw)'!D40</f>
        <v>2024</v>
      </c>
      <c r="I80" s="37" t="str">
        <f>'11. Investeringen (WUI+ombouw)'!E40</f>
        <v>05 Wegen en terreinvoorzieningen (KC)</v>
      </c>
      <c r="J80" s="37" t="str">
        <f>'11. Investeringen (WUI+ombouw)'!F40</f>
        <v>WUI</v>
      </c>
      <c r="K80" s="37" t="str">
        <f>'11. Investeringen (WUI+ombouw)'!G40</f>
        <v>Nee</v>
      </c>
      <c r="L80" s="38">
        <f t="shared" ref="L80:L89" si="74">H80+2</f>
        <v>2026</v>
      </c>
      <c r="M80" s="38">
        <f>_xlfn.XLOOKUP(I80,'3. Input (des)investeringen '!$B$11:$B$89,'3. Input (des)investeringen '!$D$11:$D$89,0)</f>
        <v>10</v>
      </c>
      <c r="N80" s="3"/>
      <c r="O80" s="43">
        <f t="shared" si="0"/>
        <v>0</v>
      </c>
      <c r="P80" s="43">
        <f t="shared" si="1"/>
        <v>0</v>
      </c>
      <c r="Q80" s="3"/>
      <c r="R80" s="43">
        <f t="shared" si="73"/>
        <v>0</v>
      </c>
      <c r="S80" s="43">
        <f t="shared" si="2"/>
        <v>0</v>
      </c>
      <c r="T80" s="3"/>
      <c r="U80" s="43">
        <f t="shared" ref="U80:U89" si="75">IF(H80&lt;=2021,S80,F80)</f>
        <v>30711053.134938359</v>
      </c>
      <c r="V80" s="38">
        <f t="shared" ref="V80:V89" si="76">IF($M80&gt;0,IF(H80&lt;2022,M80-2021+H80-0.5,M80),0)</f>
        <v>10</v>
      </c>
      <c r="W80" s="3"/>
      <c r="X80" s="43">
        <f t="shared" ref="X80:AB96" si="77">IF($M80&gt;0, IF(OR($H80&gt;X$58,$H80+$M80&lt;X$58),0,IF(OR($H80=2020,$H80=2021),VDB($U80,0,$V80,X$58-2022,MIN($V80,X$58-2021),$F$23,FALSE),
VDB($U80,0,$V80,MAX(0,X$58-$H80-0.5),MIN($V80,X$58-$H80+0.5),$F$23,FALSE)))*(1-$F$26), 0)</f>
        <v>0</v>
      </c>
      <c r="Y80" s="43">
        <f t="shared" si="77"/>
        <v>0</v>
      </c>
      <c r="Z80" s="43">
        <f t="shared" si="77"/>
        <v>1796596.6083938943</v>
      </c>
      <c r="AA80" s="43">
        <f t="shared" si="77"/>
        <v>3359635.6576965814</v>
      </c>
      <c r="AB80" s="43">
        <f t="shared" si="77"/>
        <v>2922883.0221960261</v>
      </c>
      <c r="AC80" s="3"/>
      <c r="AD80" s="43">
        <f t="shared" ref="AD80:AH96" si="78">IF($M80&gt;0, IF(OR($H80&gt;AD$58,$H80+$M80&lt;AD$58),0,IF(OR($H80=2020,$H80=2021),VDB($U80,0,$V80,AD$58-2022,MIN($V80,AD$58-2021),1,FALSE),
VDB($U80,0,$V80,MAX(0,AD$58-$H80-0.5),MIN($V80,AD$58-$H80+0.5),1,FALSE)))*$F$26,0)</f>
        <v>0</v>
      </c>
      <c r="AE80" s="43">
        <f t="shared" si="78"/>
        <v>0</v>
      </c>
      <c r="AF80" s="43">
        <f t="shared" si="78"/>
        <v>153555.26567469182</v>
      </c>
      <c r="AG80" s="43">
        <f t="shared" si="78"/>
        <v>307110.53134938364</v>
      </c>
      <c r="AH80" s="43">
        <f t="shared" si="78"/>
        <v>307110.53134938364</v>
      </c>
      <c r="AI80" s="3"/>
      <c r="AJ80" s="43">
        <f t="shared" ref="AJ80:AJ89" si="79">X80+AD80</f>
        <v>0</v>
      </c>
      <c r="AK80" s="43">
        <f t="shared" ref="AK80:AK89" si="80">Y80+AE80</f>
        <v>0</v>
      </c>
      <c r="AL80" s="43">
        <f t="shared" ref="AL80:AL89" si="81">Z80+AF80</f>
        <v>1950151.8740685862</v>
      </c>
      <c r="AM80" s="43">
        <f t="shared" ref="AM80:AM89" si="82">AA80+AG80</f>
        <v>3666746.1890459652</v>
      </c>
      <c r="AN80" s="43">
        <f t="shared" ref="AN80:AN89" si="83">AB80+AH80</f>
        <v>3229993.5535454098</v>
      </c>
      <c r="AO80" s="3"/>
      <c r="AP80" s="43">
        <f t="shared" ref="AP80:AP89" si="84">IF($M80=0, IF($H80&gt;AP$58,0, $U80), IF(OR($H80&gt;AP$58,$H80+$M80&lt;=AP$58),0,
IF($H80=AP$58,$U80-AJ80,
U80-AJ80)))</f>
        <v>0</v>
      </c>
      <c r="AQ80" s="43">
        <f t="shared" ref="AQ80:AQ89" si="85">IF($M80=0, IF($H80 &gt; AQ$58, 0, IF($H80=AQ$58, $F80, AP80)), IF(OR($H80&gt;AQ$58,$H80+$M80&lt;=AQ$58),0,
IF($H80=AQ$58,$U80-AK80,
AP80-AK80)))</f>
        <v>0</v>
      </c>
      <c r="AR80" s="43">
        <f t="shared" ref="AR80:AR89" si="86">IF($M80=0, IF($H80 &gt; AR$58, 0, IF($H80=AR$58, $F80, AQ80)), IF(OR($H80&gt;AR$58,$H80+$M80&lt;=AR$58),0,
IF($H80=AR$58,$U80-AL80,
AQ80-AL80)))</f>
        <v>28760901.260869771</v>
      </c>
      <c r="AS80" s="43">
        <f t="shared" ref="AS80:AS89" si="87">IF($M80=0, IF($H80 &gt; AS$58, 0, IF($H80=AS$58, $F80, AR80)), IF(OR($H80&gt;AS$58,$H80+$M80&lt;=AS$58),0,
IF($H80=AS$58,$U80-AM80,
AR80-AM80)))</f>
        <v>25094155.071823806</v>
      </c>
      <c r="AT80" s="43">
        <f t="shared" ref="AT80:AT89" si="88">IF($M80=0, IF($H80 &gt; AT$58, 0, IF($H80=AT$58, $F80, AS80)), IF(OR($H80&gt;AT$58,$H80+$M80&lt;=AT$58),0,
IF($H80=AT$58,$U80-AN80,
AS80-AN80)))</f>
        <v>21864161.518278398</v>
      </c>
      <c r="AU80" s="3"/>
      <c r="AV80" s="47">
        <f t="shared" ref="AV80:AV89" si="89">O80+R80*H$16</f>
        <v>0</v>
      </c>
      <c r="AW80" s="47">
        <f t="shared" ref="AW80:AW89" si="90">P80+S80*I$16</f>
        <v>0</v>
      </c>
      <c r="AX80" s="47">
        <f t="shared" ref="AX80:AX89" si="91">AJ80+AP80*J$17</f>
        <v>0</v>
      </c>
      <c r="AY80" s="47">
        <f t="shared" ref="AY80:AY89" si="92">AK80+AQ80*K$17</f>
        <v>0</v>
      </c>
      <c r="AZ80" s="47">
        <f t="shared" ref="AZ80:AZ89" si="93">AL80+AR80*L$17</f>
        <v>3043066.1219816376</v>
      </c>
      <c r="BA80" s="43">
        <f t="shared" ref="BA80:BA89" si="94">AM80+AS80*M$17</f>
        <v>4620324.0817752695</v>
      </c>
      <c r="BB80" s="43">
        <f t="shared" ref="BB80:BB89" si="95">AN80+AT80*N$17</f>
        <v>4060831.6912399889</v>
      </c>
      <c r="BC80" s="3"/>
      <c r="BD80" s="43">
        <f t="shared" si="7"/>
        <v>0</v>
      </c>
      <c r="BE80" s="43">
        <f t="shared" si="8"/>
        <v>0</v>
      </c>
      <c r="BF80" s="43">
        <f t="shared" si="9"/>
        <v>0</v>
      </c>
      <c r="BG80" s="43">
        <f t="shared" si="10"/>
        <v>0</v>
      </c>
      <c r="BH80" s="43">
        <f t="shared" si="11"/>
        <v>153555.26567469179</v>
      </c>
      <c r="BI80" s="43">
        <f t="shared" si="12"/>
        <v>314446.78772225766</v>
      </c>
      <c r="BJ80" s="43">
        <f t="shared" si="13"/>
        <v>325090.18259308068</v>
      </c>
      <c r="BK80" s="3"/>
      <c r="BL80" s="43">
        <f t="shared" ref="BL80:BL89" si="96">AV80+BD80</f>
        <v>0</v>
      </c>
      <c r="BM80" s="43">
        <f t="shared" ref="BM80:BM89" si="97">AW80+BE80</f>
        <v>0</v>
      </c>
      <c r="BN80" s="43">
        <f t="shared" ref="BN80:BN89" si="98">AX80+BF80</f>
        <v>0</v>
      </c>
      <c r="BO80" s="43">
        <f t="shared" ref="BO80:BO89" si="99">AY80+BG80</f>
        <v>0</v>
      </c>
      <c r="BP80" s="43">
        <f t="shared" ref="BP80:BP89" si="100">AZ80+BH80</f>
        <v>3196621.3876563292</v>
      </c>
      <c r="BQ80" s="43">
        <f t="shared" ref="BQ80:BQ89" si="101">BA80+BI80</f>
        <v>4934770.8694975274</v>
      </c>
      <c r="BR80" s="43">
        <f t="shared" ref="BR80:BR89" si="102">BB80+BJ80</f>
        <v>4385921.8738330696</v>
      </c>
      <c r="BS80" s="3"/>
      <c r="BT80" s="10"/>
      <c r="BU80" s="10"/>
      <c r="BV80" s="51">
        <f t="shared" si="15"/>
        <v>0</v>
      </c>
      <c r="BW80" s="51">
        <f t="shared" si="16"/>
        <v>0</v>
      </c>
      <c r="BX80" s="51">
        <f t="shared" si="17"/>
        <v>0</v>
      </c>
      <c r="BY80" s="51">
        <f t="shared" si="18"/>
        <v>0</v>
      </c>
      <c r="BZ80" s="51">
        <f t="shared" si="19"/>
        <v>13158835.415837361</v>
      </c>
      <c r="CA80" s="338">
        <f t="shared" si="20"/>
        <v>0</v>
      </c>
    </row>
    <row r="81" spans="1:79" s="227" customFormat="1" ht="13">
      <c r="A81" s="48"/>
      <c r="B81" s="37">
        <f>'11. Investeringen (WUI+ombouw)'!B41</f>
        <v>22</v>
      </c>
      <c r="C81" s="226"/>
      <c r="D81" s="226"/>
      <c r="E81" s="226"/>
      <c r="F81" s="42">
        <f>'11. Investeringen (WUI+ombouw)'!C41</f>
        <v>103280388.2346216</v>
      </c>
      <c r="G81" s="48"/>
      <c r="H81" s="37">
        <f>'11. Investeringen (WUI+ombouw)'!D41</f>
        <v>2024</v>
      </c>
      <c r="I81" s="37" t="str">
        <f>'11. Investeringen (WUI+ombouw)'!E41</f>
        <v>06 Utiliteitsgebouwen (KC)</v>
      </c>
      <c r="J81" s="37" t="str">
        <f>'11. Investeringen (WUI+ombouw)'!F41</f>
        <v>WUI</v>
      </c>
      <c r="K81" s="37" t="str">
        <f>'11. Investeringen (WUI+ombouw)'!G41</f>
        <v>Nee</v>
      </c>
      <c r="L81" s="38">
        <f t="shared" si="74"/>
        <v>2026</v>
      </c>
      <c r="M81" s="38">
        <f>_xlfn.XLOOKUP(I81,'3. Input (des)investeringen '!$B$11:$B$89,'3. Input (des)investeringen '!$D$11:$D$89,0)</f>
        <v>30</v>
      </c>
      <c r="N81" s="3"/>
      <c r="O81" s="43">
        <f t="shared" si="0"/>
        <v>0</v>
      </c>
      <c r="P81" s="43">
        <f t="shared" si="1"/>
        <v>0</v>
      </c>
      <c r="Q81" s="3"/>
      <c r="R81" s="43">
        <f t="shared" si="73"/>
        <v>0</v>
      </c>
      <c r="S81" s="43">
        <f t="shared" si="2"/>
        <v>0</v>
      </c>
      <c r="T81" s="3"/>
      <c r="U81" s="43">
        <f t="shared" si="75"/>
        <v>103280388.2346216</v>
      </c>
      <c r="V81" s="38">
        <f t="shared" si="76"/>
        <v>30</v>
      </c>
      <c r="W81" s="3"/>
      <c r="X81" s="43">
        <f t="shared" si="77"/>
        <v>0</v>
      </c>
      <c r="Y81" s="43">
        <f t="shared" si="77"/>
        <v>0</v>
      </c>
      <c r="Z81" s="43">
        <f t="shared" si="77"/>
        <v>2013967.5705751213</v>
      </c>
      <c r="AA81" s="43">
        <f t="shared" si="77"/>
        <v>3940663.2130919877</v>
      </c>
      <c r="AB81" s="43">
        <f t="shared" si="77"/>
        <v>3769901.1405246682</v>
      </c>
      <c r="AC81" s="3"/>
      <c r="AD81" s="43">
        <f t="shared" si="78"/>
        <v>0</v>
      </c>
      <c r="AE81" s="43">
        <f t="shared" si="78"/>
        <v>0</v>
      </c>
      <c r="AF81" s="43">
        <f t="shared" si="78"/>
        <v>172133.98039103602</v>
      </c>
      <c r="AG81" s="43">
        <f t="shared" si="78"/>
        <v>344267.96078207204</v>
      </c>
      <c r="AH81" s="43">
        <f t="shared" si="78"/>
        <v>344267.96078207204</v>
      </c>
      <c r="AI81" s="3"/>
      <c r="AJ81" s="43">
        <f t="shared" si="79"/>
        <v>0</v>
      </c>
      <c r="AK81" s="43">
        <f t="shared" si="80"/>
        <v>0</v>
      </c>
      <c r="AL81" s="43">
        <f t="shared" si="81"/>
        <v>2186101.5509661576</v>
      </c>
      <c r="AM81" s="43">
        <f t="shared" si="82"/>
        <v>4284931.1738740597</v>
      </c>
      <c r="AN81" s="43">
        <f t="shared" si="83"/>
        <v>4114169.1013067402</v>
      </c>
      <c r="AO81" s="3"/>
      <c r="AP81" s="43">
        <f t="shared" si="84"/>
        <v>0</v>
      </c>
      <c r="AQ81" s="43">
        <f t="shared" si="85"/>
        <v>0</v>
      </c>
      <c r="AR81" s="43">
        <f t="shared" si="86"/>
        <v>101094286.68365544</v>
      </c>
      <c r="AS81" s="43">
        <f t="shared" si="87"/>
        <v>96809355.509781376</v>
      </c>
      <c r="AT81" s="43">
        <f t="shared" si="88"/>
        <v>92695186.408474639</v>
      </c>
      <c r="AU81" s="3"/>
      <c r="AV81" s="47">
        <f t="shared" si="89"/>
        <v>0</v>
      </c>
      <c r="AW81" s="47">
        <f t="shared" si="90"/>
        <v>0</v>
      </c>
      <c r="AX81" s="47">
        <f t="shared" si="91"/>
        <v>0</v>
      </c>
      <c r="AY81" s="47">
        <f t="shared" si="92"/>
        <v>0</v>
      </c>
      <c r="AZ81" s="47">
        <f t="shared" si="93"/>
        <v>6027684.4449450644</v>
      </c>
      <c r="BA81" s="43">
        <f t="shared" si="94"/>
        <v>7963686.683245752</v>
      </c>
      <c r="BB81" s="43">
        <f t="shared" si="95"/>
        <v>7636586.1848287769</v>
      </c>
      <c r="BC81" s="3"/>
      <c r="BD81" s="43">
        <f t="shared" si="7"/>
        <v>0</v>
      </c>
      <c r="BE81" s="43">
        <f t="shared" si="8"/>
        <v>0</v>
      </c>
      <c r="BF81" s="43">
        <f t="shared" si="9"/>
        <v>0</v>
      </c>
      <c r="BG81" s="43">
        <f t="shared" si="10"/>
        <v>0</v>
      </c>
      <c r="BH81" s="43">
        <f t="shared" si="11"/>
        <v>516401.941173108</v>
      </c>
      <c r="BI81" s="43">
        <f t="shared" si="12"/>
        <v>1057475.5014877024</v>
      </c>
      <c r="BJ81" s="43">
        <f t="shared" si="13"/>
        <v>1093268.9322620581</v>
      </c>
      <c r="BK81" s="3"/>
      <c r="BL81" s="43">
        <f t="shared" si="96"/>
        <v>0</v>
      </c>
      <c r="BM81" s="43">
        <f t="shared" si="97"/>
        <v>0</v>
      </c>
      <c r="BN81" s="43">
        <f t="shared" si="98"/>
        <v>0</v>
      </c>
      <c r="BO81" s="43">
        <f t="shared" si="99"/>
        <v>0</v>
      </c>
      <c r="BP81" s="43">
        <f t="shared" si="100"/>
        <v>6544086.3861181727</v>
      </c>
      <c r="BQ81" s="43">
        <f t="shared" si="101"/>
        <v>9021162.1847334541</v>
      </c>
      <c r="BR81" s="43">
        <f t="shared" si="102"/>
        <v>8729855.1170908343</v>
      </c>
      <c r="BS81" s="3"/>
      <c r="BT81" s="10"/>
      <c r="BU81" s="10"/>
      <c r="BV81" s="51">
        <f t="shared" si="15"/>
        <v>0</v>
      </c>
      <c r="BW81" s="51">
        <f t="shared" si="16"/>
        <v>0</v>
      </c>
      <c r="BX81" s="51">
        <f t="shared" si="17"/>
        <v>0</v>
      </c>
      <c r="BY81" s="51">
        <f t="shared" si="18"/>
        <v>0</v>
      </c>
      <c r="BZ81" s="51">
        <f t="shared" si="19"/>
        <v>25554356.465864733</v>
      </c>
      <c r="CA81" s="338">
        <f t="shared" si="20"/>
        <v>0</v>
      </c>
    </row>
    <row r="82" spans="1:79" s="227" customFormat="1" ht="13">
      <c r="A82" s="48"/>
      <c r="B82" s="37">
        <f>'11. Investeringen (WUI+ombouw)'!B42</f>
        <v>23</v>
      </c>
      <c r="C82" s="226"/>
      <c r="D82" s="226"/>
      <c r="E82" s="226"/>
      <c r="F82" s="42">
        <f>'11. Investeringen (WUI+ombouw)'!C42</f>
        <v>1964.4578009375275</v>
      </c>
      <c r="G82" s="48"/>
      <c r="H82" s="37">
        <f>'11. Investeringen (WUI+ombouw)'!D42</f>
        <v>2024</v>
      </c>
      <c r="I82" s="37" t="str">
        <f>'11. Investeringen (WUI+ombouw)'!E42</f>
        <v>08 Inrichting gebouwen (KC)</v>
      </c>
      <c r="J82" s="37" t="str">
        <f>'11. Investeringen (WUI+ombouw)'!F42</f>
        <v>WUI</v>
      </c>
      <c r="K82" s="37" t="str">
        <f>'11. Investeringen (WUI+ombouw)'!G42</f>
        <v>Nee</v>
      </c>
      <c r="L82" s="38">
        <f t="shared" si="74"/>
        <v>2026</v>
      </c>
      <c r="M82" s="38">
        <f>_xlfn.XLOOKUP(I82,'3. Input (des)investeringen '!$B$11:$B$89,'3. Input (des)investeringen '!$D$11:$D$89,0)</f>
        <v>10</v>
      </c>
      <c r="N82" s="3"/>
      <c r="O82" s="43">
        <f t="shared" si="0"/>
        <v>0</v>
      </c>
      <c r="P82" s="43">
        <f t="shared" si="1"/>
        <v>0</v>
      </c>
      <c r="Q82" s="3"/>
      <c r="R82" s="43">
        <f t="shared" si="73"/>
        <v>0</v>
      </c>
      <c r="S82" s="43">
        <f t="shared" si="2"/>
        <v>0</v>
      </c>
      <c r="T82" s="3"/>
      <c r="U82" s="43">
        <f t="shared" si="75"/>
        <v>1964.4578009375275</v>
      </c>
      <c r="V82" s="38">
        <f t="shared" si="76"/>
        <v>10</v>
      </c>
      <c r="W82" s="3"/>
      <c r="X82" s="43">
        <f t="shared" si="77"/>
        <v>0</v>
      </c>
      <c r="Y82" s="43">
        <f t="shared" si="77"/>
        <v>0</v>
      </c>
      <c r="Z82" s="43">
        <f t="shared" si="77"/>
        <v>114.92078135484536</v>
      </c>
      <c r="AA82" s="43">
        <f t="shared" si="77"/>
        <v>214.90186113356083</v>
      </c>
      <c r="AB82" s="43">
        <f t="shared" si="77"/>
        <v>186.96461918619795</v>
      </c>
      <c r="AC82" s="3"/>
      <c r="AD82" s="43">
        <f t="shared" si="78"/>
        <v>0</v>
      </c>
      <c r="AE82" s="43">
        <f t="shared" si="78"/>
        <v>0</v>
      </c>
      <c r="AF82" s="43">
        <f t="shared" si="78"/>
        <v>9.8222890046876401</v>
      </c>
      <c r="AG82" s="43">
        <f t="shared" si="78"/>
        <v>19.644578009375277</v>
      </c>
      <c r="AH82" s="43">
        <f t="shared" si="78"/>
        <v>19.644578009375277</v>
      </c>
      <c r="AI82" s="3"/>
      <c r="AJ82" s="43">
        <f t="shared" si="79"/>
        <v>0</v>
      </c>
      <c r="AK82" s="43">
        <f t="shared" si="80"/>
        <v>0</v>
      </c>
      <c r="AL82" s="43">
        <f t="shared" si="81"/>
        <v>124.74307035953299</v>
      </c>
      <c r="AM82" s="43">
        <f t="shared" si="82"/>
        <v>234.54643914293609</v>
      </c>
      <c r="AN82" s="43">
        <f t="shared" si="83"/>
        <v>206.60919719557322</v>
      </c>
      <c r="AO82" s="3"/>
      <c r="AP82" s="43">
        <f t="shared" si="84"/>
        <v>0</v>
      </c>
      <c r="AQ82" s="43">
        <f t="shared" si="85"/>
        <v>0</v>
      </c>
      <c r="AR82" s="43">
        <f t="shared" si="86"/>
        <v>1839.7147305779945</v>
      </c>
      <c r="AS82" s="43">
        <f t="shared" si="87"/>
        <v>1605.1682914350583</v>
      </c>
      <c r="AT82" s="43">
        <f t="shared" si="88"/>
        <v>1398.5590942394851</v>
      </c>
      <c r="AU82" s="3"/>
      <c r="AV82" s="47">
        <f t="shared" si="89"/>
        <v>0</v>
      </c>
      <c r="AW82" s="47">
        <f t="shared" si="90"/>
        <v>0</v>
      </c>
      <c r="AX82" s="47">
        <f t="shared" si="91"/>
        <v>0</v>
      </c>
      <c r="AY82" s="47">
        <f t="shared" si="92"/>
        <v>0</v>
      </c>
      <c r="AZ82" s="47">
        <f t="shared" si="93"/>
        <v>194.65223012149679</v>
      </c>
      <c r="BA82" s="43">
        <f t="shared" si="94"/>
        <v>295.54283421746834</v>
      </c>
      <c r="BB82" s="43">
        <f t="shared" si="95"/>
        <v>259.75444277667367</v>
      </c>
      <c r="BC82" s="3"/>
      <c r="BD82" s="43">
        <f t="shared" si="7"/>
        <v>0</v>
      </c>
      <c r="BE82" s="43">
        <f t="shared" si="8"/>
        <v>0</v>
      </c>
      <c r="BF82" s="43">
        <f t="shared" si="9"/>
        <v>0</v>
      </c>
      <c r="BG82" s="43">
        <f t="shared" si="10"/>
        <v>0</v>
      </c>
      <c r="BH82" s="43">
        <f t="shared" si="11"/>
        <v>9.8222890046876383</v>
      </c>
      <c r="BI82" s="43">
        <f t="shared" si="12"/>
        <v>20.113847688863235</v>
      </c>
      <c r="BJ82" s="43">
        <f t="shared" si="13"/>
        <v>20.794661205435876</v>
      </c>
      <c r="BK82" s="3"/>
      <c r="BL82" s="43">
        <f t="shared" si="96"/>
        <v>0</v>
      </c>
      <c r="BM82" s="43">
        <f t="shared" si="97"/>
        <v>0</v>
      </c>
      <c r="BN82" s="43">
        <f t="shared" si="98"/>
        <v>0</v>
      </c>
      <c r="BO82" s="43">
        <f t="shared" si="99"/>
        <v>0</v>
      </c>
      <c r="BP82" s="43">
        <f t="shared" si="100"/>
        <v>204.47451912618442</v>
      </c>
      <c r="BQ82" s="43">
        <f t="shared" si="101"/>
        <v>315.65668190633158</v>
      </c>
      <c r="BR82" s="43">
        <f t="shared" si="102"/>
        <v>280.54910398210956</v>
      </c>
      <c r="BS82" s="3"/>
      <c r="BT82" s="10"/>
      <c r="BU82" s="10"/>
      <c r="BV82" s="51">
        <f t="shared" si="15"/>
        <v>0</v>
      </c>
      <c r="BW82" s="51">
        <f t="shared" si="16"/>
        <v>0</v>
      </c>
      <c r="BX82" s="51">
        <f t="shared" si="17"/>
        <v>0</v>
      </c>
      <c r="BY82" s="51">
        <f t="shared" si="18"/>
        <v>0</v>
      </c>
      <c r="BZ82" s="51">
        <f t="shared" si="19"/>
        <v>841.71574222202594</v>
      </c>
      <c r="CA82" s="338">
        <f t="shared" si="20"/>
        <v>0</v>
      </c>
    </row>
    <row r="83" spans="1:79" s="227" customFormat="1" ht="13">
      <c r="A83" s="48"/>
      <c r="B83" s="37">
        <f>'11. Investeringen (WUI+ombouw)'!B43</f>
        <v>24</v>
      </c>
      <c r="C83" s="226"/>
      <c r="D83" s="226"/>
      <c r="E83" s="226"/>
      <c r="F83" s="42">
        <f>'11. Investeringen (WUI+ombouw)'!C43</f>
        <v>224147.44705344315</v>
      </c>
      <c r="G83" s="48"/>
      <c r="H83" s="37">
        <f>'11. Investeringen (WUI+ombouw)'!D43</f>
        <v>2024</v>
      </c>
      <c r="I83" s="37" t="str">
        <f>'11. Investeringen (WUI+ombouw)'!E43</f>
        <v>17 Mengstations</v>
      </c>
      <c r="J83" s="37" t="str">
        <f>'11. Investeringen (WUI+ombouw)'!F43</f>
        <v>WUI</v>
      </c>
      <c r="K83" s="37" t="str">
        <f>'11. Investeringen (WUI+ombouw)'!G43</f>
        <v>Nee</v>
      </c>
      <c r="L83" s="38">
        <f t="shared" si="74"/>
        <v>2026</v>
      </c>
      <c r="M83" s="38">
        <f>_xlfn.XLOOKUP(I83,'3. Input (des)investeringen '!$B$11:$B$89,'3. Input (des)investeringen '!$D$11:$D$89,0)</f>
        <v>30</v>
      </c>
      <c r="N83" s="3"/>
      <c r="O83" s="43">
        <f t="shared" si="0"/>
        <v>0</v>
      </c>
      <c r="P83" s="43">
        <f t="shared" si="1"/>
        <v>0</v>
      </c>
      <c r="Q83" s="3"/>
      <c r="R83" s="43">
        <f t="shared" si="73"/>
        <v>0</v>
      </c>
      <c r="S83" s="43">
        <f t="shared" si="2"/>
        <v>0</v>
      </c>
      <c r="T83" s="3"/>
      <c r="U83" s="43">
        <f t="shared" si="75"/>
        <v>224147.44705344315</v>
      </c>
      <c r="V83" s="38">
        <f t="shared" si="76"/>
        <v>30</v>
      </c>
      <c r="W83" s="3"/>
      <c r="X83" s="43">
        <f t="shared" si="77"/>
        <v>0</v>
      </c>
      <c r="Y83" s="43">
        <f t="shared" si="77"/>
        <v>0</v>
      </c>
      <c r="Z83" s="43">
        <f t="shared" si="77"/>
        <v>4370.8752175421414</v>
      </c>
      <c r="AA83" s="43">
        <f t="shared" si="77"/>
        <v>8552.3458423241227</v>
      </c>
      <c r="AB83" s="43">
        <f t="shared" si="77"/>
        <v>8181.744189156746</v>
      </c>
      <c r="AC83" s="3"/>
      <c r="AD83" s="43">
        <f t="shared" si="78"/>
        <v>0</v>
      </c>
      <c r="AE83" s="43">
        <f t="shared" si="78"/>
        <v>0</v>
      </c>
      <c r="AF83" s="43">
        <f t="shared" si="78"/>
        <v>373.57907842240525</v>
      </c>
      <c r="AG83" s="43">
        <f t="shared" si="78"/>
        <v>747.15815684481049</v>
      </c>
      <c r="AH83" s="43">
        <f t="shared" si="78"/>
        <v>747.15815684481049</v>
      </c>
      <c r="AI83" s="3"/>
      <c r="AJ83" s="43">
        <f t="shared" si="79"/>
        <v>0</v>
      </c>
      <c r="AK83" s="43">
        <f t="shared" si="80"/>
        <v>0</v>
      </c>
      <c r="AL83" s="43">
        <f t="shared" si="81"/>
        <v>4744.4542959645469</v>
      </c>
      <c r="AM83" s="43">
        <f t="shared" si="82"/>
        <v>9299.5039991689337</v>
      </c>
      <c r="AN83" s="43">
        <f t="shared" si="83"/>
        <v>8928.902346001556</v>
      </c>
      <c r="AO83" s="3"/>
      <c r="AP83" s="43">
        <f t="shared" si="84"/>
        <v>0</v>
      </c>
      <c r="AQ83" s="43">
        <f t="shared" si="85"/>
        <v>0</v>
      </c>
      <c r="AR83" s="43">
        <f t="shared" si="86"/>
        <v>219402.99275747861</v>
      </c>
      <c r="AS83" s="43">
        <f t="shared" si="87"/>
        <v>210103.48875830969</v>
      </c>
      <c r="AT83" s="43">
        <f t="shared" si="88"/>
        <v>201174.58641230813</v>
      </c>
      <c r="AU83" s="3"/>
      <c r="AV83" s="47">
        <f t="shared" si="89"/>
        <v>0</v>
      </c>
      <c r="AW83" s="47">
        <f t="shared" si="90"/>
        <v>0</v>
      </c>
      <c r="AX83" s="47">
        <f t="shared" si="91"/>
        <v>0</v>
      </c>
      <c r="AY83" s="47">
        <f t="shared" si="92"/>
        <v>0</v>
      </c>
      <c r="AZ83" s="47">
        <f t="shared" si="93"/>
        <v>13081.768020748736</v>
      </c>
      <c r="BA83" s="43">
        <f t="shared" si="94"/>
        <v>17283.436571984701</v>
      </c>
      <c r="BB83" s="43">
        <f t="shared" si="95"/>
        <v>16573.536629669266</v>
      </c>
      <c r="BC83" s="3"/>
      <c r="BD83" s="43">
        <f t="shared" si="7"/>
        <v>0</v>
      </c>
      <c r="BE83" s="43">
        <f t="shared" si="8"/>
        <v>0</v>
      </c>
      <c r="BF83" s="43">
        <f t="shared" si="9"/>
        <v>0</v>
      </c>
      <c r="BG83" s="43">
        <f t="shared" si="10"/>
        <v>0</v>
      </c>
      <c r="BH83" s="43">
        <f t="shared" si="11"/>
        <v>1120.7372352672157</v>
      </c>
      <c r="BI83" s="43">
        <f t="shared" si="12"/>
        <v>2295.0188126865578</v>
      </c>
      <c r="BJ83" s="43">
        <f t="shared" si="13"/>
        <v>2372.7006094583726</v>
      </c>
      <c r="BK83" s="3"/>
      <c r="BL83" s="43">
        <f t="shared" si="96"/>
        <v>0</v>
      </c>
      <c r="BM83" s="43">
        <f t="shared" si="97"/>
        <v>0</v>
      </c>
      <c r="BN83" s="43">
        <f t="shared" si="98"/>
        <v>0</v>
      </c>
      <c r="BO83" s="43">
        <f t="shared" si="99"/>
        <v>0</v>
      </c>
      <c r="BP83" s="43">
        <f t="shared" si="100"/>
        <v>14202.505256015951</v>
      </c>
      <c r="BQ83" s="43">
        <f t="shared" si="101"/>
        <v>19578.455384671259</v>
      </c>
      <c r="BR83" s="43">
        <f t="shared" si="102"/>
        <v>18946.23723912764</v>
      </c>
      <c r="BS83" s="3"/>
      <c r="BT83" s="10"/>
      <c r="BU83" s="10"/>
      <c r="BV83" s="51">
        <f t="shared" si="15"/>
        <v>0</v>
      </c>
      <c r="BW83" s="51">
        <f t="shared" si="16"/>
        <v>0</v>
      </c>
      <c r="BX83" s="51">
        <f t="shared" si="17"/>
        <v>0</v>
      </c>
      <c r="BY83" s="51">
        <f t="shared" si="18"/>
        <v>0</v>
      </c>
      <c r="BZ83" s="51">
        <f t="shared" si="19"/>
        <v>55460.130048166393</v>
      </c>
      <c r="CA83" s="338">
        <f t="shared" si="20"/>
        <v>0</v>
      </c>
    </row>
    <row r="84" spans="1:79" s="227" customFormat="1" ht="13">
      <c r="A84" s="48"/>
      <c r="B84" s="37">
        <f>'11. Investeringen (WUI+ombouw)'!B44</f>
        <v>25</v>
      </c>
      <c r="C84" s="226"/>
      <c r="D84" s="226"/>
      <c r="E84" s="226"/>
      <c r="F84" s="42">
        <f>'11. Investeringen (WUI+ombouw)'!C44</f>
        <v>60702.528782164503</v>
      </c>
      <c r="G84" s="48"/>
      <c r="H84" s="37">
        <f>'11. Investeringen (WUI+ombouw)'!D44</f>
        <v>2024</v>
      </c>
      <c r="I84" s="37" t="str">
        <f>'11. Investeringen (WUI+ombouw)'!E44</f>
        <v>21 Hoofdtransportleiding (KC)</v>
      </c>
      <c r="J84" s="37" t="str">
        <f>'11. Investeringen (WUI+ombouw)'!F44</f>
        <v>WUI</v>
      </c>
      <c r="K84" s="37" t="str">
        <f>'11. Investeringen (WUI+ombouw)'!G44</f>
        <v>Nee</v>
      </c>
      <c r="L84" s="38">
        <f t="shared" si="74"/>
        <v>2026</v>
      </c>
      <c r="M84" s="38">
        <f>_xlfn.XLOOKUP(I84,'3. Input (des)investeringen '!$B$11:$B$89,'3. Input (des)investeringen '!$D$11:$D$89,0)</f>
        <v>55</v>
      </c>
      <c r="N84" s="3"/>
      <c r="O84" s="43">
        <f t="shared" si="0"/>
        <v>0</v>
      </c>
      <c r="P84" s="43">
        <f t="shared" si="1"/>
        <v>0</v>
      </c>
      <c r="Q84" s="3"/>
      <c r="R84" s="43">
        <f t="shared" si="73"/>
        <v>0</v>
      </c>
      <c r="S84" s="43">
        <f t="shared" si="2"/>
        <v>0</v>
      </c>
      <c r="T84" s="3"/>
      <c r="U84" s="43">
        <f t="shared" si="75"/>
        <v>60702.528782164503</v>
      </c>
      <c r="V84" s="38">
        <f t="shared" si="76"/>
        <v>55</v>
      </c>
      <c r="W84" s="3"/>
      <c r="X84" s="43">
        <f t="shared" si="77"/>
        <v>0</v>
      </c>
      <c r="Y84" s="43">
        <f t="shared" si="77"/>
        <v>0</v>
      </c>
      <c r="Z84" s="43">
        <f t="shared" si="77"/>
        <v>645.65416977393159</v>
      </c>
      <c r="AA84" s="43">
        <f t="shared" si="77"/>
        <v>1276.0474228077521</v>
      </c>
      <c r="AB84" s="43">
        <f t="shared" si="77"/>
        <v>1245.8863019050234</v>
      </c>
      <c r="AC84" s="3"/>
      <c r="AD84" s="43">
        <f t="shared" si="78"/>
        <v>0</v>
      </c>
      <c r="AE84" s="43">
        <f t="shared" si="78"/>
        <v>0</v>
      </c>
      <c r="AF84" s="43">
        <f t="shared" si="78"/>
        <v>55.18411707469501</v>
      </c>
      <c r="AG84" s="43">
        <f t="shared" si="78"/>
        <v>110.36823414939002</v>
      </c>
      <c r="AH84" s="43">
        <f t="shared" si="78"/>
        <v>110.36823414939002</v>
      </c>
      <c r="AI84" s="3"/>
      <c r="AJ84" s="43">
        <f t="shared" si="79"/>
        <v>0</v>
      </c>
      <c r="AK84" s="43">
        <f t="shared" si="80"/>
        <v>0</v>
      </c>
      <c r="AL84" s="43">
        <f t="shared" si="81"/>
        <v>700.83828684862658</v>
      </c>
      <c r="AM84" s="43">
        <f t="shared" si="82"/>
        <v>1386.4156569571421</v>
      </c>
      <c r="AN84" s="43">
        <f t="shared" si="83"/>
        <v>1356.2545360544134</v>
      </c>
      <c r="AO84" s="3"/>
      <c r="AP84" s="43">
        <f t="shared" si="84"/>
        <v>0</v>
      </c>
      <c r="AQ84" s="43">
        <f t="shared" si="85"/>
        <v>0</v>
      </c>
      <c r="AR84" s="43">
        <f t="shared" si="86"/>
        <v>60001.690495315874</v>
      </c>
      <c r="AS84" s="43">
        <f t="shared" si="87"/>
        <v>58615.274838358731</v>
      </c>
      <c r="AT84" s="43">
        <f t="shared" si="88"/>
        <v>57259.020302304321</v>
      </c>
      <c r="AU84" s="3"/>
      <c r="AV84" s="47">
        <f t="shared" si="89"/>
        <v>0</v>
      </c>
      <c r="AW84" s="47">
        <f t="shared" si="90"/>
        <v>0</v>
      </c>
      <c r="AX84" s="47">
        <f t="shared" si="91"/>
        <v>0</v>
      </c>
      <c r="AY84" s="47">
        <f t="shared" si="92"/>
        <v>0</v>
      </c>
      <c r="AZ84" s="47">
        <f t="shared" si="93"/>
        <v>2980.9025256706295</v>
      </c>
      <c r="BA84" s="43">
        <f t="shared" si="94"/>
        <v>3613.796100814774</v>
      </c>
      <c r="BB84" s="43">
        <f t="shared" si="95"/>
        <v>3532.0973075419779</v>
      </c>
      <c r="BC84" s="3"/>
      <c r="BD84" s="43">
        <f t="shared" si="7"/>
        <v>0</v>
      </c>
      <c r="BE84" s="43">
        <f t="shared" si="8"/>
        <v>0</v>
      </c>
      <c r="BF84" s="43">
        <f t="shared" si="9"/>
        <v>0</v>
      </c>
      <c r="BG84" s="43">
        <f t="shared" si="10"/>
        <v>0</v>
      </c>
      <c r="BH84" s="43">
        <f t="shared" si="11"/>
        <v>303.51264391082253</v>
      </c>
      <c r="BI84" s="43">
        <f t="shared" si="12"/>
        <v>621.5259078971286</v>
      </c>
      <c r="BJ84" s="43">
        <f t="shared" si="13"/>
        <v>642.56331682763062</v>
      </c>
      <c r="BK84" s="3"/>
      <c r="BL84" s="43">
        <f t="shared" si="96"/>
        <v>0</v>
      </c>
      <c r="BM84" s="43">
        <f t="shared" si="97"/>
        <v>0</v>
      </c>
      <c r="BN84" s="43">
        <f t="shared" si="98"/>
        <v>0</v>
      </c>
      <c r="BO84" s="43">
        <f t="shared" si="99"/>
        <v>0</v>
      </c>
      <c r="BP84" s="43">
        <f t="shared" si="100"/>
        <v>3284.4151695814521</v>
      </c>
      <c r="BQ84" s="43">
        <f t="shared" si="101"/>
        <v>4235.3220087119025</v>
      </c>
      <c r="BR84" s="43">
        <f t="shared" si="102"/>
        <v>4174.6606243696087</v>
      </c>
      <c r="BS84" s="3"/>
      <c r="BT84" s="10"/>
      <c r="BU84" s="10"/>
      <c r="BV84" s="51">
        <f t="shared" si="15"/>
        <v>0</v>
      </c>
      <c r="BW84" s="51">
        <f t="shared" si="16"/>
        <v>0</v>
      </c>
      <c r="BX84" s="51">
        <f t="shared" si="17"/>
        <v>0</v>
      </c>
      <c r="BY84" s="51">
        <f t="shared" si="18"/>
        <v>0</v>
      </c>
      <c r="BZ84" s="51">
        <f t="shared" si="19"/>
        <v>12311.789176541868</v>
      </c>
      <c r="CA84" s="338">
        <f t="shared" si="20"/>
        <v>0</v>
      </c>
    </row>
    <row r="85" spans="1:79" s="227" customFormat="1" ht="13">
      <c r="A85" s="48"/>
      <c r="B85" s="37">
        <f>'11. Investeringen (WUI+ombouw)'!B45</f>
        <v>26</v>
      </c>
      <c r="C85" s="226"/>
      <c r="D85" s="226"/>
      <c r="E85" s="226"/>
      <c r="F85" s="42">
        <f>'11. Investeringen (WUI+ombouw)'!C45</f>
        <v>345979197.88378441</v>
      </c>
      <c r="G85" s="48"/>
      <c r="H85" s="37">
        <f>'11. Investeringen (WUI+ombouw)'!D45</f>
        <v>2024</v>
      </c>
      <c r="I85" s="37" t="str">
        <f>'11. Investeringen (WUI+ombouw)'!E45</f>
        <v>36 Luchtscheidingsunit</v>
      </c>
      <c r="J85" s="37" t="str">
        <f>'11. Investeringen (WUI+ombouw)'!F45</f>
        <v>WUI</v>
      </c>
      <c r="K85" s="37" t="str">
        <f>'11. Investeringen (WUI+ombouw)'!G45</f>
        <v>Nee</v>
      </c>
      <c r="L85" s="38">
        <f t="shared" si="74"/>
        <v>2026</v>
      </c>
      <c r="M85" s="38">
        <f>_xlfn.XLOOKUP(I85,'3. Input (des)investeringen '!$B$11:$B$89,'3. Input (des)investeringen '!$D$11:$D$89,0)</f>
        <v>30</v>
      </c>
      <c r="N85" s="3"/>
      <c r="O85" s="43">
        <f t="shared" si="0"/>
        <v>0</v>
      </c>
      <c r="P85" s="43">
        <f t="shared" si="1"/>
        <v>0</v>
      </c>
      <c r="Q85" s="3"/>
      <c r="R85" s="43">
        <f t="shared" si="73"/>
        <v>0</v>
      </c>
      <c r="S85" s="43">
        <f t="shared" si="2"/>
        <v>0</v>
      </c>
      <c r="T85" s="3"/>
      <c r="U85" s="43">
        <f t="shared" si="75"/>
        <v>345979197.88378441</v>
      </c>
      <c r="V85" s="38">
        <f t="shared" si="76"/>
        <v>30</v>
      </c>
      <c r="W85" s="3"/>
      <c r="X85" s="43">
        <f t="shared" si="77"/>
        <v>0</v>
      </c>
      <c r="Y85" s="43">
        <f t="shared" si="77"/>
        <v>0</v>
      </c>
      <c r="Z85" s="43">
        <f t="shared" si="77"/>
        <v>6746594.3587337965</v>
      </c>
      <c r="AA85" s="43">
        <f t="shared" si="77"/>
        <v>13200836.295255795</v>
      </c>
      <c r="AB85" s="43">
        <f t="shared" si="77"/>
        <v>12628800.055794712</v>
      </c>
      <c r="AC85" s="3"/>
      <c r="AD85" s="43">
        <f t="shared" si="78"/>
        <v>0</v>
      </c>
      <c r="AE85" s="43">
        <f t="shared" si="78"/>
        <v>0</v>
      </c>
      <c r="AF85" s="43">
        <f t="shared" si="78"/>
        <v>576631.99647297408</v>
      </c>
      <c r="AG85" s="43">
        <f t="shared" si="78"/>
        <v>1153263.9929459482</v>
      </c>
      <c r="AH85" s="43">
        <f t="shared" si="78"/>
        <v>1153263.9929459482</v>
      </c>
      <c r="AI85" s="3"/>
      <c r="AJ85" s="43">
        <f t="shared" si="79"/>
        <v>0</v>
      </c>
      <c r="AK85" s="43">
        <f t="shared" si="80"/>
        <v>0</v>
      </c>
      <c r="AL85" s="43">
        <f t="shared" si="81"/>
        <v>7323226.3552067708</v>
      </c>
      <c r="AM85" s="43">
        <f t="shared" si="82"/>
        <v>14354100.288201744</v>
      </c>
      <c r="AN85" s="43">
        <f t="shared" si="83"/>
        <v>13782064.048740661</v>
      </c>
      <c r="AO85" s="3"/>
      <c r="AP85" s="43">
        <f t="shared" si="84"/>
        <v>0</v>
      </c>
      <c r="AQ85" s="43">
        <f t="shared" si="85"/>
        <v>0</v>
      </c>
      <c r="AR85" s="43">
        <f t="shared" si="86"/>
        <v>338655971.52857763</v>
      </c>
      <c r="AS85" s="43">
        <f t="shared" si="87"/>
        <v>324301871.24037588</v>
      </c>
      <c r="AT85" s="43">
        <f t="shared" si="88"/>
        <v>310519807.19163519</v>
      </c>
      <c r="AU85" s="3"/>
      <c r="AV85" s="47">
        <f t="shared" si="89"/>
        <v>0</v>
      </c>
      <c r="AW85" s="47">
        <f t="shared" si="90"/>
        <v>0</v>
      </c>
      <c r="AX85" s="47">
        <f t="shared" si="91"/>
        <v>0</v>
      </c>
      <c r="AY85" s="47">
        <f t="shared" si="92"/>
        <v>0</v>
      </c>
      <c r="AZ85" s="47">
        <f t="shared" si="93"/>
        <v>20192153.27329272</v>
      </c>
      <c r="BA85" s="43">
        <f t="shared" si="94"/>
        <v>26677571.395336024</v>
      </c>
      <c r="BB85" s="43">
        <f t="shared" si="95"/>
        <v>25581816.722022798</v>
      </c>
      <c r="BC85" s="3"/>
      <c r="BD85" s="43">
        <f t="shared" si="7"/>
        <v>0</v>
      </c>
      <c r="BE85" s="43">
        <f t="shared" si="8"/>
        <v>0</v>
      </c>
      <c r="BF85" s="43">
        <f t="shared" si="9"/>
        <v>0</v>
      </c>
      <c r="BG85" s="43">
        <f t="shared" si="10"/>
        <v>0</v>
      </c>
      <c r="BH85" s="43">
        <f t="shared" si="11"/>
        <v>1729895.989418922</v>
      </c>
      <c r="BI85" s="43">
        <f t="shared" si="12"/>
        <v>3542439.4896283224</v>
      </c>
      <c r="BJ85" s="43">
        <f t="shared" si="13"/>
        <v>3662343.981473262</v>
      </c>
      <c r="BK85" s="3"/>
      <c r="BL85" s="43">
        <f t="shared" si="96"/>
        <v>0</v>
      </c>
      <c r="BM85" s="43">
        <f t="shared" si="97"/>
        <v>0</v>
      </c>
      <c r="BN85" s="43">
        <f t="shared" si="98"/>
        <v>0</v>
      </c>
      <c r="BO85" s="43">
        <f t="shared" si="99"/>
        <v>0</v>
      </c>
      <c r="BP85" s="43">
        <f t="shared" si="100"/>
        <v>21922049.262711644</v>
      </c>
      <c r="BQ85" s="43">
        <f t="shared" si="101"/>
        <v>30220010.884964347</v>
      </c>
      <c r="BR85" s="43">
        <f t="shared" si="102"/>
        <v>29244160.703496061</v>
      </c>
      <c r="BS85" s="3"/>
      <c r="BT85" s="10"/>
      <c r="BU85" s="10"/>
      <c r="BV85" s="51">
        <f t="shared" si="15"/>
        <v>0</v>
      </c>
      <c r="BW85" s="51">
        <f t="shared" si="16"/>
        <v>0</v>
      </c>
      <c r="BX85" s="51">
        <f t="shared" si="17"/>
        <v>0</v>
      </c>
      <c r="BY85" s="51">
        <f t="shared" si="18"/>
        <v>0</v>
      </c>
      <c r="BZ85" s="51">
        <f t="shared" si="19"/>
        <v>85604594.47936517</v>
      </c>
      <c r="CA85" s="338">
        <f t="shared" si="20"/>
        <v>0</v>
      </c>
    </row>
    <row r="86" spans="1:79" s="227" customFormat="1" ht="13">
      <c r="A86" s="48"/>
      <c r="B86" s="37">
        <f>'11. Investeringen (WUI+ombouw)'!B46</f>
        <v>27</v>
      </c>
      <c r="C86" s="226"/>
      <c r="D86" s="226"/>
      <c r="E86" s="226"/>
      <c r="F86" s="42">
        <f>'11. Investeringen (WUI+ombouw)'!C46</f>
        <v>10411.73874262043</v>
      </c>
      <c r="G86" s="48"/>
      <c r="H86" s="37">
        <f>'11. Investeringen (WUI+ombouw)'!D46</f>
        <v>2024</v>
      </c>
      <c r="I86" s="37" t="str">
        <f>'11. Investeringen (WUI+ombouw)'!E46</f>
        <v>41 Stikstofbuffer</v>
      </c>
      <c r="J86" s="37" t="str">
        <f>'11. Investeringen (WUI+ombouw)'!F46</f>
        <v>WUI</v>
      </c>
      <c r="K86" s="37" t="str">
        <f>'11. Investeringen (WUI+ombouw)'!G46</f>
        <v>Nee</v>
      </c>
      <c r="L86" s="38">
        <f t="shared" si="74"/>
        <v>2026</v>
      </c>
      <c r="M86" s="38">
        <f>_xlfn.XLOOKUP(I86,'3. Input (des)investeringen '!$B$11:$B$89,'3. Input (des)investeringen '!$D$11:$D$89,0)</f>
        <v>30</v>
      </c>
      <c r="N86" s="3"/>
      <c r="O86" s="43">
        <f t="shared" si="0"/>
        <v>0</v>
      </c>
      <c r="P86" s="43">
        <f t="shared" si="1"/>
        <v>0</v>
      </c>
      <c r="Q86" s="3"/>
      <c r="R86" s="43">
        <f t="shared" si="73"/>
        <v>0</v>
      </c>
      <c r="S86" s="43">
        <f t="shared" si="2"/>
        <v>0</v>
      </c>
      <c r="T86" s="3"/>
      <c r="U86" s="43">
        <f t="shared" si="75"/>
        <v>10411.73874262043</v>
      </c>
      <c r="V86" s="38">
        <f t="shared" si="76"/>
        <v>30</v>
      </c>
      <c r="W86" s="3"/>
      <c r="X86" s="43">
        <f t="shared" si="77"/>
        <v>0</v>
      </c>
      <c r="Y86" s="43">
        <f t="shared" si="77"/>
        <v>0</v>
      </c>
      <c r="Z86" s="43">
        <f t="shared" si="77"/>
        <v>203.02890548109841</v>
      </c>
      <c r="AA86" s="43">
        <f t="shared" si="77"/>
        <v>397.25989172468252</v>
      </c>
      <c r="AB86" s="43">
        <f t="shared" si="77"/>
        <v>380.04529641661293</v>
      </c>
      <c r="AC86" s="3"/>
      <c r="AD86" s="43">
        <f t="shared" si="78"/>
        <v>0</v>
      </c>
      <c r="AE86" s="43">
        <f t="shared" si="78"/>
        <v>0</v>
      </c>
      <c r="AF86" s="43">
        <f t="shared" si="78"/>
        <v>17.352897904367381</v>
      </c>
      <c r="AG86" s="43">
        <f t="shared" si="78"/>
        <v>34.705795808734763</v>
      </c>
      <c r="AH86" s="43">
        <f t="shared" si="78"/>
        <v>34.705795808734763</v>
      </c>
      <c r="AI86" s="3"/>
      <c r="AJ86" s="43">
        <f t="shared" si="79"/>
        <v>0</v>
      </c>
      <c r="AK86" s="43">
        <f t="shared" si="80"/>
        <v>0</v>
      </c>
      <c r="AL86" s="43">
        <f t="shared" si="81"/>
        <v>220.38180338546579</v>
      </c>
      <c r="AM86" s="43">
        <f t="shared" si="82"/>
        <v>431.96568753341728</v>
      </c>
      <c r="AN86" s="43">
        <f t="shared" si="83"/>
        <v>414.75109222534769</v>
      </c>
      <c r="AO86" s="3"/>
      <c r="AP86" s="43">
        <f t="shared" si="84"/>
        <v>0</v>
      </c>
      <c r="AQ86" s="43">
        <f t="shared" si="85"/>
        <v>0</v>
      </c>
      <c r="AR86" s="43">
        <f t="shared" si="86"/>
        <v>10191.356939234964</v>
      </c>
      <c r="AS86" s="43">
        <f t="shared" si="87"/>
        <v>9759.3912517015469</v>
      </c>
      <c r="AT86" s="43">
        <f t="shared" si="88"/>
        <v>9344.6401594761992</v>
      </c>
      <c r="AU86" s="3"/>
      <c r="AV86" s="47">
        <f t="shared" si="89"/>
        <v>0</v>
      </c>
      <c r="AW86" s="47">
        <f t="shared" si="90"/>
        <v>0</v>
      </c>
      <c r="AX86" s="47">
        <f t="shared" si="91"/>
        <v>0</v>
      </c>
      <c r="AY86" s="47">
        <f t="shared" si="92"/>
        <v>0</v>
      </c>
      <c r="AZ86" s="47">
        <f t="shared" si="93"/>
        <v>607.65336707639437</v>
      </c>
      <c r="BA86" s="43">
        <f t="shared" si="94"/>
        <v>802.82255509807601</v>
      </c>
      <c r="BB86" s="43">
        <f t="shared" si="95"/>
        <v>769.84741828544327</v>
      </c>
      <c r="BC86" s="3"/>
      <c r="BD86" s="43">
        <f t="shared" si="7"/>
        <v>0</v>
      </c>
      <c r="BE86" s="43">
        <f t="shared" si="8"/>
        <v>0</v>
      </c>
      <c r="BF86" s="43">
        <f t="shared" si="9"/>
        <v>0</v>
      </c>
      <c r="BG86" s="43">
        <f t="shared" si="10"/>
        <v>0</v>
      </c>
      <c r="BH86" s="43">
        <f t="shared" si="11"/>
        <v>52.058693713102151</v>
      </c>
      <c r="BI86" s="43">
        <f t="shared" si="12"/>
        <v>106.60454357704148</v>
      </c>
      <c r="BJ86" s="43">
        <f t="shared" si="13"/>
        <v>110.21289416803718</v>
      </c>
      <c r="BK86" s="3"/>
      <c r="BL86" s="43">
        <f t="shared" si="96"/>
        <v>0</v>
      </c>
      <c r="BM86" s="43">
        <f t="shared" si="97"/>
        <v>0</v>
      </c>
      <c r="BN86" s="43">
        <f t="shared" si="98"/>
        <v>0</v>
      </c>
      <c r="BO86" s="43">
        <f t="shared" si="99"/>
        <v>0</v>
      </c>
      <c r="BP86" s="43">
        <f t="shared" si="100"/>
        <v>659.71206078949649</v>
      </c>
      <c r="BQ86" s="43">
        <f t="shared" si="101"/>
        <v>909.42709867511746</v>
      </c>
      <c r="BR86" s="43">
        <f t="shared" si="102"/>
        <v>880.06031245348049</v>
      </c>
      <c r="BS86" s="3"/>
      <c r="BT86" s="10"/>
      <c r="BU86" s="10"/>
      <c r="BV86" s="51">
        <f t="shared" si="15"/>
        <v>0</v>
      </c>
      <c r="BW86" s="51">
        <f t="shared" si="16"/>
        <v>0</v>
      </c>
      <c r="BX86" s="51">
        <f t="shared" si="17"/>
        <v>0</v>
      </c>
      <c r="BY86" s="51">
        <f t="shared" si="18"/>
        <v>0</v>
      </c>
      <c r="BZ86" s="51">
        <f t="shared" si="19"/>
        <v>2576.1452663593532</v>
      </c>
      <c r="CA86" s="338">
        <f t="shared" si="20"/>
        <v>0</v>
      </c>
    </row>
    <row r="87" spans="1:79" s="227" customFormat="1" ht="13">
      <c r="A87" s="48"/>
      <c r="B87" s="37">
        <f>'11. Investeringen (WUI+ombouw)'!B47</f>
        <v>28</v>
      </c>
      <c r="C87" s="226"/>
      <c r="D87" s="226"/>
      <c r="E87" s="226"/>
      <c r="F87" s="42">
        <f>'11. Investeringen (WUI+ombouw)'!C47</f>
        <v>5531647.6298829895</v>
      </c>
      <c r="G87" s="48"/>
      <c r="H87" s="37">
        <f>'11. Investeringen (WUI+ombouw)'!D47</f>
        <v>2024</v>
      </c>
      <c r="I87" s="37" t="str">
        <f>'11. Investeringen (WUI+ombouw)'!E47</f>
        <v>01 Regionale leidingen</v>
      </c>
      <c r="J87" s="37" t="str">
        <f>'11. Investeringen (WUI+ombouw)'!F47</f>
        <v>VVI</v>
      </c>
      <c r="K87" s="37" t="str">
        <f>'11. Investeringen (WUI+ombouw)'!G47</f>
        <v>Ja</v>
      </c>
      <c r="L87" s="38">
        <f t="shared" si="74"/>
        <v>2026</v>
      </c>
      <c r="M87" s="38">
        <f>_xlfn.XLOOKUP(I87,'3. Input (des)investeringen '!$B$11:$B$89,'3. Input (des)investeringen '!$D$11:$D$89,0)</f>
        <v>55</v>
      </c>
      <c r="N87" s="3"/>
      <c r="O87" s="43">
        <f t="shared" si="0"/>
        <v>0</v>
      </c>
      <c r="P87" s="43">
        <f t="shared" si="1"/>
        <v>0</v>
      </c>
      <c r="Q87" s="3"/>
      <c r="R87" s="43">
        <f t="shared" ref="R87:R89" si="103">IF($O87=0,IF($H87=O$58,$F87,0),IF(OR($H87&gt;R$58,$H87+$M87&lt;=R$58),0,F87-O87))</f>
        <v>0</v>
      </c>
      <c r="S87" s="43">
        <f t="shared" si="2"/>
        <v>0</v>
      </c>
      <c r="T87" s="3"/>
      <c r="U87" s="43">
        <f t="shared" si="75"/>
        <v>5531647.6298829895</v>
      </c>
      <c r="V87" s="38">
        <f t="shared" si="76"/>
        <v>55</v>
      </c>
      <c r="W87" s="3"/>
      <c r="X87" s="43">
        <f t="shared" si="77"/>
        <v>0</v>
      </c>
      <c r="Y87" s="43">
        <f t="shared" si="77"/>
        <v>0</v>
      </c>
      <c r="Z87" s="43">
        <f t="shared" si="77"/>
        <v>58836.61569966453</v>
      </c>
      <c r="AA87" s="43">
        <f t="shared" si="77"/>
        <v>116282.5477555188</v>
      </c>
      <c r="AB87" s="43">
        <f t="shared" si="77"/>
        <v>113534.05117220654</v>
      </c>
      <c r="AC87" s="3"/>
      <c r="AD87" s="43">
        <f t="shared" si="78"/>
        <v>0</v>
      </c>
      <c r="AE87" s="43">
        <f t="shared" si="78"/>
        <v>0</v>
      </c>
      <c r="AF87" s="43">
        <f t="shared" si="78"/>
        <v>5028.7705726208997</v>
      </c>
      <c r="AG87" s="43">
        <f t="shared" si="78"/>
        <v>10057.541145241799</v>
      </c>
      <c r="AH87" s="43">
        <f t="shared" si="78"/>
        <v>10057.541145241799</v>
      </c>
      <c r="AI87" s="3"/>
      <c r="AJ87" s="43">
        <f t="shared" si="79"/>
        <v>0</v>
      </c>
      <c r="AK87" s="43">
        <f t="shared" si="80"/>
        <v>0</v>
      </c>
      <c r="AL87" s="43">
        <f t="shared" si="81"/>
        <v>63865.386272285432</v>
      </c>
      <c r="AM87" s="43">
        <f t="shared" si="82"/>
        <v>126340.0889007606</v>
      </c>
      <c r="AN87" s="43">
        <f t="shared" si="83"/>
        <v>123591.59231744835</v>
      </c>
      <c r="AO87" s="3"/>
      <c r="AP87" s="43">
        <f t="shared" si="84"/>
        <v>0</v>
      </c>
      <c r="AQ87" s="43">
        <f t="shared" si="85"/>
        <v>0</v>
      </c>
      <c r="AR87" s="43">
        <f t="shared" si="86"/>
        <v>5467782.2436107043</v>
      </c>
      <c r="AS87" s="43">
        <f t="shared" si="87"/>
        <v>5341442.1547099436</v>
      </c>
      <c r="AT87" s="43">
        <f t="shared" si="88"/>
        <v>5217850.5623924956</v>
      </c>
      <c r="AU87" s="3"/>
      <c r="AV87" s="47">
        <f t="shared" si="89"/>
        <v>0</v>
      </c>
      <c r="AW87" s="47">
        <f t="shared" si="90"/>
        <v>0</v>
      </c>
      <c r="AX87" s="47">
        <f t="shared" si="91"/>
        <v>0</v>
      </c>
      <c r="AY87" s="47">
        <f t="shared" si="92"/>
        <v>0</v>
      </c>
      <c r="AZ87" s="47">
        <f t="shared" si="93"/>
        <v>271641.11152949219</v>
      </c>
      <c r="BA87" s="43">
        <f t="shared" si="94"/>
        <v>329314.89077973843</v>
      </c>
      <c r="BB87" s="43">
        <f t="shared" si="95"/>
        <v>321869.91368836316</v>
      </c>
      <c r="BC87" s="3"/>
      <c r="BD87" s="43">
        <f t="shared" si="7"/>
        <v>0</v>
      </c>
      <c r="BE87" s="43">
        <f t="shared" si="8"/>
        <v>0</v>
      </c>
      <c r="BF87" s="43">
        <f t="shared" si="9"/>
        <v>0</v>
      </c>
      <c r="BG87" s="43">
        <f t="shared" si="10"/>
        <v>0</v>
      </c>
      <c r="BH87" s="43">
        <f t="shared" si="11"/>
        <v>27658.238149414949</v>
      </c>
      <c r="BI87" s="43">
        <f t="shared" si="12"/>
        <v>56637.876284656348</v>
      </c>
      <c r="BJ87" s="43">
        <f t="shared" si="13"/>
        <v>58554.955121139399</v>
      </c>
      <c r="BK87" s="3"/>
      <c r="BL87" s="43">
        <f t="shared" si="96"/>
        <v>0</v>
      </c>
      <c r="BM87" s="43">
        <f t="shared" si="97"/>
        <v>0</v>
      </c>
      <c r="BN87" s="43">
        <f t="shared" si="98"/>
        <v>0</v>
      </c>
      <c r="BO87" s="43">
        <f t="shared" si="99"/>
        <v>0</v>
      </c>
      <c r="BP87" s="43">
        <f t="shared" si="100"/>
        <v>299299.34967890714</v>
      </c>
      <c r="BQ87" s="43">
        <f t="shared" si="101"/>
        <v>385952.76706439478</v>
      </c>
      <c r="BR87" s="43">
        <f t="shared" si="102"/>
        <v>380424.86880950257</v>
      </c>
      <c r="BS87" s="3"/>
      <c r="BT87" s="10"/>
      <c r="BU87" s="10"/>
      <c r="BV87" s="51">
        <f t="shared" si="15"/>
        <v>0</v>
      </c>
      <c r="BW87" s="51">
        <f t="shared" si="16"/>
        <v>0</v>
      </c>
      <c r="BX87" s="51">
        <f t="shared" si="17"/>
        <v>0</v>
      </c>
      <c r="BY87" s="51">
        <f t="shared" si="18"/>
        <v>0</v>
      </c>
      <c r="BZ87" s="51">
        <f t="shared" si="19"/>
        <v>1121938.0935913692</v>
      </c>
      <c r="CA87" s="338">
        <f t="shared" si="20"/>
        <v>0</v>
      </c>
    </row>
    <row r="88" spans="1:79" s="227" customFormat="1" ht="13">
      <c r="B88" s="37">
        <f>'11. Investeringen (WUI+ombouw)'!B48</f>
        <v>29</v>
      </c>
      <c r="C88" s="226"/>
      <c r="D88" s="226"/>
      <c r="E88" s="226"/>
      <c r="F88" s="42">
        <f>'11. Investeringen (WUI+ombouw)'!C48</f>
        <v>2027103.1807256674</v>
      </c>
      <c r="G88" s="48"/>
      <c r="H88" s="37">
        <f>'11. Investeringen (WUI+ombouw)'!D48</f>
        <v>2024</v>
      </c>
      <c r="I88" s="37" t="str">
        <f>'11. Investeringen (WUI+ombouw)'!E48</f>
        <v>02 Gasontvangststations</v>
      </c>
      <c r="J88" s="37" t="str">
        <f>'11. Investeringen (WUI+ombouw)'!F48</f>
        <v>VVI</v>
      </c>
      <c r="K88" s="37" t="str">
        <f>'11. Investeringen (WUI+ombouw)'!G48</f>
        <v>Ja</v>
      </c>
      <c r="L88" s="38">
        <f t="shared" si="74"/>
        <v>2026</v>
      </c>
      <c r="M88" s="38">
        <f>_xlfn.XLOOKUP(I88,'3. Input (des)investeringen '!$B$11:$B$89,'3. Input (des)investeringen '!$D$11:$D$89,0)</f>
        <v>30</v>
      </c>
      <c r="N88" s="3"/>
      <c r="O88" s="43">
        <f t="shared" si="0"/>
        <v>0</v>
      </c>
      <c r="P88" s="43">
        <f t="shared" si="1"/>
        <v>0</v>
      </c>
      <c r="Q88" s="3"/>
      <c r="R88" s="43">
        <f t="shared" si="103"/>
        <v>0</v>
      </c>
      <c r="S88" s="43">
        <f t="shared" si="2"/>
        <v>0</v>
      </c>
      <c r="T88" s="3"/>
      <c r="U88" s="43">
        <f t="shared" si="75"/>
        <v>2027103.1807256674</v>
      </c>
      <c r="V88" s="38">
        <f t="shared" si="76"/>
        <v>30</v>
      </c>
      <c r="W88" s="3"/>
      <c r="X88" s="43">
        <f t="shared" si="77"/>
        <v>0</v>
      </c>
      <c r="Y88" s="43">
        <f t="shared" si="77"/>
        <v>0</v>
      </c>
      <c r="Z88" s="43">
        <f t="shared" si="77"/>
        <v>39528.512024150521</v>
      </c>
      <c r="AA88" s="43">
        <f t="shared" si="77"/>
        <v>77344.121860587838</v>
      </c>
      <c r="AB88" s="43">
        <f t="shared" si="77"/>
        <v>73992.543246629037</v>
      </c>
      <c r="AC88" s="3"/>
      <c r="AD88" s="43">
        <f t="shared" si="78"/>
        <v>0</v>
      </c>
      <c r="AE88" s="43">
        <f t="shared" si="78"/>
        <v>0</v>
      </c>
      <c r="AF88" s="43">
        <f t="shared" si="78"/>
        <v>3378.5053012094454</v>
      </c>
      <c r="AG88" s="43">
        <f t="shared" si="78"/>
        <v>6757.0106024188908</v>
      </c>
      <c r="AH88" s="43">
        <f t="shared" si="78"/>
        <v>6757.0106024188908</v>
      </c>
      <c r="AI88" s="3"/>
      <c r="AJ88" s="43">
        <f t="shared" si="79"/>
        <v>0</v>
      </c>
      <c r="AK88" s="43">
        <f t="shared" si="80"/>
        <v>0</v>
      </c>
      <c r="AL88" s="43">
        <f t="shared" si="81"/>
        <v>42907.017325359964</v>
      </c>
      <c r="AM88" s="43">
        <f t="shared" si="82"/>
        <v>84101.132463006725</v>
      </c>
      <c r="AN88" s="43">
        <f t="shared" si="83"/>
        <v>80749.553849047923</v>
      </c>
      <c r="AO88" s="3"/>
      <c r="AP88" s="43">
        <f t="shared" si="84"/>
        <v>0</v>
      </c>
      <c r="AQ88" s="43">
        <f t="shared" si="85"/>
        <v>0</v>
      </c>
      <c r="AR88" s="43">
        <f t="shared" si="86"/>
        <v>1984196.1634003075</v>
      </c>
      <c r="AS88" s="43">
        <f t="shared" si="87"/>
        <v>1900095.0309373008</v>
      </c>
      <c r="AT88" s="43">
        <f t="shared" si="88"/>
        <v>1819345.4770882528</v>
      </c>
      <c r="AU88" s="3"/>
      <c r="AV88" s="47">
        <f t="shared" si="89"/>
        <v>0</v>
      </c>
      <c r="AW88" s="47">
        <f t="shared" si="90"/>
        <v>0</v>
      </c>
      <c r="AX88" s="47">
        <f t="shared" si="91"/>
        <v>0</v>
      </c>
      <c r="AY88" s="47">
        <f t="shared" si="92"/>
        <v>0</v>
      </c>
      <c r="AZ88" s="47">
        <f t="shared" si="93"/>
        <v>118306.47153457165</v>
      </c>
      <c r="BA88" s="43">
        <f t="shared" si="94"/>
        <v>156304.74363862415</v>
      </c>
      <c r="BB88" s="43">
        <f t="shared" si="95"/>
        <v>149884.68197840152</v>
      </c>
      <c r="BC88" s="3"/>
      <c r="BD88" s="43">
        <f t="shared" si="7"/>
        <v>0</v>
      </c>
      <c r="BE88" s="43">
        <f t="shared" si="8"/>
        <v>0</v>
      </c>
      <c r="BF88" s="43">
        <f t="shared" si="9"/>
        <v>0</v>
      </c>
      <c r="BG88" s="43">
        <f t="shared" si="10"/>
        <v>0</v>
      </c>
      <c r="BH88" s="43">
        <f t="shared" si="11"/>
        <v>10135.515903628337</v>
      </c>
      <c r="BI88" s="43">
        <f t="shared" si="12"/>
        <v>20755.266215068419</v>
      </c>
      <c r="BJ88" s="43">
        <f t="shared" si="13"/>
        <v>21457.790465916056</v>
      </c>
      <c r="BK88" s="3"/>
      <c r="BL88" s="43">
        <f t="shared" si="96"/>
        <v>0</v>
      </c>
      <c r="BM88" s="43">
        <f t="shared" si="97"/>
        <v>0</v>
      </c>
      <c r="BN88" s="43">
        <f t="shared" si="98"/>
        <v>0</v>
      </c>
      <c r="BO88" s="43">
        <f t="shared" si="99"/>
        <v>0</v>
      </c>
      <c r="BP88" s="43">
        <f t="shared" si="100"/>
        <v>128441.98743819998</v>
      </c>
      <c r="BQ88" s="43">
        <f t="shared" si="101"/>
        <v>177060.00985369255</v>
      </c>
      <c r="BR88" s="43">
        <f t="shared" si="102"/>
        <v>171342.47244431759</v>
      </c>
      <c r="BS88" s="3"/>
      <c r="BT88" s="10"/>
      <c r="BU88" s="10"/>
      <c r="BV88" s="51">
        <f t="shared" si="15"/>
        <v>0</v>
      </c>
      <c r="BW88" s="51">
        <f t="shared" si="16"/>
        <v>0</v>
      </c>
      <c r="BX88" s="51">
        <f t="shared" si="17"/>
        <v>0</v>
      </c>
      <c r="BY88" s="51">
        <f t="shared" si="18"/>
        <v>0</v>
      </c>
      <c r="BZ88" s="51">
        <f t="shared" si="19"/>
        <v>501560.05567751249</v>
      </c>
      <c r="CA88" s="338">
        <f t="shared" si="20"/>
        <v>0</v>
      </c>
    </row>
    <row r="89" spans="1:79" s="227" customFormat="1" ht="13">
      <c r="B89" s="37">
        <f>'11. Investeringen (WUI+ombouw)'!B49</f>
        <v>30</v>
      </c>
      <c r="C89" s="226"/>
      <c r="D89" s="226"/>
      <c r="E89" s="226"/>
      <c r="F89" s="42">
        <f>'11. Investeringen (WUI+ombouw)'!C49</f>
        <v>33082111.823863443</v>
      </c>
      <c r="G89" s="48"/>
      <c r="H89" s="37">
        <f>'11. Investeringen (WUI+ombouw)'!D49</f>
        <v>2024</v>
      </c>
      <c r="I89" s="37" t="str">
        <f>'11. Investeringen (WUI+ombouw)'!E49</f>
        <v>21 Hoofdtransportleiding (TT-BT-AT)</v>
      </c>
      <c r="J89" s="37" t="str">
        <f>'11. Investeringen (WUI+ombouw)'!F49</f>
        <v>VVI</v>
      </c>
      <c r="K89" s="37" t="str">
        <f>'11. Investeringen (WUI+ombouw)'!G49</f>
        <v>Ja</v>
      </c>
      <c r="L89" s="38">
        <f t="shared" si="74"/>
        <v>2026</v>
      </c>
      <c r="M89" s="38">
        <f>_xlfn.XLOOKUP(I89,'3. Input (des)investeringen '!$B$11:$B$89,'3. Input (des)investeringen '!$D$11:$D$89,0)</f>
        <v>55</v>
      </c>
      <c r="N89" s="3"/>
      <c r="O89" s="43">
        <f t="shared" si="0"/>
        <v>0</v>
      </c>
      <c r="P89" s="43">
        <f t="shared" si="1"/>
        <v>0</v>
      </c>
      <c r="Q89" s="3"/>
      <c r="R89" s="43">
        <f t="shared" si="103"/>
        <v>0</v>
      </c>
      <c r="S89" s="43">
        <f t="shared" si="2"/>
        <v>0</v>
      </c>
      <c r="T89" s="3"/>
      <c r="U89" s="43">
        <f t="shared" si="75"/>
        <v>33082111.823863443</v>
      </c>
      <c r="V89" s="38">
        <f t="shared" si="76"/>
        <v>55</v>
      </c>
      <c r="W89" s="3"/>
      <c r="X89" s="43">
        <f t="shared" si="77"/>
        <v>0</v>
      </c>
      <c r="Y89" s="43">
        <f t="shared" si="77"/>
        <v>0</v>
      </c>
      <c r="Z89" s="43">
        <f t="shared" si="77"/>
        <v>351873.37121745665</v>
      </c>
      <c r="AA89" s="43">
        <f t="shared" si="77"/>
        <v>695429.73547886428</v>
      </c>
      <c r="AB89" s="43">
        <f t="shared" si="77"/>
        <v>678992.30536754569</v>
      </c>
      <c r="AC89" s="3"/>
      <c r="AD89" s="43">
        <f t="shared" si="78"/>
        <v>0</v>
      </c>
      <c r="AE89" s="43">
        <f t="shared" si="78"/>
        <v>0</v>
      </c>
      <c r="AF89" s="43">
        <f t="shared" si="78"/>
        <v>30074.647112603132</v>
      </c>
      <c r="AG89" s="43">
        <f t="shared" si="78"/>
        <v>60149.294225206264</v>
      </c>
      <c r="AH89" s="43">
        <f t="shared" si="78"/>
        <v>60149.294225206264</v>
      </c>
      <c r="AI89" s="3"/>
      <c r="AJ89" s="43">
        <f t="shared" si="79"/>
        <v>0</v>
      </c>
      <c r="AK89" s="43">
        <f t="shared" si="80"/>
        <v>0</v>
      </c>
      <c r="AL89" s="43">
        <f t="shared" si="81"/>
        <v>381948.01833005977</v>
      </c>
      <c r="AM89" s="43">
        <f t="shared" si="82"/>
        <v>755579.02970407053</v>
      </c>
      <c r="AN89" s="43">
        <f t="shared" si="83"/>
        <v>739141.59959275194</v>
      </c>
      <c r="AO89" s="3"/>
      <c r="AP89" s="43">
        <f t="shared" si="84"/>
        <v>0</v>
      </c>
      <c r="AQ89" s="43">
        <f t="shared" si="85"/>
        <v>0</v>
      </c>
      <c r="AR89" s="43">
        <f t="shared" si="86"/>
        <v>32700163.805533383</v>
      </c>
      <c r="AS89" s="43">
        <f t="shared" si="87"/>
        <v>31944584.775829311</v>
      </c>
      <c r="AT89" s="43">
        <f t="shared" si="88"/>
        <v>31205443.176236559</v>
      </c>
      <c r="AU89" s="3"/>
      <c r="AV89" s="47">
        <f t="shared" si="89"/>
        <v>0</v>
      </c>
      <c r="AW89" s="47">
        <f t="shared" si="90"/>
        <v>0</v>
      </c>
      <c r="AX89" s="47">
        <f t="shared" si="91"/>
        <v>0</v>
      </c>
      <c r="AY89" s="47">
        <f t="shared" si="92"/>
        <v>0</v>
      </c>
      <c r="AZ89" s="47">
        <f t="shared" si="93"/>
        <v>1624554.2429403283</v>
      </c>
      <c r="BA89" s="43">
        <f t="shared" si="94"/>
        <v>1969473.2511855843</v>
      </c>
      <c r="BB89" s="43">
        <f t="shared" si="95"/>
        <v>1924948.4402897409</v>
      </c>
      <c r="BC89" s="3"/>
      <c r="BD89" s="43">
        <f t="shared" si="7"/>
        <v>0</v>
      </c>
      <c r="BE89" s="43">
        <f t="shared" si="8"/>
        <v>0</v>
      </c>
      <c r="BF89" s="43">
        <f t="shared" si="9"/>
        <v>0</v>
      </c>
      <c r="BG89" s="43">
        <f t="shared" si="10"/>
        <v>0</v>
      </c>
      <c r="BH89" s="43">
        <f t="shared" si="11"/>
        <v>165410.55911931721</v>
      </c>
      <c r="BI89" s="43">
        <f t="shared" si="12"/>
        <v>338723.77311111894</v>
      </c>
      <c r="BJ89" s="43">
        <f t="shared" si="13"/>
        <v>350188.89538338408</v>
      </c>
      <c r="BK89" s="3"/>
      <c r="BL89" s="43">
        <f t="shared" si="96"/>
        <v>0</v>
      </c>
      <c r="BM89" s="43">
        <f t="shared" si="97"/>
        <v>0</v>
      </c>
      <c r="BN89" s="43">
        <f t="shared" si="98"/>
        <v>0</v>
      </c>
      <c r="BO89" s="43">
        <f t="shared" si="99"/>
        <v>0</v>
      </c>
      <c r="BP89" s="43">
        <f t="shared" si="100"/>
        <v>1789964.8020596455</v>
      </c>
      <c r="BQ89" s="43">
        <f t="shared" si="101"/>
        <v>2308197.0242967033</v>
      </c>
      <c r="BR89" s="43">
        <f t="shared" si="102"/>
        <v>2275137.335673125</v>
      </c>
      <c r="BS89" s="3"/>
      <c r="BT89" s="10"/>
      <c r="BU89" s="10"/>
      <c r="BV89" s="51">
        <f t="shared" si="15"/>
        <v>0</v>
      </c>
      <c r="BW89" s="51">
        <f t="shared" si="16"/>
        <v>0</v>
      </c>
      <c r="BX89" s="51">
        <f t="shared" si="17"/>
        <v>0</v>
      </c>
      <c r="BY89" s="51">
        <f t="shared" si="18"/>
        <v>0</v>
      </c>
      <c r="BZ89" s="51">
        <f t="shared" si="19"/>
        <v>6709769.6662986763</v>
      </c>
      <c r="CA89" s="338">
        <f t="shared" si="20"/>
        <v>0</v>
      </c>
    </row>
    <row r="90" spans="1:79" s="227" customFormat="1" ht="13">
      <c r="B90" s="37">
        <f>'11. Investeringen (WUI+ombouw)'!B50</f>
        <v>31</v>
      </c>
      <c r="C90" s="226"/>
      <c r="D90" s="226"/>
      <c r="E90" s="226"/>
      <c r="F90" s="42">
        <f>'11. Investeringen (WUI+ombouw)'!C50</f>
        <v>136024.0865766904</v>
      </c>
      <c r="G90" s="48"/>
      <c r="H90" s="37">
        <f>'11. Investeringen (WUI+ombouw)'!D50</f>
        <v>2024</v>
      </c>
      <c r="I90" s="37" t="str">
        <f>'11. Investeringen (WUI+ombouw)'!E50</f>
        <v>32 M&amp;R stations</v>
      </c>
      <c r="J90" s="37" t="str">
        <f>'11. Investeringen (WUI+ombouw)'!F50</f>
        <v>VVI</v>
      </c>
      <c r="K90" s="37" t="str">
        <f>'11. Investeringen (WUI+ombouw)'!G50</f>
        <v>Ja</v>
      </c>
      <c r="L90" s="38">
        <f t="shared" ref="L90:L96" si="104">H90+2</f>
        <v>2026</v>
      </c>
      <c r="M90" s="38">
        <f>_xlfn.XLOOKUP(I90,'3. Input (des)investeringen '!$B$11:$B$89,'3. Input (des)investeringen '!$D$11:$D$89,0)</f>
        <v>30</v>
      </c>
      <c r="N90" s="3"/>
      <c r="O90" s="43">
        <f t="shared" ref="O90:O96" si="105">IF($M90&gt;0, IF($H90&lt;=O$58, VDB($F90,0,$M90,MAX(0,O$58-$H90-0.5),MIN($M90,O$58-$H90+0.5),1)*INDEX(H$38:H$44,$H90-2019,1),0),0)</f>
        <v>0</v>
      </c>
      <c r="P90" s="43">
        <f t="shared" ref="P90:P96" si="106">IF($M90&gt;0, IF($H90&lt;=P$58, VDB($F90,0,$M90,MAX(0,P$58-$H90-0.5),MIN($M90,P$58-$H90+0.5),1)*INDEX(I$38:I$44,$H90-2019,1),0),0)</f>
        <v>0</v>
      </c>
      <c r="Q90" s="3"/>
      <c r="R90" s="43">
        <f t="shared" ref="R90:R96" si="107">IF($O90=0,IF($H90=O$58,$F90,0),IF(OR($H90&gt;R$58,$H90+$M90&lt;=R$58),0,F90-O90))</f>
        <v>0</v>
      </c>
      <c r="S90" s="43">
        <f t="shared" ref="S90:S96" si="108">IF($M90=0,IF($H90=P$58,$F90,$R90*I$38),IF(OR($H90&gt;S$58,$H90+$M90&lt;=S$58),0,
IF($H90=S$58,F90-P90,R90*I$38-P90)))</f>
        <v>0</v>
      </c>
      <c r="T90" s="3"/>
      <c r="U90" s="43">
        <f t="shared" ref="U90:U96" si="109">IF(H90&lt;=2021,S90,F90)</f>
        <v>136024.0865766904</v>
      </c>
      <c r="V90" s="38">
        <f t="shared" ref="V90:V96" si="110">IF($M90&gt;0,IF(H90&lt;2022,M90-2021+H90-0.5,M90),0)</f>
        <v>30</v>
      </c>
      <c r="W90" s="3"/>
      <c r="X90" s="43">
        <f t="shared" si="77"/>
        <v>0</v>
      </c>
      <c r="Y90" s="43">
        <f t="shared" si="77"/>
        <v>0</v>
      </c>
      <c r="Z90" s="43">
        <f t="shared" si="77"/>
        <v>2652.4696882454627</v>
      </c>
      <c r="AA90" s="43">
        <f t="shared" si="77"/>
        <v>5189.999023333623</v>
      </c>
      <c r="AB90" s="43">
        <f t="shared" si="77"/>
        <v>4965.0990656558324</v>
      </c>
      <c r="AC90" s="3"/>
      <c r="AD90" s="43">
        <f t="shared" si="78"/>
        <v>0</v>
      </c>
      <c r="AE90" s="43">
        <f t="shared" si="78"/>
        <v>0</v>
      </c>
      <c r="AF90" s="43">
        <f t="shared" si="78"/>
        <v>226.70681096115069</v>
      </c>
      <c r="AG90" s="43">
        <f t="shared" si="78"/>
        <v>453.41362192230139</v>
      </c>
      <c r="AH90" s="43">
        <f t="shared" si="78"/>
        <v>453.41362192230139</v>
      </c>
      <c r="AI90" s="3"/>
      <c r="AJ90" s="43">
        <f t="shared" ref="AJ90:AJ96" si="111">X90+AD90</f>
        <v>0</v>
      </c>
      <c r="AK90" s="43">
        <f t="shared" ref="AK90:AK96" si="112">Y90+AE90</f>
        <v>0</v>
      </c>
      <c r="AL90" s="43">
        <f t="shared" ref="AL90:AL96" si="113">Z90+AF90</f>
        <v>2879.1764992066132</v>
      </c>
      <c r="AM90" s="43">
        <f t="shared" ref="AM90:AM96" si="114">AA90+AG90</f>
        <v>5643.412645255924</v>
      </c>
      <c r="AN90" s="43">
        <f t="shared" ref="AN90:AN96" si="115">AB90+AH90</f>
        <v>5418.5126875781334</v>
      </c>
      <c r="AO90" s="3"/>
      <c r="AP90" s="43">
        <f t="shared" ref="AP90:AP96" si="116">IF($M90=0, IF($H90&gt;AP$58,0, $U90), IF(OR($H90&gt;AP$58,$H90+$M90&lt;=AP$58),0,
IF($H90=AP$58,$U90-AJ90,
U90-AJ90)))</f>
        <v>0</v>
      </c>
      <c r="AQ90" s="43">
        <f t="shared" ref="AQ90:AQ96" si="117">IF($M90=0, IF($H90 &gt; AQ$58, 0, IF($H90=AQ$58, $F90, AP90)), IF(OR($H90&gt;AQ$58,$H90+$M90&lt;=AQ$58),0,
IF($H90=AQ$58,$U90-AK90,
AP90-AK90)))</f>
        <v>0</v>
      </c>
      <c r="AR90" s="43">
        <f t="shared" ref="AR90:AR96" si="118">IF($M90=0, IF($H90 &gt; AR$58, 0, IF($H90=AR$58, $F90, AQ90)), IF(OR($H90&gt;AR$58,$H90+$M90&lt;=AR$58),0,
IF($H90=AR$58,$U90-AL90,
AQ90-AL90)))</f>
        <v>133144.9100774838</v>
      </c>
      <c r="AS90" s="43">
        <f t="shared" ref="AS90:AS96" si="119">IF($M90=0, IF($H90 &gt; AS$58, 0, IF($H90=AS$58, $F90, AR90)), IF(OR($H90&gt;AS$58,$H90+$M90&lt;=AS$58),0,
IF($H90=AS$58,$U90-AM90,
AR90-AM90)))</f>
        <v>127501.49743222787</v>
      </c>
      <c r="AT90" s="43">
        <f t="shared" ref="AT90:AT96" si="120">IF($M90=0, IF($H90 &gt; AT$58, 0, IF($H90=AT$58, $F90, AS90)), IF(OR($H90&gt;AT$58,$H90+$M90&lt;=AT$58),0,
IF($H90=AT$58,$U90-AN90,
AS90-AN90)))</f>
        <v>122082.98474464974</v>
      </c>
      <c r="AU90" s="3"/>
      <c r="AV90" s="47">
        <f t="shared" ref="AV90:AV96" si="121">O90+R90*H$16</f>
        <v>0</v>
      </c>
      <c r="AW90" s="47">
        <f t="shared" ref="AW90:AW96" si="122">P90+S90*I$16</f>
        <v>0</v>
      </c>
      <c r="AX90" s="47">
        <f t="shared" ref="AX90:AX96" si="123">AJ90+AP90*J$17</f>
        <v>0</v>
      </c>
      <c r="AY90" s="47">
        <f t="shared" ref="AY90:AY96" si="124">AK90+AQ90*K$17</f>
        <v>0</v>
      </c>
      <c r="AZ90" s="47">
        <f t="shared" ref="AZ90:AZ96" si="125">AL90+AR90*L$17</f>
        <v>7938.6830821509975</v>
      </c>
      <c r="BA90" s="43">
        <f t="shared" ref="BA90:BA96" si="126">AM90+AS90*M$17</f>
        <v>10488.469547680583</v>
      </c>
      <c r="BB90" s="43">
        <f t="shared" ref="BB90:BB96" si="127">AN90+AT90*N$17</f>
        <v>10057.666107874824</v>
      </c>
      <c r="BC90" s="3"/>
      <c r="BD90" s="43">
        <f t="shared" ref="BD90:BD96" si="128">IF(O90&gt;0,$F90*$F$20*INDEX($H$38:$N$44,$H90-2019,BD$58-2019)*INDEX($H$47:$N$53,$H90-2019,BD$58-2019)* IF(OR(BD$58=$H90,BD$58=$H90+$M90),0.5,1),0)</f>
        <v>0</v>
      </c>
      <c r="BE90" s="43">
        <f t="shared" ref="BE90:BE96" si="129">IF(P90&gt;0,$F90*$F$20*INDEX($H$38:$N$44,$H90-2019,BE$58-2019)*INDEX($H$47:$N$53,$H90-2019,BE$58-2019)*
 IF(OR(BE$58=$H90,BE$58=$H90+$M90),0.5,1),0)</f>
        <v>0</v>
      </c>
      <c r="BF90" s="43">
        <f t="shared" ref="BF90:BF96" si="130">IF(AJ90&gt;0,
$F90*$F$20*INDEX($H$38:$N$44,$H90-2019,BF$58-2019)*INDEX($H$47:$N$53,$H90-2019,BF$58-2019)*
 IF(OR(BF$58=$H90,BF$58=$H90+$M90),0.5,1),0)</f>
        <v>0</v>
      </c>
      <c r="BG90" s="43">
        <f t="shared" ref="BG90:BG96" si="131">IF(AK90&gt;0,
$F90*$F$20*INDEX($H$38:$N$44,$H90-2019,BG$58-2019)*INDEX($H$47:$N$53,$H90-2019,BG$58-2019)*
 IF(OR(BG$58=$H90,BG$58=$H90+$M90),0.5,1),0)</f>
        <v>0</v>
      </c>
      <c r="BH90" s="43">
        <f t="shared" ref="BH90:BH96" si="132">IF(AL90&gt;0,
$F90*$F$20*INDEX($H$38:$N$44,$H90-2019,BH$58-2019)*INDEX($H$47:$N$53,$H90-2019,BH$58-2019)*
 IF(OR(BH$58=$H90,BH$58=$H90+$M90),0.5,1),0)</f>
        <v>680.12043288345205</v>
      </c>
      <c r="BI90" s="43">
        <f t="shared" ref="BI90:BI96" si="133">IF(AM90&gt;0,
$F90*$F$20*INDEX($H$38:$N$44,$H90-2019,BI$58-2019)*INDEX($H$47:$N$53,$H90-2019,BI$58-2019)*
 IF(OR(BI$58=$H90,BI$58=$H90+$M90),0.5,1),0)</f>
        <v>1392.7342995683439</v>
      </c>
      <c r="BJ90" s="43">
        <f t="shared" ref="BJ90:BJ96" si="134">IF(AN90&gt;0,
$F90*$F$20*INDEX($H$38:$N$44,$H90-2019,BJ$58-2019)*INDEX($H$47:$N$53,$H90-2019,BJ$58-2019)*
 IF(OR(BJ$58=$H90,BJ$58=$H90+$M90),0.5,1),0)</f>
        <v>1439.8755701401333</v>
      </c>
      <c r="BK90" s="3"/>
      <c r="BL90" s="43">
        <f t="shared" ref="BL90:BL96" si="135">AV90+BD90</f>
        <v>0</v>
      </c>
      <c r="BM90" s="43">
        <f t="shared" ref="BM90:BM96" si="136">AW90+BE90</f>
        <v>0</v>
      </c>
      <c r="BN90" s="43">
        <f t="shared" ref="BN90:BN96" si="137">AX90+BF90</f>
        <v>0</v>
      </c>
      <c r="BO90" s="43">
        <f t="shared" ref="BO90:BO96" si="138">AY90+BG90</f>
        <v>0</v>
      </c>
      <c r="BP90" s="43">
        <f t="shared" ref="BP90:BP96" si="139">AZ90+BH90</f>
        <v>8618.8035150344494</v>
      </c>
      <c r="BQ90" s="43">
        <f t="shared" ref="BQ90:BQ96" si="140">BA90+BI90</f>
        <v>11881.203847248926</v>
      </c>
      <c r="BR90" s="43">
        <f t="shared" ref="BR90:BR96" si="141">BB90+BJ90</f>
        <v>11497.541678014957</v>
      </c>
      <c r="BS90" s="3"/>
      <c r="BT90" s="10"/>
      <c r="BU90" s="10"/>
      <c r="BV90" s="51">
        <f t="shared" ref="BV90:BV96" si="142">IF($L90&gt;BV$58,0,
IF($L90=BV$58,BL90*INDEX(J$29:J$35,BV$58-2021)+BM90*INDEX(J$29:J$35,BV$58-2020)+BN90,BN90))</f>
        <v>0</v>
      </c>
      <c r="BW90" s="51">
        <f t="shared" ref="BW90:BW96" si="143">IF($L90&gt;BW$58,0,
IF($L90=BW$58,BM90*INDEX(K$29:K$35,BW$58-2021)+BN90*INDEX(K$29:K$35,BW$58-2020)+BO90,BO90))</f>
        <v>0</v>
      </c>
      <c r="BX90" s="51">
        <f t="shared" ref="BX90:BX96" si="144">IF($L90&gt;BX$58,0,
IF($L90=BX$58,BN90*INDEX(L$29:L$35,BX$58-2021)+BO90*INDEX(L$29:L$35,BX$58-2020)+BP90,BP90))</f>
        <v>0</v>
      </c>
      <c r="BY90" s="51">
        <f t="shared" ref="BY90:BY96" si="145">IF($L90&gt;BY$58,0,
IF($L90=BY$58,BO90*INDEX(M$29:M$35,BY$58-2021)+BP90*INDEX(M$29:M$35,BY$58-2020)+BQ90,BQ90))</f>
        <v>0</v>
      </c>
      <c r="BZ90" s="51">
        <f t="shared" ref="BZ90:BZ96" si="146">IF($L90&gt;BZ$58,0,
IF($L90=BZ$58,BP90*INDEX(N$29:N$35,BZ$58-2021)+BQ90*INDEX(N$29:N$35,BZ$58-2020)+BR90,BR90))</f>
        <v>33656.031466767541</v>
      </c>
      <c r="CA90" s="338">
        <f t="shared" ref="CA90:CA96" si="147" xml:space="preserve"> IF(
       $L90 = CA$58,
       BQ90 * _xlfn.SINGLE(INDEX(O$29:O$35, CA$58 - 2021)) + BR90 * _xlfn.SINGLE(INDEX(O$29:O$35, CA$58 - 2020)),
       0
  )</f>
        <v>0</v>
      </c>
    </row>
    <row r="91" spans="1:79" s="227" customFormat="1" ht="13">
      <c r="B91" s="37">
        <f>'11. Investeringen (WUI+ombouw)'!B51</f>
        <v>32</v>
      </c>
      <c r="C91" s="226"/>
      <c r="D91" s="226"/>
      <c r="E91" s="226"/>
      <c r="F91" s="42">
        <f>'11. Investeringen (WUI+ombouw)'!C51</f>
        <v>619400.07364485424</v>
      </c>
      <c r="G91" s="48"/>
      <c r="H91" s="37">
        <f>'11. Investeringen (WUI+ombouw)'!D51</f>
        <v>2025</v>
      </c>
      <c r="I91" s="37" t="str">
        <f>'11. Investeringen (WUI+ombouw)'!E51</f>
        <v>05 Wegen en terreinvoorzieningen (KC)</v>
      </c>
      <c r="J91" s="37" t="str">
        <f>'11. Investeringen (WUI+ombouw)'!F51</f>
        <v>WUI</v>
      </c>
      <c r="K91" s="37" t="str">
        <f>'11. Investeringen (WUI+ombouw)'!G51</f>
        <v>Nee</v>
      </c>
      <c r="L91" s="38">
        <f t="shared" si="104"/>
        <v>2027</v>
      </c>
      <c r="M91" s="38">
        <f>_xlfn.XLOOKUP(I91,'3. Input (des)investeringen '!$B$11:$B$89,'3. Input (des)investeringen '!$D$11:$D$89,0)</f>
        <v>10</v>
      </c>
      <c r="N91" s="3"/>
      <c r="O91" s="43">
        <f t="shared" si="105"/>
        <v>0</v>
      </c>
      <c r="P91" s="43">
        <f t="shared" si="106"/>
        <v>0</v>
      </c>
      <c r="Q91" s="3"/>
      <c r="R91" s="43">
        <f t="shared" si="107"/>
        <v>0</v>
      </c>
      <c r="S91" s="43">
        <f t="shared" si="108"/>
        <v>0</v>
      </c>
      <c r="T91" s="3"/>
      <c r="U91" s="43">
        <f t="shared" si="109"/>
        <v>619400.07364485424</v>
      </c>
      <c r="V91" s="38">
        <f t="shared" si="110"/>
        <v>10</v>
      </c>
      <c r="W91" s="3"/>
      <c r="X91" s="43">
        <f t="shared" si="77"/>
        <v>0</v>
      </c>
      <c r="Y91" s="43">
        <f t="shared" si="77"/>
        <v>0</v>
      </c>
      <c r="Z91" s="43">
        <f t="shared" si="77"/>
        <v>0</v>
      </c>
      <c r="AA91" s="43">
        <f t="shared" si="77"/>
        <v>36234.904308223973</v>
      </c>
      <c r="AB91" s="43">
        <f t="shared" si="77"/>
        <v>67759.271056378828</v>
      </c>
      <c r="AC91" s="3"/>
      <c r="AD91" s="43">
        <f t="shared" si="78"/>
        <v>0</v>
      </c>
      <c r="AE91" s="43">
        <f t="shared" si="78"/>
        <v>0</v>
      </c>
      <c r="AF91" s="43">
        <f t="shared" si="78"/>
        <v>0</v>
      </c>
      <c r="AG91" s="43">
        <f t="shared" si="78"/>
        <v>3097.0003682242714</v>
      </c>
      <c r="AH91" s="43">
        <f t="shared" si="78"/>
        <v>6194.0007364485427</v>
      </c>
      <c r="AI91" s="3"/>
      <c r="AJ91" s="43">
        <f t="shared" si="111"/>
        <v>0</v>
      </c>
      <c r="AK91" s="43">
        <f t="shared" si="112"/>
        <v>0</v>
      </c>
      <c r="AL91" s="43">
        <f t="shared" si="113"/>
        <v>0</v>
      </c>
      <c r="AM91" s="43">
        <f t="shared" si="114"/>
        <v>39331.904676448248</v>
      </c>
      <c r="AN91" s="43">
        <f t="shared" si="115"/>
        <v>73953.271792827378</v>
      </c>
      <c r="AO91" s="3"/>
      <c r="AP91" s="43">
        <f t="shared" si="116"/>
        <v>0</v>
      </c>
      <c r="AQ91" s="43">
        <f t="shared" si="117"/>
        <v>0</v>
      </c>
      <c r="AR91" s="43">
        <f t="shared" si="118"/>
        <v>0</v>
      </c>
      <c r="AS91" s="43">
        <f t="shared" si="119"/>
        <v>580068.16896840604</v>
      </c>
      <c r="AT91" s="43">
        <f t="shared" si="120"/>
        <v>506114.89717557863</v>
      </c>
      <c r="AU91" s="3"/>
      <c r="AV91" s="47">
        <f t="shared" si="121"/>
        <v>0</v>
      </c>
      <c r="AW91" s="47">
        <f t="shared" si="122"/>
        <v>0</v>
      </c>
      <c r="AX91" s="47">
        <f t="shared" si="123"/>
        <v>0</v>
      </c>
      <c r="AY91" s="47">
        <f t="shared" si="124"/>
        <v>0</v>
      </c>
      <c r="AZ91" s="47">
        <f t="shared" si="125"/>
        <v>0</v>
      </c>
      <c r="BA91" s="43">
        <f t="shared" si="126"/>
        <v>61374.49509724768</v>
      </c>
      <c r="BB91" s="43">
        <f t="shared" si="127"/>
        <v>93185.637885499367</v>
      </c>
      <c r="BC91" s="3"/>
      <c r="BD91" s="43">
        <f t="shared" si="128"/>
        <v>0</v>
      </c>
      <c r="BE91" s="43">
        <f t="shared" si="129"/>
        <v>0</v>
      </c>
      <c r="BF91" s="43">
        <f t="shared" si="130"/>
        <v>0</v>
      </c>
      <c r="BG91" s="43">
        <f t="shared" si="131"/>
        <v>0</v>
      </c>
      <c r="BH91" s="43">
        <f t="shared" si="132"/>
        <v>0</v>
      </c>
      <c r="BI91" s="43">
        <f t="shared" si="133"/>
        <v>3097.0003682242714</v>
      </c>
      <c r="BJ91" s="43">
        <f t="shared" si="134"/>
        <v>6403.6552733758535</v>
      </c>
      <c r="BK91" s="3"/>
      <c r="BL91" s="43">
        <f t="shared" si="135"/>
        <v>0</v>
      </c>
      <c r="BM91" s="43">
        <f t="shared" si="136"/>
        <v>0</v>
      </c>
      <c r="BN91" s="43">
        <f t="shared" si="137"/>
        <v>0</v>
      </c>
      <c r="BO91" s="43">
        <f t="shared" si="138"/>
        <v>0</v>
      </c>
      <c r="BP91" s="43">
        <f t="shared" si="139"/>
        <v>0</v>
      </c>
      <c r="BQ91" s="43">
        <f t="shared" si="140"/>
        <v>64471.495465471948</v>
      </c>
      <c r="BR91" s="43">
        <f t="shared" si="141"/>
        <v>99589.293158875225</v>
      </c>
      <c r="BS91" s="3"/>
      <c r="BT91" s="10"/>
      <c r="BU91" s="10"/>
      <c r="BV91" s="51">
        <f t="shared" si="142"/>
        <v>0</v>
      </c>
      <c r="BW91" s="51">
        <f t="shared" si="143"/>
        <v>0</v>
      </c>
      <c r="BX91" s="51">
        <f t="shared" si="144"/>
        <v>0</v>
      </c>
      <c r="BY91" s="51">
        <f t="shared" si="145"/>
        <v>0</v>
      </c>
      <c r="BZ91" s="51">
        <f t="shared" si="146"/>
        <v>0</v>
      </c>
      <c r="CA91" s="338">
        <f t="shared" si="147"/>
        <v>173975.73793352561</v>
      </c>
    </row>
    <row r="92" spans="1:79" s="227" customFormat="1" ht="13">
      <c r="B92" s="37">
        <f>'11. Investeringen (WUI+ombouw)'!B52</f>
        <v>33</v>
      </c>
      <c r="C92" s="226"/>
      <c r="D92" s="226"/>
      <c r="E92" s="226"/>
      <c r="F92" s="42">
        <f>'11. Investeringen (WUI+ombouw)'!C52</f>
        <v>2089506.5759572659</v>
      </c>
      <c r="G92" s="48"/>
      <c r="H92" s="37">
        <f>'11. Investeringen (WUI+ombouw)'!D52</f>
        <v>2025</v>
      </c>
      <c r="I92" s="37" t="str">
        <f>'11. Investeringen (WUI+ombouw)'!E52</f>
        <v>06 Utiliteitsgebouwen (KC)</v>
      </c>
      <c r="J92" s="37" t="str">
        <f>'11. Investeringen (WUI+ombouw)'!F52</f>
        <v>WUI</v>
      </c>
      <c r="K92" s="37" t="str">
        <f>'11. Investeringen (WUI+ombouw)'!G52</f>
        <v>Nee</v>
      </c>
      <c r="L92" s="38">
        <f t="shared" si="104"/>
        <v>2027</v>
      </c>
      <c r="M92" s="38">
        <f>_xlfn.XLOOKUP(I92,'3. Input (des)investeringen '!$B$11:$B$89,'3. Input (des)investeringen '!$D$11:$D$89,0)</f>
        <v>30</v>
      </c>
      <c r="N92" s="3"/>
      <c r="O92" s="43">
        <f t="shared" si="105"/>
        <v>0</v>
      </c>
      <c r="P92" s="43">
        <f t="shared" si="106"/>
        <v>0</v>
      </c>
      <c r="Q92" s="3"/>
      <c r="R92" s="43">
        <f t="shared" si="107"/>
        <v>0</v>
      </c>
      <c r="S92" s="43">
        <f t="shared" si="108"/>
        <v>0</v>
      </c>
      <c r="T92" s="3"/>
      <c r="U92" s="43">
        <f t="shared" si="109"/>
        <v>2089506.5759572659</v>
      </c>
      <c r="V92" s="38">
        <f t="shared" si="110"/>
        <v>30</v>
      </c>
      <c r="W92" s="3"/>
      <c r="X92" s="43">
        <f t="shared" si="77"/>
        <v>0</v>
      </c>
      <c r="Y92" s="43">
        <f t="shared" si="77"/>
        <v>0</v>
      </c>
      <c r="Z92" s="43">
        <f t="shared" si="77"/>
        <v>0</v>
      </c>
      <c r="AA92" s="43">
        <f t="shared" si="77"/>
        <v>40745.378231166687</v>
      </c>
      <c r="AB92" s="43">
        <f t="shared" si="77"/>
        <v>79725.123405649472</v>
      </c>
      <c r="AC92" s="3"/>
      <c r="AD92" s="43">
        <f t="shared" si="78"/>
        <v>0</v>
      </c>
      <c r="AE92" s="43">
        <f t="shared" si="78"/>
        <v>0</v>
      </c>
      <c r="AF92" s="43">
        <f t="shared" si="78"/>
        <v>0</v>
      </c>
      <c r="AG92" s="43">
        <f t="shared" si="78"/>
        <v>3482.5109599287771</v>
      </c>
      <c r="AH92" s="43">
        <f t="shared" si="78"/>
        <v>6965.0219198575542</v>
      </c>
      <c r="AI92" s="3"/>
      <c r="AJ92" s="43">
        <f t="shared" si="111"/>
        <v>0</v>
      </c>
      <c r="AK92" s="43">
        <f t="shared" si="112"/>
        <v>0</v>
      </c>
      <c r="AL92" s="43">
        <f t="shared" si="113"/>
        <v>0</v>
      </c>
      <c r="AM92" s="43">
        <f t="shared" si="114"/>
        <v>44227.889191095463</v>
      </c>
      <c r="AN92" s="43">
        <f t="shared" si="115"/>
        <v>86690.145325507023</v>
      </c>
      <c r="AO92" s="3"/>
      <c r="AP92" s="43">
        <f t="shared" si="116"/>
        <v>0</v>
      </c>
      <c r="AQ92" s="43">
        <f t="shared" si="117"/>
        <v>0</v>
      </c>
      <c r="AR92" s="43">
        <f t="shared" si="118"/>
        <v>0</v>
      </c>
      <c r="AS92" s="43">
        <f t="shared" si="119"/>
        <v>2045278.6867661704</v>
      </c>
      <c r="AT92" s="43">
        <f t="shared" si="120"/>
        <v>1958588.5414406634</v>
      </c>
      <c r="AU92" s="3"/>
      <c r="AV92" s="47">
        <f t="shared" si="121"/>
        <v>0</v>
      </c>
      <c r="AW92" s="47">
        <f t="shared" si="122"/>
        <v>0</v>
      </c>
      <c r="AX92" s="47">
        <f t="shared" si="123"/>
        <v>0</v>
      </c>
      <c r="AY92" s="47">
        <f t="shared" si="124"/>
        <v>0</v>
      </c>
      <c r="AZ92" s="47">
        <f t="shared" si="125"/>
        <v>0</v>
      </c>
      <c r="BA92" s="43">
        <f t="shared" si="126"/>
        <v>121948.47928820993</v>
      </c>
      <c r="BB92" s="43">
        <f t="shared" si="127"/>
        <v>161116.50990025222</v>
      </c>
      <c r="BC92" s="3"/>
      <c r="BD92" s="43">
        <f t="shared" si="128"/>
        <v>0</v>
      </c>
      <c r="BE92" s="43">
        <f t="shared" si="129"/>
        <v>0</v>
      </c>
      <c r="BF92" s="43">
        <f t="shared" si="130"/>
        <v>0</v>
      </c>
      <c r="BG92" s="43">
        <f t="shared" si="131"/>
        <v>0</v>
      </c>
      <c r="BH92" s="43">
        <f t="shared" si="132"/>
        <v>0</v>
      </c>
      <c r="BI92" s="43">
        <f t="shared" si="133"/>
        <v>10447.532879786329</v>
      </c>
      <c r="BJ92" s="43">
        <f t="shared" si="134"/>
        <v>21602.321945402673</v>
      </c>
      <c r="BK92" s="3"/>
      <c r="BL92" s="43">
        <f t="shared" si="135"/>
        <v>0</v>
      </c>
      <c r="BM92" s="43">
        <f t="shared" si="136"/>
        <v>0</v>
      </c>
      <c r="BN92" s="43">
        <f t="shared" si="137"/>
        <v>0</v>
      </c>
      <c r="BO92" s="43">
        <f t="shared" si="138"/>
        <v>0</v>
      </c>
      <c r="BP92" s="43">
        <f t="shared" si="139"/>
        <v>0</v>
      </c>
      <c r="BQ92" s="43">
        <f t="shared" si="140"/>
        <v>132396.01216799626</v>
      </c>
      <c r="BR92" s="43">
        <f t="shared" si="141"/>
        <v>182718.8318456549</v>
      </c>
      <c r="BS92" s="3"/>
      <c r="BT92" s="10"/>
      <c r="BU92" s="10"/>
      <c r="BV92" s="51">
        <f t="shared" si="142"/>
        <v>0</v>
      </c>
      <c r="BW92" s="51">
        <f t="shared" si="143"/>
        <v>0</v>
      </c>
      <c r="BX92" s="51">
        <f t="shared" si="144"/>
        <v>0</v>
      </c>
      <c r="BY92" s="51">
        <f t="shared" si="145"/>
        <v>0</v>
      </c>
      <c r="BZ92" s="51">
        <f t="shared" si="146"/>
        <v>0</v>
      </c>
      <c r="CA92" s="338">
        <f t="shared" si="147"/>
        <v>334604.03040693305</v>
      </c>
    </row>
    <row r="93" spans="1:79" s="227" customFormat="1" ht="13">
      <c r="B93" s="37">
        <f>'11. Investeringen (WUI+ombouw)'!B53</f>
        <v>34</v>
      </c>
      <c r="C93" s="226"/>
      <c r="D93" s="226"/>
      <c r="E93" s="226"/>
      <c r="F93" s="42">
        <f>'11. Investeringen (WUI+ombouw)'!C53</f>
        <v>6969217.2991266688</v>
      </c>
      <c r="G93" s="48"/>
      <c r="H93" s="37">
        <f>'11. Investeringen (WUI+ombouw)'!D53</f>
        <v>2025</v>
      </c>
      <c r="I93" s="37" t="str">
        <f>'11. Investeringen (WUI+ombouw)'!E53</f>
        <v>36 Luchtscheidingsunit</v>
      </c>
      <c r="J93" s="37" t="str">
        <f>'11. Investeringen (WUI+ombouw)'!F53</f>
        <v>WUI</v>
      </c>
      <c r="K93" s="37" t="str">
        <f>'11. Investeringen (WUI+ombouw)'!G53</f>
        <v>Nee</v>
      </c>
      <c r="L93" s="38">
        <f t="shared" si="104"/>
        <v>2027</v>
      </c>
      <c r="M93" s="38">
        <f>_xlfn.XLOOKUP(I93,'3. Input (des)investeringen '!$B$11:$B$89,'3. Input (des)investeringen '!$D$11:$D$89,0)</f>
        <v>30</v>
      </c>
      <c r="N93" s="3"/>
      <c r="O93" s="43">
        <f t="shared" si="105"/>
        <v>0</v>
      </c>
      <c r="P93" s="43">
        <f t="shared" si="106"/>
        <v>0</v>
      </c>
      <c r="Q93" s="3"/>
      <c r="R93" s="43">
        <f t="shared" si="107"/>
        <v>0</v>
      </c>
      <c r="S93" s="43">
        <f t="shared" si="108"/>
        <v>0</v>
      </c>
      <c r="T93" s="3"/>
      <c r="U93" s="43">
        <f t="shared" si="109"/>
        <v>6969217.2991266688</v>
      </c>
      <c r="V93" s="38">
        <f t="shared" si="110"/>
        <v>30</v>
      </c>
      <c r="W93" s="3"/>
      <c r="X93" s="43">
        <f t="shared" si="77"/>
        <v>0</v>
      </c>
      <c r="Y93" s="43">
        <f t="shared" si="77"/>
        <v>0</v>
      </c>
      <c r="Z93" s="43">
        <f t="shared" si="77"/>
        <v>0</v>
      </c>
      <c r="AA93" s="43">
        <f t="shared" si="77"/>
        <v>135899.73733297005</v>
      </c>
      <c r="AB93" s="43">
        <f t="shared" si="77"/>
        <v>265910.48604817805</v>
      </c>
      <c r="AC93" s="3"/>
      <c r="AD93" s="43">
        <f t="shared" si="78"/>
        <v>0</v>
      </c>
      <c r="AE93" s="43">
        <f t="shared" si="78"/>
        <v>0</v>
      </c>
      <c r="AF93" s="43">
        <f t="shared" si="78"/>
        <v>0</v>
      </c>
      <c r="AG93" s="43">
        <f t="shared" si="78"/>
        <v>11615.362165211116</v>
      </c>
      <c r="AH93" s="43">
        <f t="shared" si="78"/>
        <v>23230.724330422232</v>
      </c>
      <c r="AI93" s="3"/>
      <c r="AJ93" s="43">
        <f t="shared" si="111"/>
        <v>0</v>
      </c>
      <c r="AK93" s="43">
        <f t="shared" si="112"/>
        <v>0</v>
      </c>
      <c r="AL93" s="43">
        <f t="shared" si="113"/>
        <v>0</v>
      </c>
      <c r="AM93" s="43">
        <f t="shared" si="114"/>
        <v>147515.09949818117</v>
      </c>
      <c r="AN93" s="43">
        <f t="shared" si="115"/>
        <v>289141.21037860028</v>
      </c>
      <c r="AO93" s="3"/>
      <c r="AP93" s="43">
        <f t="shared" si="116"/>
        <v>0</v>
      </c>
      <c r="AQ93" s="43">
        <f t="shared" si="117"/>
        <v>0</v>
      </c>
      <c r="AR93" s="43">
        <f t="shared" si="118"/>
        <v>0</v>
      </c>
      <c r="AS93" s="43">
        <f t="shared" si="119"/>
        <v>6821702.1996284872</v>
      </c>
      <c r="AT93" s="43">
        <f t="shared" si="120"/>
        <v>6532560.9892498869</v>
      </c>
      <c r="AU93" s="3"/>
      <c r="AV93" s="47">
        <f t="shared" si="121"/>
        <v>0</v>
      </c>
      <c r="AW93" s="47">
        <f t="shared" si="122"/>
        <v>0</v>
      </c>
      <c r="AX93" s="47">
        <f t="shared" si="123"/>
        <v>0</v>
      </c>
      <c r="AY93" s="47">
        <f t="shared" si="124"/>
        <v>0</v>
      </c>
      <c r="AZ93" s="47">
        <f t="shared" si="125"/>
        <v>0</v>
      </c>
      <c r="BA93" s="43">
        <f t="shared" si="126"/>
        <v>406739.78308406367</v>
      </c>
      <c r="BB93" s="43">
        <f t="shared" si="127"/>
        <v>537378.52797009598</v>
      </c>
      <c r="BC93" s="3"/>
      <c r="BD93" s="43">
        <f t="shared" si="128"/>
        <v>0</v>
      </c>
      <c r="BE93" s="43">
        <f t="shared" si="129"/>
        <v>0</v>
      </c>
      <c r="BF93" s="43">
        <f t="shared" si="130"/>
        <v>0</v>
      </c>
      <c r="BG93" s="43">
        <f t="shared" si="131"/>
        <v>0</v>
      </c>
      <c r="BH93" s="43">
        <f t="shared" si="132"/>
        <v>0</v>
      </c>
      <c r="BI93" s="43">
        <f t="shared" si="133"/>
        <v>34846.086495633346</v>
      </c>
      <c r="BJ93" s="43">
        <f t="shared" si="134"/>
        <v>72051.113662675081</v>
      </c>
      <c r="BK93" s="3"/>
      <c r="BL93" s="43">
        <f t="shared" si="135"/>
        <v>0</v>
      </c>
      <c r="BM93" s="43">
        <f t="shared" si="136"/>
        <v>0</v>
      </c>
      <c r="BN93" s="43">
        <f t="shared" si="137"/>
        <v>0</v>
      </c>
      <c r="BO93" s="43">
        <f t="shared" si="138"/>
        <v>0</v>
      </c>
      <c r="BP93" s="43">
        <f t="shared" si="139"/>
        <v>0</v>
      </c>
      <c r="BQ93" s="43">
        <f t="shared" si="140"/>
        <v>441585.86957969703</v>
      </c>
      <c r="BR93" s="43">
        <f t="shared" si="141"/>
        <v>609429.64163277112</v>
      </c>
      <c r="BS93" s="3"/>
      <c r="BT93" s="10"/>
      <c r="BU93" s="10"/>
      <c r="BV93" s="51">
        <f t="shared" si="142"/>
        <v>0</v>
      </c>
      <c r="BW93" s="51">
        <f t="shared" si="143"/>
        <v>0</v>
      </c>
      <c r="BX93" s="51">
        <f t="shared" si="144"/>
        <v>0</v>
      </c>
      <c r="BY93" s="51">
        <f t="shared" si="145"/>
        <v>0</v>
      </c>
      <c r="BZ93" s="51">
        <f t="shared" si="146"/>
        <v>0</v>
      </c>
      <c r="CA93" s="338">
        <f t="shared" si="147"/>
        <v>1116018.5968791111</v>
      </c>
    </row>
    <row r="94" spans="1:79" s="227" customFormat="1" ht="13">
      <c r="B94" s="37">
        <f>'11. Investeringen (WUI+ombouw)'!B54</f>
        <v>35</v>
      </c>
      <c r="C94" s="226"/>
      <c r="D94" s="226"/>
      <c r="E94" s="226"/>
      <c r="F94" s="42">
        <f>'11. Investeringen (WUI+ombouw)'!C54</f>
        <v>11474792.139726024</v>
      </c>
      <c r="G94" s="48"/>
      <c r="H94" s="37">
        <f>'11. Investeringen (WUI+ombouw)'!D54</f>
        <v>2025</v>
      </c>
      <c r="I94" s="37" t="str">
        <f>'11. Investeringen (WUI+ombouw)'!E54</f>
        <v>01 Regionale leidingen</v>
      </c>
      <c r="J94" s="37" t="str">
        <f>'11. Investeringen (WUI+ombouw)'!F54</f>
        <v>VVI</v>
      </c>
      <c r="K94" s="37" t="str">
        <f>'11. Investeringen (WUI+ombouw)'!G54</f>
        <v>Ja</v>
      </c>
      <c r="L94" s="38">
        <f t="shared" si="104"/>
        <v>2027</v>
      </c>
      <c r="M94" s="38">
        <f>_xlfn.XLOOKUP(I94,'3. Input (des)investeringen '!$B$11:$B$89,'3. Input (des)investeringen '!$D$11:$D$89,0)</f>
        <v>55</v>
      </c>
      <c r="N94" s="3"/>
      <c r="O94" s="43">
        <f t="shared" si="105"/>
        <v>0</v>
      </c>
      <c r="P94" s="43">
        <f t="shared" si="106"/>
        <v>0</v>
      </c>
      <c r="Q94" s="3"/>
      <c r="R94" s="43">
        <f t="shared" si="107"/>
        <v>0</v>
      </c>
      <c r="S94" s="43">
        <f t="shared" si="108"/>
        <v>0</v>
      </c>
      <c r="T94" s="3"/>
      <c r="U94" s="43">
        <f t="shared" si="109"/>
        <v>11474792.139726024</v>
      </c>
      <c r="V94" s="38">
        <f t="shared" si="110"/>
        <v>55</v>
      </c>
      <c r="W94" s="3"/>
      <c r="X94" s="43">
        <f t="shared" si="77"/>
        <v>0</v>
      </c>
      <c r="Y94" s="43">
        <f t="shared" si="77"/>
        <v>0</v>
      </c>
      <c r="Z94" s="43">
        <f t="shared" si="77"/>
        <v>0</v>
      </c>
      <c r="AA94" s="43">
        <f t="shared" si="77"/>
        <v>122050.06184981317</v>
      </c>
      <c r="AB94" s="43">
        <f t="shared" si="77"/>
        <v>241215.30405590346</v>
      </c>
      <c r="AC94" s="3"/>
      <c r="AD94" s="43">
        <f t="shared" si="78"/>
        <v>0</v>
      </c>
      <c r="AE94" s="43">
        <f t="shared" si="78"/>
        <v>0</v>
      </c>
      <c r="AF94" s="43">
        <f t="shared" si="78"/>
        <v>0</v>
      </c>
      <c r="AG94" s="43">
        <f t="shared" si="78"/>
        <v>10431.62921793275</v>
      </c>
      <c r="AH94" s="43">
        <f t="shared" si="78"/>
        <v>20863.2584358655</v>
      </c>
      <c r="AI94" s="3"/>
      <c r="AJ94" s="43">
        <f t="shared" si="111"/>
        <v>0</v>
      </c>
      <c r="AK94" s="43">
        <f t="shared" si="112"/>
        <v>0</v>
      </c>
      <c r="AL94" s="43">
        <f t="shared" si="113"/>
        <v>0</v>
      </c>
      <c r="AM94" s="43">
        <f t="shared" si="114"/>
        <v>132481.69106774591</v>
      </c>
      <c r="AN94" s="43">
        <f t="shared" si="115"/>
        <v>262078.56249176897</v>
      </c>
      <c r="AO94" s="3"/>
      <c r="AP94" s="43">
        <f t="shared" si="116"/>
        <v>0</v>
      </c>
      <c r="AQ94" s="43">
        <f t="shared" si="117"/>
        <v>0</v>
      </c>
      <c r="AR94" s="43">
        <f t="shared" si="118"/>
        <v>0</v>
      </c>
      <c r="AS94" s="43">
        <f t="shared" si="119"/>
        <v>11342310.448658278</v>
      </c>
      <c r="AT94" s="43">
        <f t="shared" si="120"/>
        <v>11080231.886166509</v>
      </c>
      <c r="AU94" s="3"/>
      <c r="AV94" s="47">
        <f t="shared" si="121"/>
        <v>0</v>
      </c>
      <c r="AW94" s="47">
        <f t="shared" si="122"/>
        <v>0</v>
      </c>
      <c r="AX94" s="47">
        <f t="shared" si="123"/>
        <v>0</v>
      </c>
      <c r="AY94" s="47">
        <f t="shared" si="124"/>
        <v>0</v>
      </c>
      <c r="AZ94" s="47">
        <f t="shared" si="125"/>
        <v>0</v>
      </c>
      <c r="BA94" s="43">
        <f t="shared" si="126"/>
        <v>563489.48811676051</v>
      </c>
      <c r="BB94" s="43">
        <f t="shared" si="127"/>
        <v>683127.37416609633</v>
      </c>
      <c r="BC94" s="3"/>
      <c r="BD94" s="43">
        <f t="shared" si="128"/>
        <v>0</v>
      </c>
      <c r="BE94" s="43">
        <f t="shared" si="129"/>
        <v>0</v>
      </c>
      <c r="BF94" s="43">
        <f t="shared" si="130"/>
        <v>0</v>
      </c>
      <c r="BG94" s="43">
        <f t="shared" si="131"/>
        <v>0</v>
      </c>
      <c r="BH94" s="43">
        <f t="shared" si="132"/>
        <v>0</v>
      </c>
      <c r="BI94" s="43">
        <f t="shared" si="133"/>
        <v>57373.960698630122</v>
      </c>
      <c r="BJ94" s="43">
        <f t="shared" si="134"/>
        <v>118631.90904071472</v>
      </c>
      <c r="BK94" s="3"/>
      <c r="BL94" s="43">
        <f t="shared" si="135"/>
        <v>0</v>
      </c>
      <c r="BM94" s="43">
        <f t="shared" si="136"/>
        <v>0</v>
      </c>
      <c r="BN94" s="43">
        <f t="shared" si="137"/>
        <v>0</v>
      </c>
      <c r="BO94" s="43">
        <f t="shared" si="138"/>
        <v>0</v>
      </c>
      <c r="BP94" s="43">
        <f t="shared" si="139"/>
        <v>0</v>
      </c>
      <c r="BQ94" s="43">
        <f t="shared" si="140"/>
        <v>620863.44881539058</v>
      </c>
      <c r="BR94" s="43">
        <f t="shared" si="141"/>
        <v>801759.28320681106</v>
      </c>
      <c r="BS94" s="3"/>
      <c r="BT94" s="10"/>
      <c r="BU94" s="10"/>
      <c r="BV94" s="51">
        <f t="shared" si="142"/>
        <v>0</v>
      </c>
      <c r="BW94" s="51">
        <f t="shared" si="143"/>
        <v>0</v>
      </c>
      <c r="BX94" s="51">
        <f t="shared" si="144"/>
        <v>0</v>
      </c>
      <c r="BY94" s="51">
        <f t="shared" si="145"/>
        <v>0</v>
      </c>
      <c r="BZ94" s="51">
        <f t="shared" si="146"/>
        <v>0</v>
      </c>
      <c r="CA94" s="338">
        <f t="shared" si="147"/>
        <v>1511812.5406414901</v>
      </c>
    </row>
    <row r="95" spans="1:79" s="227" customFormat="1" ht="13">
      <c r="B95" s="37">
        <f>'11. Investeringen (WUI+ombouw)'!B55</f>
        <v>36</v>
      </c>
      <c r="C95" s="226"/>
      <c r="D95" s="226"/>
      <c r="E95" s="226"/>
      <c r="F95" s="42">
        <f>'11. Investeringen (WUI+ombouw)'!C55</f>
        <v>90220.942907819466</v>
      </c>
      <c r="G95" s="48"/>
      <c r="H95" s="37">
        <f>'11. Investeringen (WUI+ombouw)'!D55</f>
        <v>2025</v>
      </c>
      <c r="I95" s="37" t="str">
        <f>'11. Investeringen (WUI+ombouw)'!E55</f>
        <v>02 Gasontvangststations</v>
      </c>
      <c r="J95" s="37" t="str">
        <f>'11. Investeringen (WUI+ombouw)'!F55</f>
        <v>VVI</v>
      </c>
      <c r="K95" s="37" t="str">
        <f>'11. Investeringen (WUI+ombouw)'!G55</f>
        <v>Ja</v>
      </c>
      <c r="L95" s="38">
        <f t="shared" si="104"/>
        <v>2027</v>
      </c>
      <c r="M95" s="38">
        <f>_xlfn.XLOOKUP(I95,'3. Input (des)investeringen '!$B$11:$B$89,'3. Input (des)investeringen '!$D$11:$D$89,0)</f>
        <v>30</v>
      </c>
      <c r="N95" s="3"/>
      <c r="O95" s="43">
        <f t="shared" si="105"/>
        <v>0</v>
      </c>
      <c r="P95" s="43">
        <f t="shared" si="106"/>
        <v>0</v>
      </c>
      <c r="Q95" s="3"/>
      <c r="R95" s="43">
        <f t="shared" si="107"/>
        <v>0</v>
      </c>
      <c r="S95" s="43">
        <f t="shared" si="108"/>
        <v>0</v>
      </c>
      <c r="T95" s="3"/>
      <c r="U95" s="43">
        <f t="shared" si="109"/>
        <v>90220.942907819466</v>
      </c>
      <c r="V95" s="38">
        <f t="shared" si="110"/>
        <v>30</v>
      </c>
      <c r="W95" s="3"/>
      <c r="X95" s="43">
        <f t="shared" si="77"/>
        <v>0</v>
      </c>
      <c r="Y95" s="43">
        <f t="shared" si="77"/>
        <v>0</v>
      </c>
      <c r="Z95" s="43">
        <f t="shared" si="77"/>
        <v>0</v>
      </c>
      <c r="AA95" s="43">
        <f t="shared" si="77"/>
        <v>1759.3083867024798</v>
      </c>
      <c r="AB95" s="43">
        <f t="shared" si="77"/>
        <v>3442.3800766478516</v>
      </c>
      <c r="AC95" s="3"/>
      <c r="AD95" s="43">
        <f t="shared" si="78"/>
        <v>0</v>
      </c>
      <c r="AE95" s="43">
        <f t="shared" si="78"/>
        <v>0</v>
      </c>
      <c r="AF95" s="43">
        <f t="shared" si="78"/>
        <v>0</v>
      </c>
      <c r="AG95" s="43">
        <f t="shared" si="78"/>
        <v>150.36823817969912</v>
      </c>
      <c r="AH95" s="43">
        <f t="shared" si="78"/>
        <v>300.73647635939824</v>
      </c>
      <c r="AI95" s="3"/>
      <c r="AJ95" s="43">
        <f t="shared" si="111"/>
        <v>0</v>
      </c>
      <c r="AK95" s="43">
        <f t="shared" si="112"/>
        <v>0</v>
      </c>
      <c r="AL95" s="43">
        <f t="shared" si="113"/>
        <v>0</v>
      </c>
      <c r="AM95" s="43">
        <f t="shared" si="114"/>
        <v>1909.6766248821789</v>
      </c>
      <c r="AN95" s="43">
        <f t="shared" si="115"/>
        <v>3743.1165530072499</v>
      </c>
      <c r="AO95" s="3"/>
      <c r="AP95" s="43">
        <f t="shared" si="116"/>
        <v>0</v>
      </c>
      <c r="AQ95" s="43">
        <f t="shared" si="117"/>
        <v>0</v>
      </c>
      <c r="AR95" s="43">
        <f t="shared" si="118"/>
        <v>0</v>
      </c>
      <c r="AS95" s="43">
        <f t="shared" si="119"/>
        <v>88311.266282937286</v>
      </c>
      <c r="AT95" s="43">
        <f t="shared" si="120"/>
        <v>84568.149729930039</v>
      </c>
      <c r="AU95" s="3"/>
      <c r="AV95" s="47">
        <f t="shared" si="121"/>
        <v>0</v>
      </c>
      <c r="AW95" s="47">
        <f t="shared" si="122"/>
        <v>0</v>
      </c>
      <c r="AX95" s="47">
        <f t="shared" si="123"/>
        <v>0</v>
      </c>
      <c r="AY95" s="47">
        <f t="shared" si="124"/>
        <v>0</v>
      </c>
      <c r="AZ95" s="47">
        <f t="shared" si="125"/>
        <v>0</v>
      </c>
      <c r="BA95" s="43">
        <f t="shared" si="126"/>
        <v>5265.5047436337954</v>
      </c>
      <c r="BB95" s="43">
        <f t="shared" si="127"/>
        <v>6956.7062427445908</v>
      </c>
      <c r="BC95" s="3"/>
      <c r="BD95" s="43">
        <f t="shared" si="128"/>
        <v>0</v>
      </c>
      <c r="BE95" s="43">
        <f t="shared" si="129"/>
        <v>0</v>
      </c>
      <c r="BF95" s="43">
        <f t="shared" si="130"/>
        <v>0</v>
      </c>
      <c r="BG95" s="43">
        <f t="shared" si="131"/>
        <v>0</v>
      </c>
      <c r="BH95" s="43">
        <f t="shared" si="132"/>
        <v>0</v>
      </c>
      <c r="BI95" s="43">
        <f t="shared" si="133"/>
        <v>451.10471453909736</v>
      </c>
      <c r="BJ95" s="43">
        <f t="shared" si="134"/>
        <v>932.74741383363346</v>
      </c>
      <c r="BK95" s="3"/>
      <c r="BL95" s="43">
        <f t="shared" si="135"/>
        <v>0</v>
      </c>
      <c r="BM95" s="43">
        <f t="shared" si="136"/>
        <v>0</v>
      </c>
      <c r="BN95" s="43">
        <f t="shared" si="137"/>
        <v>0</v>
      </c>
      <c r="BO95" s="43">
        <f t="shared" si="138"/>
        <v>0</v>
      </c>
      <c r="BP95" s="43">
        <f t="shared" si="139"/>
        <v>0</v>
      </c>
      <c r="BQ95" s="43">
        <f t="shared" si="140"/>
        <v>5716.609458172893</v>
      </c>
      <c r="BR95" s="43">
        <f t="shared" si="141"/>
        <v>7889.4536565782246</v>
      </c>
      <c r="BS95" s="3"/>
      <c r="BT95" s="10"/>
      <c r="BU95" s="10"/>
      <c r="BV95" s="51">
        <f t="shared" si="142"/>
        <v>0</v>
      </c>
      <c r="BW95" s="51">
        <f t="shared" si="143"/>
        <v>0</v>
      </c>
      <c r="BX95" s="51">
        <f t="shared" si="144"/>
        <v>0</v>
      </c>
      <c r="BY95" s="51">
        <f t="shared" si="145"/>
        <v>0</v>
      </c>
      <c r="BZ95" s="51">
        <f t="shared" si="146"/>
        <v>0</v>
      </c>
      <c r="CA95" s="338">
        <f t="shared" si="147"/>
        <v>14447.569331166153</v>
      </c>
    </row>
    <row r="96" spans="1:79" s="227" customFormat="1" ht="13">
      <c r="B96" s="37">
        <f>'11. Investeringen (WUI+ombouw)'!B56</f>
        <v>37</v>
      </c>
      <c r="C96" s="226"/>
      <c r="D96" s="226"/>
      <c r="E96" s="226"/>
      <c r="F96" s="42">
        <f>'11. Investeringen (WUI+ombouw)'!C56</f>
        <v>217.97749634781226</v>
      </c>
      <c r="G96" s="48"/>
      <c r="H96" s="37">
        <f>'11. Investeringen (WUI+ombouw)'!D56</f>
        <v>2025</v>
      </c>
      <c r="I96" s="37" t="str">
        <f>'11. Investeringen (WUI+ombouw)'!E56</f>
        <v>06 Utiliteitsgebouwen (TT-BT-AT)</v>
      </c>
      <c r="J96" s="37" t="str">
        <f>'11. Investeringen (WUI+ombouw)'!F56</f>
        <v>VVI</v>
      </c>
      <c r="K96" s="37" t="str">
        <f>'11. Investeringen (WUI+ombouw)'!G56</f>
        <v>Ja</v>
      </c>
      <c r="L96" s="38">
        <f t="shared" si="104"/>
        <v>2027</v>
      </c>
      <c r="M96" s="38">
        <f>_xlfn.XLOOKUP(I96,'3. Input (des)investeringen '!$B$11:$B$89,'3. Input (des)investeringen '!$D$11:$D$89,0)</f>
        <v>30</v>
      </c>
      <c r="N96" s="3"/>
      <c r="O96" s="43">
        <f t="shared" si="105"/>
        <v>0</v>
      </c>
      <c r="P96" s="43">
        <f t="shared" si="106"/>
        <v>0</v>
      </c>
      <c r="Q96" s="3"/>
      <c r="R96" s="43">
        <f t="shared" si="107"/>
        <v>0</v>
      </c>
      <c r="S96" s="43">
        <f t="shared" si="108"/>
        <v>0</v>
      </c>
      <c r="T96" s="3"/>
      <c r="U96" s="43">
        <f t="shared" si="109"/>
        <v>217.97749634781226</v>
      </c>
      <c r="V96" s="38">
        <f t="shared" si="110"/>
        <v>30</v>
      </c>
      <c r="W96" s="3"/>
      <c r="X96" s="43">
        <f t="shared" si="77"/>
        <v>0</v>
      </c>
      <c r="Y96" s="43">
        <f t="shared" si="77"/>
        <v>0</v>
      </c>
      <c r="Z96" s="43">
        <f t="shared" si="77"/>
        <v>0</v>
      </c>
      <c r="AA96" s="43">
        <f t="shared" si="77"/>
        <v>4.2505611787823394</v>
      </c>
      <c r="AB96" s="43">
        <f t="shared" si="77"/>
        <v>8.3169313731507764</v>
      </c>
      <c r="AC96" s="3"/>
      <c r="AD96" s="43">
        <f t="shared" si="78"/>
        <v>0</v>
      </c>
      <c r="AE96" s="43">
        <f t="shared" si="78"/>
        <v>0</v>
      </c>
      <c r="AF96" s="43">
        <f t="shared" si="78"/>
        <v>0</v>
      </c>
      <c r="AG96" s="43">
        <f t="shared" si="78"/>
        <v>0.36329582724635379</v>
      </c>
      <c r="AH96" s="43">
        <f t="shared" si="78"/>
        <v>0.72659165449270757</v>
      </c>
      <c r="AI96" s="3"/>
      <c r="AJ96" s="43">
        <f t="shared" si="111"/>
        <v>0</v>
      </c>
      <c r="AK96" s="43">
        <f t="shared" si="112"/>
        <v>0</v>
      </c>
      <c r="AL96" s="43">
        <f t="shared" si="113"/>
        <v>0</v>
      </c>
      <c r="AM96" s="43">
        <f t="shared" si="114"/>
        <v>4.6138570060286934</v>
      </c>
      <c r="AN96" s="43">
        <f t="shared" si="115"/>
        <v>9.0435230276434844</v>
      </c>
      <c r="AO96" s="3"/>
      <c r="AP96" s="43">
        <f t="shared" si="116"/>
        <v>0</v>
      </c>
      <c r="AQ96" s="43">
        <f t="shared" si="117"/>
        <v>0</v>
      </c>
      <c r="AR96" s="43">
        <f t="shared" si="118"/>
        <v>0</v>
      </c>
      <c r="AS96" s="43">
        <f t="shared" si="119"/>
        <v>213.36363934178357</v>
      </c>
      <c r="AT96" s="43">
        <f t="shared" si="120"/>
        <v>204.32011631414008</v>
      </c>
      <c r="AU96" s="3"/>
      <c r="AV96" s="47">
        <f t="shared" si="121"/>
        <v>0</v>
      </c>
      <c r="AW96" s="47">
        <f t="shared" si="122"/>
        <v>0</v>
      </c>
      <c r="AX96" s="47">
        <f t="shared" si="123"/>
        <v>0</v>
      </c>
      <c r="AY96" s="47">
        <f t="shared" si="124"/>
        <v>0</v>
      </c>
      <c r="AZ96" s="47">
        <f t="shared" si="125"/>
        <v>0</v>
      </c>
      <c r="BA96" s="43">
        <f t="shared" si="126"/>
        <v>12.721675301016468</v>
      </c>
      <c r="BB96" s="43">
        <f t="shared" si="127"/>
        <v>16.807687447580808</v>
      </c>
      <c r="BC96" s="3"/>
      <c r="BD96" s="43">
        <f t="shared" si="128"/>
        <v>0</v>
      </c>
      <c r="BE96" s="43">
        <f t="shared" si="129"/>
        <v>0</v>
      </c>
      <c r="BF96" s="43">
        <f t="shared" si="130"/>
        <v>0</v>
      </c>
      <c r="BG96" s="43">
        <f t="shared" si="131"/>
        <v>0</v>
      </c>
      <c r="BH96" s="43">
        <f t="shared" si="132"/>
        <v>0</v>
      </c>
      <c r="BI96" s="43">
        <f t="shared" si="133"/>
        <v>1.0898874817390614</v>
      </c>
      <c r="BJ96" s="43">
        <f t="shared" si="134"/>
        <v>2.2535559864419303</v>
      </c>
      <c r="BK96" s="3"/>
      <c r="BL96" s="43">
        <f t="shared" si="135"/>
        <v>0</v>
      </c>
      <c r="BM96" s="43">
        <f t="shared" si="136"/>
        <v>0</v>
      </c>
      <c r="BN96" s="43">
        <f t="shared" si="137"/>
        <v>0</v>
      </c>
      <c r="BO96" s="43">
        <f t="shared" si="138"/>
        <v>0</v>
      </c>
      <c r="BP96" s="43">
        <f t="shared" si="139"/>
        <v>0</v>
      </c>
      <c r="BQ96" s="43">
        <f t="shared" si="140"/>
        <v>13.81156278275553</v>
      </c>
      <c r="BR96" s="43">
        <f t="shared" si="141"/>
        <v>19.061243434022739</v>
      </c>
      <c r="BS96" s="3"/>
      <c r="BT96" s="10"/>
      <c r="BU96" s="10"/>
      <c r="BV96" s="51">
        <f t="shared" si="142"/>
        <v>0</v>
      </c>
      <c r="BW96" s="51">
        <f t="shared" si="143"/>
        <v>0</v>
      </c>
      <c r="BX96" s="51">
        <f t="shared" si="144"/>
        <v>0</v>
      </c>
      <c r="BY96" s="51">
        <f t="shared" si="145"/>
        <v>0</v>
      </c>
      <c r="BZ96" s="51">
        <f t="shared" si="146"/>
        <v>0</v>
      </c>
      <c r="CA96" s="338">
        <f t="shared" si="147"/>
        <v>34.905919730152689</v>
      </c>
    </row>
    <row r="97" spans="1:79" s="227" customFormat="1" ht="13">
      <c r="B97" s="37">
        <f>'11. Investeringen (WUI+ombouw)'!B57</f>
        <v>38</v>
      </c>
      <c r="C97" s="226"/>
      <c r="D97" s="226"/>
      <c r="E97" s="226"/>
      <c r="F97" s="42">
        <f>'11. Investeringen (WUI+ombouw)'!C57</f>
        <v>35645972.702093259</v>
      </c>
      <c r="G97" s="48"/>
      <c r="H97" s="37">
        <f>'11. Investeringen (WUI+ombouw)'!D57</f>
        <v>2025</v>
      </c>
      <c r="I97" s="37" t="str">
        <f>'11. Investeringen (WUI+ombouw)'!E57</f>
        <v>21 Hoofdtransportleiding (TT-BT-AT)</v>
      </c>
      <c r="J97" s="37" t="str">
        <f>'11. Investeringen (WUI+ombouw)'!F57</f>
        <v>VVI</v>
      </c>
      <c r="K97" s="37" t="str">
        <f>'11. Investeringen (WUI+ombouw)'!G57</f>
        <v>Ja</v>
      </c>
      <c r="L97" s="38">
        <f t="shared" ref="L97:L98" si="148">H97+2</f>
        <v>2027</v>
      </c>
      <c r="M97" s="38">
        <f>_xlfn.XLOOKUP(I97,'3. Input (des)investeringen '!$B$11:$B$89,'3. Input (des)investeringen '!$D$11:$D$89,0)</f>
        <v>55</v>
      </c>
      <c r="N97" s="3"/>
      <c r="O97" s="43">
        <f t="shared" ref="O97:O98" si="149">IF($M97&gt;0, IF($H97&lt;=O$58, VDB($F97,0,$M97,MAX(0,O$58-$H97-0.5),MIN($M97,O$58-$H97+0.5),1)*INDEX(H$38:H$44,$H97-2019,1),0),0)</f>
        <v>0</v>
      </c>
      <c r="P97" s="43">
        <f t="shared" ref="P97:P98" si="150">IF($M97&gt;0, IF($H97&lt;=P$58, VDB($F97,0,$M97,MAX(0,P$58-$H97-0.5),MIN($M97,P$58-$H97+0.5),1)*INDEX(I$38:I$44,$H97-2019,1),0),0)</f>
        <v>0</v>
      </c>
      <c r="Q97" s="3"/>
      <c r="R97" s="43">
        <f t="shared" ref="R97:R98" si="151">IF($O97=0,IF($H97=O$58,$F97,0),IF(OR($H97&gt;R$58,$H97+$M97&lt;=R$58),0,F97-O97))</f>
        <v>0</v>
      </c>
      <c r="S97" s="43">
        <f t="shared" ref="S97:S98" si="152">IF($M97=0,IF($H97=P$58,$F97,$R97*I$38),IF(OR($H97&gt;S$58,$H97+$M97&lt;=S$58),0,
IF($H97=S$58,F97-P97,R97*I$38-P97)))</f>
        <v>0</v>
      </c>
      <c r="T97" s="3"/>
      <c r="U97" s="43">
        <f t="shared" ref="U97:U98" si="153">IF(H97&lt;=2021,S97,F97)</f>
        <v>35645972.702093259</v>
      </c>
      <c r="V97" s="38">
        <f t="shared" ref="V97:V98" si="154">IF($M97&gt;0,IF(H97&lt;2022,M97-2021+H97-0.5,M97),0)</f>
        <v>55</v>
      </c>
      <c r="W97" s="3"/>
      <c r="X97" s="43">
        <f t="shared" ref="X97:AB98" si="155">IF($M97&gt;0, IF(OR($H97&gt;X$58,$H97+$M97&lt;X$58),0,IF(OR($H97=2020,$H97=2021),VDB($U97,0,$V97,X$58-2022,MIN($V97,X$58-2021),$F$23,FALSE),
VDB($U97,0,$V97,MAX(0,X$58-$H97-0.5),MIN($V97,X$58-$H97+0.5),$F$23,FALSE)))*(1-$F$26), 0)</f>
        <v>0</v>
      </c>
      <c r="Y97" s="43">
        <f t="shared" si="155"/>
        <v>0</v>
      </c>
      <c r="Z97" s="43">
        <f t="shared" si="155"/>
        <v>0</v>
      </c>
      <c r="AA97" s="43">
        <f t="shared" si="155"/>
        <v>379143.52783135552</v>
      </c>
      <c r="AB97" s="43">
        <f t="shared" si="155"/>
        <v>749325.48136851552</v>
      </c>
      <c r="AC97" s="3"/>
      <c r="AD97" s="43">
        <f t="shared" ref="AD97:AH98" si="156">IF($M97&gt;0, IF(OR($H97&gt;AD$58,$H97+$M97&lt;AD$58),0,IF(OR($H97=2020,$H97=2021),VDB($U97,0,$V97,AD$58-2022,MIN($V97,AD$58-2021),1,FALSE),
VDB($U97,0,$V97,MAX(0,AD$58-$H97-0.5),MIN($V97,AD$58-$H97+0.5),1,FALSE)))*$F$26,0)</f>
        <v>0</v>
      </c>
      <c r="AE97" s="43">
        <f t="shared" si="156"/>
        <v>0</v>
      </c>
      <c r="AF97" s="43">
        <f t="shared" si="156"/>
        <v>0</v>
      </c>
      <c r="AG97" s="43">
        <f t="shared" si="156"/>
        <v>32405.429729175692</v>
      </c>
      <c r="AH97" s="43">
        <f t="shared" si="156"/>
        <v>64810.859458351384</v>
      </c>
      <c r="AI97" s="3"/>
      <c r="AJ97" s="43">
        <f t="shared" ref="AJ97:AJ98" si="157">X97+AD97</f>
        <v>0</v>
      </c>
      <c r="AK97" s="43">
        <f t="shared" ref="AK97:AK98" si="158">Y97+AE97</f>
        <v>0</v>
      </c>
      <c r="AL97" s="43">
        <f t="shared" ref="AL97:AL98" si="159">Z97+AF97</f>
        <v>0</v>
      </c>
      <c r="AM97" s="43">
        <f t="shared" ref="AM97:AM98" si="160">AA97+AG97</f>
        <v>411548.95756053121</v>
      </c>
      <c r="AN97" s="43">
        <f t="shared" ref="AN97:AN98" si="161">AB97+AH97</f>
        <v>814136.34082686692</v>
      </c>
      <c r="AO97" s="3"/>
      <c r="AP97" s="43">
        <f t="shared" ref="AP97:AP98" si="162">IF($M97=0, IF($H97&gt;AP$58,0, $U97), IF(OR($H97&gt;AP$58,$H97+$M97&lt;=AP$58),0,
IF($H97=AP$58,$U97-AJ97,
U97-AJ97)))</f>
        <v>0</v>
      </c>
      <c r="AQ97" s="43">
        <f t="shared" ref="AQ97:AQ98" si="163">IF($M97=0, IF($H97 &gt; AQ$58, 0, IF($H97=AQ$58, $F97, AP97)), IF(OR($H97&gt;AQ$58,$H97+$M97&lt;=AQ$58),0,
IF($H97=AQ$58,$U97-AK97,
AP97-AK97)))</f>
        <v>0</v>
      </c>
      <c r="AR97" s="43">
        <f t="shared" ref="AR97:AR98" si="164">IF($M97=0, IF($H97 &gt; AR$58, 0, IF($H97=AR$58, $F97, AQ97)), IF(OR($H97&gt;AR$58,$H97+$M97&lt;=AR$58),0,
IF($H97=AR$58,$U97-AL97,
AQ97-AL97)))</f>
        <v>0</v>
      </c>
      <c r="AS97" s="43">
        <f t="shared" ref="AS97:AS98" si="165">IF($M97=0, IF($H97 &gt; AS$58, 0, IF($H97=AS$58, $F97, AR97)), IF(OR($H97&gt;AS$58,$H97+$M97&lt;=AS$58),0,
IF($H97=AS$58,$U97-AM97,
AR97-AM97)))</f>
        <v>35234423.744532727</v>
      </c>
      <c r="AT97" s="43">
        <f t="shared" ref="AT97:AT98" si="166">IF($M97=0, IF($H97 &gt; AT$58, 0, IF($H97=AT$58, $F97, AS97)), IF(OR($H97&gt;AT$58,$H97+$M97&lt;=AT$58),0,
IF($H97=AT$58,$U97-AN97,
AS97-AN97)))</f>
        <v>34420287.403705858</v>
      </c>
      <c r="AU97" s="3"/>
      <c r="AV97" s="47">
        <f t="shared" ref="AV97:AV98" si="167">O97+R97*H$16</f>
        <v>0</v>
      </c>
      <c r="AW97" s="47">
        <f t="shared" ref="AW97:AW98" si="168">P97+S97*I$16</f>
        <v>0</v>
      </c>
      <c r="AX97" s="47">
        <f t="shared" ref="AX97:AX98" si="169">AJ97+AP97*J$17</f>
        <v>0</v>
      </c>
      <c r="AY97" s="47">
        <f t="shared" ref="AY97:AY98" si="170">AK97+AQ97*K$17</f>
        <v>0</v>
      </c>
      <c r="AZ97" s="47">
        <f t="shared" ref="AZ97:AZ98" si="171">AL97+AR97*L$17</f>
        <v>0</v>
      </c>
      <c r="BA97" s="43">
        <f t="shared" ref="BA97:BA98" si="172">AM97+AS97*M$17</f>
        <v>1750457.0598527747</v>
      </c>
      <c r="BB97" s="43">
        <f t="shared" ref="BB97:BB98" si="173">AN97+AT97*N$17</f>
        <v>2122107.2621676894</v>
      </c>
      <c r="BC97" s="3"/>
      <c r="BD97" s="43">
        <f t="shared" ref="BD97:BD98" si="174">IF(O97&gt;0,$F97*$F$20*INDEX($H$38:$N$44,$H97-2019,BD$58-2019)*INDEX($H$47:$N$53,$H97-2019,BD$58-2019)* IF(OR(BD$58=$H97,BD$58=$H97+$M97),0.5,1),0)</f>
        <v>0</v>
      </c>
      <c r="BE97" s="43">
        <f t="shared" ref="BE97:BE98" si="175">IF(P97&gt;0,$F97*$F$20*INDEX($H$38:$N$44,$H97-2019,BE$58-2019)*INDEX($H$47:$N$53,$H97-2019,BE$58-2019)*
 IF(OR(BE$58=$H97,BE$58=$H97+$M97),0.5,1),0)</f>
        <v>0</v>
      </c>
      <c r="BF97" s="43">
        <f t="shared" ref="BF97:BF98" si="176">IF(AJ97&gt;0,
$F97*$F$20*INDEX($H$38:$N$44,$H97-2019,BF$58-2019)*INDEX($H$47:$N$53,$H97-2019,BF$58-2019)*
 IF(OR(BF$58=$H97,BF$58=$H97+$M97),0.5,1),0)</f>
        <v>0</v>
      </c>
      <c r="BG97" s="43">
        <f t="shared" ref="BG97:BG98" si="177">IF(AK97&gt;0,
$F97*$F$20*INDEX($H$38:$N$44,$H97-2019,BG$58-2019)*INDEX($H$47:$N$53,$H97-2019,BG$58-2019)*
 IF(OR(BG$58=$H97,BG$58=$H97+$M97),0.5,1),0)</f>
        <v>0</v>
      </c>
      <c r="BH97" s="43">
        <f t="shared" ref="BH97:BH98" si="178">IF(AL97&gt;0,
$F97*$F$20*INDEX($H$38:$N$44,$H97-2019,BH$58-2019)*INDEX($H$47:$N$53,$H97-2019,BH$58-2019)*
 IF(OR(BH$58=$H97,BH$58=$H97+$M97),0.5,1),0)</f>
        <v>0</v>
      </c>
      <c r="BI97" s="43">
        <f t="shared" ref="BI97:BI98" si="179">IF(AM97&gt;0,
$F97*$F$20*INDEX($H$38:$N$44,$H97-2019,BI$58-2019)*INDEX($H$47:$N$53,$H97-2019,BI$58-2019)*
 IF(OR(BI$58=$H97,BI$58=$H97+$M97),0.5,1),0)</f>
        <v>178229.8635104663</v>
      </c>
      <c r="BJ97" s="43">
        <f t="shared" ref="BJ97:BJ98" si="180">IF(AN97&gt;0,
$F97*$F$20*INDEX($H$38:$N$44,$H97-2019,BJ$58-2019)*INDEX($H$47:$N$53,$H97-2019,BJ$58-2019)*
 IF(OR(BJ$58=$H97,BJ$58=$H97+$M97),0.5,1),0)</f>
        <v>368525.1758611371</v>
      </c>
      <c r="BK97" s="3"/>
      <c r="BL97" s="43">
        <f t="shared" ref="BL97:BL98" si="181">AV97+BD97</f>
        <v>0</v>
      </c>
      <c r="BM97" s="43">
        <f t="shared" ref="BM97:BM98" si="182">AW97+BE97</f>
        <v>0</v>
      </c>
      <c r="BN97" s="43">
        <f t="shared" ref="BN97:BN98" si="183">AX97+BF97</f>
        <v>0</v>
      </c>
      <c r="BO97" s="43">
        <f t="shared" ref="BO97:BO98" si="184">AY97+BG97</f>
        <v>0</v>
      </c>
      <c r="BP97" s="43">
        <f t="shared" ref="BP97:BP98" si="185">AZ97+BH97</f>
        <v>0</v>
      </c>
      <c r="BQ97" s="43">
        <f t="shared" ref="BQ97:BQ98" si="186">BA97+BI97</f>
        <v>1928686.9233632409</v>
      </c>
      <c r="BR97" s="43">
        <f t="shared" ref="BR97:BR98" si="187">BB97+BJ97</f>
        <v>2490632.4380288264</v>
      </c>
      <c r="BS97" s="3"/>
      <c r="BT97" s="10"/>
      <c r="BU97" s="10"/>
      <c r="BV97" s="51">
        <f t="shared" ref="BV97:BV98" si="188">IF($L97&gt;BV$58,0,
IF($L97=BV$58,BL97*INDEX(J$29:J$35,BV$58-2021)+BM97*INDEX(J$29:J$35,BV$58-2020)+BN97,BN97))</f>
        <v>0</v>
      </c>
      <c r="BW97" s="51">
        <f t="shared" ref="BW97:BW98" si="189">IF($L97&gt;BW$58,0,
IF($L97=BW$58,BM97*INDEX(K$29:K$35,BW$58-2021)+BN97*INDEX(K$29:K$35,BW$58-2020)+BO97,BO97))</f>
        <v>0</v>
      </c>
      <c r="BX97" s="51">
        <f t="shared" ref="BX97:BX98" si="190">IF($L97&gt;BX$58,0,
IF($L97=BX$58,BN97*INDEX(L$29:L$35,BX$58-2021)+BO97*INDEX(L$29:L$35,BX$58-2020)+BP97,BP97))</f>
        <v>0</v>
      </c>
      <c r="BY97" s="51">
        <f t="shared" ref="BY97:BY98" si="191">IF($L97&gt;BY$58,0,
IF($L97=BY$58,BO97*INDEX(M$29:M$35,BY$58-2021)+BP97*INDEX(M$29:M$35,BY$58-2020)+BQ97,BQ97))</f>
        <v>0</v>
      </c>
      <c r="BZ97" s="51">
        <f t="shared" ref="BZ97:BZ98" si="192">IF($L97&gt;BZ$58,0,
IF($L97=BZ$58,BP97*INDEX(N$29:N$35,BZ$58-2021)+BQ97*INDEX(N$29:N$35,BZ$58-2020)+BR97,BR97))</f>
        <v>0</v>
      </c>
      <c r="CA97" s="338">
        <f t="shared" ref="CA97:CA98" si="193" xml:space="preserve"> IF(
       $L97 = CA$58,
       BQ97 * _xlfn.SINGLE(INDEX(O$29:O$35, CA$58 - 2021)) + BR97 * _xlfn.SINGLE(INDEX(O$29:O$35, CA$58 - 2020)),
       0
  )</f>
        <v>4696383.855862638</v>
      </c>
    </row>
    <row r="98" spans="1:79" s="227" customFormat="1" ht="13">
      <c r="B98" s="37">
        <f>'11. Investeringen (WUI+ombouw)'!B58</f>
        <v>39</v>
      </c>
      <c r="C98" s="226"/>
      <c r="D98" s="226"/>
      <c r="E98" s="226"/>
      <c r="F98" s="42">
        <f>'11. Investeringen (WUI+ombouw)'!C58</f>
        <v>10202291.792197688</v>
      </c>
      <c r="G98" s="48"/>
      <c r="H98" s="37">
        <f>'11. Investeringen (WUI+ombouw)'!D58</f>
        <v>2025</v>
      </c>
      <c r="I98" s="37" t="str">
        <f>'11. Investeringen (WUI+ombouw)'!E58</f>
        <v>32 M&amp;R stations</v>
      </c>
      <c r="J98" s="37" t="str">
        <f>'11. Investeringen (WUI+ombouw)'!F58</f>
        <v>VVI</v>
      </c>
      <c r="K98" s="37" t="str">
        <f>'11. Investeringen (WUI+ombouw)'!G58</f>
        <v>Ja</v>
      </c>
      <c r="L98" s="38">
        <f t="shared" si="148"/>
        <v>2027</v>
      </c>
      <c r="M98" s="38">
        <f>_xlfn.XLOOKUP(I98,'3. Input (des)investeringen '!$B$11:$B$89,'3. Input (des)investeringen '!$D$11:$D$89,0)</f>
        <v>30</v>
      </c>
      <c r="N98" s="3"/>
      <c r="O98" s="43">
        <f t="shared" si="149"/>
        <v>0</v>
      </c>
      <c r="P98" s="43">
        <f t="shared" si="150"/>
        <v>0</v>
      </c>
      <c r="Q98" s="3"/>
      <c r="R98" s="43">
        <f t="shared" si="151"/>
        <v>0</v>
      </c>
      <c r="S98" s="43">
        <f t="shared" si="152"/>
        <v>0</v>
      </c>
      <c r="T98" s="3"/>
      <c r="U98" s="43">
        <f t="shared" si="153"/>
        <v>10202291.792197688</v>
      </c>
      <c r="V98" s="38">
        <f t="shared" si="154"/>
        <v>30</v>
      </c>
      <c r="W98" s="3"/>
      <c r="X98" s="43">
        <f t="shared" si="155"/>
        <v>0</v>
      </c>
      <c r="Y98" s="43">
        <f t="shared" si="155"/>
        <v>0</v>
      </c>
      <c r="Z98" s="43">
        <f t="shared" si="155"/>
        <v>0</v>
      </c>
      <c r="AA98" s="43">
        <f t="shared" si="155"/>
        <v>198944.6899478549</v>
      </c>
      <c r="AB98" s="43">
        <f t="shared" si="155"/>
        <v>389268.44333130278</v>
      </c>
      <c r="AC98" s="3"/>
      <c r="AD98" s="43">
        <f t="shared" si="156"/>
        <v>0</v>
      </c>
      <c r="AE98" s="43">
        <f t="shared" si="156"/>
        <v>0</v>
      </c>
      <c r="AF98" s="43">
        <f t="shared" si="156"/>
        <v>0</v>
      </c>
      <c r="AG98" s="43">
        <f t="shared" si="156"/>
        <v>17003.819653662813</v>
      </c>
      <c r="AH98" s="43">
        <f t="shared" si="156"/>
        <v>34007.639307325626</v>
      </c>
      <c r="AI98" s="3"/>
      <c r="AJ98" s="43">
        <f t="shared" si="157"/>
        <v>0</v>
      </c>
      <c r="AK98" s="43">
        <f t="shared" si="158"/>
        <v>0</v>
      </c>
      <c r="AL98" s="43">
        <f t="shared" si="159"/>
        <v>0</v>
      </c>
      <c r="AM98" s="43">
        <f t="shared" si="160"/>
        <v>215948.50960151773</v>
      </c>
      <c r="AN98" s="43">
        <f t="shared" si="161"/>
        <v>423276.08263862843</v>
      </c>
      <c r="AO98" s="3"/>
      <c r="AP98" s="43">
        <f t="shared" si="162"/>
        <v>0</v>
      </c>
      <c r="AQ98" s="43">
        <f t="shared" si="163"/>
        <v>0</v>
      </c>
      <c r="AR98" s="43">
        <f t="shared" si="164"/>
        <v>0</v>
      </c>
      <c r="AS98" s="43">
        <f t="shared" si="165"/>
        <v>9986343.282596169</v>
      </c>
      <c r="AT98" s="43">
        <f t="shared" si="166"/>
        <v>9563067.1999575403</v>
      </c>
      <c r="AU98" s="3"/>
      <c r="AV98" s="47">
        <f t="shared" si="167"/>
        <v>0</v>
      </c>
      <c r="AW98" s="47">
        <f t="shared" si="168"/>
        <v>0</v>
      </c>
      <c r="AX98" s="47">
        <f t="shared" si="169"/>
        <v>0</v>
      </c>
      <c r="AY98" s="47">
        <f t="shared" si="170"/>
        <v>0</v>
      </c>
      <c r="AZ98" s="47">
        <f t="shared" si="171"/>
        <v>0</v>
      </c>
      <c r="BA98" s="43">
        <f t="shared" si="172"/>
        <v>595429.55434017209</v>
      </c>
      <c r="BB98" s="43">
        <f t="shared" si="173"/>
        <v>786672.63623701502</v>
      </c>
      <c r="BC98" s="3"/>
      <c r="BD98" s="43">
        <f t="shared" si="174"/>
        <v>0</v>
      </c>
      <c r="BE98" s="43">
        <f t="shared" si="175"/>
        <v>0</v>
      </c>
      <c r="BF98" s="43">
        <f t="shared" si="176"/>
        <v>0</v>
      </c>
      <c r="BG98" s="43">
        <f t="shared" si="177"/>
        <v>0</v>
      </c>
      <c r="BH98" s="43">
        <f t="shared" si="178"/>
        <v>0</v>
      </c>
      <c r="BI98" s="43">
        <f t="shared" si="179"/>
        <v>51011.458960988442</v>
      </c>
      <c r="BJ98" s="43">
        <f t="shared" si="180"/>
        <v>105476.18964779995</v>
      </c>
      <c r="BK98" s="3"/>
      <c r="BL98" s="43">
        <f t="shared" si="181"/>
        <v>0</v>
      </c>
      <c r="BM98" s="43">
        <f t="shared" si="182"/>
        <v>0</v>
      </c>
      <c r="BN98" s="43">
        <f t="shared" si="183"/>
        <v>0</v>
      </c>
      <c r="BO98" s="43">
        <f t="shared" si="184"/>
        <v>0</v>
      </c>
      <c r="BP98" s="43">
        <f t="shared" si="185"/>
        <v>0</v>
      </c>
      <c r="BQ98" s="43">
        <f t="shared" si="186"/>
        <v>646441.01330116054</v>
      </c>
      <c r="BR98" s="43">
        <f t="shared" si="187"/>
        <v>892148.82588481496</v>
      </c>
      <c r="BS98" s="3"/>
      <c r="BT98" s="10"/>
      <c r="BU98" s="10"/>
      <c r="BV98" s="51">
        <f t="shared" si="188"/>
        <v>0</v>
      </c>
      <c r="BW98" s="51">
        <f t="shared" si="189"/>
        <v>0</v>
      </c>
      <c r="BX98" s="51">
        <f t="shared" si="190"/>
        <v>0</v>
      </c>
      <c r="BY98" s="51">
        <f t="shared" si="191"/>
        <v>0</v>
      </c>
      <c r="BZ98" s="51">
        <f t="shared" si="192"/>
        <v>0</v>
      </c>
      <c r="CA98" s="338">
        <f t="shared" si="193"/>
        <v>1633748.3654450751</v>
      </c>
    </row>
    <row r="99" spans="1:79" ht="13">
      <c r="C99" s="48"/>
      <c r="E99" s="48"/>
      <c r="G99" s="48"/>
    </row>
    <row r="100" spans="1:79" s="33" customFormat="1" ht="13">
      <c r="A100" s="96"/>
      <c r="B100" s="33" t="s">
        <v>869</v>
      </c>
    </row>
    <row r="101" spans="1:79" s="34" customFormat="1" ht="13">
      <c r="A101" s="97"/>
      <c r="B101" s="34" t="s">
        <v>143</v>
      </c>
      <c r="D101" s="34" t="s">
        <v>184</v>
      </c>
      <c r="J101" s="99">
        <v>2022</v>
      </c>
      <c r="K101" s="99">
        <v>2023</v>
      </c>
      <c r="L101" s="99">
        <v>2024</v>
      </c>
      <c r="M101" s="99">
        <v>2025</v>
      </c>
      <c r="N101" s="99">
        <v>2026</v>
      </c>
      <c r="O101" s="99">
        <v>2027</v>
      </c>
    </row>
    <row r="103" spans="1:79" ht="13">
      <c r="B103" s="3" t="s">
        <v>870</v>
      </c>
      <c r="D103" s="3" t="s">
        <v>189</v>
      </c>
      <c r="J103" s="47">
        <f t="shared" ref="J103:M103" si="194">SUMIF($J60:$J90,"WUI",BV60:BV90)</f>
        <v>0</v>
      </c>
      <c r="K103" s="47">
        <f t="shared" si="194"/>
        <v>0</v>
      </c>
      <c r="L103" s="47">
        <f t="shared" si="194"/>
        <v>0</v>
      </c>
      <c r="M103" s="47">
        <f t="shared" si="194"/>
        <v>53053730.542234212</v>
      </c>
      <c r="N103" s="47">
        <f>SUMIF($J60:$J90,"WUI",BZ60:BZ90)</f>
        <v>141713845.03448284</v>
      </c>
      <c r="O103" s="94">
        <f>SUMIF($J60:$J98,"WUI",CA60:CA98)</f>
        <v>1624598.3652195698</v>
      </c>
      <c r="R103" s="5"/>
    </row>
    <row r="104" spans="1:79" ht="13">
      <c r="B104" s="3" t="s">
        <v>462</v>
      </c>
      <c r="D104" s="3" t="s">
        <v>189</v>
      </c>
      <c r="J104" s="47">
        <f t="shared" ref="J104:M104" si="195">SUMIF($K60:$K90,"Ja",BV60:BV90)</f>
        <v>120621.36223131276</v>
      </c>
      <c r="K104" s="47">
        <f t="shared" si="195"/>
        <v>45451.20410793968</v>
      </c>
      <c r="L104" s="47">
        <f t="shared" si="195"/>
        <v>2567791.5582221649</v>
      </c>
      <c r="M104" s="47">
        <f t="shared" si="195"/>
        <v>2407837.6116711642</v>
      </c>
      <c r="N104" s="47">
        <f>SUMIF($K60:$K90,"Ja",BZ60:BZ90)</f>
        <v>9785566.4517509788</v>
      </c>
      <c r="O104" s="94">
        <f>SUMIF($K60:$K98,"Ja",CA60:CA98)</f>
        <v>7856427.2372001</v>
      </c>
      <c r="R104" s="5"/>
    </row>
    <row r="106" spans="1:79">
      <c r="M106" s="88"/>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62"/>
  <sheetViews>
    <sheetView showGridLines="0" zoomScale="85" zoomScaleNormal="85" workbookViewId="0">
      <pane xSplit="4" ySplit="13" topLeftCell="E14" activePane="bottomRight" state="frozen"/>
      <selection pane="topRight" activeCell="E1" sqref="E1"/>
      <selection pane="bottomLeft" activeCell="A14" sqref="A14"/>
      <selection pane="bottomRight" activeCell="E14" sqref="E14"/>
    </sheetView>
  </sheetViews>
  <sheetFormatPr defaultColWidth="13.54296875" defaultRowHeight="12.5"/>
  <cols>
    <col min="1" max="1" width="2.54296875" style="3" customWidth="1"/>
    <col min="2" max="2" width="56.453125" style="3" customWidth="1"/>
    <col min="3" max="3" width="2.54296875" style="3" customWidth="1"/>
    <col min="4" max="4" width="47.54296875" style="3" customWidth="1"/>
    <col min="5" max="5" width="2.54296875" style="3" customWidth="1"/>
    <col min="6" max="6" width="15.54296875" style="3" customWidth="1"/>
    <col min="7" max="7" width="2.54296875" style="3" customWidth="1"/>
    <col min="8" max="8" width="20" style="3" bestFit="1" customWidth="1"/>
    <col min="9" max="9" width="39.1796875" style="3" customWidth="1"/>
    <col min="10" max="10" width="20.453125" style="3" bestFit="1" customWidth="1"/>
    <col min="11" max="11" width="27.453125" style="3" bestFit="1" customWidth="1"/>
    <col min="12" max="14" width="15.54296875" style="3" customWidth="1"/>
    <col min="15" max="15" width="12.1796875" style="3" customWidth="1"/>
    <col min="16" max="16" width="15.54296875" style="3" customWidth="1"/>
    <col min="17" max="17" width="18" style="3" bestFit="1" customWidth="1"/>
    <col min="18" max="18" width="18.453125" style="3" customWidth="1"/>
    <col min="19" max="19" width="29.54296875" style="3" customWidth="1"/>
    <col min="20" max="20" width="40.1796875" style="3" bestFit="1" customWidth="1"/>
    <col min="21" max="21" width="2.54296875" style="3" customWidth="1"/>
    <col min="22" max="22" width="25" style="3" bestFit="1" customWidth="1"/>
    <col min="23" max="26" width="15.54296875" style="3" customWidth="1"/>
    <col min="27" max="27" width="2.54296875" style="3" customWidth="1"/>
    <col min="28" max="28" width="25" style="3" bestFit="1" customWidth="1"/>
    <col min="29" max="32" width="15.54296875" style="3" customWidth="1"/>
    <col min="33" max="33" width="2.54296875" style="3" customWidth="1"/>
    <col min="34" max="34" width="25" style="3" bestFit="1" customWidth="1"/>
    <col min="35" max="38" width="15.54296875" style="3" customWidth="1"/>
    <col min="39" max="39" width="2.54296875" style="3" customWidth="1"/>
    <col min="40" max="40" width="22.453125" style="3" bestFit="1" customWidth="1"/>
    <col min="41" max="44" width="15.54296875" style="3" customWidth="1"/>
    <col min="45" max="45" width="2.54296875" style="3" customWidth="1"/>
    <col min="46" max="50" width="15.54296875" style="3" customWidth="1"/>
    <col min="51" max="51" width="2.54296875" style="3" customWidth="1"/>
    <col min="52" max="57" width="13.54296875" style="3"/>
    <col min="58" max="58" width="2.54296875" style="3" customWidth="1"/>
    <col min="59" max="65" width="13.54296875" style="3"/>
    <col min="66" max="66" width="2.54296875" style="3" customWidth="1"/>
    <col min="67" max="73" width="13.54296875" style="3"/>
    <col min="74" max="74" width="2.54296875" style="3" customWidth="1"/>
    <col min="75" max="81" width="13.54296875" style="3"/>
    <col min="82" max="82" width="15.54296875" style="3" customWidth="1"/>
    <col min="83" max="16384" width="13.54296875" style="3"/>
  </cols>
  <sheetData>
    <row r="2" spans="1:39" s="12" customFormat="1" ht="18">
      <c r="B2" s="12" t="s">
        <v>871</v>
      </c>
    </row>
    <row r="4" spans="1:39" ht="13">
      <c r="B4" s="16" t="s">
        <v>837</v>
      </c>
    </row>
    <row r="5" spans="1:39" ht="39.75" customHeight="1">
      <c r="B5" s="352" t="s">
        <v>872</v>
      </c>
      <c r="C5" s="352"/>
      <c r="D5" s="352"/>
      <c r="F5" s="13"/>
    </row>
    <row r="6" spans="1:39">
      <c r="B6" s="1"/>
      <c r="C6" s="1"/>
      <c r="D6" s="1"/>
      <c r="F6" s="13"/>
    </row>
    <row r="7" spans="1:39" ht="13">
      <c r="B7" s="360" t="s">
        <v>839</v>
      </c>
      <c r="C7" s="362"/>
      <c r="D7" s="362"/>
      <c r="F7" s="13"/>
    </row>
    <row r="8" spans="1:39" ht="51.75" customHeight="1">
      <c r="B8" s="352" t="s">
        <v>873</v>
      </c>
      <c r="C8" s="352"/>
      <c r="D8" s="352"/>
      <c r="F8" s="13"/>
    </row>
    <row r="9" spans="1:39" ht="14.25" customHeight="1"/>
    <row r="10" spans="1:39" s="8" customFormat="1" ht="13">
      <c r="B10" s="8" t="s">
        <v>143</v>
      </c>
      <c r="H10" s="53"/>
      <c r="I10" s="46"/>
      <c r="J10" s="53"/>
      <c r="K10" s="46"/>
      <c r="L10" s="53"/>
      <c r="M10" s="46"/>
      <c r="N10" s="46"/>
      <c r="O10" s="46"/>
      <c r="P10" s="46"/>
      <c r="Q10" s="46"/>
      <c r="R10" s="46"/>
      <c r="U10" s="46"/>
      <c r="AA10" s="46"/>
      <c r="AG10" s="46"/>
      <c r="AM10" s="46"/>
    </row>
    <row r="12" spans="1:39" s="33" customFormat="1" ht="13">
      <c r="A12" s="96"/>
      <c r="B12" s="33" t="s">
        <v>841</v>
      </c>
    </row>
    <row r="13" spans="1:39" s="34" customFormat="1" ht="13">
      <c r="A13" s="97"/>
      <c r="B13" s="34" t="s">
        <v>143</v>
      </c>
      <c r="D13" s="34" t="s">
        <v>184</v>
      </c>
      <c r="F13" s="34" t="s">
        <v>185</v>
      </c>
      <c r="H13" s="98">
        <v>2020</v>
      </c>
      <c r="I13" s="99">
        <v>2021</v>
      </c>
      <c r="J13" s="99">
        <v>2022</v>
      </c>
      <c r="K13" s="99">
        <v>2023</v>
      </c>
      <c r="L13" s="99">
        <v>2024</v>
      </c>
      <c r="M13" s="99">
        <v>2025</v>
      </c>
      <c r="N13" s="99">
        <v>2026</v>
      </c>
      <c r="O13" s="99">
        <v>2027</v>
      </c>
    </row>
    <row r="14" spans="1:39" s="100" customFormat="1" ht="13">
      <c r="H14" s="101"/>
      <c r="I14" s="102"/>
      <c r="J14" s="101"/>
      <c r="K14" s="102"/>
      <c r="L14" s="101"/>
      <c r="M14" s="102"/>
      <c r="N14" s="102"/>
      <c r="Q14" s="102"/>
      <c r="S14" s="102"/>
      <c r="T14" s="102"/>
      <c r="V14" s="102"/>
      <c r="W14" s="102"/>
      <c r="AB14" s="102"/>
      <c r="AC14" s="102"/>
      <c r="AH14" s="102"/>
      <c r="AI14" s="102"/>
    </row>
    <row r="15" spans="1:39" ht="13">
      <c r="B15" s="16" t="s">
        <v>190</v>
      </c>
    </row>
    <row r="16" spans="1:39">
      <c r="B16" s="144" t="s">
        <v>842</v>
      </c>
      <c r="D16" s="3" t="s">
        <v>188</v>
      </c>
      <c r="H16" s="10"/>
      <c r="I16" s="10"/>
      <c r="J16" s="149">
        <f>'2. Parameters'!M19</f>
        <v>3.4000000000000002E-2</v>
      </c>
      <c r="K16" s="149">
        <f>'2. Parameters'!N19</f>
        <v>3.3000000000000002E-2</v>
      </c>
      <c r="L16" s="149">
        <f>'2. Parameters'!O19</f>
        <v>3.7999999999999999E-2</v>
      </c>
      <c r="M16" s="149">
        <f>'2. Parameters'!P19</f>
        <v>3.7999999999999999E-2</v>
      </c>
      <c r="N16" s="149">
        <f>'2. Parameters'!Q19</f>
        <v>3.7999999999999999E-2</v>
      </c>
      <c r="O16" s="10"/>
    </row>
    <row r="18" spans="2:15" ht="13">
      <c r="B18" s="16" t="s">
        <v>200</v>
      </c>
    </row>
    <row r="19" spans="2:15">
      <c r="B19" s="3" t="s">
        <v>200</v>
      </c>
      <c r="D19" s="3" t="s">
        <v>188</v>
      </c>
      <c r="F19" s="77">
        <f>'2. Parameters'!F27</f>
        <v>0.01</v>
      </c>
    </row>
    <row r="20" spans="2:15" s="89" customFormat="1">
      <c r="F20" s="104"/>
    </row>
    <row r="21" spans="2:15" s="89" customFormat="1" ht="13">
      <c r="B21" s="105" t="s">
        <v>225</v>
      </c>
      <c r="F21" s="104"/>
    </row>
    <row r="22" spans="2:15">
      <c r="B22" s="3" t="s">
        <v>225</v>
      </c>
      <c r="F22" s="106">
        <f>'2. Parameters'!F83</f>
        <v>1.3</v>
      </c>
    </row>
    <row r="24" spans="2:15" ht="13">
      <c r="B24" s="2" t="s">
        <v>224</v>
      </c>
    </row>
    <row r="25" spans="2:15">
      <c r="B25" s="3" t="s">
        <v>224</v>
      </c>
      <c r="D25" s="3" t="s">
        <v>188</v>
      </c>
      <c r="F25" s="147">
        <f>'2. Parameters'!F79</f>
        <v>1</v>
      </c>
    </row>
    <row r="27" spans="2:15" ht="13">
      <c r="B27" s="2" t="s">
        <v>226</v>
      </c>
    </row>
    <row r="28" spans="2:15">
      <c r="B28" s="3" t="s">
        <v>226</v>
      </c>
      <c r="D28" s="3" t="s">
        <v>188</v>
      </c>
      <c r="F28" s="78">
        <f>'2. Parameters'!F87</f>
        <v>0.1</v>
      </c>
    </row>
    <row r="30" spans="2:15" ht="13">
      <c r="B30" s="16" t="s">
        <v>220</v>
      </c>
    </row>
    <row r="31" spans="2:15">
      <c r="B31" s="28" t="s">
        <v>208</v>
      </c>
      <c r="D31" s="3" t="s">
        <v>843</v>
      </c>
      <c r="H31" s="32">
        <f>'2. Parameters'!K69</f>
        <v>1</v>
      </c>
      <c r="I31" s="32">
        <f>'2. Parameters'!L69</f>
        <v>1.02</v>
      </c>
      <c r="J31" s="32">
        <f>'2. Parameters'!M69</f>
        <v>1.0404</v>
      </c>
      <c r="K31" s="32">
        <f>'2. Parameters'!N69</f>
        <v>1.0612079999999999</v>
      </c>
      <c r="L31" s="32">
        <f>'2. Parameters'!O69</f>
        <v>1.10365632</v>
      </c>
      <c r="M31" s="32">
        <f>'2. Parameters'!P69</f>
        <v>1.1809122624000001</v>
      </c>
      <c r="N31" s="32">
        <f>'2. Parameters'!Q69</f>
        <v>1.2399578755200003</v>
      </c>
      <c r="O31" s="32">
        <f>'2. Parameters'!R69</f>
        <v>1.2895561905408004</v>
      </c>
    </row>
    <row r="32" spans="2:15">
      <c r="B32" s="28" t="s">
        <v>209</v>
      </c>
      <c r="D32" s="3" t="s">
        <v>843</v>
      </c>
      <c r="H32" s="10"/>
      <c r="I32" s="32">
        <f>'2. Parameters'!L70</f>
        <v>1</v>
      </c>
      <c r="J32" s="32">
        <f>'2. Parameters'!M70</f>
        <v>1.02</v>
      </c>
      <c r="K32" s="32">
        <f>'2. Parameters'!N70</f>
        <v>1.0404</v>
      </c>
      <c r="L32" s="32">
        <f>'2. Parameters'!O70</f>
        <v>1.0820160000000001</v>
      </c>
      <c r="M32" s="32">
        <f>'2. Parameters'!P70</f>
        <v>1.1577571200000001</v>
      </c>
      <c r="N32" s="32">
        <f>'2. Parameters'!Q70</f>
        <v>1.2156449760000001</v>
      </c>
      <c r="O32" s="32">
        <f>'2. Parameters'!R70</f>
        <v>1.2642707750400002</v>
      </c>
    </row>
    <row r="33" spans="2:15">
      <c r="B33" s="28" t="s">
        <v>210</v>
      </c>
      <c r="D33" s="3" t="s">
        <v>843</v>
      </c>
      <c r="H33" s="10"/>
      <c r="I33" s="10"/>
      <c r="J33" s="32">
        <f>'2. Parameters'!M71</f>
        <v>1</v>
      </c>
      <c r="K33" s="32">
        <f>'2. Parameters'!N71</f>
        <v>1.02</v>
      </c>
      <c r="L33" s="32">
        <f>'2. Parameters'!O71</f>
        <v>1.0608</v>
      </c>
      <c r="M33" s="32">
        <f>'2. Parameters'!P71</f>
        <v>1.1350560000000001</v>
      </c>
      <c r="N33" s="32">
        <f>'2. Parameters'!Q71</f>
        <v>1.1918088000000002</v>
      </c>
      <c r="O33" s="32">
        <f>'2. Parameters'!R71</f>
        <v>1.2394811520000002</v>
      </c>
    </row>
    <row r="34" spans="2:15">
      <c r="B34" s="28" t="s">
        <v>211</v>
      </c>
      <c r="D34" s="3" t="s">
        <v>843</v>
      </c>
      <c r="H34" s="10"/>
      <c r="I34" s="10"/>
      <c r="J34" s="10"/>
      <c r="K34" s="32">
        <f>'2. Parameters'!N72</f>
        <v>1</v>
      </c>
      <c r="L34" s="32">
        <f>'2. Parameters'!O72</f>
        <v>1.04</v>
      </c>
      <c r="M34" s="32">
        <f>'2. Parameters'!P72</f>
        <v>1.1128</v>
      </c>
      <c r="N34" s="32">
        <f>'2. Parameters'!Q72</f>
        <v>1.1684400000000001</v>
      </c>
      <c r="O34" s="32">
        <f>'2. Parameters'!R72</f>
        <v>1.2151776000000003</v>
      </c>
    </row>
    <row r="35" spans="2:15">
      <c r="B35" s="28" t="s">
        <v>212</v>
      </c>
      <c r="D35" s="3" t="s">
        <v>843</v>
      </c>
      <c r="H35" s="10"/>
      <c r="I35" s="10"/>
      <c r="J35" s="10"/>
      <c r="K35" s="10"/>
      <c r="L35" s="32">
        <f>'2. Parameters'!O73</f>
        <v>1</v>
      </c>
      <c r="M35" s="32">
        <f>'2. Parameters'!P73</f>
        <v>1.07</v>
      </c>
      <c r="N35" s="32">
        <f>'2. Parameters'!Q73</f>
        <v>1.1235000000000002</v>
      </c>
      <c r="O35" s="32">
        <f>'2. Parameters'!R73</f>
        <v>1.1684400000000001</v>
      </c>
    </row>
    <row r="36" spans="2:15">
      <c r="B36" s="28" t="s">
        <v>213</v>
      </c>
      <c r="D36" s="3" t="s">
        <v>843</v>
      </c>
      <c r="H36" s="10"/>
      <c r="I36" s="10"/>
      <c r="J36" s="10"/>
      <c r="K36" s="10"/>
      <c r="L36" s="10"/>
      <c r="M36" s="32">
        <f>'2. Parameters'!P74</f>
        <v>1</v>
      </c>
      <c r="N36" s="32">
        <f>'2. Parameters'!Q74</f>
        <v>1.05</v>
      </c>
      <c r="O36" s="32">
        <f>'2. Parameters'!R74</f>
        <v>1.0920000000000001</v>
      </c>
    </row>
    <row r="37" spans="2:15">
      <c r="B37" s="28" t="s">
        <v>214</v>
      </c>
      <c r="D37" s="3" t="s">
        <v>843</v>
      </c>
      <c r="H37" s="10"/>
      <c r="I37" s="10"/>
      <c r="J37" s="10"/>
      <c r="K37" s="10"/>
      <c r="L37" s="10"/>
      <c r="M37" s="10"/>
      <c r="N37" s="32">
        <f>'2. Parameters'!Q75</f>
        <v>1</v>
      </c>
      <c r="O37" s="32">
        <f>'2. Parameters'!R75</f>
        <v>1.04</v>
      </c>
    </row>
    <row r="39" spans="2:15" ht="13">
      <c r="B39" s="2" t="s">
        <v>201</v>
      </c>
    </row>
    <row r="40" spans="2:15">
      <c r="B40" s="3" t="s">
        <v>844</v>
      </c>
      <c r="D40" s="3" t="s">
        <v>205</v>
      </c>
      <c r="H40" s="32">
        <f>'2. Parameters'!K38</f>
        <v>1</v>
      </c>
      <c r="I40" s="32">
        <f>'2. Parameters'!L38</f>
        <v>1.016</v>
      </c>
      <c r="J40" s="32">
        <f>'2. Parameters'!M38</f>
        <v>1.0342880000000001</v>
      </c>
      <c r="K40" s="32">
        <f>'2. Parameters'!N38</f>
        <v>1.0984138560000001</v>
      </c>
      <c r="L40" s="32">
        <f>'2. Parameters'!O38</f>
        <v>1.1862869644800003</v>
      </c>
      <c r="M40" s="32">
        <f>'2. Parameters'!P38</f>
        <v>1.2195029994854403</v>
      </c>
      <c r="N40" s="32">
        <f>'2. Parameters'!Q38</f>
        <v>1.2658441134658871</v>
      </c>
      <c r="O40" s="10"/>
    </row>
    <row r="41" spans="2:15">
      <c r="B41" s="3" t="s">
        <v>845</v>
      </c>
      <c r="D41" s="3" t="s">
        <v>205</v>
      </c>
      <c r="H41" s="10"/>
      <c r="I41" s="32">
        <f>'2. Parameters'!L39</f>
        <v>1</v>
      </c>
      <c r="J41" s="32">
        <f>'2. Parameters'!M39</f>
        <v>1.018</v>
      </c>
      <c r="K41" s="32">
        <f>'2. Parameters'!N39</f>
        <v>1.081116</v>
      </c>
      <c r="L41" s="32">
        <f>'2. Parameters'!O39</f>
        <v>1.1676052800000001</v>
      </c>
      <c r="M41" s="32">
        <f>'2. Parameters'!P39</f>
        <v>1.2002982278400001</v>
      </c>
      <c r="N41" s="32">
        <f>'2. Parameters'!Q39</f>
        <v>1.24590956049792</v>
      </c>
      <c r="O41" s="10"/>
    </row>
    <row r="42" spans="2:15">
      <c r="B42" s="3" t="s">
        <v>846</v>
      </c>
      <c r="D42" s="3" t="s">
        <v>205</v>
      </c>
      <c r="H42" s="10"/>
      <c r="I42" s="10"/>
      <c r="J42" s="32">
        <f>'2. Parameters'!M40</f>
        <v>1</v>
      </c>
      <c r="K42" s="32">
        <f>'2. Parameters'!N40</f>
        <v>1.0620000000000001</v>
      </c>
      <c r="L42" s="32">
        <f>'2. Parameters'!O40</f>
        <v>1.1469600000000002</v>
      </c>
      <c r="M42" s="32">
        <f>'2. Parameters'!P40</f>
        <v>1.1790748800000002</v>
      </c>
      <c r="N42" s="32">
        <f>'2. Parameters'!Q40</f>
        <v>1.2238797254400002</v>
      </c>
      <c r="O42" s="10"/>
    </row>
    <row r="43" spans="2:15">
      <c r="B43" s="3" t="s">
        <v>847</v>
      </c>
      <c r="D43" s="3" t="s">
        <v>205</v>
      </c>
      <c r="H43" s="10"/>
      <c r="I43" s="10"/>
      <c r="J43" s="10"/>
      <c r="K43" s="32">
        <f>'2. Parameters'!N41</f>
        <v>1</v>
      </c>
      <c r="L43" s="32">
        <f>'2. Parameters'!O41</f>
        <v>1.08</v>
      </c>
      <c r="M43" s="32">
        <f>'2. Parameters'!P41</f>
        <v>1.1102400000000001</v>
      </c>
      <c r="N43" s="32">
        <f>'2. Parameters'!Q41</f>
        <v>1.1524291200000001</v>
      </c>
      <c r="O43" s="10"/>
    </row>
    <row r="44" spans="2:15">
      <c r="B44" s="3" t="s">
        <v>848</v>
      </c>
      <c r="D44" s="3" t="s">
        <v>205</v>
      </c>
      <c r="H44" s="10"/>
      <c r="I44" s="10"/>
      <c r="J44" s="10"/>
      <c r="K44" s="10"/>
      <c r="L44" s="32">
        <f>'2. Parameters'!O42</f>
        <v>1</v>
      </c>
      <c r="M44" s="32">
        <f>'2. Parameters'!P42</f>
        <v>1.028</v>
      </c>
      <c r="N44" s="32">
        <f>'2. Parameters'!Q42</f>
        <v>1.067064</v>
      </c>
      <c r="O44" s="10"/>
    </row>
    <row r="45" spans="2:15">
      <c r="B45" s="3" t="s">
        <v>849</v>
      </c>
      <c r="D45" s="3" t="s">
        <v>205</v>
      </c>
      <c r="H45" s="10"/>
      <c r="I45" s="10"/>
      <c r="J45" s="10"/>
      <c r="K45" s="10"/>
      <c r="L45" s="10"/>
      <c r="M45" s="32">
        <f>'2. Parameters'!P43</f>
        <v>1</v>
      </c>
      <c r="N45" s="32">
        <f>'2. Parameters'!Q43</f>
        <v>1.038</v>
      </c>
      <c r="O45" s="10"/>
    </row>
    <row r="46" spans="2:15">
      <c r="B46" s="3" t="s">
        <v>850</v>
      </c>
      <c r="D46" s="3" t="s">
        <v>205</v>
      </c>
      <c r="H46" s="10"/>
      <c r="I46" s="10"/>
      <c r="J46" s="10"/>
      <c r="K46" s="10"/>
      <c r="L46" s="10"/>
      <c r="M46" s="10"/>
      <c r="N46" s="32">
        <f>'2. Parameters'!Q44</f>
        <v>1</v>
      </c>
      <c r="O46" s="10"/>
    </row>
    <row r="47" spans="2:15" ht="13.5" customHeight="1"/>
    <row r="48" spans="2:15" ht="13">
      <c r="B48" s="2" t="s">
        <v>215</v>
      </c>
    </row>
    <row r="49" spans="2:56">
      <c r="B49" s="28" t="s">
        <v>208</v>
      </c>
      <c r="D49" s="3" t="s">
        <v>219</v>
      </c>
      <c r="H49" s="32">
        <f>'2. Parameters'!K55</f>
        <v>1</v>
      </c>
      <c r="I49" s="32">
        <f>'2. Parameters'!L55</f>
        <v>0.999</v>
      </c>
      <c r="J49" s="32">
        <f>'2. Parameters'!M55</f>
        <v>0.995004</v>
      </c>
      <c r="K49" s="32">
        <f>'2. Parameters'!N55</f>
        <v>0.99102398400000002</v>
      </c>
      <c r="L49" s="32">
        <f>'2. Parameters'!O55</f>
        <v>0.98705988806400002</v>
      </c>
      <c r="M49" s="32">
        <f>'2. Parameters'!P55</f>
        <v>0.98311164851174404</v>
      </c>
      <c r="N49" s="32">
        <f>'2. Parameters'!Q55</f>
        <v>0.97917920191769703</v>
      </c>
      <c r="O49" s="10"/>
    </row>
    <row r="50" spans="2:56">
      <c r="B50" s="28" t="s">
        <v>209</v>
      </c>
      <c r="D50" s="3" t="s">
        <v>219</v>
      </c>
      <c r="H50" s="10"/>
      <c r="I50" s="32">
        <f>'2. Parameters'!L56</f>
        <v>1</v>
      </c>
      <c r="J50" s="32">
        <f>'2. Parameters'!M56</f>
        <v>0.996</v>
      </c>
      <c r="K50" s="32">
        <f>'2. Parameters'!N56</f>
        <v>0.99201600000000001</v>
      </c>
      <c r="L50" s="32">
        <f>'2. Parameters'!O56</f>
        <v>0.98804793599999996</v>
      </c>
      <c r="M50" s="32">
        <f>'2. Parameters'!P56</f>
        <v>0.98409574425599999</v>
      </c>
      <c r="N50" s="32">
        <f>'2. Parameters'!Q56</f>
        <v>0.98015936127897596</v>
      </c>
      <c r="O50" s="10"/>
    </row>
    <row r="51" spans="2:56">
      <c r="B51" s="28" t="s">
        <v>210</v>
      </c>
      <c r="D51" s="3" t="s">
        <v>219</v>
      </c>
      <c r="H51" s="10"/>
      <c r="I51" s="10"/>
      <c r="J51" s="32">
        <f>'2. Parameters'!M57</f>
        <v>1</v>
      </c>
      <c r="K51" s="32">
        <f>'2. Parameters'!N57</f>
        <v>0.996</v>
      </c>
      <c r="L51" s="32">
        <f>'2. Parameters'!O57</f>
        <v>0.99201600000000001</v>
      </c>
      <c r="M51" s="32">
        <f>'2. Parameters'!P57</f>
        <v>0.98804793599999996</v>
      </c>
      <c r="N51" s="32">
        <f>'2. Parameters'!Q57</f>
        <v>0.98409574425599999</v>
      </c>
      <c r="O51" s="10"/>
    </row>
    <row r="52" spans="2:56">
      <c r="B52" s="28" t="s">
        <v>211</v>
      </c>
      <c r="D52" s="3" t="s">
        <v>219</v>
      </c>
      <c r="H52" s="10"/>
      <c r="I52" s="10"/>
      <c r="J52" s="10"/>
      <c r="K52" s="32">
        <f>'2. Parameters'!N58</f>
        <v>1</v>
      </c>
      <c r="L52" s="32">
        <f>'2. Parameters'!O58</f>
        <v>0.996</v>
      </c>
      <c r="M52" s="32">
        <f>'2. Parameters'!P58</f>
        <v>0.99201600000000001</v>
      </c>
      <c r="N52" s="32">
        <f>'2. Parameters'!Q58</f>
        <v>0.98804793599999996</v>
      </c>
      <c r="O52" s="10"/>
    </row>
    <row r="53" spans="2:56">
      <c r="B53" s="28" t="s">
        <v>212</v>
      </c>
      <c r="D53" s="3" t="s">
        <v>219</v>
      </c>
      <c r="H53" s="10"/>
      <c r="I53" s="10"/>
      <c r="J53" s="10"/>
      <c r="K53" s="10"/>
      <c r="L53" s="32">
        <f>'2. Parameters'!O59</f>
        <v>1</v>
      </c>
      <c r="M53" s="32">
        <f>'2. Parameters'!P59</f>
        <v>0.996</v>
      </c>
      <c r="N53" s="32">
        <f>'2. Parameters'!Q59</f>
        <v>0.99201600000000001</v>
      </c>
      <c r="O53" s="10"/>
    </row>
    <row r="54" spans="2:56">
      <c r="B54" s="28" t="s">
        <v>213</v>
      </c>
      <c r="D54" s="3" t="s">
        <v>219</v>
      </c>
      <c r="H54" s="10"/>
      <c r="I54" s="10"/>
      <c r="J54" s="10"/>
      <c r="K54" s="10"/>
      <c r="L54" s="10"/>
      <c r="M54" s="32">
        <f>'2. Parameters'!P60</f>
        <v>1</v>
      </c>
      <c r="N54" s="32">
        <f>'2. Parameters'!Q60</f>
        <v>0.996</v>
      </c>
      <c r="O54" s="10"/>
    </row>
    <row r="55" spans="2:56">
      <c r="B55" s="28" t="s">
        <v>214</v>
      </c>
      <c r="D55" s="3" t="s">
        <v>219</v>
      </c>
      <c r="H55" s="10"/>
      <c r="I55" s="10"/>
      <c r="J55" s="10"/>
      <c r="K55" s="10"/>
      <c r="L55" s="10"/>
      <c r="M55" s="10"/>
      <c r="N55" s="32">
        <f>'2. Parameters'!Q61</f>
        <v>1</v>
      </c>
      <c r="O55" s="10"/>
    </row>
    <row r="56" spans="2:56" ht="13.5" customHeight="1"/>
    <row r="57" spans="2:56" s="33" customFormat="1" ht="13">
      <c r="B57" s="33" t="s">
        <v>874</v>
      </c>
    </row>
    <row r="58" spans="2:56" s="36" customFormat="1" ht="13">
      <c r="M58" s="36" t="s">
        <v>852</v>
      </c>
      <c r="P58" s="36" t="s">
        <v>853</v>
      </c>
      <c r="S58" s="36" t="s">
        <v>854</v>
      </c>
      <c r="V58" s="36" t="s">
        <v>855</v>
      </c>
      <c r="AB58" s="36" t="s">
        <v>856</v>
      </c>
      <c r="AH58" s="36" t="s">
        <v>857</v>
      </c>
      <c r="AN58" s="36" t="s">
        <v>858</v>
      </c>
      <c r="AT58" s="36" t="s">
        <v>875</v>
      </c>
      <c r="AZ58" s="36" t="s">
        <v>876</v>
      </c>
    </row>
    <row r="59" spans="2:56" s="39" customFormat="1" ht="13">
      <c r="B59" s="39" t="s">
        <v>351</v>
      </c>
      <c r="F59" s="39" t="s">
        <v>352</v>
      </c>
      <c r="H59" s="40" t="s">
        <v>353</v>
      </c>
      <c r="I59" s="39" t="s">
        <v>274</v>
      </c>
      <c r="J59" s="40" t="s">
        <v>275</v>
      </c>
      <c r="K59" s="41" t="s">
        <v>354</v>
      </c>
      <c r="M59" s="45">
        <v>2020</v>
      </c>
      <c r="N59" s="45">
        <v>2021</v>
      </c>
      <c r="P59" s="45">
        <v>2020</v>
      </c>
      <c r="Q59" s="45">
        <v>2021</v>
      </c>
      <c r="S59" s="39" t="s">
        <v>867</v>
      </c>
      <c r="T59" s="39" t="s">
        <v>868</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ht="13">
      <c r="H60" s="49"/>
      <c r="I60" s="49"/>
      <c r="J60" s="50"/>
    </row>
    <row r="61" spans="2:56" ht="13">
      <c r="B61" s="37">
        <f>'3. Input (des)investeringen '!B94</f>
        <v>1529</v>
      </c>
      <c r="C61" s="48"/>
      <c r="D61" s="48"/>
      <c r="E61" s="48"/>
      <c r="F61" s="42">
        <f>'3. Input (des)investeringen '!D94</f>
        <v>0</v>
      </c>
      <c r="G61" s="48"/>
      <c r="H61" s="37">
        <f>'3. Input (des)investeringen '!F94</f>
        <v>2020</v>
      </c>
      <c r="I61" s="42" t="str">
        <f>'3. Input (des)investeringen '!G94</f>
        <v>nvt</v>
      </c>
      <c r="J61" s="42">
        <f>'3. Input (des)investeringen '!H94</f>
        <v>0</v>
      </c>
      <c r="K61" s="42">
        <f>'3. Input (des)investeringen '!I94</f>
        <v>1</v>
      </c>
      <c r="M61" s="43">
        <f t="shared" ref="M61:M92" si="0">IF($J61=0, 0, IF($H61&lt;=M$59,
VDB($F61,0,$J61,MAX(0,M$59-$H61-0.5),MIN($J61,M$59-$H61+0.5),1)*INDEX(H$40:H$46,$H61-2019,1),
0))</f>
        <v>0</v>
      </c>
      <c r="N61" s="43">
        <f t="shared" ref="N61:N92" si="1">IF($J61=0, 0, IF($H61&lt;=N$59,
VDB($F61,0,$J61,MAX(0,N$59-$H61-0.5),MIN($J61,N$59-$H61+0.5),1)*INDEX(I$40:I$46,$H61-2019,1),
0))</f>
        <v>0</v>
      </c>
      <c r="P61" s="136">
        <f>IF($J61=0,IF($H61=M$59,$F61,0),IF(OR($H61&gt;P$59,$H61+$J61&lt;=P$59),0,
F61-M61))</f>
        <v>0</v>
      </c>
      <c r="Q61" s="136">
        <f t="shared" ref="Q61:Q92" si="2">IF($J61=0,IF($H61=N$59,$F61,$P61*I$40),IF(OR($H61&gt;Q$59,$H61+$J61&lt;=Q$59),0,
IF($H61=Q$59,F61-N61,P61*I$40-N61)))</f>
        <v>0</v>
      </c>
      <c r="S61" s="43">
        <f>IF($P61=0, IF(H61&lt;=2021, $Q61, IF(H61&gt;=2022, $F61,0)), IF(H61&lt;=2021,Q61,F61))</f>
        <v>0</v>
      </c>
      <c r="T61" s="38">
        <f>IF($J61=0, 0, IF(H61&lt;2022,J61-2021+H61-0.5,J61))</f>
        <v>0</v>
      </c>
      <c r="V61" s="43">
        <f t="shared" ref="V61:Z70" si="3">IF($J61=0, 0, IF(OR($H61&gt;V$59,$H61+$J61&lt;V$59),0,
IF(OR($H61=2020,$H61=2021),VDB($S61*(1-$F$28),0,$T61,V$59-2022,MIN($T61,V$59-2021),$F$22,FALSE),
VDB($S61*(1-$F$28),0,$T61,MAX(0,V$59-$H61-0.5),MIN($T61,V$59-$H61+0.5),$F$22,FALSE))))</f>
        <v>0</v>
      </c>
      <c r="W61" s="43">
        <f t="shared" si="3"/>
        <v>0</v>
      </c>
      <c r="X61" s="43">
        <f t="shared" si="3"/>
        <v>0</v>
      </c>
      <c r="Y61" s="43">
        <f t="shared" si="3"/>
        <v>0</v>
      </c>
      <c r="Z61" s="43">
        <f t="shared" si="3"/>
        <v>0</v>
      </c>
      <c r="AB61" s="43">
        <f t="shared" ref="AB61:AF70" si="4">IF($J61=0, 0, IF(OR($H61&gt;AB$59,$H61+$J61&lt;AB$59),0,
IF(OR($H61=2020,$H61=2021),VDB($S61*$F$28,0,$T61,AB$59-2022,MIN($T61,AB$59-2021),1),
VDB($S61*$F$28,0,$T61,MAX(0,AB$59-$H61-0.5),MIN($T61,AB$59-$H61+0.5),1))))</f>
        <v>0</v>
      </c>
      <c r="AC61" s="43">
        <f t="shared" si="4"/>
        <v>0</v>
      </c>
      <c r="AD61" s="43">
        <f t="shared" si="4"/>
        <v>0</v>
      </c>
      <c r="AE61" s="43">
        <f t="shared" si="4"/>
        <v>0</v>
      </c>
      <c r="AF61" s="43">
        <f t="shared" si="4"/>
        <v>0</v>
      </c>
      <c r="AH61" s="43">
        <f t="shared" ref="AH61:AL61" si="5">V61+AB61</f>
        <v>0</v>
      </c>
      <c r="AI61" s="43">
        <f t="shared" si="5"/>
        <v>0</v>
      </c>
      <c r="AJ61" s="43">
        <f t="shared" si="5"/>
        <v>0</v>
      </c>
      <c r="AK61" s="43">
        <f t="shared" si="5"/>
        <v>0</v>
      </c>
      <c r="AL61" s="43">
        <f t="shared" si="5"/>
        <v>0</v>
      </c>
      <c r="AN61" s="43">
        <f>IF($J61=0, IF($H61&gt;AN$59,0, $S61), IF(OR($H61&gt;AN$59,$H61+$J61&lt;=AN$59),0,
IF($H61=AN$59,$S61-AH61,
S61-AH61)))</f>
        <v>0</v>
      </c>
      <c r="AO61" s="43">
        <f>IF($J61=0, IF($H61 &gt; AO$59, 0, IF($H61=AO$59, $F61, AN61)), IF(OR($H61&gt;AO$59,$H61+$J61&lt;=AO$59),0,
IF($H61=AO$59,$S61-AI61,
AN61-AI61)))</f>
        <v>0</v>
      </c>
      <c r="AP61" s="43">
        <f t="shared" ref="AP61" si="6">IF($J61=0, IF($H61 &gt; AP$59, 0, IF($H61=AP$59, $F61, AO61)), IF(OR($H61&gt;AP$59,$H61+$J61&lt;=AP$59),0,
IF($H61=AP$59,$S61-AJ61,
AO61-AJ61)))</f>
        <v>0</v>
      </c>
      <c r="AQ61" s="43">
        <f t="shared" ref="AQ61" si="7">IF($J61=0, IF($H61 &gt; AQ$59, 0, IF($H61=AQ$59, $F61, AP61)), IF(OR($H61&gt;AQ$59,$H61+$J61&lt;=AQ$59),0,
IF($H61=AQ$59,$S61-AK61,
AP61-AK61)))</f>
        <v>0</v>
      </c>
      <c r="AR61" s="43">
        <f>IF($J61=0, IF($H61 &gt; AR$59, 0, IF($H61=AR$59, $F61, AQ61)), IF(OR($H61&gt;AR$59,$H61+$J61&lt;=AR$59),0,
IF($H61=AR$59,$S61-AL61,
AQ61-AL61)))</f>
        <v>0</v>
      </c>
      <c r="AT61" s="43">
        <f t="shared" ref="AT61:AX70" si="8">IF($H61&lt;=AT$59,$F61*INDEX($H$40:$N$46,$H61-2019,AT$59-2019)*INDEX($H$49:$N$55,$H61-2019,AT$59-2019)*$F$19,0)</f>
        <v>0</v>
      </c>
      <c r="AU61" s="43">
        <f t="shared" si="8"/>
        <v>0</v>
      </c>
      <c r="AV61" s="43">
        <f t="shared" si="8"/>
        <v>0</v>
      </c>
      <c r="AW61" s="43">
        <f t="shared" si="8"/>
        <v>0</v>
      </c>
      <c r="AX61" s="43">
        <f t="shared" si="8"/>
        <v>0</v>
      </c>
      <c r="AZ61" s="47">
        <f>(AH61+AN61*J$16+AT61)*IF($K61=1,$F$25,1)</f>
        <v>0</v>
      </c>
      <c r="BA61" s="47">
        <f>(AI61+AO61*K$16+AU61)*IF($K61=1,$F$25,1)</f>
        <v>0</v>
      </c>
      <c r="BB61" s="47">
        <f t="shared" ref="BB61:BD61" si="9">(AJ61+AP61*L$16+AV61)*IF($K61=1,$F$25,1)</f>
        <v>0</v>
      </c>
      <c r="BC61" s="47">
        <f t="shared" si="9"/>
        <v>0</v>
      </c>
      <c r="BD61" s="47">
        <f t="shared" si="9"/>
        <v>0</v>
      </c>
    </row>
    <row r="62" spans="2:56" ht="13">
      <c r="B62" s="37">
        <f>'3. Input (des)investeringen '!B95</f>
        <v>1530</v>
      </c>
      <c r="C62" s="48"/>
      <c r="D62" s="48"/>
      <c r="E62" s="48"/>
      <c r="F62" s="42">
        <f>'3. Input (des)investeringen '!D95</f>
        <v>16428371.587765666</v>
      </c>
      <c r="G62" s="48"/>
      <c r="H62" s="37">
        <f>'3. Input (des)investeringen '!F95</f>
        <v>2020</v>
      </c>
      <c r="I62" s="42" t="str">
        <f>'3. Input (des)investeringen '!G95</f>
        <v>nvt</v>
      </c>
      <c r="J62" s="42">
        <f>'3. Input (des)investeringen '!H95</f>
        <v>5</v>
      </c>
      <c r="K62" s="42">
        <f>'3. Input (des)investeringen '!I95</f>
        <v>1</v>
      </c>
      <c r="M62" s="43">
        <f t="shared" si="0"/>
        <v>1642837.1587765666</v>
      </c>
      <c r="N62" s="43">
        <f t="shared" si="1"/>
        <v>3338245.1066339836</v>
      </c>
      <c r="P62" s="136">
        <f>IF($J62=0,IF($H62=M$59,$F62,0),IF(OR($H62&gt;P$59,$H62+$J62&lt;=P$59),0,
F62-M62))</f>
        <v>14785534.428989099</v>
      </c>
      <c r="Q62" s="136">
        <f t="shared" si="2"/>
        <v>11683857.873218942</v>
      </c>
      <c r="S62" s="43">
        <f t="shared" ref="S62:S125" si="10">IF($P62=0, IF(H62&lt;=2021, $Q62, IF(H62&gt;=2022, $F62,0)), IF(H62&lt;=2021,Q62,F62))</f>
        <v>11683857.873218942</v>
      </c>
      <c r="T62" s="38">
        <f t="shared" ref="T62:T125" si="11">IF($J62=0, 0, IF(H62&lt;2022,J62-2021+H62-0.5,J62))</f>
        <v>3.5</v>
      </c>
      <c r="V62" s="43">
        <f t="shared" si="3"/>
        <v>3905746.7747617611</v>
      </c>
      <c r="W62" s="43">
        <f t="shared" si="3"/>
        <v>2643890.1244541155</v>
      </c>
      <c r="X62" s="43">
        <f t="shared" si="3"/>
        <v>2643890.1244541155</v>
      </c>
      <c r="Y62" s="43">
        <f t="shared" si="3"/>
        <v>1321945.0622270578</v>
      </c>
      <c r="Z62" s="43">
        <f t="shared" si="3"/>
        <v>0</v>
      </c>
      <c r="AB62" s="43">
        <f t="shared" si="4"/>
        <v>333824.51066339837</v>
      </c>
      <c r="AC62" s="43">
        <f t="shared" si="4"/>
        <v>333824.51066339837</v>
      </c>
      <c r="AD62" s="43">
        <f t="shared" si="4"/>
        <v>333824.51066339837</v>
      </c>
      <c r="AE62" s="43">
        <f t="shared" si="4"/>
        <v>166912.25533169918</v>
      </c>
      <c r="AF62" s="43">
        <f t="shared" si="4"/>
        <v>0</v>
      </c>
      <c r="AH62" s="43">
        <f t="shared" ref="AH62:AH125" si="12">V62+AB62</f>
        <v>4239571.2854251591</v>
      </c>
      <c r="AI62" s="43">
        <f t="shared" ref="AI62:AI125" si="13">W62+AC62</f>
        <v>2977714.6351175141</v>
      </c>
      <c r="AJ62" s="43">
        <f t="shared" ref="AJ62:AJ125" si="14">X62+AD62</f>
        <v>2977714.6351175141</v>
      </c>
      <c r="AK62" s="43">
        <f t="shared" ref="AK62:AK125" si="15">Y62+AE62</f>
        <v>1488857.317558757</v>
      </c>
      <c r="AL62" s="43">
        <f t="shared" ref="AL62:AL125" si="16">Z62+AF62</f>
        <v>0</v>
      </c>
      <c r="AN62" s="43">
        <f t="shared" ref="AN62:AN125" si="17">IF($J62=0, IF($H62&gt;AN$59,0, $S62), IF(OR($H62&gt;AN$59,$H62+$J62&lt;=AN$59),0,
IF($H62=AN$59,$S62-AH62,
S62-AH62)))</f>
        <v>7444286.5877937833</v>
      </c>
      <c r="AO62" s="43">
        <f t="shared" ref="AO62:AO125" si="18">IF($J62=0, IF($H62 &gt; AO$59, 0, IF($H62=AO$59, $F62, AN62)), IF(OR($H62&gt;AO$59,$H62+$J62&lt;=AO$59),0,
IF($H62=AO$59,$S62-AI62,
AN62-AI62)))</f>
        <v>4466571.9526762692</v>
      </c>
      <c r="AP62" s="43">
        <f t="shared" ref="AP62:AP125" si="19">IF($J62=0, IF($H62 &gt; AP$59, 0, IF($H62=AP$59, $F62, AO62)), IF(OR($H62&gt;AP$59,$H62+$J62&lt;=AP$59),0,
IF($H62=AP$59,$S62-AJ62,
AO62-AJ62)))</f>
        <v>1488857.3175587552</v>
      </c>
      <c r="AQ62" s="43">
        <f t="shared" ref="AQ62:AQ125" si="20">IF($J62=0, IF($H62 &gt; AQ$59, 0, IF($H62=AQ$59, $F62, AP62)), IF(OR($H62&gt;AQ$59,$H62+$J62&lt;=AQ$59),0,
IF($H62=AQ$59,$S62-AK62,
AP62-AK62)))</f>
        <v>0</v>
      </c>
      <c r="AR62" s="43">
        <f t="shared" ref="AR62:AR125" si="21">IF($J62=0, IF($H62 &gt; AR$59, 0, IF($H62=AR$59, $F62, AQ62)), IF(OR($H62&gt;AR$59,$H62+$J62&lt;=AR$59),0,
IF($H62=AR$59,$S62-AL62,
AQ62-AL62)))</f>
        <v>0</v>
      </c>
      <c r="AT62" s="43">
        <f t="shared" si="8"/>
        <v>169067.77221473516</v>
      </c>
      <c r="AU62" s="43">
        <f t="shared" si="8"/>
        <v>178831.77419568051</v>
      </c>
      <c r="AV62" s="43">
        <f t="shared" si="8"/>
        <v>192365.76286680964</v>
      </c>
      <c r="AW62" s="43">
        <f t="shared" si="8"/>
        <v>196960.99621017199</v>
      </c>
      <c r="AX62" s="43">
        <f t="shared" si="8"/>
        <v>203627.73200989389</v>
      </c>
      <c r="AZ62" s="47">
        <f t="shared" ref="AZ62:AZ125" si="22">(AH62+AN62*J$16+AT62)*IF($K62=1,$F$25,1)</f>
        <v>4661744.801624883</v>
      </c>
      <c r="BA62" s="47">
        <f t="shared" ref="BA62:BA125" si="23">(AI62+AO62*K$16+AU62)*IF($K62=1,$F$25,1)</f>
        <v>3303943.2837515115</v>
      </c>
      <c r="BB62" s="47">
        <f t="shared" ref="BB62:BB125" si="24">(AJ62+AP62*L$16+AV62)*IF($K62=1,$F$25,1)</f>
        <v>3226656.9760515564</v>
      </c>
      <c r="BC62" s="47">
        <f t="shared" ref="BC62:BC125" si="25">(AK62+AQ62*M$16+AW62)*IF($K62=1,$F$25,1)</f>
        <v>1685818.3137689291</v>
      </c>
      <c r="BD62" s="47">
        <f t="shared" ref="BD62:BD125" si="26">(AL62+AR62*N$16+AX62)*IF($K62=1,$F$25,1)</f>
        <v>203627.73200989389</v>
      </c>
    </row>
    <row r="63" spans="2:56" ht="13">
      <c r="B63" s="37">
        <f>'3. Input (des)investeringen '!B96</f>
        <v>1531</v>
      </c>
      <c r="C63" s="48"/>
      <c r="D63" s="48"/>
      <c r="E63" s="48"/>
      <c r="F63" s="42">
        <f>'3. Input (des)investeringen '!D96</f>
        <v>4983079.8391110003</v>
      </c>
      <c r="G63" s="48"/>
      <c r="H63" s="37">
        <f>'3. Input (des)investeringen '!F96</f>
        <v>2020</v>
      </c>
      <c r="I63" s="42" t="str">
        <f>'3. Input (des)investeringen '!G96</f>
        <v>nvt</v>
      </c>
      <c r="J63" s="42">
        <f>'3. Input (des)investeringen '!H96</f>
        <v>10</v>
      </c>
      <c r="K63" s="42">
        <f>'3. Input (des)investeringen '!I96</f>
        <v>1</v>
      </c>
      <c r="M63" s="43">
        <f t="shared" si="0"/>
        <v>249153.99195555004</v>
      </c>
      <c r="N63" s="43">
        <f t="shared" si="1"/>
        <v>506280.91165367764</v>
      </c>
      <c r="P63" s="136">
        <f t="shared" ref="P63:P125" si="27">IF($J63=0,IF($H63=M$59,$F63,0),IF(OR($H63&gt;P$59,$H63+$J63&lt;=P$59),0,
F63-M63))</f>
        <v>4733925.8471554499</v>
      </c>
      <c r="Q63" s="136">
        <f t="shared" si="2"/>
        <v>4303387.7490562592</v>
      </c>
      <c r="S63" s="43">
        <f t="shared" si="10"/>
        <v>4303387.7490562592</v>
      </c>
      <c r="T63" s="38">
        <f t="shared" si="11"/>
        <v>8.5</v>
      </c>
      <c r="V63" s="43">
        <f t="shared" si="3"/>
        <v>592348.66663480282</v>
      </c>
      <c r="W63" s="43">
        <f t="shared" si="3"/>
        <v>501754.16467889177</v>
      </c>
      <c r="X63" s="43">
        <f t="shared" si="3"/>
        <v>427530.17582106753</v>
      </c>
      <c r="Y63" s="43">
        <f t="shared" si="3"/>
        <v>427530.17582106753</v>
      </c>
      <c r="Z63" s="43">
        <f t="shared" si="3"/>
        <v>427530.17582106753</v>
      </c>
      <c r="AB63" s="43">
        <f t="shared" si="4"/>
        <v>50628.091165367761</v>
      </c>
      <c r="AC63" s="43">
        <f t="shared" si="4"/>
        <v>50628.091165367761</v>
      </c>
      <c r="AD63" s="43">
        <f t="shared" si="4"/>
        <v>50628.091165367761</v>
      </c>
      <c r="AE63" s="43">
        <f t="shared" si="4"/>
        <v>50628.091165367761</v>
      </c>
      <c r="AF63" s="43">
        <f t="shared" si="4"/>
        <v>50628.091165367761</v>
      </c>
      <c r="AH63" s="43">
        <f t="shared" si="12"/>
        <v>642976.75780017057</v>
      </c>
      <c r="AI63" s="43">
        <f t="shared" si="13"/>
        <v>552382.25584425952</v>
      </c>
      <c r="AJ63" s="43">
        <f t="shared" si="14"/>
        <v>478158.26698643528</v>
      </c>
      <c r="AK63" s="43">
        <f t="shared" si="15"/>
        <v>478158.26698643528</v>
      </c>
      <c r="AL63" s="43">
        <f t="shared" si="16"/>
        <v>478158.26698643528</v>
      </c>
      <c r="AN63" s="43">
        <f>IF($J63=0, IF($H63&gt;AN$59,0, $S63), IF(OR($H63&gt;AN$59,$H63+$J63&lt;=AN$59),0,
IF($H63=AN$59,$S63-AH63,
S63-AH63)))</f>
        <v>3660410.9912560885</v>
      </c>
      <c r="AO63" s="43">
        <f t="shared" si="18"/>
        <v>3108028.7354118288</v>
      </c>
      <c r="AP63" s="43">
        <f t="shared" si="19"/>
        <v>2629870.4684253936</v>
      </c>
      <c r="AQ63" s="43">
        <f t="shared" si="20"/>
        <v>2151712.2014389583</v>
      </c>
      <c r="AR63" s="43">
        <f t="shared" si="21"/>
        <v>1673553.934452523</v>
      </c>
      <c r="AT63" s="43">
        <f t="shared" si="8"/>
        <v>51281.905979899893</v>
      </c>
      <c r="AU63" s="43">
        <f t="shared" si="8"/>
        <v>54243.538614051067</v>
      </c>
      <c r="AV63" s="43">
        <f t="shared" si="8"/>
        <v>58348.68961636247</v>
      </c>
      <c r="AW63" s="43">
        <f t="shared" si="8"/>
        <v>59742.523113918127</v>
      </c>
      <c r="AX63" s="43">
        <f t="shared" si="8"/>
        <v>61764.688036278028</v>
      </c>
      <c r="AZ63" s="47">
        <f t="shared" si="22"/>
        <v>818712.63748277747</v>
      </c>
      <c r="BA63" s="47">
        <f t="shared" si="23"/>
        <v>709190.74272690096</v>
      </c>
      <c r="BB63" s="47">
        <f t="shared" si="24"/>
        <v>636442.03440296266</v>
      </c>
      <c r="BC63" s="47">
        <f t="shared" si="25"/>
        <v>619665.85375503381</v>
      </c>
      <c r="BD63" s="47">
        <f t="shared" si="26"/>
        <v>603518.00453190913</v>
      </c>
    </row>
    <row r="64" spans="2:56" ht="13">
      <c r="B64" s="37">
        <f>'3. Input (des)investeringen '!B97</f>
        <v>1532</v>
      </c>
      <c r="C64" s="48"/>
      <c r="D64" s="48"/>
      <c r="E64" s="48"/>
      <c r="F64" s="42">
        <f>'3. Input (des)investeringen '!D97</f>
        <v>23504856.52408703</v>
      </c>
      <c r="G64" s="48"/>
      <c r="H64" s="37">
        <f>'3. Input (des)investeringen '!F97</f>
        <v>2020</v>
      </c>
      <c r="I64" s="42" t="str">
        <f>'3. Input (des)investeringen '!G97</f>
        <v>nvt</v>
      </c>
      <c r="J64" s="42">
        <f>'3. Input (des)investeringen '!H97</f>
        <v>15</v>
      </c>
      <c r="K64" s="42">
        <f>'3. Input (des)investeringen '!I97</f>
        <v>1</v>
      </c>
      <c r="M64" s="43">
        <f t="shared" si="0"/>
        <v>783495.21746956767</v>
      </c>
      <c r="N64" s="43">
        <f t="shared" si="1"/>
        <v>1592062.2818981616</v>
      </c>
      <c r="P64" s="136">
        <f t="shared" si="27"/>
        <v>22721361.306617461</v>
      </c>
      <c r="Q64" s="136">
        <f t="shared" si="2"/>
        <v>21492840.805625178</v>
      </c>
      <c r="S64" s="43">
        <f t="shared" si="10"/>
        <v>21492840.805625178</v>
      </c>
      <c r="T64" s="38">
        <f t="shared" si="11"/>
        <v>13.5</v>
      </c>
      <c r="V64" s="43">
        <f t="shared" si="3"/>
        <v>1862712.8698208488</v>
      </c>
      <c r="W64" s="43">
        <f t="shared" si="3"/>
        <v>1683340.5193936559</v>
      </c>
      <c r="X64" s="43">
        <f t="shared" si="3"/>
        <v>1521241.0619705631</v>
      </c>
      <c r="Y64" s="43">
        <f t="shared" si="3"/>
        <v>1374751.1819289534</v>
      </c>
      <c r="Z64" s="43">
        <f t="shared" si="3"/>
        <v>1358053.7991524884</v>
      </c>
      <c r="AB64" s="43">
        <f t="shared" si="4"/>
        <v>159206.22818981615</v>
      </c>
      <c r="AC64" s="43">
        <f t="shared" si="4"/>
        <v>159206.22818981615</v>
      </c>
      <c r="AD64" s="43">
        <f t="shared" si="4"/>
        <v>159206.22818981615</v>
      </c>
      <c r="AE64" s="43">
        <f t="shared" si="4"/>
        <v>159206.22818981615</v>
      </c>
      <c r="AF64" s="43">
        <f t="shared" si="4"/>
        <v>159206.22818981615</v>
      </c>
      <c r="AH64" s="43">
        <f t="shared" si="12"/>
        <v>2021919.098010665</v>
      </c>
      <c r="AI64" s="43">
        <f t="shared" si="13"/>
        <v>1842546.7475834722</v>
      </c>
      <c r="AJ64" s="43">
        <f t="shared" si="14"/>
        <v>1680447.2901603794</v>
      </c>
      <c r="AK64" s="43">
        <f t="shared" si="15"/>
        <v>1533957.4101187696</v>
      </c>
      <c r="AL64" s="43">
        <f t="shared" si="16"/>
        <v>1517260.0273423046</v>
      </c>
      <c r="AN64" s="43">
        <f t="shared" si="17"/>
        <v>19470921.707614511</v>
      </c>
      <c r="AO64" s="43">
        <f t="shared" si="18"/>
        <v>17628374.96003104</v>
      </c>
      <c r="AP64" s="43">
        <f t="shared" si="19"/>
        <v>15947927.66987066</v>
      </c>
      <c r="AQ64" s="43">
        <f t="shared" si="20"/>
        <v>14413970.25975189</v>
      </c>
      <c r="AR64" s="43">
        <f t="shared" si="21"/>
        <v>12896710.232409585</v>
      </c>
      <c r="AT64" s="43">
        <f t="shared" si="8"/>
        <v>241893.34332526184</v>
      </c>
      <c r="AU64" s="43">
        <f t="shared" si="8"/>
        <v>255863.16768898239</v>
      </c>
      <c r="AV64" s="43">
        <f t="shared" si="8"/>
        <v>275226.89221968455</v>
      </c>
      <c r="AW64" s="43">
        <f t="shared" si="8"/>
        <v>281801.51222102839</v>
      </c>
      <c r="AX64" s="43">
        <f t="shared" si="8"/>
        <v>291339.92980668577</v>
      </c>
      <c r="AZ64" s="47">
        <f t="shared" si="22"/>
        <v>2925823.7793948203</v>
      </c>
      <c r="BA64" s="47">
        <f t="shared" si="23"/>
        <v>2680146.2889534789</v>
      </c>
      <c r="BB64" s="47">
        <f t="shared" si="24"/>
        <v>2561695.4338351488</v>
      </c>
      <c r="BC64" s="47">
        <f t="shared" si="25"/>
        <v>2363489.7922103698</v>
      </c>
      <c r="BD64" s="47">
        <f t="shared" si="26"/>
        <v>2298674.9459805544</v>
      </c>
    </row>
    <row r="65" spans="2:56" ht="13">
      <c r="B65" s="37">
        <f>'3. Input (des)investeringen '!B98</f>
        <v>1533</v>
      </c>
      <c r="C65" s="48"/>
      <c r="D65" s="48"/>
      <c r="E65" s="48"/>
      <c r="F65" s="42">
        <f>'3. Input (des)investeringen '!D98</f>
        <v>28868891.250722278</v>
      </c>
      <c r="G65" s="48"/>
      <c r="H65" s="37">
        <f>'3. Input (des)investeringen '!F98</f>
        <v>2020</v>
      </c>
      <c r="I65" s="42" t="str">
        <f>'3. Input (des)investeringen '!G98</f>
        <v>nvt</v>
      </c>
      <c r="J65" s="42">
        <f>'3. Input (des)investeringen '!H98</f>
        <v>30</v>
      </c>
      <c r="K65" s="42">
        <f>'3. Input (des)investeringen '!I98</f>
        <v>1</v>
      </c>
      <c r="M65" s="43">
        <f t="shared" si="0"/>
        <v>481148.18751203798</v>
      </c>
      <c r="N65" s="43">
        <f t="shared" si="1"/>
        <v>977693.11702446116</v>
      </c>
      <c r="P65" s="136">
        <f t="shared" si="27"/>
        <v>28387743.063210241</v>
      </c>
      <c r="Q65" s="136">
        <f t="shared" si="2"/>
        <v>27864253.835197143</v>
      </c>
      <c r="S65" s="43">
        <f t="shared" si="10"/>
        <v>27864253.835197143</v>
      </c>
      <c r="T65" s="38">
        <f t="shared" si="11"/>
        <v>28.5</v>
      </c>
      <c r="V65" s="43">
        <f t="shared" si="3"/>
        <v>1143900.9469186198</v>
      </c>
      <c r="W65" s="43">
        <f t="shared" si="3"/>
        <v>1091723.0089889986</v>
      </c>
      <c r="X65" s="43">
        <f t="shared" si="3"/>
        <v>1041925.1173509038</v>
      </c>
      <c r="Y65" s="43">
        <f t="shared" si="3"/>
        <v>994398.70848928369</v>
      </c>
      <c r="Z65" s="43">
        <f t="shared" si="3"/>
        <v>949040.17090907076</v>
      </c>
      <c r="AB65" s="43">
        <f t="shared" si="4"/>
        <v>97769.311702446124</v>
      </c>
      <c r="AC65" s="43">
        <f t="shared" si="4"/>
        <v>97769.311702446124</v>
      </c>
      <c r="AD65" s="43">
        <f t="shared" si="4"/>
        <v>97769.311702446124</v>
      </c>
      <c r="AE65" s="43">
        <f t="shared" si="4"/>
        <v>97769.311702446124</v>
      </c>
      <c r="AF65" s="43">
        <f t="shared" si="4"/>
        <v>97769.311702446124</v>
      </c>
      <c r="AH65" s="43">
        <f t="shared" si="12"/>
        <v>1241670.2586210659</v>
      </c>
      <c r="AI65" s="43">
        <f t="shared" si="13"/>
        <v>1189492.3206914447</v>
      </c>
      <c r="AJ65" s="43">
        <f t="shared" si="14"/>
        <v>1139694.4290533499</v>
      </c>
      <c r="AK65" s="43">
        <f t="shared" si="15"/>
        <v>1092168.0201917298</v>
      </c>
      <c r="AL65" s="43">
        <f t="shared" si="16"/>
        <v>1046809.4826115168</v>
      </c>
      <c r="AN65" s="43">
        <f t="shared" si="17"/>
        <v>26622583.576576076</v>
      </c>
      <c r="AO65" s="43">
        <f t="shared" si="18"/>
        <v>25433091.255884632</v>
      </c>
      <c r="AP65" s="43">
        <f t="shared" si="19"/>
        <v>24293396.826831281</v>
      </c>
      <c r="AQ65" s="43">
        <f t="shared" si="20"/>
        <v>23201228.806639552</v>
      </c>
      <c r="AR65" s="43">
        <f t="shared" si="21"/>
        <v>22154419.324028034</v>
      </c>
      <c r="AT65" s="43">
        <f t="shared" si="8"/>
        <v>297095.73489948589</v>
      </c>
      <c r="AU65" s="43">
        <f t="shared" si="8"/>
        <v>314253.60778140096</v>
      </c>
      <c r="AV65" s="43">
        <f t="shared" si="8"/>
        <v>338036.32081829745</v>
      </c>
      <c r="AW65" s="43">
        <f t="shared" si="8"/>
        <v>346111.33245000488</v>
      </c>
      <c r="AX65" s="43">
        <f t="shared" si="8"/>
        <v>357826.50883077271</v>
      </c>
      <c r="AZ65" s="47">
        <f t="shared" si="22"/>
        <v>2443933.8351241383</v>
      </c>
      <c r="BA65" s="47">
        <f t="shared" si="23"/>
        <v>2343037.9399170387</v>
      </c>
      <c r="BB65" s="47">
        <f t="shared" si="24"/>
        <v>2400879.8292912361</v>
      </c>
      <c r="BC65" s="47">
        <f t="shared" si="25"/>
        <v>2319926.0472940374</v>
      </c>
      <c r="BD65" s="47">
        <f t="shared" si="26"/>
        <v>2246503.9257553546</v>
      </c>
    </row>
    <row r="66" spans="2:56" ht="13">
      <c r="B66" s="37">
        <f>'3. Input (des)investeringen '!B99</f>
        <v>1534</v>
      </c>
      <c r="C66" s="48"/>
      <c r="D66" s="48"/>
      <c r="E66" s="48"/>
      <c r="F66" s="42">
        <f>'3. Input (des)investeringen '!D99</f>
        <v>79913166.073822603</v>
      </c>
      <c r="G66" s="48"/>
      <c r="H66" s="37">
        <f>'3. Input (des)investeringen '!F99</f>
        <v>2020</v>
      </c>
      <c r="I66" s="42" t="str">
        <f>'3. Input (des)investeringen '!G99</f>
        <v>nvt</v>
      </c>
      <c r="J66" s="42">
        <f>'3. Input (des)investeringen '!H99</f>
        <v>55</v>
      </c>
      <c r="K66" s="42">
        <f>'3. Input (des)investeringen '!I99</f>
        <v>1</v>
      </c>
      <c r="M66" s="43">
        <f t="shared" si="0"/>
        <v>726483.32794384181</v>
      </c>
      <c r="N66" s="43">
        <f t="shared" si="1"/>
        <v>1476214.1223818865</v>
      </c>
      <c r="P66" s="136">
        <f t="shared" si="27"/>
        <v>79186682.745878756</v>
      </c>
      <c r="Q66" s="136">
        <f t="shared" si="2"/>
        <v>78977455.547430933</v>
      </c>
      <c r="S66" s="43">
        <f t="shared" si="10"/>
        <v>78977455.547430933</v>
      </c>
      <c r="T66" s="38">
        <f t="shared" si="11"/>
        <v>53.5</v>
      </c>
      <c r="V66" s="43">
        <f t="shared" si="3"/>
        <v>1727170.5231868073</v>
      </c>
      <c r="W66" s="43">
        <f t="shared" si="3"/>
        <v>1685201.893651427</v>
      </c>
      <c r="X66" s="43">
        <f t="shared" si="3"/>
        <v>1644253.0625907381</v>
      </c>
      <c r="Y66" s="43">
        <f t="shared" si="3"/>
        <v>1604299.2498548883</v>
      </c>
      <c r="Z66" s="43">
        <f t="shared" si="3"/>
        <v>1565316.277428508</v>
      </c>
      <c r="AB66" s="43">
        <f t="shared" si="4"/>
        <v>147621.41223818867</v>
      </c>
      <c r="AC66" s="43">
        <f t="shared" si="4"/>
        <v>147621.41223818867</v>
      </c>
      <c r="AD66" s="43">
        <f t="shared" si="4"/>
        <v>147621.41223818867</v>
      </c>
      <c r="AE66" s="43">
        <f t="shared" si="4"/>
        <v>147621.41223818867</v>
      </c>
      <c r="AF66" s="43">
        <f t="shared" si="4"/>
        <v>147621.41223818867</v>
      </c>
      <c r="AH66" s="43">
        <f t="shared" si="12"/>
        <v>1874791.9354249961</v>
      </c>
      <c r="AI66" s="43">
        <f t="shared" si="13"/>
        <v>1832823.3058896158</v>
      </c>
      <c r="AJ66" s="43">
        <f t="shared" si="14"/>
        <v>1791874.4748289268</v>
      </c>
      <c r="AK66" s="43">
        <f t="shared" si="15"/>
        <v>1751920.6620930769</v>
      </c>
      <c r="AL66" s="43">
        <f t="shared" si="16"/>
        <v>1712937.6896666968</v>
      </c>
      <c r="AN66" s="43">
        <f t="shared" si="17"/>
        <v>77102663.612005934</v>
      </c>
      <c r="AO66" s="43">
        <f t="shared" si="18"/>
        <v>75269840.306116313</v>
      </c>
      <c r="AP66" s="43">
        <f t="shared" si="19"/>
        <v>73477965.831287384</v>
      </c>
      <c r="AQ66" s="43">
        <f t="shared" si="20"/>
        <v>71726045.169194311</v>
      </c>
      <c r="AR66" s="43">
        <f t="shared" si="21"/>
        <v>70013107.479527608</v>
      </c>
      <c r="AT66" s="43">
        <f t="shared" si="8"/>
        <v>822402.93181515869</v>
      </c>
      <c r="AU66" s="43">
        <f t="shared" si="8"/>
        <v>869898.34593334782</v>
      </c>
      <c r="AV66" s="43">
        <f t="shared" si="8"/>
        <v>935732.25275358383</v>
      </c>
      <c r="AW66" s="43">
        <f t="shared" si="8"/>
        <v>958085.02480736142</v>
      </c>
      <c r="AX66" s="43">
        <f t="shared" si="8"/>
        <v>990514.28672704101</v>
      </c>
      <c r="AZ66" s="47">
        <f t="shared" si="22"/>
        <v>5318685.4300483568</v>
      </c>
      <c r="BA66" s="47">
        <f t="shared" si="23"/>
        <v>5186626.3819248024</v>
      </c>
      <c r="BB66" s="47">
        <f t="shared" si="24"/>
        <v>5519769.4291714309</v>
      </c>
      <c r="BC66" s="47">
        <f t="shared" si="25"/>
        <v>5435595.4033298232</v>
      </c>
      <c r="BD66" s="47">
        <f t="shared" si="26"/>
        <v>5363950.0606157873</v>
      </c>
    </row>
    <row r="67" spans="2:56" ht="13">
      <c r="B67" s="37">
        <f>'3. Input (des)investeringen '!B100</f>
        <v>1535</v>
      </c>
      <c r="C67" s="48"/>
      <c r="D67" s="48"/>
      <c r="E67" s="48"/>
      <c r="F67" s="42">
        <f>'3. Input (des)investeringen '!D100</f>
        <v>-30502.390165910823</v>
      </c>
      <c r="G67" s="48"/>
      <c r="H67" s="37">
        <f>'3. Input (des)investeringen '!F100</f>
        <v>2020</v>
      </c>
      <c r="I67" s="42" t="str">
        <f>'3. Input (des)investeringen '!G100</f>
        <v>nvt</v>
      </c>
      <c r="J67" s="42">
        <f>'3. Input (des)investeringen '!H100</f>
        <v>0</v>
      </c>
      <c r="K67" s="42">
        <f>'3. Input (des)investeringen '!I100</f>
        <v>0</v>
      </c>
      <c r="M67" s="43">
        <f t="shared" si="0"/>
        <v>0</v>
      </c>
      <c r="N67" s="43">
        <f t="shared" si="1"/>
        <v>0</v>
      </c>
      <c r="P67" s="136">
        <f>IF($J67=0,IF($H67=M$59,$F67,0),IF(OR($H67&gt;P$59,$H67+$J67&lt;=P$59),0,
F67-M67))</f>
        <v>-30502.390165910823</v>
      </c>
      <c r="Q67" s="136">
        <f t="shared" si="2"/>
        <v>-30990.428408565396</v>
      </c>
      <c r="S67" s="43">
        <f t="shared" si="10"/>
        <v>-30990.428408565396</v>
      </c>
      <c r="T67" s="38">
        <f t="shared" si="11"/>
        <v>0</v>
      </c>
      <c r="V67" s="43">
        <f t="shared" si="3"/>
        <v>0</v>
      </c>
      <c r="W67" s="43">
        <f t="shared" si="3"/>
        <v>0</v>
      </c>
      <c r="X67" s="43">
        <f t="shared" si="3"/>
        <v>0</v>
      </c>
      <c r="Y67" s="43">
        <f t="shared" si="3"/>
        <v>0</v>
      </c>
      <c r="Z67" s="43">
        <f t="shared" si="3"/>
        <v>0</v>
      </c>
      <c r="AB67" s="43">
        <f t="shared" si="4"/>
        <v>0</v>
      </c>
      <c r="AC67" s="43">
        <f t="shared" si="4"/>
        <v>0</v>
      </c>
      <c r="AD67" s="43">
        <f t="shared" si="4"/>
        <v>0</v>
      </c>
      <c r="AE67" s="43">
        <f t="shared" si="4"/>
        <v>0</v>
      </c>
      <c r="AF67" s="43">
        <f t="shared" si="4"/>
        <v>0</v>
      </c>
      <c r="AH67" s="43">
        <f t="shared" si="12"/>
        <v>0</v>
      </c>
      <c r="AI67" s="43">
        <f t="shared" si="13"/>
        <v>0</v>
      </c>
      <c r="AJ67" s="43">
        <f t="shared" si="14"/>
        <v>0</v>
      </c>
      <c r="AK67" s="43">
        <f t="shared" si="15"/>
        <v>0</v>
      </c>
      <c r="AL67" s="43">
        <f t="shared" si="16"/>
        <v>0</v>
      </c>
      <c r="AN67" s="43">
        <f t="shared" si="17"/>
        <v>-30990.428408565396</v>
      </c>
      <c r="AO67" s="43">
        <f t="shared" si="18"/>
        <v>-30990.428408565396</v>
      </c>
      <c r="AP67" s="43">
        <f t="shared" si="19"/>
        <v>-30990.428408565396</v>
      </c>
      <c r="AQ67" s="43">
        <f t="shared" si="20"/>
        <v>-30990.428408565396</v>
      </c>
      <c r="AR67" s="43">
        <f t="shared" si="21"/>
        <v>-30990.428408565396</v>
      </c>
      <c r="AT67" s="43">
        <f t="shared" si="8"/>
        <v>-313.90641032344456</v>
      </c>
      <c r="AU67" s="43">
        <f t="shared" si="8"/>
        <v>-332.03513333244416</v>
      </c>
      <c r="AV67" s="43">
        <f t="shared" si="8"/>
        <v>-357.16355222304361</v>
      </c>
      <c r="AW67" s="43">
        <f t="shared" si="8"/>
        <v>-365.69547515854771</v>
      </c>
      <c r="AX67" s="43">
        <f t="shared" si="8"/>
        <v>-378.07353560171424</v>
      </c>
      <c r="AZ67" s="47">
        <f t="shared" si="22"/>
        <v>-1367.580976214668</v>
      </c>
      <c r="BA67" s="47">
        <f>(AI67+AO67*K$16+AU67)*IF($K67=1,$F$25,1)</f>
        <v>-1354.7192708151024</v>
      </c>
      <c r="BB67" s="47">
        <f t="shared" si="24"/>
        <v>-1534.7998317485285</v>
      </c>
      <c r="BC67" s="47">
        <f t="shared" si="25"/>
        <v>-1543.3317546840326</v>
      </c>
      <c r="BD67" s="47">
        <f t="shared" si="26"/>
        <v>-1555.7098151271991</v>
      </c>
    </row>
    <row r="68" spans="2:56" ht="13">
      <c r="B68" s="37">
        <f>'3. Input (des)investeringen '!B101</f>
        <v>1536</v>
      </c>
      <c r="C68" s="48"/>
      <c r="D68" s="48"/>
      <c r="E68" s="48"/>
      <c r="F68" s="42">
        <f>'3. Input (des)investeringen '!D101</f>
        <v>429610.71824132768</v>
      </c>
      <c r="G68" s="48"/>
      <c r="H68" s="37">
        <f>'3. Input (des)investeringen '!F101</f>
        <v>2020</v>
      </c>
      <c r="I68" s="42" t="str">
        <f>'3. Input (des)investeringen '!G101</f>
        <v>nvt</v>
      </c>
      <c r="J68" s="42">
        <f>'3. Input (des)investeringen '!H101</f>
        <v>5</v>
      </c>
      <c r="K68" s="42">
        <f>'3. Input (des)investeringen '!I101</f>
        <v>0</v>
      </c>
      <c r="M68" s="43">
        <f t="shared" si="0"/>
        <v>42961.07182413277</v>
      </c>
      <c r="N68" s="43">
        <f t="shared" si="1"/>
        <v>87296.897946637793</v>
      </c>
      <c r="P68" s="136">
        <f t="shared" si="27"/>
        <v>386649.64641719492</v>
      </c>
      <c r="Q68" s="136">
        <f t="shared" si="2"/>
        <v>305539.14281323226</v>
      </c>
      <c r="S68" s="43">
        <f t="shared" si="10"/>
        <v>305539.14281323226</v>
      </c>
      <c r="T68" s="38">
        <f t="shared" si="11"/>
        <v>3.5</v>
      </c>
      <c r="V68" s="43">
        <f t="shared" si="3"/>
        <v>102137.37059756623</v>
      </c>
      <c r="W68" s="43">
        <f t="shared" si="3"/>
        <v>69139.143173737131</v>
      </c>
      <c r="X68" s="43">
        <f t="shared" si="3"/>
        <v>69139.143173737131</v>
      </c>
      <c r="Y68" s="43">
        <f t="shared" si="3"/>
        <v>34569.571586868566</v>
      </c>
      <c r="Z68" s="43">
        <f t="shared" si="3"/>
        <v>0</v>
      </c>
      <c r="AB68" s="43">
        <f t="shared" si="4"/>
        <v>8729.68979466378</v>
      </c>
      <c r="AC68" s="43">
        <f t="shared" si="4"/>
        <v>8729.68979466378</v>
      </c>
      <c r="AD68" s="43">
        <f t="shared" si="4"/>
        <v>8729.68979466378</v>
      </c>
      <c r="AE68" s="43">
        <f t="shared" si="4"/>
        <v>4364.84489733189</v>
      </c>
      <c r="AF68" s="43">
        <f t="shared" si="4"/>
        <v>0</v>
      </c>
      <c r="AH68" s="43">
        <f t="shared" si="12"/>
        <v>110867.06039223001</v>
      </c>
      <c r="AI68" s="43">
        <f t="shared" si="13"/>
        <v>77868.832968400908</v>
      </c>
      <c r="AJ68" s="43">
        <f t="shared" si="14"/>
        <v>77868.832968400908</v>
      </c>
      <c r="AK68" s="43">
        <f t="shared" si="15"/>
        <v>38934.416484200454</v>
      </c>
      <c r="AL68" s="43">
        <f t="shared" si="16"/>
        <v>0</v>
      </c>
      <c r="AN68" s="43">
        <f t="shared" si="17"/>
        <v>194672.08242100227</v>
      </c>
      <c r="AO68" s="43">
        <f t="shared" si="18"/>
        <v>116803.24945260136</v>
      </c>
      <c r="AP68" s="43">
        <f t="shared" si="19"/>
        <v>38934.416484200454</v>
      </c>
      <c r="AQ68" s="43">
        <f t="shared" si="20"/>
        <v>0</v>
      </c>
      <c r="AR68" s="43">
        <f t="shared" si="21"/>
        <v>0</v>
      </c>
      <c r="AT68" s="43">
        <f t="shared" si="8"/>
        <v>4421.2128186048667</v>
      </c>
      <c r="AU68" s="43">
        <f t="shared" si="8"/>
        <v>4676.5467013049347</v>
      </c>
      <c r="AV68" s="43">
        <f t="shared" si="8"/>
        <v>5030.4677556596935</v>
      </c>
      <c r="AW68" s="43">
        <f t="shared" si="8"/>
        <v>5150.6355694068916</v>
      </c>
      <c r="AX68" s="43">
        <f t="shared" si="8"/>
        <v>5324.9742821601767</v>
      </c>
      <c r="AZ68" s="47">
        <f t="shared" si="22"/>
        <v>121907.12401314895</v>
      </c>
      <c r="BA68" s="47">
        <f t="shared" si="23"/>
        <v>86399.886901641687</v>
      </c>
      <c r="BB68" s="47">
        <f t="shared" si="24"/>
        <v>84378.808550460206</v>
      </c>
      <c r="BC68" s="47">
        <f t="shared" si="25"/>
        <v>44085.052053607345</v>
      </c>
      <c r="BD68" s="47">
        <f t="shared" si="26"/>
        <v>5324.9742821601767</v>
      </c>
    </row>
    <row r="69" spans="2:56" ht="13">
      <c r="B69" s="37">
        <f>'3. Input (des)investeringen '!B102</f>
        <v>1537</v>
      </c>
      <c r="C69" s="48"/>
      <c r="D69" s="48"/>
      <c r="E69" s="48"/>
      <c r="F69" s="42">
        <f>'3. Input (des)investeringen '!D102</f>
        <v>1540614.7503467209</v>
      </c>
      <c r="G69" s="48"/>
      <c r="H69" s="37">
        <f>'3. Input (des)investeringen '!F102</f>
        <v>2020</v>
      </c>
      <c r="I69" s="42" t="str">
        <f>'3. Input (des)investeringen '!G102</f>
        <v>nvt</v>
      </c>
      <c r="J69" s="42">
        <f>'3. Input (des)investeringen '!H102</f>
        <v>10</v>
      </c>
      <c r="K69" s="42">
        <f>'3. Input (des)investeringen '!I102</f>
        <v>0</v>
      </c>
      <c r="M69" s="43">
        <f t="shared" si="0"/>
        <v>77030.737517336049</v>
      </c>
      <c r="N69" s="43">
        <f t="shared" si="1"/>
        <v>156526.45863522682</v>
      </c>
      <c r="P69" s="136">
        <f t="shared" si="27"/>
        <v>1463584.0128293848</v>
      </c>
      <c r="Q69" s="136">
        <f t="shared" si="2"/>
        <v>1330474.8983994282</v>
      </c>
      <c r="S69" s="43">
        <f t="shared" si="10"/>
        <v>1330474.8983994282</v>
      </c>
      <c r="T69" s="38">
        <f t="shared" si="11"/>
        <v>8.5</v>
      </c>
      <c r="V69" s="43">
        <f t="shared" si="3"/>
        <v>183135.95660321543</v>
      </c>
      <c r="W69" s="43">
        <f t="shared" si="3"/>
        <v>155126.92794625307</v>
      </c>
      <c r="X69" s="43">
        <f t="shared" si="3"/>
        <v>132179.15754000258</v>
      </c>
      <c r="Y69" s="43">
        <f t="shared" si="3"/>
        <v>132179.15754000258</v>
      </c>
      <c r="Z69" s="43">
        <f t="shared" si="3"/>
        <v>132179.15754000258</v>
      </c>
      <c r="AB69" s="43">
        <f t="shared" si="4"/>
        <v>15652.645863522686</v>
      </c>
      <c r="AC69" s="43">
        <f t="shared" si="4"/>
        <v>15652.645863522686</v>
      </c>
      <c r="AD69" s="43">
        <f t="shared" si="4"/>
        <v>15652.645863522686</v>
      </c>
      <c r="AE69" s="43">
        <f t="shared" si="4"/>
        <v>15652.645863522686</v>
      </c>
      <c r="AF69" s="43">
        <f t="shared" si="4"/>
        <v>15652.645863522686</v>
      </c>
      <c r="AH69" s="43">
        <f t="shared" si="12"/>
        <v>198788.60246673811</v>
      </c>
      <c r="AI69" s="43">
        <f t="shared" si="13"/>
        <v>170779.57380977576</v>
      </c>
      <c r="AJ69" s="43">
        <f t="shared" si="14"/>
        <v>147831.80340352526</v>
      </c>
      <c r="AK69" s="43">
        <f t="shared" si="15"/>
        <v>147831.80340352526</v>
      </c>
      <c r="AL69" s="43">
        <f t="shared" si="16"/>
        <v>147831.80340352526</v>
      </c>
      <c r="AN69" s="43">
        <f t="shared" si="17"/>
        <v>1131686.2959326901</v>
      </c>
      <c r="AO69" s="43">
        <f t="shared" si="18"/>
        <v>960906.72212291439</v>
      </c>
      <c r="AP69" s="43">
        <f t="shared" si="19"/>
        <v>813074.91871938913</v>
      </c>
      <c r="AQ69" s="43">
        <f t="shared" si="20"/>
        <v>665243.11531586386</v>
      </c>
      <c r="AR69" s="43">
        <f t="shared" si="21"/>
        <v>517411.3119123386</v>
      </c>
      <c r="AT69" s="43">
        <f t="shared" si="8"/>
        <v>15854.785259194721</v>
      </c>
      <c r="AU69" s="43">
        <f t="shared" si="8"/>
        <v>16770.430817483735</v>
      </c>
      <c r="AV69" s="43">
        <f t="shared" si="8"/>
        <v>18039.617021750906</v>
      </c>
      <c r="AW69" s="43">
        <f t="shared" si="8"/>
        <v>18470.547393166493</v>
      </c>
      <c r="AX69" s="43">
        <f t="shared" si="8"/>
        <v>19095.738481330391</v>
      </c>
      <c r="AZ69" s="47">
        <f t="shared" si="22"/>
        <v>253120.72178764432</v>
      </c>
      <c r="BA69" s="47">
        <f t="shared" si="23"/>
        <v>219259.92645731568</v>
      </c>
      <c r="BB69" s="47">
        <f t="shared" si="24"/>
        <v>196768.26733661297</v>
      </c>
      <c r="BC69" s="47">
        <f t="shared" si="25"/>
        <v>191581.58917869459</v>
      </c>
      <c r="BD69" s="47">
        <f t="shared" si="26"/>
        <v>186589.17173752454</v>
      </c>
    </row>
    <row r="70" spans="2:56" ht="13">
      <c r="B70" s="37">
        <f>'3. Input (des)investeringen '!B103</f>
        <v>1538</v>
      </c>
      <c r="C70" s="48"/>
      <c r="D70" s="48"/>
      <c r="E70" s="48"/>
      <c r="F70" s="42">
        <f>'3. Input (des)investeringen '!D103</f>
        <v>4629744.6502016177</v>
      </c>
      <c r="G70" s="48"/>
      <c r="H70" s="37">
        <f>'3. Input (des)investeringen '!F103</f>
        <v>2020</v>
      </c>
      <c r="I70" s="42" t="str">
        <f>'3. Input (des)investeringen '!G103</f>
        <v>nvt</v>
      </c>
      <c r="J70" s="42">
        <f>'3. Input (des)investeringen '!H103</f>
        <v>15</v>
      </c>
      <c r="K70" s="42">
        <f>'3. Input (des)investeringen '!I103</f>
        <v>0</v>
      </c>
      <c r="M70" s="43">
        <f t="shared" si="0"/>
        <v>154324.82167338725</v>
      </c>
      <c r="N70" s="43">
        <f t="shared" si="1"/>
        <v>313588.03764032293</v>
      </c>
      <c r="P70" s="136">
        <f t="shared" si="27"/>
        <v>4475419.8285282301</v>
      </c>
      <c r="Q70" s="136">
        <f t="shared" si="2"/>
        <v>4233438.5081443591</v>
      </c>
      <c r="S70" s="43">
        <f t="shared" si="10"/>
        <v>4233438.5081443591</v>
      </c>
      <c r="T70" s="38">
        <f t="shared" si="11"/>
        <v>13.5</v>
      </c>
      <c r="V70" s="43">
        <f t="shared" si="3"/>
        <v>366898.00403917785</v>
      </c>
      <c r="W70" s="43">
        <f t="shared" si="3"/>
        <v>331567.08513170143</v>
      </c>
      <c r="X70" s="43">
        <f t="shared" si="3"/>
        <v>299638.40285975981</v>
      </c>
      <c r="Y70" s="43">
        <f t="shared" si="3"/>
        <v>270784.33443622739</v>
      </c>
      <c r="Z70" s="43">
        <f t="shared" si="3"/>
        <v>267495.45588032174</v>
      </c>
      <c r="AB70" s="43">
        <f t="shared" si="4"/>
        <v>31358.803764032291</v>
      </c>
      <c r="AC70" s="43">
        <f t="shared" si="4"/>
        <v>31358.803764032291</v>
      </c>
      <c r="AD70" s="43">
        <f t="shared" si="4"/>
        <v>31358.803764032291</v>
      </c>
      <c r="AE70" s="43">
        <f t="shared" si="4"/>
        <v>31358.803764032291</v>
      </c>
      <c r="AF70" s="43">
        <f t="shared" si="4"/>
        <v>31358.803764032291</v>
      </c>
      <c r="AH70" s="43">
        <f t="shared" si="12"/>
        <v>398256.80780321016</v>
      </c>
      <c r="AI70" s="43">
        <f t="shared" si="13"/>
        <v>362925.88889573375</v>
      </c>
      <c r="AJ70" s="43">
        <f t="shared" si="14"/>
        <v>330997.20662379212</v>
      </c>
      <c r="AK70" s="43">
        <f t="shared" si="15"/>
        <v>302143.13820025971</v>
      </c>
      <c r="AL70" s="43">
        <f t="shared" si="16"/>
        <v>298854.25964435405</v>
      </c>
      <c r="AN70" s="43">
        <f t="shared" si="17"/>
        <v>3835181.7003411488</v>
      </c>
      <c r="AO70" s="43">
        <f t="shared" si="18"/>
        <v>3472255.811445415</v>
      </c>
      <c r="AP70" s="43">
        <f t="shared" si="19"/>
        <v>3141258.6048216228</v>
      </c>
      <c r="AQ70" s="43">
        <f t="shared" si="20"/>
        <v>2839115.4666213631</v>
      </c>
      <c r="AR70" s="43">
        <f t="shared" si="21"/>
        <v>2540261.2069770088</v>
      </c>
      <c r="AT70" s="43">
        <f t="shared" si="8"/>
        <v>47645.660420512315</v>
      </c>
      <c r="AU70" s="43">
        <f t="shared" si="8"/>
        <v>50397.292601117748</v>
      </c>
      <c r="AV70" s="43">
        <f t="shared" si="8"/>
        <v>54211.359705170347</v>
      </c>
      <c r="AW70" s="43">
        <f t="shared" si="8"/>
        <v>55506.360665807457</v>
      </c>
      <c r="AX70" s="43">
        <f t="shared" si="8"/>
        <v>57385.139961623703</v>
      </c>
      <c r="AZ70" s="47">
        <f t="shared" si="22"/>
        <v>576298.64603532152</v>
      </c>
      <c r="BA70" s="47">
        <f t="shared" si="23"/>
        <v>527907.62327455019</v>
      </c>
      <c r="BB70" s="47">
        <f t="shared" si="24"/>
        <v>504576.39331218408</v>
      </c>
      <c r="BC70" s="47">
        <f t="shared" si="25"/>
        <v>465535.88659767894</v>
      </c>
      <c r="BD70" s="47">
        <f t="shared" si="26"/>
        <v>452769.32547110412</v>
      </c>
    </row>
    <row r="71" spans="2:56" ht="13">
      <c r="B71" s="37">
        <f>'3. Input (des)investeringen '!B104</f>
        <v>1539</v>
      </c>
      <c r="C71" s="48"/>
      <c r="D71" s="48"/>
      <c r="E71" s="48"/>
      <c r="F71" s="42">
        <f>'3. Input (des)investeringen '!D104</f>
        <v>26259145.971940324</v>
      </c>
      <c r="G71" s="48"/>
      <c r="H71" s="37">
        <f>'3. Input (des)investeringen '!F104</f>
        <v>2020</v>
      </c>
      <c r="I71" s="42" t="str">
        <f>'3. Input (des)investeringen '!G104</f>
        <v>nvt</v>
      </c>
      <c r="J71" s="42">
        <f>'3. Input (des)investeringen '!H104</f>
        <v>30</v>
      </c>
      <c r="K71" s="42">
        <f>'3. Input (des)investeringen '!I104</f>
        <v>0</v>
      </c>
      <c r="M71" s="43">
        <f t="shared" si="0"/>
        <v>437652.43286567205</v>
      </c>
      <c r="N71" s="43">
        <f t="shared" si="1"/>
        <v>889309.74358304567</v>
      </c>
      <c r="P71" s="136">
        <f t="shared" si="27"/>
        <v>25821493.539074652</v>
      </c>
      <c r="Q71" s="136">
        <f t="shared" si="2"/>
        <v>25345327.692116801</v>
      </c>
      <c r="S71" s="43">
        <f t="shared" si="10"/>
        <v>25345327.692116801</v>
      </c>
      <c r="T71" s="38">
        <f t="shared" si="11"/>
        <v>28.5</v>
      </c>
      <c r="V71" s="43">
        <f t="shared" ref="V71:Z80" si="28">IF($J71=0, 0, IF(OR($H71&gt;V$59,$H71+$J71&lt;V$59),0,
IF(OR($H71=2020,$H71=2021),VDB($S71*(1-$F$28),0,$T71,V$59-2022,MIN($T71,V$59-2021),$F$22,FALSE),
VDB($S71*(1-$F$28),0,$T71,MAX(0,V$59-$H71-0.5),MIN($T71,V$59-$H71+0.5),$F$22,FALSE))))</f>
        <v>1040492.3999921635</v>
      </c>
      <c r="W71" s="43">
        <f t="shared" si="28"/>
        <v>993031.34315041569</v>
      </c>
      <c r="X71" s="43">
        <f t="shared" si="28"/>
        <v>947735.17662074766</v>
      </c>
      <c r="Y71" s="43">
        <f t="shared" si="28"/>
        <v>904505.1510205029</v>
      </c>
      <c r="Z71" s="43">
        <f t="shared" si="28"/>
        <v>863247.02132483083</v>
      </c>
      <c r="AB71" s="43">
        <f t="shared" ref="AB71:AF80" si="29">IF($J71=0, 0, IF(OR($H71&gt;AB$59,$H71+$J71&lt;AB$59),0,
IF(OR($H71=2020,$H71=2021),VDB($S71*$F$28,0,$T71,AB$59-2022,MIN($T71,AB$59-2021),1),
VDB($S71*$F$28,0,$T71,MAX(0,AB$59-$H71-0.5),MIN($T71,AB$59-$H71+0.5),1))))</f>
        <v>88930.974358304564</v>
      </c>
      <c r="AC71" s="43">
        <f t="shared" si="29"/>
        <v>88930.974358304578</v>
      </c>
      <c r="AD71" s="43">
        <f t="shared" si="29"/>
        <v>88930.974358304578</v>
      </c>
      <c r="AE71" s="43">
        <f t="shared" si="29"/>
        <v>88930.974358304578</v>
      </c>
      <c r="AF71" s="43">
        <f t="shared" si="29"/>
        <v>88930.974358304578</v>
      </c>
      <c r="AH71" s="43">
        <f t="shared" si="12"/>
        <v>1129423.3743504682</v>
      </c>
      <c r="AI71" s="43">
        <f t="shared" si="13"/>
        <v>1081962.3175087203</v>
      </c>
      <c r="AJ71" s="43">
        <f t="shared" si="14"/>
        <v>1036666.1509790523</v>
      </c>
      <c r="AK71" s="43">
        <f t="shared" si="15"/>
        <v>993436.12537880754</v>
      </c>
      <c r="AL71" s="43">
        <f t="shared" si="16"/>
        <v>952177.99568313546</v>
      </c>
      <c r="AN71" s="43">
        <f t="shared" si="17"/>
        <v>24215904.317766331</v>
      </c>
      <c r="AO71" s="43">
        <f t="shared" si="18"/>
        <v>23133942.000257611</v>
      </c>
      <c r="AP71" s="43">
        <f t="shared" si="19"/>
        <v>22097275.849278558</v>
      </c>
      <c r="AQ71" s="43">
        <f t="shared" si="20"/>
        <v>21103839.723899752</v>
      </c>
      <c r="AR71" s="43">
        <f t="shared" si="21"/>
        <v>20151661.728216618</v>
      </c>
      <c r="AT71" s="43">
        <f t="shared" ref="AT71:AX80" si="30">IF($H71&lt;=AT$59,$F71*INDEX($H$40:$N$46,$H71-2019,AT$59-2019)*INDEX($H$49:$N$55,$H71-2019,AT$59-2019)*$F$19,0)</f>
        <v>270238.30609259364</v>
      </c>
      <c r="AU71" s="43">
        <f t="shared" si="30"/>
        <v>285845.10874605313</v>
      </c>
      <c r="AV71" s="43">
        <f t="shared" si="30"/>
        <v>307477.86657595442</v>
      </c>
      <c r="AW71" s="43">
        <f t="shared" si="30"/>
        <v>314822.89785272087</v>
      </c>
      <c r="AX71" s="43">
        <f t="shared" si="30"/>
        <v>325479.02329923975</v>
      </c>
      <c r="AZ71" s="47">
        <f t="shared" si="22"/>
        <v>2223002.4272471173</v>
      </c>
      <c r="BA71" s="47">
        <f t="shared" si="23"/>
        <v>2131227.5122632748</v>
      </c>
      <c r="BB71" s="47">
        <f t="shared" si="24"/>
        <v>2183840.4998275917</v>
      </c>
      <c r="BC71" s="47">
        <f t="shared" si="25"/>
        <v>2110204.9327397188</v>
      </c>
      <c r="BD71" s="47">
        <f t="shared" si="26"/>
        <v>2043420.1646546067</v>
      </c>
    </row>
    <row r="72" spans="2:56" ht="13">
      <c r="B72" s="37">
        <f>'3. Input (des)investeringen '!B105</f>
        <v>1540</v>
      </c>
      <c r="C72" s="48"/>
      <c r="D72" s="48"/>
      <c r="E72" s="48"/>
      <c r="F72" s="42">
        <f>'3. Input (des)investeringen '!D105</f>
        <v>37094.77163904941</v>
      </c>
      <c r="G72" s="48"/>
      <c r="H72" s="37">
        <f>'3. Input (des)investeringen '!F105</f>
        <v>2020</v>
      </c>
      <c r="I72" s="42" t="str">
        <f>'3. Input (des)investeringen '!G105</f>
        <v>nvt</v>
      </c>
      <c r="J72" s="42">
        <f>'3. Input (des)investeringen '!H105</f>
        <v>55</v>
      </c>
      <c r="K72" s="42">
        <f>'3. Input (des)investeringen '!I105</f>
        <v>0</v>
      </c>
      <c r="M72" s="43">
        <f t="shared" si="0"/>
        <v>337.22519671863103</v>
      </c>
      <c r="N72" s="43">
        <f t="shared" si="1"/>
        <v>685.24159973225824</v>
      </c>
      <c r="P72" s="136">
        <f t="shared" si="27"/>
        <v>36757.546442330779</v>
      </c>
      <c r="Q72" s="136">
        <f t="shared" si="2"/>
        <v>36660.42558567581</v>
      </c>
      <c r="S72" s="43">
        <f t="shared" si="10"/>
        <v>36660.42558567581</v>
      </c>
      <c r="T72" s="38">
        <f t="shared" si="11"/>
        <v>53.5</v>
      </c>
      <c r="V72" s="43">
        <f t="shared" si="28"/>
        <v>801.73267168674215</v>
      </c>
      <c r="W72" s="43">
        <f t="shared" si="28"/>
        <v>782.25131704762498</v>
      </c>
      <c r="X72" s="43">
        <f t="shared" si="28"/>
        <v>763.24334111936491</v>
      </c>
      <c r="Y72" s="43">
        <f t="shared" si="28"/>
        <v>744.69724124169818</v>
      </c>
      <c r="Z72" s="43">
        <f t="shared" si="28"/>
        <v>726.60179425825504</v>
      </c>
      <c r="AB72" s="43">
        <f t="shared" si="29"/>
        <v>68.524159973225821</v>
      </c>
      <c r="AC72" s="43">
        <f t="shared" si="29"/>
        <v>68.524159973225821</v>
      </c>
      <c r="AD72" s="43">
        <f t="shared" si="29"/>
        <v>68.524159973225821</v>
      </c>
      <c r="AE72" s="43">
        <f t="shared" si="29"/>
        <v>68.524159973225821</v>
      </c>
      <c r="AF72" s="43">
        <f t="shared" si="29"/>
        <v>68.524159973225821</v>
      </c>
      <c r="AH72" s="43">
        <f t="shared" si="12"/>
        <v>870.25683165996793</v>
      </c>
      <c r="AI72" s="43">
        <f t="shared" si="13"/>
        <v>850.77547702085076</v>
      </c>
      <c r="AJ72" s="43">
        <f t="shared" si="14"/>
        <v>831.76750109259069</v>
      </c>
      <c r="AK72" s="43">
        <f t="shared" si="15"/>
        <v>813.22140121492396</v>
      </c>
      <c r="AL72" s="43">
        <f t="shared" si="16"/>
        <v>795.12595423148082</v>
      </c>
      <c r="AN72" s="43">
        <f t="shared" si="17"/>
        <v>35790.168754015845</v>
      </c>
      <c r="AO72" s="43">
        <f t="shared" si="18"/>
        <v>34939.393276994997</v>
      </c>
      <c r="AP72" s="43">
        <f t="shared" si="19"/>
        <v>34107.625775902408</v>
      </c>
      <c r="AQ72" s="43">
        <f t="shared" si="20"/>
        <v>33294.404374687481</v>
      </c>
      <c r="AR72" s="43">
        <f t="shared" si="21"/>
        <v>32499.278420456001</v>
      </c>
      <c r="AT72" s="43">
        <f t="shared" si="30"/>
        <v>381.74997249872774</v>
      </c>
      <c r="AU72" s="43">
        <f t="shared" si="30"/>
        <v>403.79679691047426</v>
      </c>
      <c r="AV72" s="43">
        <f t="shared" si="30"/>
        <v>434.35613850065903</v>
      </c>
      <c r="AW72" s="43">
        <f t="shared" si="30"/>
        <v>444.73203793716266</v>
      </c>
      <c r="AX72" s="43">
        <f t="shared" si="30"/>
        <v>459.78532795725982</v>
      </c>
      <c r="AZ72" s="47">
        <f t="shared" si="22"/>
        <v>2468.8725417952346</v>
      </c>
      <c r="BA72" s="47">
        <f t="shared" si="23"/>
        <v>2407.5722520721597</v>
      </c>
      <c r="BB72" s="47">
        <f t="shared" si="24"/>
        <v>2562.2134190775414</v>
      </c>
      <c r="BC72" s="47">
        <f t="shared" si="25"/>
        <v>2523.140805390211</v>
      </c>
      <c r="BD72" s="47">
        <f t="shared" si="26"/>
        <v>2489.8838621660689</v>
      </c>
    </row>
    <row r="73" spans="2:56" ht="13">
      <c r="B73" s="37">
        <f>'3. Input (des)investeringen '!B106</f>
        <v>1541</v>
      </c>
      <c r="C73" s="48"/>
      <c r="D73" s="48"/>
      <c r="E73" s="48"/>
      <c r="F73" s="42">
        <f>'3. Input (des)investeringen '!D106</f>
        <v>0</v>
      </c>
      <c r="G73" s="48"/>
      <c r="H73" s="37">
        <f>'3. Input (des)investeringen '!F106</f>
        <v>2020</v>
      </c>
      <c r="I73" s="42" t="str">
        <f>'3. Input (des)investeringen '!G106</f>
        <v>nvt</v>
      </c>
      <c r="J73" s="42">
        <f>'3. Input (des)investeringen '!H106</f>
        <v>0</v>
      </c>
      <c r="K73" s="42">
        <f>'3. Input (des)investeringen '!I106</f>
        <v>0</v>
      </c>
      <c r="M73" s="43">
        <f t="shared" si="0"/>
        <v>0</v>
      </c>
      <c r="N73" s="43">
        <f t="shared" si="1"/>
        <v>0</v>
      </c>
      <c r="P73" s="136">
        <f t="shared" si="27"/>
        <v>0</v>
      </c>
      <c r="Q73" s="136">
        <f t="shared" si="2"/>
        <v>0</v>
      </c>
      <c r="S73" s="43">
        <f t="shared" si="10"/>
        <v>0</v>
      </c>
      <c r="T73" s="38">
        <f t="shared" si="11"/>
        <v>0</v>
      </c>
      <c r="V73" s="43">
        <f t="shared" si="28"/>
        <v>0</v>
      </c>
      <c r="W73" s="43">
        <f t="shared" si="28"/>
        <v>0</v>
      </c>
      <c r="X73" s="43">
        <f t="shared" si="28"/>
        <v>0</v>
      </c>
      <c r="Y73" s="43">
        <f t="shared" si="28"/>
        <v>0</v>
      </c>
      <c r="Z73" s="43">
        <f t="shared" si="28"/>
        <v>0</v>
      </c>
      <c r="AB73" s="43">
        <f t="shared" si="29"/>
        <v>0</v>
      </c>
      <c r="AC73" s="43">
        <f t="shared" si="29"/>
        <v>0</v>
      </c>
      <c r="AD73" s="43">
        <f t="shared" si="29"/>
        <v>0</v>
      </c>
      <c r="AE73" s="43">
        <f t="shared" si="29"/>
        <v>0</v>
      </c>
      <c r="AF73" s="43">
        <f t="shared" si="29"/>
        <v>0</v>
      </c>
      <c r="AH73" s="43">
        <f t="shared" si="12"/>
        <v>0</v>
      </c>
      <c r="AI73" s="43">
        <f t="shared" si="13"/>
        <v>0</v>
      </c>
      <c r="AJ73" s="43">
        <f t="shared" si="14"/>
        <v>0</v>
      </c>
      <c r="AK73" s="43">
        <f t="shared" si="15"/>
        <v>0</v>
      </c>
      <c r="AL73" s="43">
        <f t="shared" si="16"/>
        <v>0</v>
      </c>
      <c r="AN73" s="43">
        <f t="shared" si="17"/>
        <v>0</v>
      </c>
      <c r="AO73" s="43">
        <f t="shared" si="18"/>
        <v>0</v>
      </c>
      <c r="AP73" s="43">
        <f t="shared" si="19"/>
        <v>0</v>
      </c>
      <c r="AQ73" s="43">
        <f t="shared" si="20"/>
        <v>0</v>
      </c>
      <c r="AR73" s="43">
        <f t="shared" si="21"/>
        <v>0</v>
      </c>
      <c r="AT73" s="43">
        <f t="shared" si="30"/>
        <v>0</v>
      </c>
      <c r="AU73" s="43">
        <f t="shared" si="30"/>
        <v>0</v>
      </c>
      <c r="AV73" s="43">
        <f t="shared" si="30"/>
        <v>0</v>
      </c>
      <c r="AW73" s="43">
        <f t="shared" si="30"/>
        <v>0</v>
      </c>
      <c r="AX73" s="43">
        <f t="shared" si="30"/>
        <v>0</v>
      </c>
      <c r="AZ73" s="47">
        <f t="shared" si="22"/>
        <v>0</v>
      </c>
      <c r="BA73" s="47">
        <f t="shared" si="23"/>
        <v>0</v>
      </c>
      <c r="BB73" s="47">
        <f t="shared" si="24"/>
        <v>0</v>
      </c>
      <c r="BC73" s="47">
        <f t="shared" si="25"/>
        <v>0</v>
      </c>
      <c r="BD73" s="47">
        <f t="shared" si="26"/>
        <v>0</v>
      </c>
    </row>
    <row r="74" spans="2:56" ht="13">
      <c r="B74" s="37">
        <f>'3. Input (des)investeringen '!B107</f>
        <v>1542</v>
      </c>
      <c r="C74" s="48"/>
      <c r="D74" s="48"/>
      <c r="E74" s="48"/>
      <c r="F74" s="42">
        <f>'3. Input (des)investeringen '!D107</f>
        <v>617395.17786534363</v>
      </c>
      <c r="G74" s="48"/>
      <c r="H74" s="37">
        <f>'3. Input (des)investeringen '!F107</f>
        <v>2020</v>
      </c>
      <c r="I74" s="42" t="str">
        <f>'3. Input (des)investeringen '!G107</f>
        <v>nvt</v>
      </c>
      <c r="J74" s="42">
        <f>'3. Input (des)investeringen '!H107</f>
        <v>5</v>
      </c>
      <c r="K74" s="42">
        <f>'3. Input (des)investeringen '!I107</f>
        <v>0</v>
      </c>
      <c r="M74" s="43">
        <f t="shared" si="0"/>
        <v>61739.517786534365</v>
      </c>
      <c r="N74" s="43">
        <f t="shared" si="1"/>
        <v>125454.70014223782</v>
      </c>
      <c r="P74" s="136">
        <f t="shared" si="27"/>
        <v>555655.66007880925</v>
      </c>
      <c r="Q74" s="136">
        <f t="shared" si="2"/>
        <v>439091.45049783238</v>
      </c>
      <c r="S74" s="43">
        <f t="shared" si="10"/>
        <v>439091.45049783238</v>
      </c>
      <c r="T74" s="38">
        <f t="shared" si="11"/>
        <v>3.5</v>
      </c>
      <c r="V74" s="43">
        <f t="shared" si="28"/>
        <v>146781.99916641827</v>
      </c>
      <c r="W74" s="43">
        <f t="shared" si="28"/>
        <v>99360.12251265235</v>
      </c>
      <c r="X74" s="43">
        <f t="shared" si="28"/>
        <v>99360.12251265235</v>
      </c>
      <c r="Y74" s="43">
        <f t="shared" si="28"/>
        <v>49680.061256326175</v>
      </c>
      <c r="Z74" s="43">
        <f t="shared" si="28"/>
        <v>0</v>
      </c>
      <c r="AB74" s="43">
        <f t="shared" si="29"/>
        <v>12545.470014223783</v>
      </c>
      <c r="AC74" s="43">
        <f t="shared" si="29"/>
        <v>12545.470014223783</v>
      </c>
      <c r="AD74" s="43">
        <f t="shared" si="29"/>
        <v>12545.470014223783</v>
      </c>
      <c r="AE74" s="43">
        <f t="shared" si="29"/>
        <v>6272.7350071118917</v>
      </c>
      <c r="AF74" s="43">
        <f t="shared" si="29"/>
        <v>0</v>
      </c>
      <c r="AH74" s="43">
        <f t="shared" si="12"/>
        <v>159327.46918064205</v>
      </c>
      <c r="AI74" s="43">
        <f t="shared" si="13"/>
        <v>111905.59252687613</v>
      </c>
      <c r="AJ74" s="43">
        <f t="shared" si="14"/>
        <v>111905.59252687613</v>
      </c>
      <c r="AK74" s="43">
        <f t="shared" si="15"/>
        <v>55952.796263438067</v>
      </c>
      <c r="AL74" s="43">
        <f t="shared" si="16"/>
        <v>0</v>
      </c>
      <c r="AN74" s="43">
        <f t="shared" si="17"/>
        <v>279763.98131719034</v>
      </c>
      <c r="AO74" s="43">
        <f t="shared" si="18"/>
        <v>167858.3887903142</v>
      </c>
      <c r="AP74" s="43">
        <f t="shared" si="19"/>
        <v>55952.796263438067</v>
      </c>
      <c r="AQ74" s="43">
        <f t="shared" si="20"/>
        <v>0</v>
      </c>
      <c r="AR74" s="43">
        <f t="shared" si="21"/>
        <v>0</v>
      </c>
      <c r="AT74" s="43">
        <f t="shared" si="30"/>
        <v>6353.7415586306552</v>
      </c>
      <c r="AU74" s="43">
        <f t="shared" si="30"/>
        <v>6720.6828411246934</v>
      </c>
      <c r="AV74" s="43">
        <f t="shared" si="30"/>
        <v>7229.3041185410102</v>
      </c>
      <c r="AW74" s="43">
        <f t="shared" si="30"/>
        <v>7401.9977353247186</v>
      </c>
      <c r="AX74" s="43">
        <f t="shared" si="30"/>
        <v>7652.5405546699913</v>
      </c>
      <c r="AZ74" s="47">
        <f t="shared" si="22"/>
        <v>175193.18610405718</v>
      </c>
      <c r="BA74" s="47">
        <f t="shared" si="23"/>
        <v>124165.60219808121</v>
      </c>
      <c r="BB74" s="47">
        <f t="shared" si="24"/>
        <v>121261.10290342779</v>
      </c>
      <c r="BC74" s="47">
        <f t="shared" si="25"/>
        <v>63354.793998762783</v>
      </c>
      <c r="BD74" s="47">
        <f t="shared" si="26"/>
        <v>7652.5405546699913</v>
      </c>
    </row>
    <row r="75" spans="2:56" ht="13">
      <c r="B75" s="37">
        <f>'3. Input (des)investeringen '!B108</f>
        <v>1543</v>
      </c>
      <c r="C75" s="48"/>
      <c r="D75" s="48"/>
      <c r="E75" s="48"/>
      <c r="F75" s="42">
        <f>'3. Input (des)investeringen '!D108</f>
        <v>4570297.1729062358</v>
      </c>
      <c r="G75" s="48"/>
      <c r="H75" s="37">
        <f>'3. Input (des)investeringen '!F108</f>
        <v>2020</v>
      </c>
      <c r="I75" s="42" t="str">
        <f>'3. Input (des)investeringen '!G108</f>
        <v>nvt</v>
      </c>
      <c r="J75" s="42">
        <f>'3. Input (des)investeringen '!H108</f>
        <v>10</v>
      </c>
      <c r="K75" s="42">
        <f>'3. Input (des)investeringen '!I108</f>
        <v>0</v>
      </c>
      <c r="M75" s="43">
        <f t="shared" si="0"/>
        <v>228514.85864531179</v>
      </c>
      <c r="N75" s="43">
        <f t="shared" si="1"/>
        <v>464342.19276727358</v>
      </c>
      <c r="P75" s="136">
        <f t="shared" si="27"/>
        <v>4341782.3142609242</v>
      </c>
      <c r="Q75" s="136">
        <f t="shared" si="2"/>
        <v>3946908.6385218259</v>
      </c>
      <c r="S75" s="43">
        <f t="shared" si="10"/>
        <v>3946908.6385218259</v>
      </c>
      <c r="T75" s="38">
        <f t="shared" si="11"/>
        <v>8.5</v>
      </c>
      <c r="V75" s="43">
        <f t="shared" si="28"/>
        <v>543280.36553771026</v>
      </c>
      <c r="W75" s="43">
        <f t="shared" si="28"/>
        <v>460190.42727900157</v>
      </c>
      <c r="X75" s="43">
        <f t="shared" si="28"/>
        <v>392114.92028506636</v>
      </c>
      <c r="Y75" s="43">
        <f t="shared" si="28"/>
        <v>392114.92028506636</v>
      </c>
      <c r="Z75" s="43">
        <f t="shared" si="28"/>
        <v>392114.92028506636</v>
      </c>
      <c r="AB75" s="43">
        <f t="shared" si="29"/>
        <v>46434.219276727366</v>
      </c>
      <c r="AC75" s="43">
        <f t="shared" si="29"/>
        <v>46434.219276727374</v>
      </c>
      <c r="AD75" s="43">
        <f t="shared" si="29"/>
        <v>46434.219276727374</v>
      </c>
      <c r="AE75" s="43">
        <f t="shared" si="29"/>
        <v>46434.219276727374</v>
      </c>
      <c r="AF75" s="43">
        <f t="shared" si="29"/>
        <v>46434.219276727374</v>
      </c>
      <c r="AH75" s="43">
        <f t="shared" si="12"/>
        <v>589714.58481443767</v>
      </c>
      <c r="AI75" s="43">
        <f t="shared" si="13"/>
        <v>506624.64655572892</v>
      </c>
      <c r="AJ75" s="43">
        <f t="shared" si="14"/>
        <v>438549.13956179371</v>
      </c>
      <c r="AK75" s="43">
        <f t="shared" si="15"/>
        <v>438549.13956179371</v>
      </c>
      <c r="AL75" s="43">
        <f t="shared" si="16"/>
        <v>438549.13956179371</v>
      </c>
      <c r="AN75" s="43">
        <f t="shared" si="17"/>
        <v>3357194.0537073882</v>
      </c>
      <c r="AO75" s="43">
        <f t="shared" si="18"/>
        <v>2850569.4071516595</v>
      </c>
      <c r="AP75" s="43">
        <f t="shared" si="19"/>
        <v>2412020.2675898657</v>
      </c>
      <c r="AQ75" s="43">
        <f t="shared" si="20"/>
        <v>1973471.128028072</v>
      </c>
      <c r="AR75" s="43">
        <f t="shared" si="21"/>
        <v>1534921.9884662782</v>
      </c>
      <c r="AT75" s="43">
        <f t="shared" si="30"/>
        <v>47033.8741277308</v>
      </c>
      <c r="AU75" s="43">
        <f t="shared" si="30"/>
        <v>49750.174426355523</v>
      </c>
      <c r="AV75" s="43">
        <f t="shared" si="30"/>
        <v>53515.267626942106</v>
      </c>
      <c r="AW75" s="43">
        <f t="shared" si="30"/>
        <v>54793.640340014514</v>
      </c>
      <c r="AX75" s="43">
        <f t="shared" si="30"/>
        <v>56648.295478243315</v>
      </c>
      <c r="AZ75" s="47">
        <f t="shared" si="22"/>
        <v>750893.05676821969</v>
      </c>
      <c r="BA75" s="47">
        <f t="shared" si="23"/>
        <v>650443.61141808925</v>
      </c>
      <c r="BB75" s="47">
        <f t="shared" si="24"/>
        <v>583721.17735715071</v>
      </c>
      <c r="BC75" s="47">
        <f t="shared" si="25"/>
        <v>568334.6827668749</v>
      </c>
      <c r="BD75" s="47">
        <f t="shared" si="26"/>
        <v>553524.47060175554</v>
      </c>
    </row>
    <row r="76" spans="2:56" ht="13">
      <c r="B76" s="37">
        <f>'3. Input (des)investeringen '!B109</f>
        <v>1544</v>
      </c>
      <c r="C76" s="48"/>
      <c r="D76" s="48"/>
      <c r="E76" s="48"/>
      <c r="F76" s="42">
        <f>'3. Input (des)investeringen '!D109</f>
        <v>7478818.3856429011</v>
      </c>
      <c r="G76" s="48"/>
      <c r="H76" s="37">
        <f>'3. Input (des)investeringen '!F109</f>
        <v>2020</v>
      </c>
      <c r="I76" s="42" t="str">
        <f>'3. Input (des)investeringen '!G109</f>
        <v>nvt</v>
      </c>
      <c r="J76" s="42">
        <f>'3. Input (des)investeringen '!H109</f>
        <v>15</v>
      </c>
      <c r="K76" s="42">
        <f>'3. Input (des)investeringen '!I109</f>
        <v>0</v>
      </c>
      <c r="M76" s="43">
        <f t="shared" si="0"/>
        <v>249293.94618809671</v>
      </c>
      <c r="N76" s="43">
        <f t="shared" si="1"/>
        <v>506565.29865421256</v>
      </c>
      <c r="P76" s="136">
        <f t="shared" si="27"/>
        <v>7229524.4394548042</v>
      </c>
      <c r="Q76" s="136">
        <f t="shared" si="2"/>
        <v>6838631.5318318689</v>
      </c>
      <c r="S76" s="43">
        <f t="shared" si="10"/>
        <v>6838631.5318318689</v>
      </c>
      <c r="T76" s="38">
        <f t="shared" si="11"/>
        <v>13.5</v>
      </c>
      <c r="V76" s="43">
        <f t="shared" si="28"/>
        <v>592681.39942542871</v>
      </c>
      <c r="W76" s="43">
        <f t="shared" si="28"/>
        <v>535608.37577705411</v>
      </c>
      <c r="X76" s="43">
        <f t="shared" si="28"/>
        <v>484031.27292444895</v>
      </c>
      <c r="Y76" s="43">
        <f t="shared" si="28"/>
        <v>437420.85405024269</v>
      </c>
      <c r="Z76" s="43">
        <f t="shared" si="28"/>
        <v>432108.05015489564</v>
      </c>
      <c r="AB76" s="43">
        <f t="shared" si="29"/>
        <v>50656.529865421253</v>
      </c>
      <c r="AC76" s="43">
        <f t="shared" si="29"/>
        <v>50656.529865421253</v>
      </c>
      <c r="AD76" s="43">
        <f t="shared" si="29"/>
        <v>50656.529865421253</v>
      </c>
      <c r="AE76" s="43">
        <f t="shared" si="29"/>
        <v>50656.529865421253</v>
      </c>
      <c r="AF76" s="43">
        <f t="shared" si="29"/>
        <v>50656.529865421253</v>
      </c>
      <c r="AH76" s="43">
        <f t="shared" si="12"/>
        <v>643337.92929084995</v>
      </c>
      <c r="AI76" s="43">
        <f t="shared" si="13"/>
        <v>586264.90564247535</v>
      </c>
      <c r="AJ76" s="43">
        <f t="shared" si="14"/>
        <v>534687.80278987018</v>
      </c>
      <c r="AK76" s="43">
        <f t="shared" si="15"/>
        <v>488077.38391566393</v>
      </c>
      <c r="AL76" s="43">
        <f t="shared" si="16"/>
        <v>482764.58002031688</v>
      </c>
      <c r="AN76" s="43">
        <f t="shared" si="17"/>
        <v>6195293.6025410192</v>
      </c>
      <c r="AO76" s="43">
        <f t="shared" si="18"/>
        <v>5609028.6968985442</v>
      </c>
      <c r="AP76" s="43">
        <f t="shared" si="19"/>
        <v>5074340.8941086736</v>
      </c>
      <c r="AQ76" s="43">
        <f t="shared" si="20"/>
        <v>4586263.5101930099</v>
      </c>
      <c r="AR76" s="43">
        <f t="shared" si="21"/>
        <v>4103498.930172693</v>
      </c>
      <c r="AT76" s="43">
        <f t="shared" si="30"/>
        <v>76966.067909060177</v>
      </c>
      <c r="AU76" s="43">
        <f t="shared" si="30"/>
        <v>81411.012262944234</v>
      </c>
      <c r="AV76" s="43">
        <f t="shared" si="30"/>
        <v>87572.197671003858</v>
      </c>
      <c r="AW76" s="43">
        <f t="shared" si="30"/>
        <v>89664.122328968791</v>
      </c>
      <c r="AX76" s="43">
        <f t="shared" si="30"/>
        <v>92699.073541559745</v>
      </c>
      <c r="AZ76" s="47">
        <f t="shared" si="22"/>
        <v>930943.97968630481</v>
      </c>
      <c r="BA76" s="47">
        <f t="shared" si="23"/>
        <v>852773.86490307155</v>
      </c>
      <c r="BB76" s="47">
        <f t="shared" si="24"/>
        <v>815084.9544370037</v>
      </c>
      <c r="BC76" s="47">
        <f t="shared" si="25"/>
        <v>752019.51963196706</v>
      </c>
      <c r="BD76" s="47">
        <f t="shared" si="26"/>
        <v>731396.61290843901</v>
      </c>
    </row>
    <row r="77" spans="2:56" ht="13">
      <c r="B77" s="37">
        <f>'3. Input (des)investeringen '!B110</f>
        <v>1545</v>
      </c>
      <c r="C77" s="48"/>
      <c r="D77" s="48"/>
      <c r="E77" s="48"/>
      <c r="F77" s="42">
        <f>'3. Input (des)investeringen '!D110</f>
        <v>7420552.1500870837</v>
      </c>
      <c r="G77" s="48"/>
      <c r="H77" s="37">
        <f>'3. Input (des)investeringen '!F110</f>
        <v>2020</v>
      </c>
      <c r="I77" s="42" t="str">
        <f>'3. Input (des)investeringen '!G110</f>
        <v>nvt</v>
      </c>
      <c r="J77" s="42">
        <f>'3. Input (des)investeringen '!H110</f>
        <v>30</v>
      </c>
      <c r="K77" s="42">
        <f>'3. Input (des)investeringen '!I110</f>
        <v>0</v>
      </c>
      <c r="M77" s="43">
        <f t="shared" si="0"/>
        <v>123675.86916811806</v>
      </c>
      <c r="N77" s="43">
        <f t="shared" si="1"/>
        <v>251309.3661496159</v>
      </c>
      <c r="P77" s="136">
        <f t="shared" si="27"/>
        <v>7296876.280918966</v>
      </c>
      <c r="Q77" s="136">
        <f t="shared" si="2"/>
        <v>7162316.9352640538</v>
      </c>
      <c r="S77" s="43">
        <f t="shared" si="10"/>
        <v>7162316.9352640538</v>
      </c>
      <c r="T77" s="38">
        <f t="shared" si="11"/>
        <v>28.5</v>
      </c>
      <c r="V77" s="43">
        <f t="shared" si="28"/>
        <v>294031.95839505066</v>
      </c>
      <c r="W77" s="43">
        <f t="shared" si="28"/>
        <v>280619.97432790801</v>
      </c>
      <c r="X77" s="43">
        <f t="shared" si="28"/>
        <v>267819.76497259992</v>
      </c>
      <c r="Y77" s="43">
        <f t="shared" si="28"/>
        <v>255603.42481595499</v>
      </c>
      <c r="Z77" s="43">
        <f t="shared" si="28"/>
        <v>243944.32122785883</v>
      </c>
      <c r="AB77" s="43">
        <f t="shared" si="29"/>
        <v>25130.936614961593</v>
      </c>
      <c r="AC77" s="43">
        <f t="shared" si="29"/>
        <v>25130.936614961593</v>
      </c>
      <c r="AD77" s="43">
        <f t="shared" si="29"/>
        <v>25130.936614961593</v>
      </c>
      <c r="AE77" s="43">
        <f t="shared" si="29"/>
        <v>25130.936614961593</v>
      </c>
      <c r="AF77" s="43">
        <f t="shared" si="29"/>
        <v>25130.936614961593</v>
      </c>
      <c r="AH77" s="43">
        <f t="shared" si="12"/>
        <v>319162.89501001226</v>
      </c>
      <c r="AI77" s="43">
        <f t="shared" si="13"/>
        <v>305750.91094286961</v>
      </c>
      <c r="AJ77" s="43">
        <f t="shared" si="14"/>
        <v>292950.70158756152</v>
      </c>
      <c r="AK77" s="43">
        <f t="shared" si="15"/>
        <v>280734.36143091659</v>
      </c>
      <c r="AL77" s="43">
        <f t="shared" si="16"/>
        <v>269075.25784282043</v>
      </c>
      <c r="AN77" s="43">
        <f t="shared" si="17"/>
        <v>6843154.0402540416</v>
      </c>
      <c r="AO77" s="43">
        <f t="shared" si="18"/>
        <v>6537403.1293111723</v>
      </c>
      <c r="AP77" s="43">
        <f t="shared" si="19"/>
        <v>6244452.4277236108</v>
      </c>
      <c r="AQ77" s="43">
        <f t="shared" si="20"/>
        <v>5963718.0662926938</v>
      </c>
      <c r="AR77" s="43">
        <f t="shared" si="21"/>
        <v>5694642.8084498737</v>
      </c>
      <c r="AT77" s="43">
        <f t="shared" si="30"/>
        <v>76366.438019503941</v>
      </c>
      <c r="AU77" s="43">
        <f t="shared" si="30"/>
        <v>80776.75254800632</v>
      </c>
      <c r="AV77" s="43">
        <f t="shared" si="30"/>
        <v>86889.937180839464</v>
      </c>
      <c r="AW77" s="43">
        <f t="shared" si="30"/>
        <v>88965.564000215352</v>
      </c>
      <c r="AX77" s="43">
        <f t="shared" si="30"/>
        <v>91976.870410494637</v>
      </c>
      <c r="AZ77" s="47">
        <f t="shared" si="22"/>
        <v>628196.57039815362</v>
      </c>
      <c r="BA77" s="47">
        <f t="shared" si="23"/>
        <v>602261.96675814467</v>
      </c>
      <c r="BB77" s="47">
        <f t="shared" si="24"/>
        <v>617129.83102189819</v>
      </c>
      <c r="BC77" s="47">
        <f t="shared" si="25"/>
        <v>596321.21195025428</v>
      </c>
      <c r="BD77" s="47">
        <f t="shared" si="26"/>
        <v>577448.55497441022</v>
      </c>
    </row>
    <row r="78" spans="2:56" ht="13">
      <c r="B78" s="37">
        <f>'3. Input (des)investeringen '!B111</f>
        <v>1546</v>
      </c>
      <c r="C78" s="48"/>
      <c r="D78" s="48"/>
      <c r="E78" s="48"/>
      <c r="F78" s="42">
        <f>'3. Input (des)investeringen '!D111</f>
        <v>0</v>
      </c>
      <c r="G78" s="48"/>
      <c r="H78" s="37">
        <f>'3. Input (des)investeringen '!F111</f>
        <v>2020</v>
      </c>
      <c r="I78" s="42" t="str">
        <f>'3. Input (des)investeringen '!G111</f>
        <v>nvt</v>
      </c>
      <c r="J78" s="42">
        <f>'3. Input (des)investeringen '!H111</f>
        <v>55</v>
      </c>
      <c r="K78" s="42">
        <f>'3. Input (des)investeringen '!I111</f>
        <v>0</v>
      </c>
      <c r="M78" s="43">
        <f t="shared" si="0"/>
        <v>0</v>
      </c>
      <c r="N78" s="43">
        <f t="shared" si="1"/>
        <v>0</v>
      </c>
      <c r="P78" s="136">
        <f t="shared" si="27"/>
        <v>0</v>
      </c>
      <c r="Q78" s="136">
        <f t="shared" si="2"/>
        <v>0</v>
      </c>
      <c r="S78" s="43">
        <f t="shared" si="10"/>
        <v>0</v>
      </c>
      <c r="T78" s="38">
        <f t="shared" si="11"/>
        <v>53.5</v>
      </c>
      <c r="V78" s="43">
        <f t="shared" si="28"/>
        <v>0</v>
      </c>
      <c r="W78" s="43">
        <f t="shared" si="28"/>
        <v>0</v>
      </c>
      <c r="X78" s="43">
        <f t="shared" si="28"/>
        <v>0</v>
      </c>
      <c r="Y78" s="43">
        <f t="shared" si="28"/>
        <v>0</v>
      </c>
      <c r="Z78" s="43">
        <f t="shared" si="28"/>
        <v>0</v>
      </c>
      <c r="AB78" s="43">
        <f t="shared" si="29"/>
        <v>0</v>
      </c>
      <c r="AC78" s="43">
        <f t="shared" si="29"/>
        <v>0</v>
      </c>
      <c r="AD78" s="43">
        <f t="shared" si="29"/>
        <v>0</v>
      </c>
      <c r="AE78" s="43">
        <f t="shared" si="29"/>
        <v>0</v>
      </c>
      <c r="AF78" s="43">
        <f t="shared" si="29"/>
        <v>0</v>
      </c>
      <c r="AH78" s="43">
        <f t="shared" si="12"/>
        <v>0</v>
      </c>
      <c r="AI78" s="43">
        <f t="shared" si="13"/>
        <v>0</v>
      </c>
      <c r="AJ78" s="43">
        <f t="shared" si="14"/>
        <v>0</v>
      </c>
      <c r="AK78" s="43">
        <f t="shared" si="15"/>
        <v>0</v>
      </c>
      <c r="AL78" s="43">
        <f t="shared" si="16"/>
        <v>0</v>
      </c>
      <c r="AN78" s="43">
        <f t="shared" si="17"/>
        <v>0</v>
      </c>
      <c r="AO78" s="43">
        <f t="shared" si="18"/>
        <v>0</v>
      </c>
      <c r="AP78" s="43">
        <f t="shared" si="19"/>
        <v>0</v>
      </c>
      <c r="AQ78" s="43">
        <f t="shared" si="20"/>
        <v>0</v>
      </c>
      <c r="AR78" s="43">
        <f t="shared" si="21"/>
        <v>0</v>
      </c>
      <c r="AT78" s="43">
        <f t="shared" si="30"/>
        <v>0</v>
      </c>
      <c r="AU78" s="43">
        <f t="shared" si="30"/>
        <v>0</v>
      </c>
      <c r="AV78" s="43">
        <f t="shared" si="30"/>
        <v>0</v>
      </c>
      <c r="AW78" s="43">
        <f t="shared" si="30"/>
        <v>0</v>
      </c>
      <c r="AX78" s="43">
        <f t="shared" si="30"/>
        <v>0</v>
      </c>
      <c r="AZ78" s="47">
        <f t="shared" si="22"/>
        <v>0</v>
      </c>
      <c r="BA78" s="47">
        <f t="shared" si="23"/>
        <v>0</v>
      </c>
      <c r="BB78" s="47">
        <f t="shared" si="24"/>
        <v>0</v>
      </c>
      <c r="BC78" s="47">
        <f t="shared" si="25"/>
        <v>0</v>
      </c>
      <c r="BD78" s="47">
        <f t="shared" si="26"/>
        <v>0</v>
      </c>
    </row>
    <row r="79" spans="2:56" ht="13">
      <c r="B79" s="37">
        <f>'3. Input (des)investeringen '!B112</f>
        <v>1547</v>
      </c>
      <c r="C79" s="48"/>
      <c r="D79" s="48"/>
      <c r="E79" s="48"/>
      <c r="F79" s="42">
        <f>'3. Input (des)investeringen '!D112</f>
        <v>0</v>
      </c>
      <c r="G79" s="48"/>
      <c r="H79" s="37">
        <f>'3. Input (des)investeringen '!F112</f>
        <v>2021</v>
      </c>
      <c r="I79" s="42" t="str">
        <f>'3. Input (des)investeringen '!G112</f>
        <v>nvt</v>
      </c>
      <c r="J79" s="42">
        <f>'3. Input (des)investeringen '!H112</f>
        <v>0</v>
      </c>
      <c r="K79" s="42">
        <f>'3. Input (des)investeringen '!I112</f>
        <v>1</v>
      </c>
      <c r="M79" s="43">
        <f t="shared" si="0"/>
        <v>0</v>
      </c>
      <c r="N79" s="43">
        <f t="shared" si="1"/>
        <v>0</v>
      </c>
      <c r="P79" s="136">
        <f t="shared" si="27"/>
        <v>0</v>
      </c>
      <c r="Q79" s="136">
        <f t="shared" si="2"/>
        <v>0</v>
      </c>
      <c r="S79" s="43">
        <f t="shared" si="10"/>
        <v>0</v>
      </c>
      <c r="T79" s="38">
        <f t="shared" si="11"/>
        <v>0</v>
      </c>
      <c r="V79" s="43">
        <f t="shared" si="28"/>
        <v>0</v>
      </c>
      <c r="W79" s="43">
        <f t="shared" si="28"/>
        <v>0</v>
      </c>
      <c r="X79" s="43">
        <f t="shared" si="28"/>
        <v>0</v>
      </c>
      <c r="Y79" s="43">
        <f t="shared" si="28"/>
        <v>0</v>
      </c>
      <c r="Z79" s="43">
        <f t="shared" si="28"/>
        <v>0</v>
      </c>
      <c r="AB79" s="43">
        <f t="shared" si="29"/>
        <v>0</v>
      </c>
      <c r="AC79" s="43">
        <f t="shared" si="29"/>
        <v>0</v>
      </c>
      <c r="AD79" s="43">
        <f t="shared" si="29"/>
        <v>0</v>
      </c>
      <c r="AE79" s="43">
        <f t="shared" si="29"/>
        <v>0</v>
      </c>
      <c r="AF79" s="43">
        <f t="shared" si="29"/>
        <v>0</v>
      </c>
      <c r="AH79" s="43">
        <f t="shared" si="12"/>
        <v>0</v>
      </c>
      <c r="AI79" s="43">
        <f t="shared" si="13"/>
        <v>0</v>
      </c>
      <c r="AJ79" s="43">
        <f t="shared" si="14"/>
        <v>0</v>
      </c>
      <c r="AK79" s="43">
        <f t="shared" si="15"/>
        <v>0</v>
      </c>
      <c r="AL79" s="43">
        <f t="shared" si="16"/>
        <v>0</v>
      </c>
      <c r="AN79" s="43">
        <f t="shared" si="17"/>
        <v>0</v>
      </c>
      <c r="AO79" s="43">
        <f t="shared" si="18"/>
        <v>0</v>
      </c>
      <c r="AP79" s="43">
        <f t="shared" si="19"/>
        <v>0</v>
      </c>
      <c r="AQ79" s="43">
        <f t="shared" si="20"/>
        <v>0</v>
      </c>
      <c r="AR79" s="43">
        <f t="shared" si="21"/>
        <v>0</v>
      </c>
      <c r="AT79" s="43">
        <f t="shared" si="30"/>
        <v>0</v>
      </c>
      <c r="AU79" s="43">
        <f t="shared" si="30"/>
        <v>0</v>
      </c>
      <c r="AV79" s="43">
        <f t="shared" si="30"/>
        <v>0</v>
      </c>
      <c r="AW79" s="43">
        <f t="shared" si="30"/>
        <v>0</v>
      </c>
      <c r="AX79" s="43">
        <f t="shared" si="30"/>
        <v>0</v>
      </c>
      <c r="AZ79" s="47">
        <f t="shared" si="22"/>
        <v>0</v>
      </c>
      <c r="BA79" s="47">
        <f t="shared" si="23"/>
        <v>0</v>
      </c>
      <c r="BB79" s="47">
        <f t="shared" si="24"/>
        <v>0</v>
      </c>
      <c r="BC79" s="47">
        <f t="shared" si="25"/>
        <v>0</v>
      </c>
      <c r="BD79" s="47">
        <f t="shared" si="26"/>
        <v>0</v>
      </c>
    </row>
    <row r="80" spans="2:56" ht="13">
      <c r="B80" s="37">
        <f>'3. Input (des)investeringen '!B113</f>
        <v>1548</v>
      </c>
      <c r="C80" s="48"/>
      <c r="D80" s="48"/>
      <c r="E80" s="48"/>
      <c r="F80" s="42">
        <f>'3. Input (des)investeringen '!D113</f>
        <v>16674534.307636745</v>
      </c>
      <c r="G80" s="48"/>
      <c r="H80" s="37">
        <f>'3. Input (des)investeringen '!F113</f>
        <v>2021</v>
      </c>
      <c r="I80" s="42" t="str">
        <f>'3. Input (des)investeringen '!G113</f>
        <v>nvt</v>
      </c>
      <c r="J80" s="42">
        <f>'3. Input (des)investeringen '!H113</f>
        <v>5</v>
      </c>
      <c r="K80" s="42">
        <f>'3. Input (des)investeringen '!I113</f>
        <v>1</v>
      </c>
      <c r="M80" s="43">
        <f t="shared" si="0"/>
        <v>0</v>
      </c>
      <c r="N80" s="43">
        <f t="shared" si="1"/>
        <v>1667453.4307636747</v>
      </c>
      <c r="P80" s="136">
        <f t="shared" si="27"/>
        <v>0</v>
      </c>
      <c r="Q80" s="136">
        <f t="shared" si="2"/>
        <v>15007080.87687307</v>
      </c>
      <c r="S80" s="43">
        <f t="shared" si="10"/>
        <v>15007080.87687307</v>
      </c>
      <c r="T80" s="38">
        <f t="shared" si="11"/>
        <v>4.5</v>
      </c>
      <c r="V80" s="43">
        <f t="shared" si="28"/>
        <v>3901841.0279869991</v>
      </c>
      <c r="W80" s="43">
        <f t="shared" si="28"/>
        <v>2774642.5087907547</v>
      </c>
      <c r="X80" s="43">
        <f t="shared" si="28"/>
        <v>2731955.7009632038</v>
      </c>
      <c r="Y80" s="43">
        <f t="shared" si="28"/>
        <v>2731955.7009632038</v>
      </c>
      <c r="Z80" s="43">
        <f t="shared" si="28"/>
        <v>1365977.8504816019</v>
      </c>
      <c r="AB80" s="43">
        <f t="shared" si="29"/>
        <v>333490.68615273491</v>
      </c>
      <c r="AC80" s="43">
        <f t="shared" si="29"/>
        <v>333490.68615273491</v>
      </c>
      <c r="AD80" s="43">
        <f t="shared" si="29"/>
        <v>333490.68615273491</v>
      </c>
      <c r="AE80" s="43">
        <f t="shared" si="29"/>
        <v>333490.68615273491</v>
      </c>
      <c r="AF80" s="43">
        <f t="shared" si="29"/>
        <v>166745.34307636746</v>
      </c>
      <c r="AH80" s="43">
        <f t="shared" si="12"/>
        <v>4235331.7141397344</v>
      </c>
      <c r="AI80" s="43">
        <f t="shared" si="13"/>
        <v>3108133.1949434895</v>
      </c>
      <c r="AJ80" s="43">
        <f t="shared" si="14"/>
        <v>3065446.3871159386</v>
      </c>
      <c r="AK80" s="43">
        <f t="shared" si="15"/>
        <v>3065446.3871159386</v>
      </c>
      <c r="AL80" s="43">
        <f t="shared" si="16"/>
        <v>1532723.1935579693</v>
      </c>
      <c r="AN80" s="43">
        <f t="shared" si="17"/>
        <v>10771749.162733335</v>
      </c>
      <c r="AO80" s="43">
        <f t="shared" si="18"/>
        <v>7663615.9677898455</v>
      </c>
      <c r="AP80" s="43">
        <f t="shared" si="19"/>
        <v>4598169.580673907</v>
      </c>
      <c r="AQ80" s="43">
        <f t="shared" si="20"/>
        <v>1532723.1935579684</v>
      </c>
      <c r="AR80" s="43">
        <f t="shared" si="21"/>
        <v>0</v>
      </c>
      <c r="AT80" s="43">
        <f t="shared" si="30"/>
        <v>169067.77221473513</v>
      </c>
      <c r="AU80" s="43">
        <f t="shared" si="30"/>
        <v>178831.77419568048</v>
      </c>
      <c r="AV80" s="43">
        <f t="shared" si="30"/>
        <v>192365.76286680959</v>
      </c>
      <c r="AW80" s="43">
        <f t="shared" si="30"/>
        <v>196960.99621017193</v>
      </c>
      <c r="AX80" s="43">
        <f t="shared" si="30"/>
        <v>203627.73200989384</v>
      </c>
      <c r="AZ80" s="47">
        <f t="shared" si="22"/>
        <v>4770638.9578874027</v>
      </c>
      <c r="BA80" s="47">
        <f t="shared" si="23"/>
        <v>3539864.2960762349</v>
      </c>
      <c r="BB80" s="47">
        <f t="shared" si="24"/>
        <v>3432542.5940483566</v>
      </c>
      <c r="BC80" s="47">
        <f t="shared" si="25"/>
        <v>3320650.8646813133</v>
      </c>
      <c r="BD80" s="47">
        <f t="shared" si="26"/>
        <v>1736350.925567863</v>
      </c>
    </row>
    <row r="81" spans="2:56" ht="13">
      <c r="B81" s="37">
        <f>'3. Input (des)investeringen '!B114</f>
        <v>1549</v>
      </c>
      <c r="C81" s="48"/>
      <c r="D81" s="48"/>
      <c r="E81" s="48"/>
      <c r="F81" s="42">
        <f>'3. Input (des)investeringen '!D114</f>
        <v>5057746.3074202398</v>
      </c>
      <c r="G81" s="48"/>
      <c r="H81" s="37">
        <f>'3. Input (des)investeringen '!F114</f>
        <v>2021</v>
      </c>
      <c r="I81" s="42" t="str">
        <f>'3. Input (des)investeringen '!G114</f>
        <v>nvt</v>
      </c>
      <c r="J81" s="42">
        <f>'3. Input (des)investeringen '!H114</f>
        <v>10</v>
      </c>
      <c r="K81" s="42">
        <f>'3. Input (des)investeringen '!I114</f>
        <v>1</v>
      </c>
      <c r="M81" s="43">
        <f t="shared" si="0"/>
        <v>0</v>
      </c>
      <c r="N81" s="43">
        <f t="shared" si="1"/>
        <v>252887.315371012</v>
      </c>
      <c r="P81" s="136">
        <f t="shared" si="27"/>
        <v>0</v>
      </c>
      <c r="Q81" s="136">
        <f t="shared" si="2"/>
        <v>4804858.9920492275</v>
      </c>
      <c r="S81" s="43">
        <f t="shared" si="10"/>
        <v>4804858.9920492275</v>
      </c>
      <c r="T81" s="38">
        <f t="shared" si="11"/>
        <v>9.5</v>
      </c>
      <c r="V81" s="43">
        <f t="shared" ref="V81:Z90" si="31">IF($J81=0, 0, IF(OR($H81&gt;V$59,$H81+$J81&lt;V$59),0,
IF(OR($H81=2020,$H81=2021),VDB($S81*(1-$F$28),0,$T81,V$59-2022,MIN($T81,V$59-2021),$F$22,FALSE),
VDB($S81*(1-$F$28),0,$T81,MAX(0,V$59-$H81-0.5),MIN($T81,V$59-$H81+0.5),$F$22,FALSE))))</f>
        <v>591756.31796816806</v>
      </c>
      <c r="W81" s="43">
        <f t="shared" si="31"/>
        <v>510779.13761462923</v>
      </c>
      <c r="X81" s="43">
        <f t="shared" si="31"/>
        <v>440883.04509894311</v>
      </c>
      <c r="Y81" s="43">
        <f t="shared" si="31"/>
        <v>427839.16802500986</v>
      </c>
      <c r="Z81" s="43">
        <f t="shared" si="31"/>
        <v>427839.16802500986</v>
      </c>
      <c r="AB81" s="43">
        <f t="shared" ref="AB81:AF90" si="32">IF($J81=0, 0, IF(OR($H81&gt;AB$59,$H81+$J81&lt;AB$59),0,
IF(OR($H81=2020,$H81=2021),VDB($S81*$F$28,0,$T81,AB$59-2022,MIN($T81,AB$59-2021),1),
VDB($S81*$F$28,0,$T81,MAX(0,AB$59-$H81-0.5),MIN($T81,AB$59-$H81+0.5),1))))</f>
        <v>50577.463074202395</v>
      </c>
      <c r="AC81" s="43">
        <f t="shared" si="32"/>
        <v>50577.463074202395</v>
      </c>
      <c r="AD81" s="43">
        <f t="shared" si="32"/>
        <v>50577.463074202395</v>
      </c>
      <c r="AE81" s="43">
        <f t="shared" si="32"/>
        <v>50577.463074202395</v>
      </c>
      <c r="AF81" s="43">
        <f t="shared" si="32"/>
        <v>50577.463074202395</v>
      </c>
      <c r="AH81" s="43">
        <f t="shared" si="12"/>
        <v>642333.78104237048</v>
      </c>
      <c r="AI81" s="43">
        <f t="shared" si="13"/>
        <v>561356.60068883165</v>
      </c>
      <c r="AJ81" s="43">
        <f t="shared" si="14"/>
        <v>491460.50817314553</v>
      </c>
      <c r="AK81" s="43">
        <f t="shared" si="15"/>
        <v>478416.63109921227</v>
      </c>
      <c r="AL81" s="43">
        <f t="shared" si="16"/>
        <v>478416.63109921227</v>
      </c>
      <c r="AN81" s="43">
        <f t="shared" si="17"/>
        <v>4162525.211006857</v>
      </c>
      <c r="AO81" s="43">
        <f t="shared" si="18"/>
        <v>3601168.6103180256</v>
      </c>
      <c r="AP81" s="43">
        <f t="shared" si="19"/>
        <v>3109708.1021448802</v>
      </c>
      <c r="AQ81" s="43">
        <f t="shared" si="20"/>
        <v>2631291.4710456678</v>
      </c>
      <c r="AR81" s="43">
        <f t="shared" si="21"/>
        <v>2152874.8399464553</v>
      </c>
      <c r="AT81" s="43">
        <f t="shared" ref="AT81:AX90" si="33">IF($H81&lt;=AT$59,$F81*INDEX($H$40:$N$46,$H81-2019,AT$59-2019)*INDEX($H$49:$N$55,$H81-2019,AT$59-2019)*$F$19,0)</f>
        <v>51281.905979899886</v>
      </c>
      <c r="AU81" s="43">
        <f t="shared" si="33"/>
        <v>54243.538614051075</v>
      </c>
      <c r="AV81" s="43">
        <f t="shared" si="33"/>
        <v>58348.689616362455</v>
      </c>
      <c r="AW81" s="43">
        <f t="shared" si="33"/>
        <v>59742.52311391812</v>
      </c>
      <c r="AX81" s="43">
        <f t="shared" si="33"/>
        <v>61764.688036278014</v>
      </c>
      <c r="AZ81" s="47">
        <f t="shared" si="22"/>
        <v>835141.54419650359</v>
      </c>
      <c r="BA81" s="47">
        <f t="shared" si="23"/>
        <v>734438.70344337763</v>
      </c>
      <c r="BB81" s="47">
        <f t="shared" si="24"/>
        <v>667978.10567101347</v>
      </c>
      <c r="BC81" s="47">
        <f t="shared" si="25"/>
        <v>638148.2301128658</v>
      </c>
      <c r="BD81" s="47">
        <f t="shared" si="26"/>
        <v>621990.56305345555</v>
      </c>
    </row>
    <row r="82" spans="2:56" ht="13">
      <c r="B82" s="37">
        <f>'3. Input (des)investeringen '!B115</f>
        <v>1550</v>
      </c>
      <c r="C82" s="48"/>
      <c r="D82" s="48"/>
      <c r="E82" s="48"/>
      <c r="F82" s="42">
        <f>'3. Input (des)investeringen '!D115</f>
        <v>23857053.29424395</v>
      </c>
      <c r="G82" s="48"/>
      <c r="H82" s="37">
        <f>'3. Input (des)investeringen '!F115</f>
        <v>2021</v>
      </c>
      <c r="I82" s="42" t="str">
        <f>'3. Input (des)investeringen '!G115</f>
        <v>nvt</v>
      </c>
      <c r="J82" s="42">
        <f>'3. Input (des)investeringen '!H115</f>
        <v>15</v>
      </c>
      <c r="K82" s="42">
        <f>'3. Input (des)investeringen '!I115</f>
        <v>1</v>
      </c>
      <c r="M82" s="43">
        <f t="shared" si="0"/>
        <v>0</v>
      </c>
      <c r="N82" s="43">
        <f t="shared" si="1"/>
        <v>795235.1098081317</v>
      </c>
      <c r="P82" s="136">
        <f t="shared" si="27"/>
        <v>0</v>
      </c>
      <c r="Q82" s="136">
        <f t="shared" si="2"/>
        <v>23061818.184435818</v>
      </c>
      <c r="S82" s="43">
        <f t="shared" si="10"/>
        <v>23061818.184435818</v>
      </c>
      <c r="T82" s="38">
        <f t="shared" si="11"/>
        <v>14.5</v>
      </c>
      <c r="V82" s="43">
        <f t="shared" si="31"/>
        <v>1860850.1569510282</v>
      </c>
      <c r="W82" s="43">
        <f t="shared" si="31"/>
        <v>1694015.3152933496</v>
      </c>
      <c r="X82" s="43">
        <f t="shared" si="31"/>
        <v>1542138.0801291184</v>
      </c>
      <c r="Y82" s="43">
        <f t="shared" si="31"/>
        <v>1403877.4246692664</v>
      </c>
      <c r="Z82" s="43">
        <f t="shared" si="31"/>
        <v>1357595.7513285214</v>
      </c>
      <c r="AB82" s="43">
        <f t="shared" si="32"/>
        <v>159047.02196162633</v>
      </c>
      <c r="AC82" s="43">
        <f t="shared" si="32"/>
        <v>159047.02196162636</v>
      </c>
      <c r="AD82" s="43">
        <f t="shared" si="32"/>
        <v>159047.02196162636</v>
      </c>
      <c r="AE82" s="43">
        <f t="shared" si="32"/>
        <v>159047.02196162636</v>
      </c>
      <c r="AF82" s="43">
        <f t="shared" si="32"/>
        <v>159047.02196162636</v>
      </c>
      <c r="AH82" s="43">
        <f t="shared" si="12"/>
        <v>2019897.1789126545</v>
      </c>
      <c r="AI82" s="43">
        <f t="shared" si="13"/>
        <v>1853062.3372549759</v>
      </c>
      <c r="AJ82" s="43">
        <f t="shared" si="14"/>
        <v>1701185.1020907448</v>
      </c>
      <c r="AK82" s="43">
        <f t="shared" si="15"/>
        <v>1562924.4466308928</v>
      </c>
      <c r="AL82" s="43">
        <f t="shared" si="16"/>
        <v>1516642.7732901478</v>
      </c>
      <c r="AN82" s="43">
        <f t="shared" si="17"/>
        <v>21041921.005523164</v>
      </c>
      <c r="AO82" s="43">
        <f t="shared" si="18"/>
        <v>19188858.668268189</v>
      </c>
      <c r="AP82" s="43">
        <f t="shared" si="19"/>
        <v>17487673.566177443</v>
      </c>
      <c r="AQ82" s="43">
        <f t="shared" si="20"/>
        <v>15924749.119546549</v>
      </c>
      <c r="AR82" s="43">
        <f t="shared" si="21"/>
        <v>14408106.346256401</v>
      </c>
      <c r="AT82" s="43">
        <f t="shared" si="33"/>
        <v>241893.34332526181</v>
      </c>
      <c r="AU82" s="43">
        <f t="shared" si="33"/>
        <v>255863.1676889823</v>
      </c>
      <c r="AV82" s="43">
        <f t="shared" si="33"/>
        <v>275226.89221968449</v>
      </c>
      <c r="AW82" s="43">
        <f t="shared" si="33"/>
        <v>281801.51222102839</v>
      </c>
      <c r="AX82" s="43">
        <f t="shared" si="33"/>
        <v>291339.92980668566</v>
      </c>
      <c r="AZ82" s="47">
        <f t="shared" si="22"/>
        <v>2977215.836425704</v>
      </c>
      <c r="BA82" s="47">
        <f t="shared" si="23"/>
        <v>2742157.8409968084</v>
      </c>
      <c r="BB82" s="47">
        <f t="shared" si="24"/>
        <v>2640943.589825172</v>
      </c>
      <c r="BC82" s="47">
        <f t="shared" si="25"/>
        <v>2449866.4253946901</v>
      </c>
      <c r="BD82" s="47">
        <f t="shared" si="26"/>
        <v>2355490.7442545765</v>
      </c>
    </row>
    <row r="83" spans="2:56" ht="13">
      <c r="B83" s="37">
        <f>'3. Input (des)investeringen '!B116</f>
        <v>1551</v>
      </c>
      <c r="C83" s="48"/>
      <c r="D83" s="48"/>
      <c r="E83" s="48"/>
      <c r="F83" s="42">
        <f>'3. Input (des)investeringen '!D116</f>
        <v>29301462.7172231</v>
      </c>
      <c r="G83" s="48"/>
      <c r="H83" s="37">
        <f>'3. Input (des)investeringen '!F116</f>
        <v>2021</v>
      </c>
      <c r="I83" s="42" t="str">
        <f>'3. Input (des)investeringen '!G116</f>
        <v>nvt</v>
      </c>
      <c r="J83" s="42">
        <f>'3. Input (des)investeringen '!H116</f>
        <v>30</v>
      </c>
      <c r="K83" s="42">
        <f>'3. Input (des)investeringen '!I116</f>
        <v>1</v>
      </c>
      <c r="M83" s="43">
        <f t="shared" si="0"/>
        <v>0</v>
      </c>
      <c r="N83" s="43">
        <f t="shared" si="1"/>
        <v>488357.71195371833</v>
      </c>
      <c r="P83" s="136">
        <f t="shared" si="27"/>
        <v>0</v>
      </c>
      <c r="Q83" s="136">
        <f t="shared" si="2"/>
        <v>28813105.005269382</v>
      </c>
      <c r="S83" s="43">
        <f t="shared" si="10"/>
        <v>28813105.005269382</v>
      </c>
      <c r="T83" s="38">
        <f t="shared" si="11"/>
        <v>29.5</v>
      </c>
      <c r="V83" s="43">
        <f t="shared" si="31"/>
        <v>1142757.0459717009</v>
      </c>
      <c r="W83" s="43">
        <f t="shared" si="31"/>
        <v>1092398.2608949819</v>
      </c>
      <c r="X83" s="43">
        <f t="shared" si="31"/>
        <v>1044258.6765165591</v>
      </c>
      <c r="Y83" s="43">
        <f t="shared" si="31"/>
        <v>998240.49755142257</v>
      </c>
      <c r="Z83" s="43">
        <f t="shared" si="31"/>
        <v>954250.2383372921</v>
      </c>
      <c r="AB83" s="43">
        <f t="shared" si="32"/>
        <v>97671.542390743678</v>
      </c>
      <c r="AC83" s="43">
        <f t="shared" si="32"/>
        <v>97671.542390743678</v>
      </c>
      <c r="AD83" s="43">
        <f t="shared" si="32"/>
        <v>97671.542390743678</v>
      </c>
      <c r="AE83" s="43">
        <f t="shared" si="32"/>
        <v>97671.542390743678</v>
      </c>
      <c r="AF83" s="43">
        <f t="shared" si="32"/>
        <v>97671.542390743678</v>
      </c>
      <c r="AH83" s="43">
        <f t="shared" si="12"/>
        <v>1240428.5883624447</v>
      </c>
      <c r="AI83" s="43">
        <f t="shared" si="13"/>
        <v>1190069.8032857256</v>
      </c>
      <c r="AJ83" s="43">
        <f t="shared" si="14"/>
        <v>1141930.2189073027</v>
      </c>
      <c r="AK83" s="43">
        <f t="shared" si="15"/>
        <v>1095912.0399421663</v>
      </c>
      <c r="AL83" s="43">
        <f t="shared" si="16"/>
        <v>1051921.7807280358</v>
      </c>
      <c r="AN83" s="43">
        <f t="shared" si="17"/>
        <v>27572676.416906938</v>
      </c>
      <c r="AO83" s="43">
        <f t="shared" si="18"/>
        <v>26382606.613621213</v>
      </c>
      <c r="AP83" s="43">
        <f t="shared" si="19"/>
        <v>25240676.394713908</v>
      </c>
      <c r="AQ83" s="43">
        <f t="shared" si="20"/>
        <v>24144764.354771741</v>
      </c>
      <c r="AR83" s="43">
        <f t="shared" si="21"/>
        <v>23092842.574043706</v>
      </c>
      <c r="AT83" s="43">
        <f t="shared" si="33"/>
        <v>297095.73489948583</v>
      </c>
      <c r="AU83" s="43">
        <f t="shared" si="33"/>
        <v>314253.60778140096</v>
      </c>
      <c r="AV83" s="43">
        <f t="shared" si="33"/>
        <v>338036.32081829745</v>
      </c>
      <c r="AW83" s="43">
        <f t="shared" si="33"/>
        <v>346111.33245000488</v>
      </c>
      <c r="AX83" s="43">
        <f t="shared" si="33"/>
        <v>357826.5088307726</v>
      </c>
      <c r="AZ83" s="47">
        <f t="shared" si="22"/>
        <v>2474995.3214367665</v>
      </c>
      <c r="BA83" s="47">
        <f t="shared" si="23"/>
        <v>2374949.4293166269</v>
      </c>
      <c r="BB83" s="47">
        <f t="shared" si="24"/>
        <v>2439112.2427247288</v>
      </c>
      <c r="BC83" s="47">
        <f t="shared" si="25"/>
        <v>2359524.4178734971</v>
      </c>
      <c r="BD83" s="47">
        <f t="shared" si="26"/>
        <v>2287276.3073724695</v>
      </c>
    </row>
    <row r="84" spans="2:56" ht="13">
      <c r="B84" s="37">
        <f>'3. Input (des)investeringen '!B117</f>
        <v>1552</v>
      </c>
      <c r="C84" s="48"/>
      <c r="D84" s="48"/>
      <c r="E84" s="48"/>
      <c r="F84" s="42">
        <f>'3. Input (des)investeringen '!D117</f>
        <v>81110584.954272762</v>
      </c>
      <c r="G84" s="48"/>
      <c r="H84" s="37">
        <f>'3. Input (des)investeringen '!F117</f>
        <v>2021</v>
      </c>
      <c r="I84" s="42" t="str">
        <f>'3. Input (des)investeringen '!G117</f>
        <v>nvt</v>
      </c>
      <c r="J84" s="42">
        <f>'3. Input (des)investeringen '!H117</f>
        <v>55</v>
      </c>
      <c r="K84" s="42">
        <f>'3. Input (des)investeringen '!I117</f>
        <v>1</v>
      </c>
      <c r="M84" s="43">
        <f t="shared" si="0"/>
        <v>0</v>
      </c>
      <c r="N84" s="43">
        <f t="shared" si="1"/>
        <v>737368.95412975235</v>
      </c>
      <c r="P84" s="136">
        <f t="shared" si="27"/>
        <v>0</v>
      </c>
      <c r="Q84" s="136">
        <f t="shared" si="2"/>
        <v>80373216.000143006</v>
      </c>
      <c r="S84" s="43">
        <f t="shared" si="10"/>
        <v>80373216.000143006</v>
      </c>
      <c r="T84" s="38">
        <f t="shared" si="11"/>
        <v>54.5</v>
      </c>
      <c r="V84" s="43">
        <f t="shared" si="31"/>
        <v>1725443.3526636206</v>
      </c>
      <c r="W84" s="43">
        <f t="shared" si="31"/>
        <v>1684285.9882881581</v>
      </c>
      <c r="X84" s="43">
        <f t="shared" si="31"/>
        <v>1644110.3592097249</v>
      </c>
      <c r="Y84" s="43">
        <f t="shared" si="31"/>
        <v>1604893.0478891258</v>
      </c>
      <c r="Z84" s="43">
        <f t="shared" si="31"/>
        <v>1566611.1953706695</v>
      </c>
      <c r="AB84" s="43">
        <f t="shared" si="32"/>
        <v>147473.79082595048</v>
      </c>
      <c r="AC84" s="43">
        <f t="shared" si="32"/>
        <v>147473.79082595048</v>
      </c>
      <c r="AD84" s="43">
        <f t="shared" si="32"/>
        <v>147473.79082595048</v>
      </c>
      <c r="AE84" s="43">
        <f t="shared" si="32"/>
        <v>147473.79082595048</v>
      </c>
      <c r="AF84" s="43">
        <f t="shared" si="32"/>
        <v>147473.79082595048</v>
      </c>
      <c r="AH84" s="43">
        <f t="shared" si="12"/>
        <v>1872917.1434895711</v>
      </c>
      <c r="AI84" s="43">
        <f t="shared" si="13"/>
        <v>1831759.7791141085</v>
      </c>
      <c r="AJ84" s="43">
        <f t="shared" si="14"/>
        <v>1791584.1500356754</v>
      </c>
      <c r="AK84" s="43">
        <f t="shared" si="15"/>
        <v>1752366.8387150762</v>
      </c>
      <c r="AL84" s="43">
        <f t="shared" si="16"/>
        <v>1714084.9861966199</v>
      </c>
      <c r="AN84" s="43">
        <f t="shared" si="17"/>
        <v>78500298.856653437</v>
      </c>
      <c r="AO84" s="43">
        <f t="shared" si="18"/>
        <v>76668539.077539325</v>
      </c>
      <c r="AP84" s="43">
        <f t="shared" si="19"/>
        <v>74876954.927503645</v>
      </c>
      <c r="AQ84" s="43">
        <f t="shared" si="20"/>
        <v>73124588.088788569</v>
      </c>
      <c r="AR84" s="43">
        <f t="shared" si="21"/>
        <v>71410503.102591947</v>
      </c>
      <c r="AT84" s="43">
        <f t="shared" si="33"/>
        <v>822402.93181515869</v>
      </c>
      <c r="AU84" s="43">
        <f t="shared" si="33"/>
        <v>869898.34593334782</v>
      </c>
      <c r="AV84" s="43">
        <f t="shared" si="33"/>
        <v>935732.25275358371</v>
      </c>
      <c r="AW84" s="43">
        <f t="shared" si="33"/>
        <v>958085.02480736119</v>
      </c>
      <c r="AX84" s="43">
        <f t="shared" si="33"/>
        <v>990514.28672704054</v>
      </c>
      <c r="AZ84" s="47">
        <f t="shared" si="22"/>
        <v>5364330.2364309467</v>
      </c>
      <c r="BA84" s="47">
        <f t="shared" si="23"/>
        <v>5231719.9146062545</v>
      </c>
      <c r="BB84" s="47">
        <f t="shared" si="24"/>
        <v>5572640.6900343979</v>
      </c>
      <c r="BC84" s="47">
        <f t="shared" si="25"/>
        <v>5489186.2108964026</v>
      </c>
      <c r="BD84" s="47">
        <f t="shared" si="26"/>
        <v>5418198.3908221554</v>
      </c>
    </row>
    <row r="85" spans="2:56" ht="13">
      <c r="B85" s="37">
        <f>'3. Input (des)investeringen '!B118</f>
        <v>1553</v>
      </c>
      <c r="C85" s="48"/>
      <c r="D85" s="48"/>
      <c r="E85" s="48"/>
      <c r="F85" s="42">
        <f>'3. Input (des)investeringen '!D118</f>
        <v>-30959.437980156832</v>
      </c>
      <c r="G85" s="48"/>
      <c r="H85" s="37">
        <f>'3. Input (des)investeringen '!F118</f>
        <v>2021</v>
      </c>
      <c r="I85" s="42" t="str">
        <f>'3. Input (des)investeringen '!G118</f>
        <v>nvt</v>
      </c>
      <c r="J85" s="42">
        <f>'3. Input (des)investeringen '!H118</f>
        <v>0</v>
      </c>
      <c r="K85" s="42">
        <f>'3. Input (des)investeringen '!I118</f>
        <v>0</v>
      </c>
      <c r="M85" s="43">
        <f t="shared" si="0"/>
        <v>0</v>
      </c>
      <c r="N85" s="43">
        <f t="shared" si="1"/>
        <v>0</v>
      </c>
      <c r="P85" s="136">
        <f t="shared" si="27"/>
        <v>0</v>
      </c>
      <c r="Q85" s="136">
        <f t="shared" si="2"/>
        <v>-30959.437980156832</v>
      </c>
      <c r="S85" s="43">
        <f t="shared" si="10"/>
        <v>-30959.437980156832</v>
      </c>
      <c r="T85" s="38">
        <f t="shared" si="11"/>
        <v>0</v>
      </c>
      <c r="V85" s="43">
        <f t="shared" si="31"/>
        <v>0</v>
      </c>
      <c r="W85" s="43">
        <f t="shared" si="31"/>
        <v>0</v>
      </c>
      <c r="X85" s="43">
        <f t="shared" si="31"/>
        <v>0</v>
      </c>
      <c r="Y85" s="43">
        <f t="shared" si="31"/>
        <v>0</v>
      </c>
      <c r="Z85" s="43">
        <f t="shared" si="31"/>
        <v>0</v>
      </c>
      <c r="AB85" s="43">
        <f t="shared" si="32"/>
        <v>0</v>
      </c>
      <c r="AC85" s="43">
        <f t="shared" si="32"/>
        <v>0</v>
      </c>
      <c r="AD85" s="43">
        <f t="shared" si="32"/>
        <v>0</v>
      </c>
      <c r="AE85" s="43">
        <f t="shared" si="32"/>
        <v>0</v>
      </c>
      <c r="AF85" s="43">
        <f t="shared" si="32"/>
        <v>0</v>
      </c>
      <c r="AH85" s="43">
        <f t="shared" si="12"/>
        <v>0</v>
      </c>
      <c r="AI85" s="43">
        <f t="shared" si="13"/>
        <v>0</v>
      </c>
      <c r="AJ85" s="43">
        <f t="shared" si="14"/>
        <v>0</v>
      </c>
      <c r="AK85" s="43">
        <f t="shared" si="15"/>
        <v>0</v>
      </c>
      <c r="AL85" s="43">
        <f t="shared" si="16"/>
        <v>0</v>
      </c>
      <c r="AN85" s="43">
        <f t="shared" si="17"/>
        <v>-30959.437980156832</v>
      </c>
      <c r="AO85" s="43">
        <f t="shared" si="18"/>
        <v>-30959.437980156832</v>
      </c>
      <c r="AP85" s="43">
        <f t="shared" si="19"/>
        <v>-30959.437980156832</v>
      </c>
      <c r="AQ85" s="43">
        <f t="shared" si="20"/>
        <v>-30959.437980156832</v>
      </c>
      <c r="AR85" s="43">
        <f t="shared" si="21"/>
        <v>-30959.437980156832</v>
      </c>
      <c r="AT85" s="43">
        <f t="shared" si="33"/>
        <v>-313.90641032344456</v>
      </c>
      <c r="AU85" s="43">
        <f t="shared" si="33"/>
        <v>-332.03513333244416</v>
      </c>
      <c r="AV85" s="43">
        <f t="shared" si="33"/>
        <v>-357.1635522230435</v>
      </c>
      <c r="AW85" s="43">
        <f t="shared" si="33"/>
        <v>-365.69547515854759</v>
      </c>
      <c r="AX85" s="43">
        <f t="shared" si="33"/>
        <v>-378.07353560171413</v>
      </c>
      <c r="AZ85" s="47">
        <f t="shared" si="22"/>
        <v>-1366.527301648777</v>
      </c>
      <c r="BA85" s="47">
        <f t="shared" si="23"/>
        <v>-1353.6965866776195</v>
      </c>
      <c r="BB85" s="47">
        <f t="shared" si="24"/>
        <v>-1533.6221954690031</v>
      </c>
      <c r="BC85" s="47">
        <f t="shared" si="25"/>
        <v>-1542.1541184045072</v>
      </c>
      <c r="BD85" s="47">
        <f t="shared" si="26"/>
        <v>-1554.5321788476738</v>
      </c>
    </row>
    <row r="86" spans="2:56" ht="13">
      <c r="B86" s="37">
        <f>'3. Input (des)investeringen '!B119</f>
        <v>1554</v>
      </c>
      <c r="C86" s="48"/>
      <c r="D86" s="48"/>
      <c r="E86" s="48"/>
      <c r="F86" s="42">
        <f>'3. Input (des)investeringen '!D119</f>
        <v>436048.00524345576</v>
      </c>
      <c r="G86" s="48"/>
      <c r="H86" s="37">
        <f>'3. Input (des)investeringen '!F119</f>
        <v>2021</v>
      </c>
      <c r="I86" s="42" t="str">
        <f>'3. Input (des)investeringen '!G119</f>
        <v>nvt</v>
      </c>
      <c r="J86" s="42">
        <f>'3. Input (des)investeringen '!H119</f>
        <v>5</v>
      </c>
      <c r="K86" s="42">
        <f>'3. Input (des)investeringen '!I119</f>
        <v>0</v>
      </c>
      <c r="M86" s="43">
        <f t="shared" si="0"/>
        <v>0</v>
      </c>
      <c r="N86" s="43">
        <f t="shared" si="1"/>
        <v>43604.800524345577</v>
      </c>
      <c r="P86" s="136">
        <f t="shared" si="27"/>
        <v>0</v>
      </c>
      <c r="Q86" s="136">
        <f t="shared" si="2"/>
        <v>392443.20471911016</v>
      </c>
      <c r="S86" s="43">
        <f t="shared" si="10"/>
        <v>392443.20471911016</v>
      </c>
      <c r="T86" s="38">
        <f t="shared" si="11"/>
        <v>4.5</v>
      </c>
      <c r="V86" s="43">
        <f t="shared" si="31"/>
        <v>102035.23322696866</v>
      </c>
      <c r="W86" s="43">
        <f t="shared" si="31"/>
        <v>72558.388072511036</v>
      </c>
      <c r="X86" s="43">
        <f t="shared" si="31"/>
        <v>71442.105179087783</v>
      </c>
      <c r="Y86" s="43">
        <f t="shared" si="31"/>
        <v>71442.105179087783</v>
      </c>
      <c r="Z86" s="43">
        <f t="shared" si="31"/>
        <v>35721.052589543891</v>
      </c>
      <c r="AB86" s="43">
        <f t="shared" si="32"/>
        <v>8720.9601048691147</v>
      </c>
      <c r="AC86" s="43">
        <f t="shared" si="32"/>
        <v>8720.9601048691147</v>
      </c>
      <c r="AD86" s="43">
        <f t="shared" si="32"/>
        <v>8720.9601048691147</v>
      </c>
      <c r="AE86" s="43">
        <f t="shared" si="32"/>
        <v>8720.9601048691147</v>
      </c>
      <c r="AF86" s="43">
        <f t="shared" si="32"/>
        <v>4360.4800524345574</v>
      </c>
      <c r="AH86" s="43">
        <f t="shared" si="12"/>
        <v>110756.19333183777</v>
      </c>
      <c r="AI86" s="43">
        <f t="shared" si="13"/>
        <v>81279.348177380147</v>
      </c>
      <c r="AJ86" s="43">
        <f t="shared" si="14"/>
        <v>80163.065283956894</v>
      </c>
      <c r="AK86" s="43">
        <f t="shared" si="15"/>
        <v>80163.065283956894</v>
      </c>
      <c r="AL86" s="43">
        <f t="shared" si="16"/>
        <v>40081.532641978447</v>
      </c>
      <c r="AN86" s="43">
        <f t="shared" si="17"/>
        <v>281687.01138727239</v>
      </c>
      <c r="AO86" s="43">
        <f t="shared" si="18"/>
        <v>200407.66320989223</v>
      </c>
      <c r="AP86" s="43">
        <f t="shared" si="19"/>
        <v>120244.59792593533</v>
      </c>
      <c r="AQ86" s="43">
        <f t="shared" si="20"/>
        <v>40081.53264197844</v>
      </c>
      <c r="AR86" s="43">
        <f t="shared" si="21"/>
        <v>0</v>
      </c>
      <c r="AT86" s="43">
        <f t="shared" si="33"/>
        <v>4421.2128186048658</v>
      </c>
      <c r="AU86" s="43">
        <f t="shared" si="33"/>
        <v>4676.5467013049338</v>
      </c>
      <c r="AV86" s="43">
        <f t="shared" si="33"/>
        <v>5030.4677556596916</v>
      </c>
      <c r="AW86" s="43">
        <f t="shared" si="33"/>
        <v>5150.6355694068907</v>
      </c>
      <c r="AX86" s="43">
        <f t="shared" si="33"/>
        <v>5324.9742821601758</v>
      </c>
      <c r="AZ86" s="47">
        <f t="shared" si="22"/>
        <v>124754.7645376099</v>
      </c>
      <c r="BA86" s="47">
        <f t="shared" si="23"/>
        <v>92569.347764611521</v>
      </c>
      <c r="BB86" s="47">
        <f t="shared" si="24"/>
        <v>89762.827760802116</v>
      </c>
      <c r="BC86" s="47">
        <f t="shared" si="25"/>
        <v>86836.799093758964</v>
      </c>
      <c r="BD86" s="47">
        <f t="shared" si="26"/>
        <v>45406.506924138623</v>
      </c>
    </row>
    <row r="87" spans="2:56" ht="13">
      <c r="B87" s="37">
        <f>'3. Input (des)investeringen '!B120</f>
        <v>1555</v>
      </c>
      <c r="C87" s="48"/>
      <c r="D87" s="48"/>
      <c r="E87" s="48"/>
      <c r="F87" s="42">
        <f>'3. Input (des)investeringen '!D120</f>
        <v>1563699.3217659162</v>
      </c>
      <c r="G87" s="48"/>
      <c r="H87" s="37">
        <f>'3. Input (des)investeringen '!F120</f>
        <v>2021</v>
      </c>
      <c r="I87" s="42" t="str">
        <f>'3. Input (des)investeringen '!G120</f>
        <v>nvt</v>
      </c>
      <c r="J87" s="42">
        <f>'3. Input (des)investeringen '!H120</f>
        <v>10</v>
      </c>
      <c r="K87" s="42">
        <f>'3. Input (des)investeringen '!I120</f>
        <v>0</v>
      </c>
      <c r="M87" s="43">
        <f t="shared" si="0"/>
        <v>0</v>
      </c>
      <c r="N87" s="43">
        <f t="shared" si="1"/>
        <v>78184.966088295812</v>
      </c>
      <c r="P87" s="136">
        <f t="shared" si="27"/>
        <v>0</v>
      </c>
      <c r="Q87" s="136">
        <f t="shared" si="2"/>
        <v>1485514.3556776203</v>
      </c>
      <c r="S87" s="43">
        <f t="shared" si="10"/>
        <v>1485514.3556776203</v>
      </c>
      <c r="T87" s="38">
        <f t="shared" si="11"/>
        <v>9.5</v>
      </c>
      <c r="V87" s="43">
        <f t="shared" si="31"/>
        <v>182952.82064661221</v>
      </c>
      <c r="W87" s="43">
        <f t="shared" si="31"/>
        <v>157917.17150549684</v>
      </c>
      <c r="X87" s="43">
        <f t="shared" si="31"/>
        <v>136307.45329948148</v>
      </c>
      <c r="Y87" s="43">
        <f t="shared" si="31"/>
        <v>132274.68840896428</v>
      </c>
      <c r="Z87" s="43">
        <f t="shared" si="31"/>
        <v>132274.68840896428</v>
      </c>
      <c r="AB87" s="43">
        <f t="shared" si="32"/>
        <v>15636.993217659161</v>
      </c>
      <c r="AC87" s="43">
        <f t="shared" si="32"/>
        <v>15636.993217659163</v>
      </c>
      <c r="AD87" s="43">
        <f t="shared" si="32"/>
        <v>15636.993217659163</v>
      </c>
      <c r="AE87" s="43">
        <f t="shared" si="32"/>
        <v>15636.993217659163</v>
      </c>
      <c r="AF87" s="43">
        <f t="shared" si="32"/>
        <v>15636.993217659163</v>
      </c>
      <c r="AH87" s="43">
        <f t="shared" si="12"/>
        <v>198589.81386427136</v>
      </c>
      <c r="AI87" s="43">
        <f t="shared" si="13"/>
        <v>173554.16472315599</v>
      </c>
      <c r="AJ87" s="43">
        <f t="shared" si="14"/>
        <v>151944.44651714063</v>
      </c>
      <c r="AK87" s="43">
        <f t="shared" si="15"/>
        <v>147911.68162662344</v>
      </c>
      <c r="AL87" s="43">
        <f t="shared" si="16"/>
        <v>147911.68162662344</v>
      </c>
      <c r="AN87" s="43">
        <f t="shared" si="17"/>
        <v>1286924.5418133489</v>
      </c>
      <c r="AO87" s="43">
        <f t="shared" si="18"/>
        <v>1113370.3770901929</v>
      </c>
      <c r="AP87" s="43">
        <f t="shared" si="19"/>
        <v>961425.93057305226</v>
      </c>
      <c r="AQ87" s="43">
        <f t="shared" si="20"/>
        <v>813514.24894642876</v>
      </c>
      <c r="AR87" s="43">
        <f t="shared" si="21"/>
        <v>665602.56731980527</v>
      </c>
      <c r="AT87" s="43">
        <f t="shared" si="33"/>
        <v>15854.785259194719</v>
      </c>
      <c r="AU87" s="43">
        <f t="shared" si="33"/>
        <v>16770.430817483732</v>
      </c>
      <c r="AV87" s="43">
        <f t="shared" si="33"/>
        <v>18039.617021750902</v>
      </c>
      <c r="AW87" s="43">
        <f t="shared" si="33"/>
        <v>18470.547393166489</v>
      </c>
      <c r="AX87" s="43">
        <f t="shared" si="33"/>
        <v>19095.738481330387</v>
      </c>
      <c r="AZ87" s="47">
        <f t="shared" si="22"/>
        <v>258200.03354511995</v>
      </c>
      <c r="BA87" s="47">
        <f t="shared" si="23"/>
        <v>227065.81798461606</v>
      </c>
      <c r="BB87" s="47">
        <f t="shared" si="24"/>
        <v>206518.2489006675</v>
      </c>
      <c r="BC87" s="47">
        <f t="shared" si="25"/>
        <v>197295.77047975422</v>
      </c>
      <c r="BD87" s="47">
        <f t="shared" si="26"/>
        <v>192300.31766610642</v>
      </c>
    </row>
    <row r="88" spans="2:56" ht="13">
      <c r="B88" s="37">
        <f>'3. Input (des)investeringen '!B121</f>
        <v>1556</v>
      </c>
      <c r="C88" s="48"/>
      <c r="D88" s="48"/>
      <c r="E88" s="48"/>
      <c r="F88" s="42">
        <f>'3. Input (des)investeringen '!D121</f>
        <v>4699116.7440402387</v>
      </c>
      <c r="G88" s="48"/>
      <c r="H88" s="37">
        <f>'3. Input (des)investeringen '!F121</f>
        <v>2021</v>
      </c>
      <c r="I88" s="42" t="str">
        <f>'3. Input (des)investeringen '!G121</f>
        <v>nvt</v>
      </c>
      <c r="J88" s="42">
        <f>'3. Input (des)investeringen '!H121</f>
        <v>15</v>
      </c>
      <c r="K88" s="42">
        <f>'3. Input (des)investeringen '!I121</f>
        <v>0</v>
      </c>
      <c r="M88" s="43">
        <f t="shared" si="0"/>
        <v>0</v>
      </c>
      <c r="N88" s="43">
        <f t="shared" si="1"/>
        <v>156637.22480134128</v>
      </c>
      <c r="P88" s="136">
        <f t="shared" si="27"/>
        <v>0</v>
      </c>
      <c r="Q88" s="136">
        <f t="shared" si="2"/>
        <v>4542479.5192388976</v>
      </c>
      <c r="S88" s="43">
        <f t="shared" si="10"/>
        <v>4542479.5192388976</v>
      </c>
      <c r="T88" s="38">
        <f t="shared" si="11"/>
        <v>14.5</v>
      </c>
      <c r="V88" s="43">
        <f t="shared" si="31"/>
        <v>366531.10603513865</v>
      </c>
      <c r="W88" s="43">
        <f t="shared" si="31"/>
        <v>333669.69652854005</v>
      </c>
      <c r="X88" s="43">
        <f t="shared" si="31"/>
        <v>303754.48235701578</v>
      </c>
      <c r="Y88" s="43">
        <f t="shared" si="31"/>
        <v>276521.32186983502</v>
      </c>
      <c r="Z88" s="43">
        <f t="shared" si="31"/>
        <v>267405.23433566466</v>
      </c>
      <c r="AB88" s="43">
        <f t="shared" si="32"/>
        <v>31327.444960268262</v>
      </c>
      <c r="AC88" s="43">
        <f t="shared" si="32"/>
        <v>31327.444960268262</v>
      </c>
      <c r="AD88" s="43">
        <f t="shared" si="32"/>
        <v>31327.444960268262</v>
      </c>
      <c r="AE88" s="43">
        <f t="shared" si="32"/>
        <v>31327.444960268262</v>
      </c>
      <c r="AF88" s="43">
        <f t="shared" si="32"/>
        <v>31327.444960268262</v>
      </c>
      <c r="AH88" s="43">
        <f t="shared" si="12"/>
        <v>397858.55099540693</v>
      </c>
      <c r="AI88" s="43">
        <f t="shared" si="13"/>
        <v>364997.14148880832</v>
      </c>
      <c r="AJ88" s="43">
        <f t="shared" si="14"/>
        <v>335081.92731728405</v>
      </c>
      <c r="AK88" s="43">
        <f t="shared" si="15"/>
        <v>307848.7668301033</v>
      </c>
      <c r="AL88" s="43">
        <f t="shared" si="16"/>
        <v>298732.67929593293</v>
      </c>
      <c r="AN88" s="43">
        <f t="shared" si="17"/>
        <v>4144620.9682434909</v>
      </c>
      <c r="AO88" s="43">
        <f t="shared" si="18"/>
        <v>3779623.8267546827</v>
      </c>
      <c r="AP88" s="43">
        <f t="shared" si="19"/>
        <v>3444541.8994373986</v>
      </c>
      <c r="AQ88" s="43">
        <f t="shared" si="20"/>
        <v>3136693.1326072952</v>
      </c>
      <c r="AR88" s="43">
        <f t="shared" si="21"/>
        <v>2837960.4533113623</v>
      </c>
      <c r="AT88" s="43">
        <f t="shared" si="33"/>
        <v>47645.660420512315</v>
      </c>
      <c r="AU88" s="43">
        <f t="shared" si="33"/>
        <v>50397.292601117748</v>
      </c>
      <c r="AV88" s="43">
        <f t="shared" si="33"/>
        <v>54211.359705170325</v>
      </c>
      <c r="AW88" s="43">
        <f t="shared" si="33"/>
        <v>55506.360665807435</v>
      </c>
      <c r="AX88" s="43">
        <f t="shared" si="33"/>
        <v>57385.139961623689</v>
      </c>
      <c r="AZ88" s="47">
        <f t="shared" si="22"/>
        <v>586421.32433619793</v>
      </c>
      <c r="BA88" s="47">
        <f t="shared" si="23"/>
        <v>540122.02037283056</v>
      </c>
      <c r="BB88" s="47">
        <f t="shared" si="24"/>
        <v>520185.87920107553</v>
      </c>
      <c r="BC88" s="47">
        <f t="shared" si="25"/>
        <v>482549.46653498797</v>
      </c>
      <c r="BD88" s="47">
        <f t="shared" si="26"/>
        <v>463960.31648338842</v>
      </c>
    </row>
    <row r="89" spans="2:56" ht="13">
      <c r="B89" s="37">
        <f>'3. Input (des)investeringen '!B122</f>
        <v>1557</v>
      </c>
      <c r="C89" s="48"/>
      <c r="D89" s="48"/>
      <c r="E89" s="48"/>
      <c r="F89" s="42">
        <f>'3. Input (des)investeringen '!D122</f>
        <v>26652613.015183877</v>
      </c>
      <c r="G89" s="48"/>
      <c r="H89" s="37">
        <f>'3. Input (des)investeringen '!F122</f>
        <v>2021</v>
      </c>
      <c r="I89" s="42" t="str">
        <f>'3. Input (des)investeringen '!G122</f>
        <v>nvt</v>
      </c>
      <c r="J89" s="42">
        <f>'3. Input (des)investeringen '!H122</f>
        <v>30</v>
      </c>
      <c r="K89" s="42">
        <f>'3. Input (des)investeringen '!I122</f>
        <v>0</v>
      </c>
      <c r="M89" s="43">
        <f t="shared" si="0"/>
        <v>0</v>
      </c>
      <c r="N89" s="43">
        <f t="shared" si="1"/>
        <v>444210.21691973129</v>
      </c>
      <c r="P89" s="136">
        <f t="shared" si="27"/>
        <v>0</v>
      </c>
      <c r="Q89" s="136">
        <f t="shared" si="2"/>
        <v>26208402.798264146</v>
      </c>
      <c r="S89" s="43">
        <f t="shared" si="10"/>
        <v>26208402.798264146</v>
      </c>
      <c r="T89" s="38">
        <f t="shared" si="11"/>
        <v>29.5</v>
      </c>
      <c r="V89" s="43">
        <f t="shared" si="31"/>
        <v>1039451.9075921712</v>
      </c>
      <c r="W89" s="43">
        <f t="shared" si="31"/>
        <v>993645.55234234675</v>
      </c>
      <c r="X89" s="43">
        <f t="shared" si="31"/>
        <v>949857.78223912464</v>
      </c>
      <c r="Y89" s="43">
        <f t="shared" si="31"/>
        <v>907999.64268282428</v>
      </c>
      <c r="Z89" s="43">
        <f t="shared" si="31"/>
        <v>867986.09910697106</v>
      </c>
      <c r="AB89" s="43">
        <f t="shared" si="32"/>
        <v>88842.043383946264</v>
      </c>
      <c r="AC89" s="43">
        <f t="shared" si="32"/>
        <v>88842.043383946264</v>
      </c>
      <c r="AD89" s="43">
        <f t="shared" si="32"/>
        <v>88842.043383946264</v>
      </c>
      <c r="AE89" s="43">
        <f t="shared" si="32"/>
        <v>88842.043383946264</v>
      </c>
      <c r="AF89" s="43">
        <f t="shared" si="32"/>
        <v>88842.043383946264</v>
      </c>
      <c r="AH89" s="43">
        <f t="shared" si="12"/>
        <v>1128293.9509761175</v>
      </c>
      <c r="AI89" s="43">
        <f t="shared" si="13"/>
        <v>1082487.595726293</v>
      </c>
      <c r="AJ89" s="43">
        <f t="shared" si="14"/>
        <v>1038699.8256230709</v>
      </c>
      <c r="AK89" s="43">
        <f t="shared" si="15"/>
        <v>996841.68606677058</v>
      </c>
      <c r="AL89" s="43">
        <f t="shared" si="16"/>
        <v>956828.14249091735</v>
      </c>
      <c r="AN89" s="43">
        <f t="shared" si="17"/>
        <v>25080108.847288027</v>
      </c>
      <c r="AO89" s="43">
        <f t="shared" si="18"/>
        <v>23997621.251561735</v>
      </c>
      <c r="AP89" s="43">
        <f t="shared" si="19"/>
        <v>22958921.425938662</v>
      </c>
      <c r="AQ89" s="43">
        <f t="shared" si="20"/>
        <v>21962079.739871893</v>
      </c>
      <c r="AR89" s="43">
        <f t="shared" si="21"/>
        <v>21005251.597380977</v>
      </c>
      <c r="AT89" s="43">
        <f t="shared" si="33"/>
        <v>270238.30609259359</v>
      </c>
      <c r="AU89" s="43">
        <f t="shared" si="33"/>
        <v>285845.10874605307</v>
      </c>
      <c r="AV89" s="43">
        <f t="shared" si="33"/>
        <v>307477.86657595437</v>
      </c>
      <c r="AW89" s="43">
        <f t="shared" si="33"/>
        <v>314822.89785272075</v>
      </c>
      <c r="AX89" s="43">
        <f t="shared" si="33"/>
        <v>325479.02329923963</v>
      </c>
      <c r="AZ89" s="47">
        <f t="shared" si="22"/>
        <v>2251255.9578765044</v>
      </c>
      <c r="BA89" s="47">
        <f t="shared" si="23"/>
        <v>2160254.2057738835</v>
      </c>
      <c r="BB89" s="47">
        <f t="shared" si="24"/>
        <v>2218616.7063846947</v>
      </c>
      <c r="BC89" s="47">
        <f t="shared" si="25"/>
        <v>2146223.6140346234</v>
      </c>
      <c r="BD89" s="47">
        <f t="shared" si="26"/>
        <v>2080506.726490634</v>
      </c>
    </row>
    <row r="90" spans="2:56" ht="13">
      <c r="B90" s="37">
        <f>'3. Input (des)investeringen '!B123</f>
        <v>1558</v>
      </c>
      <c r="C90" s="48"/>
      <c r="D90" s="48"/>
      <c r="E90" s="48"/>
      <c r="F90" s="42">
        <f>'3. Input (des)investeringen '!D123</f>
        <v>37650.599697288933</v>
      </c>
      <c r="G90" s="48"/>
      <c r="H90" s="37">
        <f>'3. Input (des)investeringen '!F123</f>
        <v>2021</v>
      </c>
      <c r="I90" s="42" t="str">
        <f>'3. Input (des)investeringen '!G123</f>
        <v>nvt</v>
      </c>
      <c r="J90" s="42">
        <f>'3. Input (des)investeringen '!H123</f>
        <v>55</v>
      </c>
      <c r="K90" s="42">
        <f>'3. Input (des)investeringen '!I123</f>
        <v>0</v>
      </c>
      <c r="M90" s="43">
        <f t="shared" si="0"/>
        <v>0</v>
      </c>
      <c r="N90" s="43">
        <f t="shared" si="1"/>
        <v>342.27817906626302</v>
      </c>
      <c r="P90" s="136">
        <f t="shared" si="27"/>
        <v>0</v>
      </c>
      <c r="Q90" s="136">
        <f t="shared" si="2"/>
        <v>37308.32151822267</v>
      </c>
      <c r="S90" s="43">
        <f t="shared" si="10"/>
        <v>37308.32151822267</v>
      </c>
      <c r="T90" s="38">
        <f t="shared" si="11"/>
        <v>54.5</v>
      </c>
      <c r="V90" s="43">
        <f t="shared" si="31"/>
        <v>800.93093901505563</v>
      </c>
      <c r="W90" s="43">
        <f t="shared" si="31"/>
        <v>781.82616432295322</v>
      </c>
      <c r="X90" s="43">
        <f t="shared" si="31"/>
        <v>763.17709985286444</v>
      </c>
      <c r="Y90" s="43">
        <f t="shared" si="31"/>
        <v>744.97287545270444</v>
      </c>
      <c r="Z90" s="43">
        <f t="shared" si="31"/>
        <v>727.20288025841967</v>
      </c>
      <c r="AB90" s="43">
        <f t="shared" si="32"/>
        <v>68.455635813252613</v>
      </c>
      <c r="AC90" s="43">
        <f t="shared" si="32"/>
        <v>68.455635813252613</v>
      </c>
      <c r="AD90" s="43">
        <f t="shared" si="32"/>
        <v>68.455635813252613</v>
      </c>
      <c r="AE90" s="43">
        <f t="shared" si="32"/>
        <v>68.455635813252613</v>
      </c>
      <c r="AF90" s="43">
        <f t="shared" si="32"/>
        <v>68.455635813252613</v>
      </c>
      <c r="AH90" s="43">
        <f t="shared" si="12"/>
        <v>869.3865748283082</v>
      </c>
      <c r="AI90" s="43">
        <f t="shared" si="13"/>
        <v>850.28180013620579</v>
      </c>
      <c r="AJ90" s="43">
        <f t="shared" si="14"/>
        <v>831.63273566611701</v>
      </c>
      <c r="AK90" s="43">
        <f t="shared" si="15"/>
        <v>813.42851126595701</v>
      </c>
      <c r="AL90" s="43">
        <f t="shared" si="16"/>
        <v>795.65851607167224</v>
      </c>
      <c r="AN90" s="43">
        <f t="shared" si="17"/>
        <v>36438.934943394364</v>
      </c>
      <c r="AO90" s="43">
        <f t="shared" si="18"/>
        <v>35588.653143258161</v>
      </c>
      <c r="AP90" s="43">
        <f t="shared" si="19"/>
        <v>34757.020407592041</v>
      </c>
      <c r="AQ90" s="43">
        <f t="shared" si="20"/>
        <v>33943.591896326085</v>
      </c>
      <c r="AR90" s="43">
        <f t="shared" si="21"/>
        <v>33147.933380254413</v>
      </c>
      <c r="AT90" s="43">
        <f t="shared" si="33"/>
        <v>381.74997249872774</v>
      </c>
      <c r="AU90" s="43">
        <f t="shared" si="33"/>
        <v>403.79679691047426</v>
      </c>
      <c r="AV90" s="43">
        <f t="shared" si="33"/>
        <v>434.35613850065903</v>
      </c>
      <c r="AW90" s="43">
        <f t="shared" si="33"/>
        <v>444.73203793716266</v>
      </c>
      <c r="AX90" s="43">
        <f t="shared" si="33"/>
        <v>459.78532795725982</v>
      </c>
      <c r="AZ90" s="47">
        <f t="shared" si="22"/>
        <v>2490.0603354024447</v>
      </c>
      <c r="BA90" s="47">
        <f t="shared" si="23"/>
        <v>2428.5041507741994</v>
      </c>
      <c r="BB90" s="47">
        <f t="shared" si="24"/>
        <v>2586.7556496552738</v>
      </c>
      <c r="BC90" s="47">
        <f t="shared" si="25"/>
        <v>2548.0170412635111</v>
      </c>
      <c r="BD90" s="47">
        <f t="shared" si="26"/>
        <v>2515.0653124785995</v>
      </c>
    </row>
    <row r="91" spans="2:56" ht="13">
      <c r="B91" s="37">
        <f>'3. Input (des)investeringen '!B124</f>
        <v>1559</v>
      </c>
      <c r="C91" s="48"/>
      <c r="D91" s="48"/>
      <c r="E91" s="48"/>
      <c r="F91" s="42">
        <f>'3. Input (des)investeringen '!D124</f>
        <v>0</v>
      </c>
      <c r="G91" s="48"/>
      <c r="H91" s="37">
        <f>'3. Input (des)investeringen '!F124</f>
        <v>2021</v>
      </c>
      <c r="I91" s="42" t="str">
        <f>'3. Input (des)investeringen '!G124</f>
        <v>nvt</v>
      </c>
      <c r="J91" s="42">
        <f>'3. Input (des)investeringen '!H124</f>
        <v>0</v>
      </c>
      <c r="K91" s="42">
        <f>'3. Input (des)investeringen '!I124</f>
        <v>0</v>
      </c>
      <c r="M91" s="43">
        <f t="shared" si="0"/>
        <v>0</v>
      </c>
      <c r="N91" s="43">
        <f t="shared" si="1"/>
        <v>0</v>
      </c>
      <c r="P91" s="136">
        <f t="shared" si="27"/>
        <v>0</v>
      </c>
      <c r="Q91" s="136">
        <f t="shared" si="2"/>
        <v>0</v>
      </c>
      <c r="S91" s="43">
        <f t="shared" si="10"/>
        <v>0</v>
      </c>
      <c r="T91" s="38">
        <f t="shared" si="11"/>
        <v>0</v>
      </c>
      <c r="V91" s="43">
        <f t="shared" ref="V91:Z100" si="34">IF($J91=0, 0, IF(OR($H91&gt;V$59,$H91+$J91&lt;V$59),0,
IF(OR($H91=2020,$H91=2021),VDB($S91*(1-$F$28),0,$T91,V$59-2022,MIN($T91,V$59-2021),$F$22,FALSE),
VDB($S91*(1-$F$28),0,$T91,MAX(0,V$59-$H91-0.5),MIN($T91,V$59-$H91+0.5),$F$22,FALSE))))</f>
        <v>0</v>
      </c>
      <c r="W91" s="43">
        <f t="shared" si="34"/>
        <v>0</v>
      </c>
      <c r="X91" s="43">
        <f t="shared" si="34"/>
        <v>0</v>
      </c>
      <c r="Y91" s="43">
        <f t="shared" si="34"/>
        <v>0</v>
      </c>
      <c r="Z91" s="43">
        <f t="shared" si="34"/>
        <v>0</v>
      </c>
      <c r="AB91" s="43">
        <f t="shared" ref="AB91:AF100" si="35">IF($J91=0, 0, IF(OR($H91&gt;AB$59,$H91+$J91&lt;AB$59),0,
IF(OR($H91=2020,$H91=2021),VDB($S91*$F$28,0,$T91,AB$59-2022,MIN($T91,AB$59-2021),1),
VDB($S91*$F$28,0,$T91,MAX(0,AB$59-$H91-0.5),MIN($T91,AB$59-$H91+0.5),1))))</f>
        <v>0</v>
      </c>
      <c r="AC91" s="43">
        <f t="shared" si="35"/>
        <v>0</v>
      </c>
      <c r="AD91" s="43">
        <f t="shared" si="35"/>
        <v>0</v>
      </c>
      <c r="AE91" s="43">
        <f t="shared" si="35"/>
        <v>0</v>
      </c>
      <c r="AF91" s="43">
        <f t="shared" si="35"/>
        <v>0</v>
      </c>
      <c r="AH91" s="43">
        <f t="shared" si="12"/>
        <v>0</v>
      </c>
      <c r="AI91" s="43">
        <f t="shared" si="13"/>
        <v>0</v>
      </c>
      <c r="AJ91" s="43">
        <f t="shared" si="14"/>
        <v>0</v>
      </c>
      <c r="AK91" s="43">
        <f t="shared" si="15"/>
        <v>0</v>
      </c>
      <c r="AL91" s="43">
        <f t="shared" si="16"/>
        <v>0</v>
      </c>
      <c r="AN91" s="43">
        <f t="shared" si="17"/>
        <v>0</v>
      </c>
      <c r="AO91" s="43">
        <f t="shared" si="18"/>
        <v>0</v>
      </c>
      <c r="AP91" s="43">
        <f t="shared" si="19"/>
        <v>0</v>
      </c>
      <c r="AQ91" s="43">
        <f t="shared" si="20"/>
        <v>0</v>
      </c>
      <c r="AR91" s="43">
        <f t="shared" si="21"/>
        <v>0</v>
      </c>
      <c r="AT91" s="43">
        <f t="shared" ref="AT91:AX100" si="36">IF($H91&lt;=AT$59,$F91*INDEX($H$40:$N$46,$H91-2019,AT$59-2019)*INDEX($H$49:$N$55,$H91-2019,AT$59-2019)*$F$19,0)</f>
        <v>0</v>
      </c>
      <c r="AU91" s="43">
        <f t="shared" si="36"/>
        <v>0</v>
      </c>
      <c r="AV91" s="43">
        <f t="shared" si="36"/>
        <v>0</v>
      </c>
      <c r="AW91" s="43">
        <f t="shared" si="36"/>
        <v>0</v>
      </c>
      <c r="AX91" s="43">
        <f t="shared" si="36"/>
        <v>0</v>
      </c>
      <c r="AZ91" s="47">
        <f t="shared" si="22"/>
        <v>0</v>
      </c>
      <c r="BA91" s="47">
        <f t="shared" si="23"/>
        <v>0</v>
      </c>
      <c r="BB91" s="47">
        <f t="shared" si="24"/>
        <v>0</v>
      </c>
      <c r="BC91" s="47">
        <f t="shared" si="25"/>
        <v>0</v>
      </c>
      <c r="BD91" s="47">
        <f t="shared" si="26"/>
        <v>0</v>
      </c>
    </row>
    <row r="92" spans="2:56" ht="13">
      <c r="B92" s="37">
        <f>'3. Input (des)investeringen '!B125</f>
        <v>1560</v>
      </c>
      <c r="C92" s="48"/>
      <c r="D92" s="48"/>
      <c r="E92" s="48"/>
      <c r="F92" s="42">
        <f>'3. Input (des)investeringen '!D125</f>
        <v>626646.22721047793</v>
      </c>
      <c r="G92" s="48"/>
      <c r="H92" s="37">
        <f>'3. Input (des)investeringen '!F125</f>
        <v>2021</v>
      </c>
      <c r="I92" s="42" t="str">
        <f>'3. Input (des)investeringen '!G125</f>
        <v>nvt</v>
      </c>
      <c r="J92" s="42">
        <f>'3. Input (des)investeringen '!H125</f>
        <v>5</v>
      </c>
      <c r="K92" s="42">
        <f>'3. Input (des)investeringen '!I125</f>
        <v>0</v>
      </c>
      <c r="M92" s="43">
        <f t="shared" si="0"/>
        <v>0</v>
      </c>
      <c r="N92" s="43">
        <f t="shared" si="1"/>
        <v>62664.622721047795</v>
      </c>
      <c r="P92" s="136">
        <f t="shared" si="27"/>
        <v>0</v>
      </c>
      <c r="Q92" s="136">
        <f t="shared" si="2"/>
        <v>563981.60448943009</v>
      </c>
      <c r="S92" s="43">
        <f t="shared" si="10"/>
        <v>563981.60448943009</v>
      </c>
      <c r="T92" s="38">
        <f t="shared" si="11"/>
        <v>4.5</v>
      </c>
      <c r="V92" s="43">
        <f t="shared" si="34"/>
        <v>146635.21716725186</v>
      </c>
      <c r="W92" s="43">
        <f t="shared" si="34"/>
        <v>104273.93220782353</v>
      </c>
      <c r="X92" s="43">
        <f t="shared" si="34"/>
        <v>102669.71786616469</v>
      </c>
      <c r="Y92" s="43">
        <f t="shared" si="34"/>
        <v>102669.71786616469</v>
      </c>
      <c r="Z92" s="43">
        <f t="shared" si="34"/>
        <v>51334.858933082345</v>
      </c>
      <c r="AB92" s="43">
        <f t="shared" si="35"/>
        <v>12532.924544209558</v>
      </c>
      <c r="AC92" s="43">
        <f t="shared" si="35"/>
        <v>12532.924544209558</v>
      </c>
      <c r="AD92" s="43">
        <f t="shared" si="35"/>
        <v>12532.924544209558</v>
      </c>
      <c r="AE92" s="43">
        <f t="shared" si="35"/>
        <v>12532.924544209558</v>
      </c>
      <c r="AF92" s="43">
        <f t="shared" si="35"/>
        <v>6266.462272104779</v>
      </c>
      <c r="AH92" s="43">
        <f t="shared" si="12"/>
        <v>159168.14171146142</v>
      </c>
      <c r="AI92" s="43">
        <f t="shared" si="13"/>
        <v>116806.85675203308</v>
      </c>
      <c r="AJ92" s="43">
        <f t="shared" si="14"/>
        <v>115202.64241037425</v>
      </c>
      <c r="AK92" s="43">
        <f t="shared" si="15"/>
        <v>115202.64241037425</v>
      </c>
      <c r="AL92" s="43">
        <f t="shared" si="16"/>
        <v>57601.321205187123</v>
      </c>
      <c r="AN92" s="43">
        <f t="shared" si="17"/>
        <v>404813.46277796867</v>
      </c>
      <c r="AO92" s="43">
        <f t="shared" si="18"/>
        <v>288006.60602593562</v>
      </c>
      <c r="AP92" s="43">
        <f t="shared" si="19"/>
        <v>172803.96361556137</v>
      </c>
      <c r="AQ92" s="43">
        <f t="shared" si="20"/>
        <v>57601.321205187123</v>
      </c>
      <c r="AR92" s="43">
        <f t="shared" si="21"/>
        <v>0</v>
      </c>
      <c r="AT92" s="43">
        <f t="shared" si="36"/>
        <v>6353.7415586306543</v>
      </c>
      <c r="AU92" s="43">
        <f t="shared" si="36"/>
        <v>6720.6828411246934</v>
      </c>
      <c r="AV92" s="43">
        <f t="shared" si="36"/>
        <v>7229.3041185410093</v>
      </c>
      <c r="AW92" s="43">
        <f t="shared" si="36"/>
        <v>7401.9977353247177</v>
      </c>
      <c r="AX92" s="43">
        <f t="shared" si="36"/>
        <v>7652.5405546699876</v>
      </c>
      <c r="AZ92" s="47">
        <f t="shared" si="22"/>
        <v>179285.54100454302</v>
      </c>
      <c r="BA92" s="47">
        <f t="shared" si="23"/>
        <v>133031.75759201366</v>
      </c>
      <c r="BB92" s="47">
        <f t="shared" si="24"/>
        <v>128998.49714630659</v>
      </c>
      <c r="BC92" s="47">
        <f t="shared" si="25"/>
        <v>124793.49035149608</v>
      </c>
      <c r="BD92" s="47">
        <f t="shared" si="26"/>
        <v>65253.861759857115</v>
      </c>
    </row>
    <row r="93" spans="2:56" ht="13">
      <c r="B93" s="37">
        <f>'3. Input (des)investeringen '!B126</f>
        <v>1561</v>
      </c>
      <c r="C93" s="48"/>
      <c r="D93" s="48"/>
      <c r="E93" s="48"/>
      <c r="F93" s="42">
        <f>'3. Input (des)investeringen '!D126</f>
        <v>4638778.5057450626</v>
      </c>
      <c r="G93" s="48"/>
      <c r="H93" s="37">
        <f>'3. Input (des)investeringen '!F126</f>
        <v>2021</v>
      </c>
      <c r="I93" s="42" t="str">
        <f>'3. Input (des)investeringen '!G126</f>
        <v>nvt</v>
      </c>
      <c r="J93" s="42">
        <f>'3. Input (des)investeringen '!H126</f>
        <v>10</v>
      </c>
      <c r="K93" s="42">
        <f>'3. Input (des)investeringen '!I126</f>
        <v>0</v>
      </c>
      <c r="M93" s="43">
        <f t="shared" ref="M93:M124" si="37">IF($J93=0, 0, IF($H93&lt;=M$59,
VDB($F93,0,$J93,MAX(0,M$59-$H93-0.5),MIN($J93,M$59-$H93+0.5),1)*INDEX(H$40:H$46,$H93-2019,1),
0))</f>
        <v>0</v>
      </c>
      <c r="N93" s="43">
        <f t="shared" ref="N93:N124" si="38">IF($J93=0, 0, IF($H93&lt;=N$59,
VDB($F93,0,$J93,MAX(0,N$59-$H93-0.5),MIN($J93,N$59-$H93+0.5),1)*INDEX(I$40:I$46,$H93-2019,1),
0))</f>
        <v>231938.92528725314</v>
      </c>
      <c r="P93" s="136">
        <f t="shared" si="27"/>
        <v>0</v>
      </c>
      <c r="Q93" s="136">
        <f t="shared" ref="Q93:Q124" si="39">IF($J93=0,IF($H93=N$59,$F93,$P93*I$40),IF(OR($H93&gt;Q$59,$H93+$J93&lt;=Q$59),0,
IF($H93=Q$59,F93-N93,P93*I$40-N93)))</f>
        <v>4406839.5804578094</v>
      </c>
      <c r="S93" s="43">
        <f t="shared" si="10"/>
        <v>4406839.5804578094</v>
      </c>
      <c r="T93" s="38">
        <f t="shared" si="11"/>
        <v>9.5</v>
      </c>
      <c r="V93" s="43">
        <f t="shared" si="34"/>
        <v>542737.0851721724</v>
      </c>
      <c r="W93" s="43">
        <f t="shared" si="34"/>
        <v>468467.79983282246</v>
      </c>
      <c r="X93" s="43">
        <f t="shared" si="34"/>
        <v>404361.67985569936</v>
      </c>
      <c r="Y93" s="43">
        <f t="shared" si="34"/>
        <v>392398.31654635916</v>
      </c>
      <c r="Z93" s="43">
        <f t="shared" si="34"/>
        <v>392398.31654635916</v>
      </c>
      <c r="AB93" s="43">
        <f t="shared" si="35"/>
        <v>46387.785057450623</v>
      </c>
      <c r="AC93" s="43">
        <f t="shared" si="35"/>
        <v>46387.785057450623</v>
      </c>
      <c r="AD93" s="43">
        <f t="shared" si="35"/>
        <v>46387.785057450623</v>
      </c>
      <c r="AE93" s="43">
        <f t="shared" si="35"/>
        <v>46387.785057450623</v>
      </c>
      <c r="AF93" s="43">
        <f t="shared" si="35"/>
        <v>46387.785057450623</v>
      </c>
      <c r="AH93" s="43">
        <f t="shared" si="12"/>
        <v>589124.87022962305</v>
      </c>
      <c r="AI93" s="43">
        <f t="shared" si="13"/>
        <v>514855.58489027311</v>
      </c>
      <c r="AJ93" s="43">
        <f t="shared" si="14"/>
        <v>450749.46491315</v>
      </c>
      <c r="AK93" s="43">
        <f t="shared" si="15"/>
        <v>438786.1016038098</v>
      </c>
      <c r="AL93" s="43">
        <f t="shared" si="16"/>
        <v>438786.1016038098</v>
      </c>
      <c r="AN93" s="43">
        <f t="shared" si="17"/>
        <v>3817714.7102281861</v>
      </c>
      <c r="AO93" s="43">
        <f t="shared" si="18"/>
        <v>3302859.1253379132</v>
      </c>
      <c r="AP93" s="43">
        <f t="shared" si="19"/>
        <v>2852109.6604247633</v>
      </c>
      <c r="AQ93" s="43">
        <f t="shared" si="20"/>
        <v>2413323.5588209536</v>
      </c>
      <c r="AR93" s="43">
        <f t="shared" si="21"/>
        <v>1974537.4572171438</v>
      </c>
      <c r="AT93" s="43">
        <f t="shared" si="36"/>
        <v>47033.8741277308</v>
      </c>
      <c r="AU93" s="43">
        <f t="shared" si="36"/>
        <v>49750.174426355516</v>
      </c>
      <c r="AV93" s="43">
        <f t="shared" si="36"/>
        <v>53515.267626942092</v>
      </c>
      <c r="AW93" s="43">
        <f t="shared" si="36"/>
        <v>54793.640340014492</v>
      </c>
      <c r="AX93" s="43">
        <f t="shared" si="36"/>
        <v>56648.295478243286</v>
      </c>
      <c r="AZ93" s="47">
        <f t="shared" si="22"/>
        <v>765961.04450511222</v>
      </c>
      <c r="BA93" s="47">
        <f t="shared" si="23"/>
        <v>673600.1104527798</v>
      </c>
      <c r="BB93" s="47">
        <f t="shared" si="24"/>
        <v>612644.89963623311</v>
      </c>
      <c r="BC93" s="47">
        <f t="shared" si="25"/>
        <v>585286.03717902047</v>
      </c>
      <c r="BD93" s="47">
        <f t="shared" si="26"/>
        <v>570466.82045630459</v>
      </c>
    </row>
    <row r="94" spans="2:56" ht="13">
      <c r="B94" s="37">
        <f>'3. Input (des)investeringen '!B127</f>
        <v>1562</v>
      </c>
      <c r="C94" s="48"/>
      <c r="D94" s="48"/>
      <c r="E94" s="48"/>
      <c r="F94" s="42">
        <f>'3. Input (des)investeringen '!D127</f>
        <v>7590881.0003333744</v>
      </c>
      <c r="G94" s="48"/>
      <c r="H94" s="37">
        <f>'3. Input (des)investeringen '!F127</f>
        <v>2021</v>
      </c>
      <c r="I94" s="42" t="str">
        <f>'3. Input (des)investeringen '!G127</f>
        <v>nvt</v>
      </c>
      <c r="J94" s="42">
        <f>'3. Input (des)investeringen '!H127</f>
        <v>15</v>
      </c>
      <c r="K94" s="42">
        <f>'3. Input (des)investeringen '!I127</f>
        <v>0</v>
      </c>
      <c r="M94" s="43">
        <f t="shared" si="37"/>
        <v>0</v>
      </c>
      <c r="N94" s="43">
        <f t="shared" si="38"/>
        <v>253029.36667777915</v>
      </c>
      <c r="P94" s="136">
        <f t="shared" si="27"/>
        <v>0</v>
      </c>
      <c r="Q94" s="136">
        <f t="shared" si="39"/>
        <v>7337851.6336555956</v>
      </c>
      <c r="S94" s="43">
        <f t="shared" si="10"/>
        <v>7337851.6336555956</v>
      </c>
      <c r="T94" s="38">
        <f t="shared" si="11"/>
        <v>14.5</v>
      </c>
      <c r="V94" s="43">
        <f t="shared" si="34"/>
        <v>592088.71802600322</v>
      </c>
      <c r="W94" s="43">
        <f t="shared" si="34"/>
        <v>539004.90192712017</v>
      </c>
      <c r="X94" s="43">
        <f t="shared" si="34"/>
        <v>490680.32451296458</v>
      </c>
      <c r="Y94" s="43">
        <f t="shared" si="34"/>
        <v>446688.29541869886</v>
      </c>
      <c r="Z94" s="43">
        <f t="shared" si="34"/>
        <v>431962.30765764281</v>
      </c>
      <c r="AB94" s="43">
        <f t="shared" si="35"/>
        <v>50605.873335555836</v>
      </c>
      <c r="AC94" s="43">
        <f t="shared" si="35"/>
        <v>50605.873335555836</v>
      </c>
      <c r="AD94" s="43">
        <f t="shared" si="35"/>
        <v>50605.873335555836</v>
      </c>
      <c r="AE94" s="43">
        <f t="shared" si="35"/>
        <v>50605.873335555836</v>
      </c>
      <c r="AF94" s="43">
        <f t="shared" si="35"/>
        <v>50605.873335555836</v>
      </c>
      <c r="AH94" s="43">
        <f t="shared" si="12"/>
        <v>642694.591361559</v>
      </c>
      <c r="AI94" s="43">
        <f t="shared" si="13"/>
        <v>589610.77526267595</v>
      </c>
      <c r="AJ94" s="43">
        <f t="shared" si="14"/>
        <v>541286.19784852047</v>
      </c>
      <c r="AK94" s="43">
        <f t="shared" si="15"/>
        <v>497294.1687542547</v>
      </c>
      <c r="AL94" s="43">
        <f t="shared" si="16"/>
        <v>482568.18099319865</v>
      </c>
      <c r="AN94" s="43">
        <f t="shared" si="17"/>
        <v>6695157.0422940366</v>
      </c>
      <c r="AO94" s="43">
        <f t="shared" si="18"/>
        <v>6105546.2670313604</v>
      </c>
      <c r="AP94" s="43">
        <f t="shared" si="19"/>
        <v>5564260.0691828402</v>
      </c>
      <c r="AQ94" s="43">
        <f t="shared" si="20"/>
        <v>5066965.9004285857</v>
      </c>
      <c r="AR94" s="43">
        <f t="shared" si="21"/>
        <v>4584397.7194353873</v>
      </c>
      <c r="AT94" s="43">
        <f t="shared" si="36"/>
        <v>76966.067909060177</v>
      </c>
      <c r="AU94" s="43">
        <f t="shared" si="36"/>
        <v>81411.012262944219</v>
      </c>
      <c r="AV94" s="43">
        <f t="shared" si="36"/>
        <v>87572.197671003829</v>
      </c>
      <c r="AW94" s="43">
        <f t="shared" si="36"/>
        <v>89664.122328968777</v>
      </c>
      <c r="AX94" s="43">
        <f t="shared" si="36"/>
        <v>92699.07354155973</v>
      </c>
      <c r="AZ94" s="47">
        <f t="shared" si="22"/>
        <v>947295.99870861636</v>
      </c>
      <c r="BA94" s="47">
        <f t="shared" si="23"/>
        <v>872504.81433765509</v>
      </c>
      <c r="BB94" s="47">
        <f t="shared" si="24"/>
        <v>840300.27814847231</v>
      </c>
      <c r="BC94" s="47">
        <f t="shared" si="25"/>
        <v>779502.99529950973</v>
      </c>
      <c r="BD94" s="47">
        <f t="shared" si="26"/>
        <v>749474.36787330313</v>
      </c>
    </row>
    <row r="95" spans="2:56" ht="13">
      <c r="B95" s="37">
        <f>'3. Input (des)investeringen '!B128</f>
        <v>1563</v>
      </c>
      <c r="C95" s="48"/>
      <c r="D95" s="48"/>
      <c r="E95" s="48"/>
      <c r="F95" s="42">
        <f>'3. Input (des)investeringen '!D128</f>
        <v>7531741.7035039887</v>
      </c>
      <c r="G95" s="48"/>
      <c r="H95" s="37">
        <f>'3. Input (des)investeringen '!F128</f>
        <v>2021</v>
      </c>
      <c r="I95" s="42" t="str">
        <f>'3. Input (des)investeringen '!G128</f>
        <v>nvt</v>
      </c>
      <c r="J95" s="42">
        <f>'3. Input (des)investeringen '!H128</f>
        <v>30</v>
      </c>
      <c r="K95" s="42">
        <f>'3. Input (des)investeringen '!I128</f>
        <v>0</v>
      </c>
      <c r="M95" s="43">
        <f t="shared" si="37"/>
        <v>0</v>
      </c>
      <c r="N95" s="43">
        <f t="shared" si="38"/>
        <v>125529.02839173314</v>
      </c>
      <c r="P95" s="136">
        <f t="shared" si="27"/>
        <v>0</v>
      </c>
      <c r="Q95" s="136">
        <f t="shared" si="39"/>
        <v>7406212.6751122558</v>
      </c>
      <c r="S95" s="43">
        <f t="shared" si="10"/>
        <v>7406212.6751122558</v>
      </c>
      <c r="T95" s="38">
        <f t="shared" si="11"/>
        <v>29.5</v>
      </c>
      <c r="V95" s="43">
        <f t="shared" si="34"/>
        <v>293737.92643665557</v>
      </c>
      <c r="W95" s="43">
        <f t="shared" si="34"/>
        <v>280793.54323775211</v>
      </c>
      <c r="X95" s="43">
        <f t="shared" si="34"/>
        <v>268419.59048490203</v>
      </c>
      <c r="Y95" s="43">
        <f t="shared" si="34"/>
        <v>256590.93056522837</v>
      </c>
      <c r="Z95" s="43">
        <f t="shared" si="34"/>
        <v>245283.53362506576</v>
      </c>
      <c r="AB95" s="43">
        <f t="shared" si="35"/>
        <v>25105.805678346631</v>
      </c>
      <c r="AC95" s="43">
        <f t="shared" si="35"/>
        <v>25105.805678346631</v>
      </c>
      <c r="AD95" s="43">
        <f t="shared" si="35"/>
        <v>25105.805678346631</v>
      </c>
      <c r="AE95" s="43">
        <f t="shared" si="35"/>
        <v>25105.805678346631</v>
      </c>
      <c r="AF95" s="43">
        <f t="shared" si="35"/>
        <v>25105.805678346631</v>
      </c>
      <c r="AH95" s="43">
        <f t="shared" si="12"/>
        <v>318843.73211500223</v>
      </c>
      <c r="AI95" s="43">
        <f t="shared" si="13"/>
        <v>305899.34891609871</v>
      </c>
      <c r="AJ95" s="43">
        <f t="shared" si="14"/>
        <v>293525.39616324869</v>
      </c>
      <c r="AK95" s="43">
        <f t="shared" si="15"/>
        <v>281696.736243575</v>
      </c>
      <c r="AL95" s="43">
        <f t="shared" si="16"/>
        <v>270389.33930341236</v>
      </c>
      <c r="AN95" s="43">
        <f t="shared" si="17"/>
        <v>7087368.9429972535</v>
      </c>
      <c r="AO95" s="43">
        <f t="shared" si="18"/>
        <v>6781469.594081155</v>
      </c>
      <c r="AP95" s="43">
        <f t="shared" si="19"/>
        <v>6487944.1979179066</v>
      </c>
      <c r="AQ95" s="43">
        <f t="shared" si="20"/>
        <v>6206247.4616743317</v>
      </c>
      <c r="AR95" s="43">
        <f t="shared" si="21"/>
        <v>5935858.1223709192</v>
      </c>
      <c r="AT95" s="43">
        <f t="shared" si="36"/>
        <v>76366.438019503927</v>
      </c>
      <c r="AU95" s="43">
        <f t="shared" si="36"/>
        <v>80776.75254800632</v>
      </c>
      <c r="AV95" s="43">
        <f t="shared" si="36"/>
        <v>86889.93718083945</v>
      </c>
      <c r="AW95" s="43">
        <f t="shared" si="36"/>
        <v>88965.564000215323</v>
      </c>
      <c r="AX95" s="43">
        <f t="shared" si="36"/>
        <v>91976.870410494608</v>
      </c>
      <c r="AZ95" s="47">
        <f t="shared" si="22"/>
        <v>636180.71419641282</v>
      </c>
      <c r="BA95" s="47">
        <f t="shared" si="23"/>
        <v>610464.59806878318</v>
      </c>
      <c r="BB95" s="47">
        <f t="shared" si="24"/>
        <v>626957.21286496858</v>
      </c>
      <c r="BC95" s="47">
        <f t="shared" si="25"/>
        <v>606499.70378741482</v>
      </c>
      <c r="BD95" s="47">
        <f t="shared" si="26"/>
        <v>587928.81836400193</v>
      </c>
    </row>
    <row r="96" spans="2:56" ht="13">
      <c r="B96" s="37">
        <f>'3. Input (des)investeringen '!B129</f>
        <v>1564</v>
      </c>
      <c r="C96" s="48"/>
      <c r="D96" s="48"/>
      <c r="E96" s="48"/>
      <c r="F96" s="42">
        <f>'3. Input (des)investeringen '!D129</f>
        <v>0</v>
      </c>
      <c r="G96" s="48"/>
      <c r="H96" s="37">
        <f>'3. Input (des)investeringen '!F129</f>
        <v>2021</v>
      </c>
      <c r="I96" s="42" t="str">
        <f>'3. Input (des)investeringen '!G129</f>
        <v>nvt</v>
      </c>
      <c r="J96" s="42">
        <f>'3. Input (des)investeringen '!H129</f>
        <v>55</v>
      </c>
      <c r="K96" s="42">
        <f>'3. Input (des)investeringen '!I129</f>
        <v>0</v>
      </c>
      <c r="M96" s="43">
        <f t="shared" si="37"/>
        <v>0</v>
      </c>
      <c r="N96" s="43">
        <f t="shared" si="38"/>
        <v>0</v>
      </c>
      <c r="P96" s="136">
        <f t="shared" si="27"/>
        <v>0</v>
      </c>
      <c r="Q96" s="136">
        <f t="shared" si="39"/>
        <v>0</v>
      </c>
      <c r="S96" s="43">
        <f t="shared" si="10"/>
        <v>0</v>
      </c>
      <c r="T96" s="38">
        <f t="shared" si="11"/>
        <v>54.5</v>
      </c>
      <c r="V96" s="43">
        <f t="shared" si="34"/>
        <v>0</v>
      </c>
      <c r="W96" s="43">
        <f t="shared" si="34"/>
        <v>0</v>
      </c>
      <c r="X96" s="43">
        <f t="shared" si="34"/>
        <v>0</v>
      </c>
      <c r="Y96" s="43">
        <f t="shared" si="34"/>
        <v>0</v>
      </c>
      <c r="Z96" s="43">
        <f t="shared" si="34"/>
        <v>0</v>
      </c>
      <c r="AB96" s="43">
        <f t="shared" si="35"/>
        <v>0</v>
      </c>
      <c r="AC96" s="43">
        <f t="shared" si="35"/>
        <v>0</v>
      </c>
      <c r="AD96" s="43">
        <f t="shared" si="35"/>
        <v>0</v>
      </c>
      <c r="AE96" s="43">
        <f t="shared" si="35"/>
        <v>0</v>
      </c>
      <c r="AF96" s="43">
        <f t="shared" si="35"/>
        <v>0</v>
      </c>
      <c r="AH96" s="43">
        <f t="shared" si="12"/>
        <v>0</v>
      </c>
      <c r="AI96" s="43">
        <f t="shared" si="13"/>
        <v>0</v>
      </c>
      <c r="AJ96" s="43">
        <f t="shared" si="14"/>
        <v>0</v>
      </c>
      <c r="AK96" s="43">
        <f t="shared" si="15"/>
        <v>0</v>
      </c>
      <c r="AL96" s="43">
        <f t="shared" si="16"/>
        <v>0</v>
      </c>
      <c r="AN96" s="43">
        <f t="shared" si="17"/>
        <v>0</v>
      </c>
      <c r="AO96" s="43">
        <f t="shared" si="18"/>
        <v>0</v>
      </c>
      <c r="AP96" s="43">
        <f t="shared" si="19"/>
        <v>0</v>
      </c>
      <c r="AQ96" s="43">
        <f t="shared" si="20"/>
        <v>0</v>
      </c>
      <c r="AR96" s="43">
        <f t="shared" si="21"/>
        <v>0</v>
      </c>
      <c r="AT96" s="43">
        <f t="shared" si="36"/>
        <v>0</v>
      </c>
      <c r="AU96" s="43">
        <f t="shared" si="36"/>
        <v>0</v>
      </c>
      <c r="AV96" s="43">
        <f t="shared" si="36"/>
        <v>0</v>
      </c>
      <c r="AW96" s="43">
        <f t="shared" si="36"/>
        <v>0</v>
      </c>
      <c r="AX96" s="43">
        <f t="shared" si="36"/>
        <v>0</v>
      </c>
      <c r="AZ96" s="47">
        <f t="shared" si="22"/>
        <v>0</v>
      </c>
      <c r="BA96" s="47">
        <f t="shared" si="23"/>
        <v>0</v>
      </c>
      <c r="BB96" s="47">
        <f t="shared" si="24"/>
        <v>0</v>
      </c>
      <c r="BC96" s="47">
        <f t="shared" si="25"/>
        <v>0</v>
      </c>
      <c r="BD96" s="47">
        <f t="shared" si="26"/>
        <v>0</v>
      </c>
    </row>
    <row r="97" spans="2:56" ht="13">
      <c r="B97" s="37">
        <f>'3. Input (des)investeringen '!B130</f>
        <v>1565</v>
      </c>
      <c r="C97" s="48"/>
      <c r="D97" s="48"/>
      <c r="E97" s="48"/>
      <c r="F97" s="42">
        <f>'3. Input (des)investeringen '!D130</f>
        <v>0</v>
      </c>
      <c r="G97" s="48"/>
      <c r="H97" s="37">
        <f>'3. Input (des)investeringen '!F130</f>
        <v>2022</v>
      </c>
      <c r="I97" s="42" t="str">
        <f>'3. Input (des)investeringen '!G130</f>
        <v>nvt</v>
      </c>
      <c r="J97" s="42">
        <f>'3. Input (des)investeringen '!H130</f>
        <v>0</v>
      </c>
      <c r="K97" s="42">
        <f>'3. Input (des)investeringen '!I130</f>
        <v>1</v>
      </c>
      <c r="M97" s="43">
        <f t="shared" si="37"/>
        <v>0</v>
      </c>
      <c r="N97" s="43">
        <f t="shared" si="38"/>
        <v>0</v>
      </c>
      <c r="P97" s="136">
        <f t="shared" si="27"/>
        <v>0</v>
      </c>
      <c r="Q97" s="136">
        <f t="shared" si="39"/>
        <v>0</v>
      </c>
      <c r="S97" s="43">
        <f t="shared" si="10"/>
        <v>0</v>
      </c>
      <c r="T97" s="38">
        <f t="shared" si="11"/>
        <v>0</v>
      </c>
      <c r="V97" s="43">
        <f t="shared" si="34"/>
        <v>0</v>
      </c>
      <c r="W97" s="43">
        <f t="shared" si="34"/>
        <v>0</v>
      </c>
      <c r="X97" s="43">
        <f t="shared" si="34"/>
        <v>0</v>
      </c>
      <c r="Y97" s="43">
        <f t="shared" si="34"/>
        <v>0</v>
      </c>
      <c r="Z97" s="43">
        <f t="shared" si="34"/>
        <v>0</v>
      </c>
      <c r="AB97" s="43">
        <f t="shared" si="35"/>
        <v>0</v>
      </c>
      <c r="AC97" s="43">
        <f t="shared" si="35"/>
        <v>0</v>
      </c>
      <c r="AD97" s="43">
        <f t="shared" si="35"/>
        <v>0</v>
      </c>
      <c r="AE97" s="43">
        <f t="shared" si="35"/>
        <v>0</v>
      </c>
      <c r="AF97" s="43">
        <f t="shared" si="35"/>
        <v>0</v>
      </c>
      <c r="AH97" s="43">
        <f t="shared" si="12"/>
        <v>0</v>
      </c>
      <c r="AI97" s="43">
        <f t="shared" si="13"/>
        <v>0</v>
      </c>
      <c r="AJ97" s="43">
        <f t="shared" si="14"/>
        <v>0</v>
      </c>
      <c r="AK97" s="43">
        <f t="shared" si="15"/>
        <v>0</v>
      </c>
      <c r="AL97" s="43">
        <f t="shared" si="16"/>
        <v>0</v>
      </c>
      <c r="AN97" s="43">
        <f t="shared" si="17"/>
        <v>0</v>
      </c>
      <c r="AO97" s="43">
        <f t="shared" si="18"/>
        <v>0</v>
      </c>
      <c r="AP97" s="43">
        <f t="shared" si="19"/>
        <v>0</v>
      </c>
      <c r="AQ97" s="43">
        <f t="shared" si="20"/>
        <v>0</v>
      </c>
      <c r="AR97" s="43">
        <f t="shared" si="21"/>
        <v>0</v>
      </c>
      <c r="AT97" s="43">
        <f t="shared" si="36"/>
        <v>0</v>
      </c>
      <c r="AU97" s="43">
        <f t="shared" si="36"/>
        <v>0</v>
      </c>
      <c r="AV97" s="43">
        <f t="shared" si="36"/>
        <v>0</v>
      </c>
      <c r="AW97" s="43">
        <f t="shared" si="36"/>
        <v>0</v>
      </c>
      <c r="AX97" s="43">
        <f t="shared" si="36"/>
        <v>0</v>
      </c>
      <c r="AZ97" s="47">
        <f t="shared" si="22"/>
        <v>0</v>
      </c>
      <c r="BA97" s="47">
        <f t="shared" si="23"/>
        <v>0</v>
      </c>
      <c r="BB97" s="47">
        <f t="shared" si="24"/>
        <v>0</v>
      </c>
      <c r="BC97" s="47">
        <f t="shared" si="25"/>
        <v>0</v>
      </c>
      <c r="BD97" s="47">
        <f t="shared" si="26"/>
        <v>0</v>
      </c>
    </row>
    <row r="98" spans="2:56" ht="13">
      <c r="B98" s="37">
        <f>'3. Input (des)investeringen '!B131</f>
        <v>1566</v>
      </c>
      <c r="C98" s="48"/>
      <c r="D98" s="48"/>
      <c r="E98" s="48"/>
      <c r="F98" s="42">
        <f>'3. Input (des)investeringen '!D131</f>
        <v>16890169.385303106</v>
      </c>
      <c r="G98" s="48"/>
      <c r="H98" s="37">
        <f>'3. Input (des)investeringen '!F131</f>
        <v>2022</v>
      </c>
      <c r="I98" s="42" t="str">
        <f>'3. Input (des)investeringen '!G131</f>
        <v>nvt</v>
      </c>
      <c r="J98" s="42">
        <f>'3. Input (des)investeringen '!H131</f>
        <v>5</v>
      </c>
      <c r="K98" s="42">
        <f>'3. Input (des)investeringen '!I131</f>
        <v>1</v>
      </c>
      <c r="M98" s="43">
        <f t="shared" si="37"/>
        <v>0</v>
      </c>
      <c r="N98" s="43">
        <f t="shared" si="38"/>
        <v>0</v>
      </c>
      <c r="P98" s="136">
        <f t="shared" si="27"/>
        <v>0</v>
      </c>
      <c r="Q98" s="136">
        <f t="shared" si="39"/>
        <v>0</v>
      </c>
      <c r="S98" s="43">
        <f t="shared" si="10"/>
        <v>16890169.385303106</v>
      </c>
      <c r="T98" s="38">
        <f t="shared" si="11"/>
        <v>5</v>
      </c>
      <c r="V98" s="43">
        <f t="shared" si="34"/>
        <v>1976149.8180804634</v>
      </c>
      <c r="W98" s="43">
        <f t="shared" si="34"/>
        <v>3438500.6834600065</v>
      </c>
      <c r="X98" s="43">
        <f t="shared" si="34"/>
        <v>2796143.4129235218</v>
      </c>
      <c r="Y98" s="43">
        <f t="shared" si="34"/>
        <v>2796143.4129235218</v>
      </c>
      <c r="Z98" s="43">
        <f t="shared" si="34"/>
        <v>2796143.4129235218</v>
      </c>
      <c r="AB98" s="43">
        <f t="shared" si="35"/>
        <v>168901.69385303109</v>
      </c>
      <c r="AC98" s="43">
        <f t="shared" si="35"/>
        <v>337803.38770606212</v>
      </c>
      <c r="AD98" s="43">
        <f t="shared" si="35"/>
        <v>337803.38770606212</v>
      </c>
      <c r="AE98" s="43">
        <f t="shared" si="35"/>
        <v>337803.38770606212</v>
      </c>
      <c r="AF98" s="43">
        <f t="shared" si="35"/>
        <v>337803.38770606212</v>
      </c>
      <c r="AH98" s="43">
        <f t="shared" si="12"/>
        <v>2145051.5119334944</v>
      </c>
      <c r="AI98" s="43">
        <f t="shared" si="13"/>
        <v>3776304.0711660688</v>
      </c>
      <c r="AJ98" s="43">
        <f t="shared" si="14"/>
        <v>3133946.8006295841</v>
      </c>
      <c r="AK98" s="43">
        <f t="shared" si="15"/>
        <v>3133946.8006295841</v>
      </c>
      <c r="AL98" s="43">
        <f t="shared" si="16"/>
        <v>3133946.8006295841</v>
      </c>
      <c r="AN98" s="43">
        <f t="shared" si="17"/>
        <v>14745117.873369612</v>
      </c>
      <c r="AO98" s="43">
        <f t="shared" si="18"/>
        <v>10968813.802203543</v>
      </c>
      <c r="AP98" s="43">
        <f t="shared" si="19"/>
        <v>7834867.0015739594</v>
      </c>
      <c r="AQ98" s="43">
        <f t="shared" si="20"/>
        <v>4700920.2009443752</v>
      </c>
      <c r="AR98" s="43">
        <f t="shared" si="21"/>
        <v>1566973.4003147911</v>
      </c>
      <c r="AT98" s="43">
        <f t="shared" si="36"/>
        <v>168901.69385303106</v>
      </c>
      <c r="AU98" s="43">
        <f t="shared" si="36"/>
        <v>178656.10447643133</v>
      </c>
      <c r="AV98" s="43">
        <f t="shared" si="36"/>
        <v>192176.79846320767</v>
      </c>
      <c r="AW98" s="43">
        <f t="shared" si="36"/>
        <v>196767.51782489676</v>
      </c>
      <c r="AX98" s="43">
        <f t="shared" si="36"/>
        <v>203427.70476823387</v>
      </c>
      <c r="AZ98" s="47">
        <f t="shared" si="22"/>
        <v>2815287.2134810919</v>
      </c>
      <c r="BA98" s="47">
        <f t="shared" si="23"/>
        <v>4316931.0311152171</v>
      </c>
      <c r="BB98" s="47">
        <f t="shared" si="24"/>
        <v>3623848.5451526023</v>
      </c>
      <c r="BC98" s="47">
        <f t="shared" si="25"/>
        <v>3509349.286090367</v>
      </c>
      <c r="BD98" s="47">
        <f t="shared" si="26"/>
        <v>3396919.4946097801</v>
      </c>
    </row>
    <row r="99" spans="2:56" ht="13">
      <c r="B99" s="37">
        <f>'3. Input (des)investeringen '!B132</f>
        <v>1567</v>
      </c>
      <c r="C99" s="48"/>
      <c r="D99" s="48"/>
      <c r="E99" s="48"/>
      <c r="F99" s="42">
        <f>'3. Input (des)investeringen '!D132</f>
        <v>5123153.0826677978</v>
      </c>
      <c r="G99" s="48"/>
      <c r="H99" s="37">
        <f>'3. Input (des)investeringen '!F132</f>
        <v>2022</v>
      </c>
      <c r="I99" s="42" t="str">
        <f>'3. Input (des)investeringen '!G132</f>
        <v>nvt</v>
      </c>
      <c r="J99" s="42">
        <f>'3. Input (des)investeringen '!H132</f>
        <v>10</v>
      </c>
      <c r="K99" s="42">
        <f>'3. Input (des)investeringen '!I132</f>
        <v>1</v>
      </c>
      <c r="M99" s="43">
        <f t="shared" si="37"/>
        <v>0</v>
      </c>
      <c r="N99" s="43">
        <f t="shared" si="38"/>
        <v>0</v>
      </c>
      <c r="P99" s="136">
        <f t="shared" si="27"/>
        <v>0</v>
      </c>
      <c r="Q99" s="136">
        <f t="shared" si="39"/>
        <v>0</v>
      </c>
      <c r="S99" s="43">
        <f t="shared" si="10"/>
        <v>5123153.0826677978</v>
      </c>
      <c r="T99" s="38">
        <f t="shared" si="11"/>
        <v>10</v>
      </c>
      <c r="V99" s="43">
        <f t="shared" si="34"/>
        <v>299704.4553360662</v>
      </c>
      <c r="W99" s="43">
        <f t="shared" si="34"/>
        <v>560447.33147844381</v>
      </c>
      <c r="X99" s="43">
        <f t="shared" si="34"/>
        <v>487589.17838624615</v>
      </c>
      <c r="Y99" s="43">
        <f t="shared" si="34"/>
        <v>435079.57456003496</v>
      </c>
      <c r="Z99" s="43">
        <f t="shared" si="34"/>
        <v>435079.57456003496</v>
      </c>
      <c r="AB99" s="43">
        <f t="shared" si="35"/>
        <v>25615.765413338991</v>
      </c>
      <c r="AC99" s="43">
        <f t="shared" si="35"/>
        <v>51231.530826677976</v>
      </c>
      <c r="AD99" s="43">
        <f t="shared" si="35"/>
        <v>51231.530826677976</v>
      </c>
      <c r="AE99" s="43">
        <f t="shared" si="35"/>
        <v>51231.530826677976</v>
      </c>
      <c r="AF99" s="43">
        <f t="shared" si="35"/>
        <v>51231.530826677976</v>
      </c>
      <c r="AH99" s="43">
        <f t="shared" si="12"/>
        <v>325320.22074940521</v>
      </c>
      <c r="AI99" s="43">
        <f t="shared" si="13"/>
        <v>611678.86230512173</v>
      </c>
      <c r="AJ99" s="43">
        <f t="shared" si="14"/>
        <v>538820.70921292412</v>
      </c>
      <c r="AK99" s="43">
        <f t="shared" si="15"/>
        <v>486311.10538671294</v>
      </c>
      <c r="AL99" s="43">
        <f t="shared" si="16"/>
        <v>486311.10538671294</v>
      </c>
      <c r="AN99" s="43">
        <f t="shared" si="17"/>
        <v>4797832.8619183926</v>
      </c>
      <c r="AO99" s="43">
        <f t="shared" si="18"/>
        <v>4186153.9996132711</v>
      </c>
      <c r="AP99" s="43">
        <f t="shared" si="19"/>
        <v>3647333.2904003467</v>
      </c>
      <c r="AQ99" s="43">
        <f t="shared" si="20"/>
        <v>3161022.1850136337</v>
      </c>
      <c r="AR99" s="43">
        <f t="shared" si="21"/>
        <v>2674711.0796269206</v>
      </c>
      <c r="AT99" s="43">
        <f t="shared" si="36"/>
        <v>51231.530826677976</v>
      </c>
      <c r="AU99" s="43">
        <f t="shared" si="36"/>
        <v>54190.254194980291</v>
      </c>
      <c r="AV99" s="43">
        <f t="shared" si="36"/>
        <v>58291.372632456405</v>
      </c>
      <c r="AW99" s="43">
        <f t="shared" si="36"/>
        <v>59683.836941900525</v>
      </c>
      <c r="AX99" s="43">
        <f t="shared" si="36"/>
        <v>61704.015454709966</v>
      </c>
      <c r="AZ99" s="47">
        <f t="shared" si="22"/>
        <v>539678.06888130854</v>
      </c>
      <c r="BA99" s="47">
        <f t="shared" si="23"/>
        <v>804012.19848734001</v>
      </c>
      <c r="BB99" s="47">
        <f t="shared" si="24"/>
        <v>735710.74688059359</v>
      </c>
      <c r="BC99" s="47">
        <f t="shared" si="25"/>
        <v>666113.78535913152</v>
      </c>
      <c r="BD99" s="47">
        <f t="shared" si="26"/>
        <v>649654.1418672459</v>
      </c>
    </row>
    <row r="100" spans="2:56" ht="13">
      <c r="B100" s="37">
        <f>'3. Input (des)investeringen '!B133</f>
        <v>1568</v>
      </c>
      <c r="C100" s="48"/>
      <c r="D100" s="48"/>
      <c r="E100" s="48"/>
      <c r="F100" s="42">
        <f>'3. Input (des)investeringen '!D133</f>
        <v>24165572.707445111</v>
      </c>
      <c r="G100" s="48"/>
      <c r="H100" s="37">
        <f>'3. Input (des)investeringen '!F133</f>
        <v>2022</v>
      </c>
      <c r="I100" s="42" t="str">
        <f>'3. Input (des)investeringen '!G133</f>
        <v>nvt</v>
      </c>
      <c r="J100" s="42">
        <f>'3. Input (des)investeringen '!H133</f>
        <v>15</v>
      </c>
      <c r="K100" s="42">
        <f>'3. Input (des)investeringen '!I133</f>
        <v>1</v>
      </c>
      <c r="M100" s="43">
        <f t="shared" si="37"/>
        <v>0</v>
      </c>
      <c r="N100" s="43">
        <f t="shared" si="38"/>
        <v>0</v>
      </c>
      <c r="P100" s="136">
        <f t="shared" si="27"/>
        <v>0</v>
      </c>
      <c r="Q100" s="136">
        <f t="shared" si="39"/>
        <v>0</v>
      </c>
      <c r="S100" s="43">
        <f t="shared" si="10"/>
        <v>24165572.707445111</v>
      </c>
      <c r="T100" s="38">
        <f t="shared" si="11"/>
        <v>15</v>
      </c>
      <c r="V100" s="43">
        <f t="shared" si="34"/>
        <v>942457.33559035941</v>
      </c>
      <c r="W100" s="43">
        <f t="shared" si="34"/>
        <v>1803235.0354295543</v>
      </c>
      <c r="X100" s="43">
        <f t="shared" si="34"/>
        <v>1646954.6656923261</v>
      </c>
      <c r="Y100" s="43">
        <f t="shared" si="34"/>
        <v>1504218.594665658</v>
      </c>
      <c r="Z100" s="43">
        <f t="shared" si="34"/>
        <v>1378447.8091584959</v>
      </c>
      <c r="AB100" s="43">
        <f t="shared" si="35"/>
        <v>80551.90902481704</v>
      </c>
      <c r="AC100" s="43">
        <f t="shared" si="35"/>
        <v>161103.81804963411</v>
      </c>
      <c r="AD100" s="43">
        <f t="shared" si="35"/>
        <v>161103.81804963411</v>
      </c>
      <c r="AE100" s="43">
        <f t="shared" si="35"/>
        <v>161103.81804963411</v>
      </c>
      <c r="AF100" s="43">
        <f t="shared" si="35"/>
        <v>161103.81804963411</v>
      </c>
      <c r="AH100" s="43">
        <f t="shared" si="12"/>
        <v>1023009.2446151765</v>
      </c>
      <c r="AI100" s="43">
        <f t="shared" si="13"/>
        <v>1964338.8534791884</v>
      </c>
      <c r="AJ100" s="43">
        <f t="shared" si="14"/>
        <v>1808058.4837419603</v>
      </c>
      <c r="AK100" s="43">
        <f t="shared" si="15"/>
        <v>1665322.4127152921</v>
      </c>
      <c r="AL100" s="43">
        <f t="shared" si="16"/>
        <v>1539551.62720813</v>
      </c>
      <c r="AN100" s="43">
        <f t="shared" si="17"/>
        <v>23142563.462829936</v>
      </c>
      <c r="AO100" s="43">
        <f t="shared" si="18"/>
        <v>21178224.609350748</v>
      </c>
      <c r="AP100" s="43">
        <f t="shared" si="19"/>
        <v>19370166.125608787</v>
      </c>
      <c r="AQ100" s="43">
        <f t="shared" si="20"/>
        <v>17704843.712893493</v>
      </c>
      <c r="AR100" s="43">
        <f t="shared" si="21"/>
        <v>16165292.085685363</v>
      </c>
      <c r="AT100" s="43">
        <f t="shared" si="36"/>
        <v>241655.7270744511</v>
      </c>
      <c r="AU100" s="43">
        <f t="shared" si="36"/>
        <v>255611.82862445485</v>
      </c>
      <c r="AV100" s="43">
        <f t="shared" si="36"/>
        <v>274956.5318147536</v>
      </c>
      <c r="AW100" s="43">
        <f t="shared" si="36"/>
        <v>281524.69344674441</v>
      </c>
      <c r="AX100" s="43">
        <f t="shared" si="36"/>
        <v>291053.74127052986</v>
      </c>
      <c r="AZ100" s="47">
        <f t="shared" si="22"/>
        <v>2051512.1294258453</v>
      </c>
      <c r="BA100" s="47">
        <f t="shared" si="23"/>
        <v>2918832.0942122177</v>
      </c>
      <c r="BB100" s="47">
        <f t="shared" si="24"/>
        <v>2819081.3283298477</v>
      </c>
      <c r="BC100" s="47">
        <f t="shared" si="25"/>
        <v>2619631.1672519892</v>
      </c>
      <c r="BD100" s="47">
        <f t="shared" si="26"/>
        <v>2444886.4677347038</v>
      </c>
    </row>
    <row r="101" spans="2:56" ht="13">
      <c r="B101" s="37">
        <f>'3. Input (des)investeringen '!B134</f>
        <v>1569</v>
      </c>
      <c r="C101" s="48"/>
      <c r="D101" s="48"/>
      <c r="E101" s="48"/>
      <c r="F101" s="42">
        <f>'3. Input (des)investeringen '!D134</f>
        <v>29680389.233082227</v>
      </c>
      <c r="G101" s="48"/>
      <c r="H101" s="37">
        <f>'3. Input (des)investeringen '!F134</f>
        <v>2022</v>
      </c>
      <c r="I101" s="42" t="str">
        <f>'3. Input (des)investeringen '!G134</f>
        <v>nvt</v>
      </c>
      <c r="J101" s="42">
        <f>'3. Input (des)investeringen '!H134</f>
        <v>30</v>
      </c>
      <c r="K101" s="42">
        <f>'3. Input (des)investeringen '!I134</f>
        <v>1</v>
      </c>
      <c r="M101" s="43">
        <f t="shared" si="37"/>
        <v>0</v>
      </c>
      <c r="N101" s="43">
        <f t="shared" si="38"/>
        <v>0</v>
      </c>
      <c r="P101" s="136">
        <f t="shared" si="27"/>
        <v>0</v>
      </c>
      <c r="Q101" s="136">
        <f t="shared" si="39"/>
        <v>0</v>
      </c>
      <c r="S101" s="43">
        <f t="shared" si="10"/>
        <v>29680389.233082227</v>
      </c>
      <c r="T101" s="38">
        <f t="shared" si="11"/>
        <v>30</v>
      </c>
      <c r="V101" s="43">
        <f t="shared" ref="V101:Z110" si="40">IF($J101=0, 0, IF(OR($H101&gt;V$59,$H101+$J101&lt;V$59),0,
IF(OR($H101=2020,$H101=2021),VDB($S101*(1-$F$28),0,$T101,V$59-2022,MIN($T101,V$59-2021),$F$22,FALSE),
VDB($S101*(1-$F$28),0,$T101,MAX(0,V$59-$H101-0.5),MIN($T101,V$59-$H101+0.5),$F$22,FALSE))))</f>
        <v>578767.59004510345</v>
      </c>
      <c r="W101" s="43">
        <f t="shared" si="40"/>
        <v>1132455.2511882524</v>
      </c>
      <c r="X101" s="43">
        <f t="shared" si="40"/>
        <v>1083382.1903034281</v>
      </c>
      <c r="Y101" s="43">
        <f t="shared" si="40"/>
        <v>1036435.6287236131</v>
      </c>
      <c r="Z101" s="43">
        <f t="shared" si="40"/>
        <v>991523.41814558976</v>
      </c>
      <c r="AB101" s="43">
        <f t="shared" ref="AB101:AF110" si="41">IF($J101=0, 0, IF(OR($H101&gt;AB$59,$H101+$J101&lt;AB$59),0,
IF(OR($H101=2020,$H101=2021),VDB($S101*$F$28,0,$T101,AB$59-2022,MIN($T101,AB$59-2021),1),
VDB($S101*$F$28,0,$T101,MAX(0,AB$59-$H101-0.5),MIN($T101,AB$59-$H101+0.5),1))))</f>
        <v>49467.315388470386</v>
      </c>
      <c r="AC101" s="43">
        <f t="shared" si="41"/>
        <v>98934.630776940772</v>
      </c>
      <c r="AD101" s="43">
        <f t="shared" si="41"/>
        <v>98934.630776940772</v>
      </c>
      <c r="AE101" s="43">
        <f t="shared" si="41"/>
        <v>98934.630776940772</v>
      </c>
      <c r="AF101" s="43">
        <f t="shared" si="41"/>
        <v>98934.630776940772</v>
      </c>
      <c r="AH101" s="43">
        <f t="shared" si="12"/>
        <v>628234.90543357388</v>
      </c>
      <c r="AI101" s="43">
        <f t="shared" si="13"/>
        <v>1231389.8819651932</v>
      </c>
      <c r="AJ101" s="43">
        <f t="shared" si="14"/>
        <v>1182316.8210803689</v>
      </c>
      <c r="AK101" s="43">
        <f t="shared" si="15"/>
        <v>1135370.2595005538</v>
      </c>
      <c r="AL101" s="43">
        <f t="shared" si="16"/>
        <v>1090458.0489225306</v>
      </c>
      <c r="AN101" s="43">
        <f t="shared" si="17"/>
        <v>29052154.327648655</v>
      </c>
      <c r="AO101" s="43">
        <f t="shared" si="18"/>
        <v>27820764.445683461</v>
      </c>
      <c r="AP101" s="43">
        <f t="shared" si="19"/>
        <v>26638447.624603093</v>
      </c>
      <c r="AQ101" s="43">
        <f t="shared" si="20"/>
        <v>25503077.365102537</v>
      </c>
      <c r="AR101" s="43">
        <f t="shared" si="21"/>
        <v>24412619.316180006</v>
      </c>
      <c r="AT101" s="43">
        <f t="shared" ref="AT101:AX110" si="42">IF($H101&lt;=AT$59,$F101*INDEX($H$40:$N$46,$H101-2019,AT$59-2019)*INDEX($H$49:$N$55,$H101-2019,AT$59-2019)*$F$19,0)</f>
        <v>296803.8923308223</v>
      </c>
      <c r="AU101" s="43">
        <f t="shared" si="42"/>
        <v>313944.91072071192</v>
      </c>
      <c r="AV101" s="43">
        <f t="shared" si="42"/>
        <v>337704.26156405546</v>
      </c>
      <c r="AW101" s="43">
        <f t="shared" si="42"/>
        <v>345771.34096429759</v>
      </c>
      <c r="AX101" s="43">
        <f t="shared" si="42"/>
        <v>357475.00931325718</v>
      </c>
      <c r="AZ101" s="47">
        <f t="shared" si="22"/>
        <v>1912812.0449044507</v>
      </c>
      <c r="BA101" s="47">
        <f t="shared" si="23"/>
        <v>2463420.0193934594</v>
      </c>
      <c r="BB101" s="47">
        <f t="shared" si="24"/>
        <v>2532282.0923793418</v>
      </c>
      <c r="BC101" s="47">
        <f t="shared" si="25"/>
        <v>2450258.5403387481</v>
      </c>
      <c r="BD101" s="47">
        <f t="shared" si="26"/>
        <v>2375612.5922506279</v>
      </c>
    </row>
    <row r="102" spans="2:56" ht="13">
      <c r="B102" s="37">
        <f>'3. Input (des)investeringen '!B135</f>
        <v>1570</v>
      </c>
      <c r="C102" s="48"/>
      <c r="D102" s="48"/>
      <c r="E102" s="48"/>
      <c r="F102" s="42">
        <f>'3. Input (des)investeringen '!D135</f>
        <v>82159507.038901418</v>
      </c>
      <c r="G102" s="48"/>
      <c r="H102" s="37">
        <f>'3. Input (des)investeringen '!F135</f>
        <v>2022</v>
      </c>
      <c r="I102" s="42" t="str">
        <f>'3. Input (des)investeringen '!G135</f>
        <v>nvt</v>
      </c>
      <c r="J102" s="42">
        <f>'3. Input (des)investeringen '!H135</f>
        <v>55</v>
      </c>
      <c r="K102" s="42">
        <f>'3. Input (des)investeringen '!I135</f>
        <v>1</v>
      </c>
      <c r="M102" s="43">
        <f t="shared" si="37"/>
        <v>0</v>
      </c>
      <c r="N102" s="43">
        <f t="shared" si="38"/>
        <v>0</v>
      </c>
      <c r="P102" s="136">
        <f t="shared" si="27"/>
        <v>0</v>
      </c>
      <c r="Q102" s="136">
        <f t="shared" si="39"/>
        <v>0</v>
      </c>
      <c r="S102" s="43">
        <f t="shared" si="10"/>
        <v>82159507.038901418</v>
      </c>
      <c r="T102" s="38">
        <f t="shared" si="11"/>
        <v>55</v>
      </c>
      <c r="V102" s="43">
        <f t="shared" si="40"/>
        <v>873878.39305013325</v>
      </c>
      <c r="W102" s="43">
        <f t="shared" si="40"/>
        <v>1727101.4786281723</v>
      </c>
      <c r="X102" s="43">
        <f t="shared" si="40"/>
        <v>1686279.0800424155</v>
      </c>
      <c r="Y102" s="43">
        <f t="shared" si="40"/>
        <v>1646421.5745141401</v>
      </c>
      <c r="Z102" s="43">
        <f t="shared" si="40"/>
        <v>1607506.1554801697</v>
      </c>
      <c r="AB102" s="43">
        <f t="shared" si="41"/>
        <v>74690.46094445583</v>
      </c>
      <c r="AC102" s="43">
        <f t="shared" si="41"/>
        <v>149380.92188891166</v>
      </c>
      <c r="AD102" s="43">
        <f t="shared" si="41"/>
        <v>149380.92188891166</v>
      </c>
      <c r="AE102" s="43">
        <f t="shared" si="41"/>
        <v>149380.92188891166</v>
      </c>
      <c r="AF102" s="43">
        <f t="shared" si="41"/>
        <v>149380.92188891166</v>
      </c>
      <c r="AH102" s="43">
        <f t="shared" si="12"/>
        <v>948568.85399458907</v>
      </c>
      <c r="AI102" s="43">
        <f t="shared" si="13"/>
        <v>1876482.4005170839</v>
      </c>
      <c r="AJ102" s="43">
        <f t="shared" si="14"/>
        <v>1835660.0019313272</v>
      </c>
      <c r="AK102" s="43">
        <f t="shared" si="15"/>
        <v>1795802.4964030518</v>
      </c>
      <c r="AL102" s="43">
        <f t="shared" si="16"/>
        <v>1756887.0773690813</v>
      </c>
      <c r="AN102" s="43">
        <f t="shared" si="17"/>
        <v>81210938.184906825</v>
      </c>
      <c r="AO102" s="43">
        <f t="shared" si="18"/>
        <v>79334455.784389734</v>
      </c>
      <c r="AP102" s="43">
        <f t="shared" si="19"/>
        <v>77498795.78245841</v>
      </c>
      <c r="AQ102" s="43">
        <f t="shared" si="20"/>
        <v>75702993.286055356</v>
      </c>
      <c r="AR102" s="43">
        <f t="shared" si="21"/>
        <v>73946106.208686277</v>
      </c>
      <c r="AT102" s="43">
        <f t="shared" si="42"/>
        <v>821595.0703890142</v>
      </c>
      <c r="AU102" s="43">
        <f t="shared" si="42"/>
        <v>869043.82889412052</v>
      </c>
      <c r="AV102" s="43">
        <f t="shared" si="42"/>
        <v>934813.06586482783</v>
      </c>
      <c r="AW102" s="43">
        <f t="shared" si="42"/>
        <v>957143.88038220676</v>
      </c>
      <c r="AX102" s="43">
        <f t="shared" si="42"/>
        <v>989541.2864453838</v>
      </c>
      <c r="AZ102" s="47">
        <f t="shared" si="22"/>
        <v>4531335.8226704355</v>
      </c>
      <c r="BA102" s="47">
        <f t="shared" si="23"/>
        <v>5363563.2702960661</v>
      </c>
      <c r="BB102" s="47">
        <f t="shared" si="24"/>
        <v>5715427.3075295743</v>
      </c>
      <c r="BC102" s="47">
        <f t="shared" si="25"/>
        <v>5629660.1216553617</v>
      </c>
      <c r="BD102" s="47">
        <f t="shared" si="26"/>
        <v>5556380.3997445432</v>
      </c>
    </row>
    <row r="103" spans="2:56" ht="13">
      <c r="B103" s="37">
        <f>'3. Input (des)investeringen '!B136</f>
        <v>1571</v>
      </c>
      <c r="C103" s="48"/>
      <c r="D103" s="48"/>
      <c r="E103" s="48"/>
      <c r="F103" s="42">
        <f>'3. Input (des)investeringen '!D136</f>
        <v>-31359.805432116216</v>
      </c>
      <c r="G103" s="48"/>
      <c r="H103" s="37">
        <f>'3. Input (des)investeringen '!F136</f>
        <v>2022</v>
      </c>
      <c r="I103" s="42" t="str">
        <f>'3. Input (des)investeringen '!G136</f>
        <v>nvt</v>
      </c>
      <c r="J103" s="42">
        <f>'3. Input (des)investeringen '!H136</f>
        <v>0</v>
      </c>
      <c r="K103" s="42">
        <f>'3. Input (des)investeringen '!I136</f>
        <v>0</v>
      </c>
      <c r="M103" s="43">
        <f t="shared" si="37"/>
        <v>0</v>
      </c>
      <c r="N103" s="43">
        <f t="shared" si="38"/>
        <v>0</v>
      </c>
      <c r="P103" s="136">
        <f t="shared" si="27"/>
        <v>0</v>
      </c>
      <c r="Q103" s="136">
        <f t="shared" si="39"/>
        <v>0</v>
      </c>
      <c r="S103" s="43">
        <f t="shared" si="10"/>
        <v>-31359.805432116216</v>
      </c>
      <c r="T103" s="38">
        <f t="shared" si="11"/>
        <v>0</v>
      </c>
      <c r="V103" s="43">
        <f t="shared" si="40"/>
        <v>0</v>
      </c>
      <c r="W103" s="43">
        <f t="shared" si="40"/>
        <v>0</v>
      </c>
      <c r="X103" s="43">
        <f t="shared" si="40"/>
        <v>0</v>
      </c>
      <c r="Y103" s="43">
        <f t="shared" si="40"/>
        <v>0</v>
      </c>
      <c r="Z103" s="43">
        <f t="shared" si="40"/>
        <v>0</v>
      </c>
      <c r="AB103" s="43">
        <f t="shared" si="41"/>
        <v>0</v>
      </c>
      <c r="AC103" s="43">
        <f t="shared" si="41"/>
        <v>0</v>
      </c>
      <c r="AD103" s="43">
        <f t="shared" si="41"/>
        <v>0</v>
      </c>
      <c r="AE103" s="43">
        <f t="shared" si="41"/>
        <v>0</v>
      </c>
      <c r="AF103" s="43">
        <f t="shared" si="41"/>
        <v>0</v>
      </c>
      <c r="AH103" s="43">
        <f t="shared" si="12"/>
        <v>0</v>
      </c>
      <c r="AI103" s="43">
        <f t="shared" si="13"/>
        <v>0</v>
      </c>
      <c r="AJ103" s="43">
        <f t="shared" si="14"/>
        <v>0</v>
      </c>
      <c r="AK103" s="43">
        <f t="shared" si="15"/>
        <v>0</v>
      </c>
      <c r="AL103" s="43">
        <f t="shared" si="16"/>
        <v>0</v>
      </c>
      <c r="AN103" s="43">
        <f t="shared" si="17"/>
        <v>-31359.805432116216</v>
      </c>
      <c r="AO103" s="43">
        <f t="shared" si="18"/>
        <v>-31359.805432116216</v>
      </c>
      <c r="AP103" s="43">
        <f t="shared" si="19"/>
        <v>-31359.805432116216</v>
      </c>
      <c r="AQ103" s="43">
        <f t="shared" si="20"/>
        <v>-31359.805432116216</v>
      </c>
      <c r="AR103" s="43">
        <f t="shared" si="21"/>
        <v>-31359.805432116216</v>
      </c>
      <c r="AT103" s="43">
        <f t="shared" si="42"/>
        <v>-313.59805432116218</v>
      </c>
      <c r="AU103" s="43">
        <f t="shared" si="42"/>
        <v>-331.70896915431797</v>
      </c>
      <c r="AV103" s="43">
        <f t="shared" si="42"/>
        <v>-356.81270393991684</v>
      </c>
      <c r="AW103" s="43">
        <f t="shared" si="42"/>
        <v>-365.33624581163343</v>
      </c>
      <c r="AX103" s="43">
        <f t="shared" si="42"/>
        <v>-377.70214705986569</v>
      </c>
      <c r="AZ103" s="47">
        <f t="shared" si="22"/>
        <v>-1379.8314390131136</v>
      </c>
      <c r="BA103" s="47">
        <f t="shared" si="23"/>
        <v>-1366.5825484141533</v>
      </c>
      <c r="BB103" s="47">
        <f t="shared" si="24"/>
        <v>-1548.4853103603332</v>
      </c>
      <c r="BC103" s="47">
        <f t="shared" si="25"/>
        <v>-1557.0088522320498</v>
      </c>
      <c r="BD103" s="47">
        <f t="shared" si="26"/>
        <v>-1569.3747534802819</v>
      </c>
    </row>
    <row r="104" spans="2:56" ht="13">
      <c r="B104" s="37">
        <f>'3. Input (des)investeringen '!B137</f>
        <v>1572</v>
      </c>
      <c r="C104" s="48"/>
      <c r="D104" s="48"/>
      <c r="E104" s="48"/>
      <c r="F104" s="42">
        <f>'3. Input (des)investeringen '!D137</f>
        <v>441686.97804726404</v>
      </c>
      <c r="G104" s="48"/>
      <c r="H104" s="37">
        <f>'3. Input (des)investeringen '!F137</f>
        <v>2022</v>
      </c>
      <c r="I104" s="42" t="str">
        <f>'3. Input (des)investeringen '!G137</f>
        <v>nvt</v>
      </c>
      <c r="J104" s="42">
        <f>'3. Input (des)investeringen '!H137</f>
        <v>5</v>
      </c>
      <c r="K104" s="42">
        <f>'3. Input (des)investeringen '!I137</f>
        <v>0</v>
      </c>
      <c r="M104" s="43">
        <f t="shared" si="37"/>
        <v>0</v>
      </c>
      <c r="N104" s="43">
        <f t="shared" si="38"/>
        <v>0</v>
      </c>
      <c r="P104" s="136">
        <f t="shared" si="27"/>
        <v>0</v>
      </c>
      <c r="Q104" s="136">
        <f t="shared" si="39"/>
        <v>0</v>
      </c>
      <c r="S104" s="43">
        <f t="shared" si="10"/>
        <v>441686.97804726404</v>
      </c>
      <c r="T104" s="38">
        <f t="shared" si="11"/>
        <v>5</v>
      </c>
      <c r="V104" s="43">
        <f t="shared" si="40"/>
        <v>51677.376431529898</v>
      </c>
      <c r="W104" s="43">
        <f t="shared" si="40"/>
        <v>89918.634990862032</v>
      </c>
      <c r="X104" s="43">
        <f t="shared" si="40"/>
        <v>73120.648234327353</v>
      </c>
      <c r="Y104" s="43">
        <f t="shared" si="40"/>
        <v>73120.648234327353</v>
      </c>
      <c r="Z104" s="43">
        <f t="shared" si="40"/>
        <v>73120.648234327353</v>
      </c>
      <c r="AB104" s="43">
        <f t="shared" si="41"/>
        <v>4416.8697804726407</v>
      </c>
      <c r="AC104" s="43">
        <f t="shared" si="41"/>
        <v>8833.7395609452815</v>
      </c>
      <c r="AD104" s="43">
        <f t="shared" si="41"/>
        <v>8833.7395609452815</v>
      </c>
      <c r="AE104" s="43">
        <f t="shared" si="41"/>
        <v>8833.7395609452815</v>
      </c>
      <c r="AF104" s="43">
        <f t="shared" si="41"/>
        <v>8833.7395609452815</v>
      </c>
      <c r="AH104" s="43">
        <f t="shared" si="12"/>
        <v>56094.246212002538</v>
      </c>
      <c r="AI104" s="43">
        <f t="shared" si="13"/>
        <v>98752.374551807312</v>
      </c>
      <c r="AJ104" s="43">
        <f t="shared" si="14"/>
        <v>81954.387795272633</v>
      </c>
      <c r="AK104" s="43">
        <f t="shared" si="15"/>
        <v>81954.387795272633</v>
      </c>
      <c r="AL104" s="43">
        <f t="shared" si="16"/>
        <v>81954.387795272633</v>
      </c>
      <c r="AN104" s="43">
        <f t="shared" si="17"/>
        <v>385592.73183526151</v>
      </c>
      <c r="AO104" s="43">
        <f t="shared" si="18"/>
        <v>286840.35728345421</v>
      </c>
      <c r="AP104" s="43">
        <f t="shared" si="19"/>
        <v>204885.96948818158</v>
      </c>
      <c r="AQ104" s="43">
        <f t="shared" si="20"/>
        <v>122931.58169290895</v>
      </c>
      <c r="AR104" s="43">
        <f t="shared" si="21"/>
        <v>40977.193897636316</v>
      </c>
      <c r="AT104" s="43">
        <f t="shared" si="42"/>
        <v>4416.8697804726407</v>
      </c>
      <c r="AU104" s="43">
        <f t="shared" si="42"/>
        <v>4671.9528440344966</v>
      </c>
      <c r="AV104" s="43">
        <f t="shared" si="42"/>
        <v>5025.5262352710279</v>
      </c>
      <c r="AW104" s="43">
        <f t="shared" si="42"/>
        <v>5145.5760059791819</v>
      </c>
      <c r="AX104" s="43">
        <f t="shared" si="42"/>
        <v>5319.7434626295653</v>
      </c>
      <c r="AZ104" s="47">
        <f t="shared" si="22"/>
        <v>73621.268874874062</v>
      </c>
      <c r="BA104" s="47">
        <f t="shared" si="23"/>
        <v>112890.05918619581</v>
      </c>
      <c r="BB104" s="47">
        <f t="shared" si="24"/>
        <v>94765.580871094557</v>
      </c>
      <c r="BC104" s="47">
        <f t="shared" si="25"/>
        <v>91771.363905582344</v>
      </c>
      <c r="BD104" s="47">
        <f t="shared" si="26"/>
        <v>88831.264626012387</v>
      </c>
    </row>
    <row r="105" spans="2:56" ht="13">
      <c r="B105" s="37">
        <f>'3. Input (des)investeringen '!B138</f>
        <v>1573</v>
      </c>
      <c r="C105" s="48"/>
      <c r="D105" s="48"/>
      <c r="E105" s="48"/>
      <c r="F105" s="42">
        <f>'3. Input (des)investeringen '!D138</f>
        <v>1583921.081394993</v>
      </c>
      <c r="G105" s="48"/>
      <c r="H105" s="37">
        <f>'3. Input (des)investeringen '!F138</f>
        <v>2022</v>
      </c>
      <c r="I105" s="42" t="str">
        <f>'3. Input (des)investeringen '!G138</f>
        <v>nvt</v>
      </c>
      <c r="J105" s="42">
        <f>'3. Input (des)investeringen '!H138</f>
        <v>10</v>
      </c>
      <c r="K105" s="42">
        <f>'3. Input (des)investeringen '!I138</f>
        <v>0</v>
      </c>
      <c r="M105" s="43">
        <f t="shared" si="37"/>
        <v>0</v>
      </c>
      <c r="N105" s="43">
        <f t="shared" si="38"/>
        <v>0</v>
      </c>
      <c r="P105" s="136">
        <f t="shared" si="27"/>
        <v>0</v>
      </c>
      <c r="Q105" s="136">
        <f t="shared" si="39"/>
        <v>0</v>
      </c>
      <c r="S105" s="43">
        <f t="shared" si="10"/>
        <v>1583921.081394993</v>
      </c>
      <c r="T105" s="38">
        <f t="shared" si="11"/>
        <v>10</v>
      </c>
      <c r="V105" s="43">
        <f t="shared" si="40"/>
        <v>92659.383261607087</v>
      </c>
      <c r="W105" s="43">
        <f t="shared" si="40"/>
        <v>173273.04669920527</v>
      </c>
      <c r="X105" s="43">
        <f t="shared" si="40"/>
        <v>150747.55062830859</v>
      </c>
      <c r="Y105" s="43">
        <f t="shared" si="40"/>
        <v>134513.19902218305</v>
      </c>
      <c r="Z105" s="43">
        <f t="shared" si="40"/>
        <v>134513.19902218305</v>
      </c>
      <c r="AB105" s="43">
        <f t="shared" si="41"/>
        <v>7919.6054069749662</v>
      </c>
      <c r="AC105" s="43">
        <f t="shared" si="41"/>
        <v>15839.210813949932</v>
      </c>
      <c r="AD105" s="43">
        <f t="shared" si="41"/>
        <v>15839.210813949932</v>
      </c>
      <c r="AE105" s="43">
        <f t="shared" si="41"/>
        <v>15839.210813949932</v>
      </c>
      <c r="AF105" s="43">
        <f t="shared" si="41"/>
        <v>15839.210813949932</v>
      </c>
      <c r="AH105" s="43">
        <f t="shared" si="12"/>
        <v>100578.98866858205</v>
      </c>
      <c r="AI105" s="43">
        <f t="shared" si="13"/>
        <v>189112.2575131552</v>
      </c>
      <c r="AJ105" s="43">
        <f t="shared" si="14"/>
        <v>166586.76144225852</v>
      </c>
      <c r="AK105" s="43">
        <f t="shared" si="15"/>
        <v>150352.40983613298</v>
      </c>
      <c r="AL105" s="43">
        <f t="shared" si="16"/>
        <v>150352.40983613298</v>
      </c>
      <c r="AN105" s="43">
        <f t="shared" si="17"/>
        <v>1483342.0927264108</v>
      </c>
      <c r="AO105" s="43">
        <f t="shared" si="18"/>
        <v>1294229.8352132556</v>
      </c>
      <c r="AP105" s="43">
        <f t="shared" si="19"/>
        <v>1127643.0737709971</v>
      </c>
      <c r="AQ105" s="43">
        <f t="shared" si="20"/>
        <v>977290.6639348641</v>
      </c>
      <c r="AR105" s="43">
        <f t="shared" si="21"/>
        <v>826938.25409873109</v>
      </c>
      <c r="AT105" s="43">
        <f t="shared" si="42"/>
        <v>15839.210813949931</v>
      </c>
      <c r="AU105" s="43">
        <f t="shared" si="42"/>
        <v>16753.956916877167</v>
      </c>
      <c r="AV105" s="43">
        <f t="shared" si="42"/>
        <v>18021.896376346434</v>
      </c>
      <c r="AW105" s="43">
        <f t="shared" si="42"/>
        <v>18452.403436984598</v>
      </c>
      <c r="AX105" s="43">
        <f t="shared" si="42"/>
        <v>19076.980388519652</v>
      </c>
      <c r="AZ105" s="47">
        <f t="shared" si="22"/>
        <v>166851.83063522994</v>
      </c>
      <c r="BA105" s="47">
        <f t="shared" si="23"/>
        <v>248575.79899206979</v>
      </c>
      <c r="BB105" s="47">
        <f t="shared" si="24"/>
        <v>227459.09462190286</v>
      </c>
      <c r="BC105" s="47">
        <f t="shared" si="25"/>
        <v>205941.85850264243</v>
      </c>
      <c r="BD105" s="47">
        <f t="shared" si="26"/>
        <v>200853.04388040441</v>
      </c>
    </row>
    <row r="106" spans="2:56" ht="13">
      <c r="B106" s="37">
        <f>'3. Input (des)investeringen '!B139</f>
        <v>1574</v>
      </c>
      <c r="C106" s="48"/>
      <c r="D106" s="48"/>
      <c r="E106" s="48"/>
      <c r="F106" s="42">
        <f>'3. Input (des)investeringen '!D139</f>
        <v>4759885.7217741664</v>
      </c>
      <c r="G106" s="48"/>
      <c r="H106" s="37">
        <f>'3. Input (des)investeringen '!F139</f>
        <v>2022</v>
      </c>
      <c r="I106" s="42" t="str">
        <f>'3. Input (des)investeringen '!G139</f>
        <v>nvt</v>
      </c>
      <c r="J106" s="42">
        <f>'3. Input (des)investeringen '!H139</f>
        <v>15</v>
      </c>
      <c r="K106" s="42">
        <f>'3. Input (des)investeringen '!I139</f>
        <v>0</v>
      </c>
      <c r="M106" s="43">
        <f t="shared" si="37"/>
        <v>0</v>
      </c>
      <c r="N106" s="43">
        <f t="shared" si="38"/>
        <v>0</v>
      </c>
      <c r="P106" s="136">
        <f t="shared" si="27"/>
        <v>0</v>
      </c>
      <c r="Q106" s="136">
        <f t="shared" si="39"/>
        <v>0</v>
      </c>
      <c r="S106" s="43">
        <f t="shared" si="10"/>
        <v>4759885.7217741664</v>
      </c>
      <c r="T106" s="38">
        <f t="shared" si="11"/>
        <v>15</v>
      </c>
      <c r="V106" s="43">
        <f t="shared" si="40"/>
        <v>185635.5431491925</v>
      </c>
      <c r="W106" s="43">
        <f t="shared" si="40"/>
        <v>355182.67255878833</v>
      </c>
      <c r="X106" s="43">
        <f t="shared" si="40"/>
        <v>324400.17427036003</v>
      </c>
      <c r="Y106" s="43">
        <f t="shared" si="40"/>
        <v>296285.4925002621</v>
      </c>
      <c r="Z106" s="43">
        <f t="shared" si="40"/>
        <v>271512.45801027364</v>
      </c>
      <c r="AB106" s="43">
        <f t="shared" si="41"/>
        <v>15866.285739247221</v>
      </c>
      <c r="AC106" s="43">
        <f t="shared" si="41"/>
        <v>31732.571478494443</v>
      </c>
      <c r="AD106" s="43">
        <f t="shared" si="41"/>
        <v>31732.571478494443</v>
      </c>
      <c r="AE106" s="43">
        <f t="shared" si="41"/>
        <v>31732.571478494443</v>
      </c>
      <c r="AF106" s="43">
        <f t="shared" si="41"/>
        <v>31732.571478494443</v>
      </c>
      <c r="AH106" s="43">
        <f t="shared" si="12"/>
        <v>201501.82888843972</v>
      </c>
      <c r="AI106" s="43">
        <f t="shared" si="13"/>
        <v>386915.24403728277</v>
      </c>
      <c r="AJ106" s="43">
        <f t="shared" si="14"/>
        <v>356132.74574885448</v>
      </c>
      <c r="AK106" s="43">
        <f t="shared" si="15"/>
        <v>328018.06397875655</v>
      </c>
      <c r="AL106" s="43">
        <f t="shared" si="16"/>
        <v>303245.02948876808</v>
      </c>
      <c r="AN106" s="43">
        <f t="shared" si="17"/>
        <v>4558383.8928857269</v>
      </c>
      <c r="AO106" s="43">
        <f t="shared" si="18"/>
        <v>4171468.6488484442</v>
      </c>
      <c r="AP106" s="43">
        <f t="shared" si="19"/>
        <v>3815335.90309959</v>
      </c>
      <c r="AQ106" s="43">
        <f t="shared" si="20"/>
        <v>3487317.8391208332</v>
      </c>
      <c r="AR106" s="43">
        <f t="shared" si="21"/>
        <v>3184072.8096320652</v>
      </c>
      <c r="AT106" s="43">
        <f t="shared" si="42"/>
        <v>47598.857217741664</v>
      </c>
      <c r="AU106" s="43">
        <f t="shared" si="42"/>
        <v>50347.786419780685</v>
      </c>
      <c r="AV106" s="43">
        <f t="shared" si="42"/>
        <v>54158.106896029691</v>
      </c>
      <c r="AW106" s="43">
        <f t="shared" si="42"/>
        <v>55451.835753562053</v>
      </c>
      <c r="AX106" s="43">
        <f t="shared" si="42"/>
        <v>57328.76949014861</v>
      </c>
      <c r="AZ106" s="47">
        <f t="shared" si="22"/>
        <v>404085.7384642961</v>
      </c>
      <c r="BA106" s="47">
        <f t="shared" si="23"/>
        <v>574921.49586906214</v>
      </c>
      <c r="BB106" s="47">
        <f t="shared" si="24"/>
        <v>555273.6169626686</v>
      </c>
      <c r="BC106" s="47">
        <f t="shared" si="25"/>
        <v>515987.97761891026</v>
      </c>
      <c r="BD106" s="47">
        <f t="shared" si="26"/>
        <v>481568.56574493519</v>
      </c>
    </row>
    <row r="107" spans="2:56" ht="13">
      <c r="B107" s="37">
        <f>'3. Input (des)investeringen '!B140</f>
        <v>1575</v>
      </c>
      <c r="C107" s="48"/>
      <c r="D107" s="48"/>
      <c r="E107" s="48"/>
      <c r="F107" s="42">
        <f>'3. Input (des)investeringen '!D140</f>
        <v>26997284.606696233</v>
      </c>
      <c r="G107" s="48"/>
      <c r="H107" s="37">
        <f>'3. Input (des)investeringen '!F140</f>
        <v>2022</v>
      </c>
      <c r="I107" s="42" t="str">
        <f>'3. Input (des)investeringen '!G140</f>
        <v>nvt</v>
      </c>
      <c r="J107" s="42">
        <f>'3. Input (des)investeringen '!H140</f>
        <v>30</v>
      </c>
      <c r="K107" s="42">
        <f>'3. Input (des)investeringen '!I140</f>
        <v>0</v>
      </c>
      <c r="M107" s="43">
        <f t="shared" si="37"/>
        <v>0</v>
      </c>
      <c r="N107" s="43">
        <f t="shared" si="38"/>
        <v>0</v>
      </c>
      <c r="P107" s="136">
        <f t="shared" si="27"/>
        <v>0</v>
      </c>
      <c r="Q107" s="136">
        <f t="shared" si="39"/>
        <v>0</v>
      </c>
      <c r="S107" s="43">
        <f t="shared" si="10"/>
        <v>26997284.606696233</v>
      </c>
      <c r="T107" s="38">
        <f t="shared" si="11"/>
        <v>30</v>
      </c>
      <c r="V107" s="43">
        <f t="shared" si="40"/>
        <v>526447.04983057664</v>
      </c>
      <c r="W107" s="43">
        <f t="shared" si="40"/>
        <v>1030081.3941684949</v>
      </c>
      <c r="X107" s="43">
        <f t="shared" si="40"/>
        <v>985444.53375452664</v>
      </c>
      <c r="Y107" s="43">
        <f t="shared" si="40"/>
        <v>942741.93729183043</v>
      </c>
      <c r="Z107" s="43">
        <f t="shared" si="40"/>
        <v>901889.78667585109</v>
      </c>
      <c r="AB107" s="43">
        <f t="shared" si="41"/>
        <v>44995.474344493727</v>
      </c>
      <c r="AC107" s="43">
        <f t="shared" si="41"/>
        <v>89990.948688987453</v>
      </c>
      <c r="AD107" s="43">
        <f t="shared" si="41"/>
        <v>89990.948688987453</v>
      </c>
      <c r="AE107" s="43">
        <f t="shared" si="41"/>
        <v>89990.948688987453</v>
      </c>
      <c r="AF107" s="43">
        <f t="shared" si="41"/>
        <v>89990.948688987453</v>
      </c>
      <c r="AH107" s="43">
        <f t="shared" si="12"/>
        <v>571442.52417507034</v>
      </c>
      <c r="AI107" s="43">
        <f t="shared" si="13"/>
        <v>1120072.3428574824</v>
      </c>
      <c r="AJ107" s="43">
        <f t="shared" si="14"/>
        <v>1075435.482443514</v>
      </c>
      <c r="AK107" s="43">
        <f t="shared" si="15"/>
        <v>1032732.8859808178</v>
      </c>
      <c r="AL107" s="43">
        <f t="shared" si="16"/>
        <v>991880.7353648385</v>
      </c>
      <c r="AN107" s="43">
        <f t="shared" si="17"/>
        <v>26425842.082521163</v>
      </c>
      <c r="AO107" s="43">
        <f t="shared" si="18"/>
        <v>25305769.739663679</v>
      </c>
      <c r="AP107" s="43">
        <f t="shared" si="19"/>
        <v>24230334.257220164</v>
      </c>
      <c r="AQ107" s="43">
        <f t="shared" si="20"/>
        <v>23197601.371239346</v>
      </c>
      <c r="AR107" s="43">
        <f t="shared" si="21"/>
        <v>22205720.635874506</v>
      </c>
      <c r="AT107" s="43">
        <f t="shared" si="42"/>
        <v>269972.84606696235</v>
      </c>
      <c r="AU107" s="43">
        <f t="shared" si="42"/>
        <v>285564.31787302153</v>
      </c>
      <c r="AV107" s="43">
        <f t="shared" si="42"/>
        <v>307175.82544965192</v>
      </c>
      <c r="AW107" s="43">
        <f t="shared" si="42"/>
        <v>314513.64156799315</v>
      </c>
      <c r="AX107" s="43">
        <f t="shared" si="42"/>
        <v>325159.29930778657</v>
      </c>
      <c r="AZ107" s="47">
        <f t="shared" si="22"/>
        <v>1739894.0010477523</v>
      </c>
      <c r="BA107" s="47">
        <f t="shared" si="23"/>
        <v>2240727.0621394054</v>
      </c>
      <c r="BB107" s="47">
        <f t="shared" si="24"/>
        <v>2303364.0096675321</v>
      </c>
      <c r="BC107" s="47">
        <f t="shared" si="25"/>
        <v>2228755.379655906</v>
      </c>
      <c r="BD107" s="47">
        <f t="shared" si="26"/>
        <v>2160857.418835856</v>
      </c>
    </row>
    <row r="108" spans="2:56" ht="13">
      <c r="B108" s="37">
        <f>'3. Input (des)investeringen '!B141</f>
        <v>1576</v>
      </c>
      <c r="C108" s="48"/>
      <c r="D108" s="48"/>
      <c r="E108" s="48"/>
      <c r="F108" s="42">
        <f>'3. Input (des)investeringen '!D141</f>
        <v>38137.497252574271</v>
      </c>
      <c r="G108" s="48"/>
      <c r="H108" s="37">
        <f>'3. Input (des)investeringen '!F141</f>
        <v>2022</v>
      </c>
      <c r="I108" s="42" t="str">
        <f>'3. Input (des)investeringen '!G141</f>
        <v>nvt</v>
      </c>
      <c r="J108" s="42">
        <f>'3. Input (des)investeringen '!H141</f>
        <v>55</v>
      </c>
      <c r="K108" s="42">
        <f>'3. Input (des)investeringen '!I141</f>
        <v>0</v>
      </c>
      <c r="M108" s="43">
        <f t="shared" si="37"/>
        <v>0</v>
      </c>
      <c r="N108" s="43">
        <f t="shared" si="38"/>
        <v>0</v>
      </c>
      <c r="P108" s="136">
        <f t="shared" si="27"/>
        <v>0</v>
      </c>
      <c r="Q108" s="136">
        <f t="shared" si="39"/>
        <v>0</v>
      </c>
      <c r="S108" s="43">
        <f t="shared" si="10"/>
        <v>38137.497252574271</v>
      </c>
      <c r="T108" s="38">
        <f t="shared" si="11"/>
        <v>55</v>
      </c>
      <c r="V108" s="43">
        <f t="shared" si="40"/>
        <v>405.64428895919906</v>
      </c>
      <c r="W108" s="43">
        <f t="shared" si="40"/>
        <v>801.70062199754432</v>
      </c>
      <c r="X108" s="43">
        <f t="shared" si="40"/>
        <v>782.75133456851142</v>
      </c>
      <c r="Y108" s="43">
        <f t="shared" si="40"/>
        <v>764.24993938780119</v>
      </c>
      <c r="Z108" s="43">
        <f t="shared" si="40"/>
        <v>746.1858499113622</v>
      </c>
      <c r="AB108" s="43">
        <f t="shared" si="41"/>
        <v>34.67045204779479</v>
      </c>
      <c r="AC108" s="43">
        <f t="shared" si="41"/>
        <v>69.340904095589593</v>
      </c>
      <c r="AD108" s="43">
        <f t="shared" si="41"/>
        <v>69.340904095589593</v>
      </c>
      <c r="AE108" s="43">
        <f t="shared" si="41"/>
        <v>69.340904095589593</v>
      </c>
      <c r="AF108" s="43">
        <f t="shared" si="41"/>
        <v>69.340904095589593</v>
      </c>
      <c r="AH108" s="43">
        <f t="shared" si="12"/>
        <v>440.31474100699387</v>
      </c>
      <c r="AI108" s="43">
        <f t="shared" si="13"/>
        <v>871.04152609313394</v>
      </c>
      <c r="AJ108" s="43">
        <f t="shared" si="14"/>
        <v>852.09223866410105</v>
      </c>
      <c r="AK108" s="43">
        <f t="shared" si="15"/>
        <v>833.59084348339081</v>
      </c>
      <c r="AL108" s="43">
        <f t="shared" si="16"/>
        <v>815.52675400695182</v>
      </c>
      <c r="AN108" s="43">
        <f t="shared" si="17"/>
        <v>37697.182511567276</v>
      </c>
      <c r="AO108" s="43">
        <f t="shared" si="18"/>
        <v>36826.140985474143</v>
      </c>
      <c r="AP108" s="43">
        <f t="shared" si="19"/>
        <v>35974.04874681004</v>
      </c>
      <c r="AQ108" s="43">
        <f t="shared" si="20"/>
        <v>35140.457903326649</v>
      </c>
      <c r="AR108" s="43">
        <f t="shared" si="21"/>
        <v>34324.931149319695</v>
      </c>
      <c r="AT108" s="43">
        <f t="shared" si="42"/>
        <v>381.37497252574269</v>
      </c>
      <c r="AU108" s="43">
        <f t="shared" si="42"/>
        <v>403.40013993904944</v>
      </c>
      <c r="AV108" s="43">
        <f t="shared" si="42"/>
        <v>433.92946252963674</v>
      </c>
      <c r="AW108" s="43">
        <f t="shared" si="42"/>
        <v>444.29516953054468</v>
      </c>
      <c r="AX108" s="43">
        <f t="shared" si="42"/>
        <v>459.33367242881457</v>
      </c>
      <c r="AZ108" s="47">
        <f t="shared" si="22"/>
        <v>2103.3939189260241</v>
      </c>
      <c r="BA108" s="47">
        <f t="shared" si="23"/>
        <v>2489.70431855283</v>
      </c>
      <c r="BB108" s="47">
        <f t="shared" si="24"/>
        <v>2653.0355535725189</v>
      </c>
      <c r="BC108" s="47">
        <f t="shared" si="25"/>
        <v>2613.2234133403481</v>
      </c>
      <c r="BD108" s="47">
        <f t="shared" si="26"/>
        <v>2579.207810109915</v>
      </c>
    </row>
    <row r="109" spans="2:56" ht="13">
      <c r="B109" s="37">
        <f>'3. Input (des)investeringen '!B142</f>
        <v>1577</v>
      </c>
      <c r="C109" s="48"/>
      <c r="D109" s="48"/>
      <c r="E109" s="48"/>
      <c r="F109" s="42">
        <f>'3. Input (des)investeringen '!D142</f>
        <v>0</v>
      </c>
      <c r="G109" s="48"/>
      <c r="H109" s="37">
        <f>'3. Input (des)investeringen '!F142</f>
        <v>2022</v>
      </c>
      <c r="I109" s="42" t="str">
        <f>'3. Input (des)investeringen '!G142</f>
        <v>nvt</v>
      </c>
      <c r="J109" s="42">
        <f>'3. Input (des)investeringen '!H142</f>
        <v>0</v>
      </c>
      <c r="K109" s="42">
        <f>'3. Input (des)investeringen '!I142</f>
        <v>0</v>
      </c>
      <c r="M109" s="43">
        <f t="shared" si="37"/>
        <v>0</v>
      </c>
      <c r="N109" s="43">
        <f t="shared" si="38"/>
        <v>0</v>
      </c>
      <c r="P109" s="136">
        <f t="shared" si="27"/>
        <v>0</v>
      </c>
      <c r="Q109" s="136">
        <f t="shared" si="39"/>
        <v>0</v>
      </c>
      <c r="S109" s="43">
        <f t="shared" si="10"/>
        <v>0</v>
      </c>
      <c r="T109" s="38">
        <f t="shared" si="11"/>
        <v>0</v>
      </c>
      <c r="V109" s="43">
        <f t="shared" si="40"/>
        <v>0</v>
      </c>
      <c r="W109" s="43">
        <f t="shared" si="40"/>
        <v>0</v>
      </c>
      <c r="X109" s="43">
        <f t="shared" si="40"/>
        <v>0</v>
      </c>
      <c r="Y109" s="43">
        <f t="shared" si="40"/>
        <v>0</v>
      </c>
      <c r="Z109" s="43">
        <f t="shared" si="40"/>
        <v>0</v>
      </c>
      <c r="AB109" s="43">
        <f t="shared" si="41"/>
        <v>0</v>
      </c>
      <c r="AC109" s="43">
        <f t="shared" si="41"/>
        <v>0</v>
      </c>
      <c r="AD109" s="43">
        <f t="shared" si="41"/>
        <v>0</v>
      </c>
      <c r="AE109" s="43">
        <f t="shared" si="41"/>
        <v>0</v>
      </c>
      <c r="AF109" s="43">
        <f t="shared" si="41"/>
        <v>0</v>
      </c>
      <c r="AH109" s="43">
        <f t="shared" si="12"/>
        <v>0</v>
      </c>
      <c r="AI109" s="43">
        <f t="shared" si="13"/>
        <v>0</v>
      </c>
      <c r="AJ109" s="43">
        <f t="shared" si="14"/>
        <v>0</v>
      </c>
      <c r="AK109" s="43">
        <f t="shared" si="15"/>
        <v>0</v>
      </c>
      <c r="AL109" s="43">
        <f t="shared" si="16"/>
        <v>0</v>
      </c>
      <c r="AN109" s="43">
        <f t="shared" si="17"/>
        <v>0</v>
      </c>
      <c r="AO109" s="43">
        <f t="shared" si="18"/>
        <v>0</v>
      </c>
      <c r="AP109" s="43">
        <f t="shared" si="19"/>
        <v>0</v>
      </c>
      <c r="AQ109" s="43">
        <f t="shared" si="20"/>
        <v>0</v>
      </c>
      <c r="AR109" s="43">
        <f t="shared" si="21"/>
        <v>0</v>
      </c>
      <c r="AT109" s="43">
        <f t="shared" si="42"/>
        <v>0</v>
      </c>
      <c r="AU109" s="43">
        <f t="shared" si="42"/>
        <v>0</v>
      </c>
      <c r="AV109" s="43">
        <f t="shared" si="42"/>
        <v>0</v>
      </c>
      <c r="AW109" s="43">
        <f t="shared" si="42"/>
        <v>0</v>
      </c>
      <c r="AX109" s="43">
        <f t="shared" si="42"/>
        <v>0</v>
      </c>
      <c r="AZ109" s="47">
        <f t="shared" si="22"/>
        <v>0</v>
      </c>
      <c r="BA109" s="47">
        <f t="shared" si="23"/>
        <v>0</v>
      </c>
      <c r="BB109" s="47">
        <f t="shared" si="24"/>
        <v>0</v>
      </c>
      <c r="BC109" s="47">
        <f t="shared" si="25"/>
        <v>0</v>
      </c>
      <c r="BD109" s="47">
        <f t="shared" si="26"/>
        <v>0</v>
      </c>
    </row>
    <row r="110" spans="2:56" ht="13">
      <c r="B110" s="37">
        <f>'3. Input (des)investeringen '!B143</f>
        <v>1578</v>
      </c>
      <c r="C110" s="48"/>
      <c r="D110" s="48"/>
      <c r="E110" s="48"/>
      <c r="F110" s="42">
        <f>'3. Input (des)investeringen '!D143</f>
        <v>634750.01622076391</v>
      </c>
      <c r="G110" s="48"/>
      <c r="H110" s="37">
        <f>'3. Input (des)investeringen '!F143</f>
        <v>2022</v>
      </c>
      <c r="I110" s="42" t="str">
        <f>'3. Input (des)investeringen '!G143</f>
        <v>nvt</v>
      </c>
      <c r="J110" s="42">
        <f>'3. Input (des)investeringen '!H143</f>
        <v>5</v>
      </c>
      <c r="K110" s="42">
        <f>'3. Input (des)investeringen '!I143</f>
        <v>0</v>
      </c>
      <c r="M110" s="43">
        <f t="shared" si="37"/>
        <v>0</v>
      </c>
      <c r="N110" s="43">
        <f t="shared" si="38"/>
        <v>0</v>
      </c>
      <c r="P110" s="136">
        <f t="shared" si="27"/>
        <v>0</v>
      </c>
      <c r="Q110" s="136">
        <f t="shared" si="39"/>
        <v>0</v>
      </c>
      <c r="S110" s="43">
        <f t="shared" si="10"/>
        <v>634750.01622076391</v>
      </c>
      <c r="T110" s="38">
        <f t="shared" si="11"/>
        <v>5</v>
      </c>
      <c r="V110" s="43">
        <f t="shared" si="40"/>
        <v>74265.751897829381</v>
      </c>
      <c r="W110" s="43">
        <f t="shared" si="40"/>
        <v>129222.40830222314</v>
      </c>
      <c r="X110" s="43">
        <f t="shared" si="40"/>
        <v>105081.95839961001</v>
      </c>
      <c r="Y110" s="43">
        <f t="shared" si="40"/>
        <v>105081.95839961001</v>
      </c>
      <c r="Z110" s="43">
        <f t="shared" si="40"/>
        <v>105081.95839961001</v>
      </c>
      <c r="AB110" s="43">
        <f t="shared" si="41"/>
        <v>6347.5001622076397</v>
      </c>
      <c r="AC110" s="43">
        <f t="shared" si="41"/>
        <v>12695.000324415279</v>
      </c>
      <c r="AD110" s="43">
        <f t="shared" si="41"/>
        <v>12695.000324415279</v>
      </c>
      <c r="AE110" s="43">
        <f t="shared" si="41"/>
        <v>12695.000324415279</v>
      </c>
      <c r="AF110" s="43">
        <f t="shared" si="41"/>
        <v>12695.000324415279</v>
      </c>
      <c r="AH110" s="43">
        <f t="shared" si="12"/>
        <v>80613.252060037019</v>
      </c>
      <c r="AI110" s="43">
        <f t="shared" si="13"/>
        <v>141917.40862663841</v>
      </c>
      <c r="AJ110" s="43">
        <f t="shared" si="14"/>
        <v>117776.95872402529</v>
      </c>
      <c r="AK110" s="43">
        <f t="shared" si="15"/>
        <v>117776.95872402529</v>
      </c>
      <c r="AL110" s="43">
        <f t="shared" si="16"/>
        <v>117776.95872402529</v>
      </c>
      <c r="AN110" s="43">
        <f t="shared" si="17"/>
        <v>554136.76416072692</v>
      </c>
      <c r="AO110" s="43">
        <f t="shared" si="18"/>
        <v>412219.35553408851</v>
      </c>
      <c r="AP110" s="43">
        <f t="shared" si="19"/>
        <v>294442.39681006322</v>
      </c>
      <c r="AQ110" s="43">
        <f t="shared" si="20"/>
        <v>176665.43808603793</v>
      </c>
      <c r="AR110" s="43">
        <f t="shared" si="21"/>
        <v>58888.479362012644</v>
      </c>
      <c r="AT110" s="43">
        <f t="shared" si="42"/>
        <v>6347.5001622076388</v>
      </c>
      <c r="AU110" s="43">
        <f t="shared" si="42"/>
        <v>6714.0809915754553</v>
      </c>
      <c r="AV110" s="43">
        <f t="shared" si="42"/>
        <v>7222.2026410178869</v>
      </c>
      <c r="AW110" s="43">
        <f t="shared" si="42"/>
        <v>7394.7266177065221</v>
      </c>
      <c r="AX110" s="43">
        <f t="shared" si="42"/>
        <v>7645.0233242626509</v>
      </c>
      <c r="AZ110" s="47">
        <f t="shared" si="22"/>
        <v>105801.40220370938</v>
      </c>
      <c r="BA110" s="47">
        <f t="shared" si="23"/>
        <v>162234.72835083879</v>
      </c>
      <c r="BB110" s="47">
        <f t="shared" si="24"/>
        <v>136187.97244382557</v>
      </c>
      <c r="BC110" s="47">
        <f t="shared" si="25"/>
        <v>131884.97198900126</v>
      </c>
      <c r="BD110" s="47">
        <f t="shared" si="26"/>
        <v>127659.74426404442</v>
      </c>
    </row>
    <row r="111" spans="2:56" ht="13">
      <c r="B111" s="37">
        <f>'3. Input (des)investeringen '!B144</f>
        <v>1579</v>
      </c>
      <c r="C111" s="48"/>
      <c r="D111" s="48"/>
      <c r="E111" s="48"/>
      <c r="F111" s="42">
        <f>'3. Input (des)investeringen '!D144</f>
        <v>4698767.1893813582</v>
      </c>
      <c r="G111" s="48"/>
      <c r="H111" s="37">
        <f>'3. Input (des)investeringen '!F144</f>
        <v>2022</v>
      </c>
      <c r="I111" s="42" t="str">
        <f>'3. Input (des)investeringen '!G144</f>
        <v>nvt</v>
      </c>
      <c r="J111" s="42">
        <f>'3. Input (des)investeringen '!H144</f>
        <v>10</v>
      </c>
      <c r="K111" s="42">
        <f>'3. Input (des)investeringen '!I144</f>
        <v>0</v>
      </c>
      <c r="M111" s="43">
        <f t="shared" si="37"/>
        <v>0</v>
      </c>
      <c r="N111" s="43">
        <f t="shared" si="38"/>
        <v>0</v>
      </c>
      <c r="P111" s="136">
        <f t="shared" si="27"/>
        <v>0</v>
      </c>
      <c r="Q111" s="136">
        <f t="shared" si="39"/>
        <v>0</v>
      </c>
      <c r="S111" s="43">
        <f t="shared" si="10"/>
        <v>4698767.1893813582</v>
      </c>
      <c r="T111" s="38">
        <f t="shared" si="11"/>
        <v>10</v>
      </c>
      <c r="V111" s="43">
        <f t="shared" ref="V111:Z120" si="43">IF($J111=0, 0, IF(OR($H111&gt;V$59,$H111+$J111&lt;V$59),0,
IF(OR($H111=2020,$H111=2021),VDB($S111*(1-$F$28),0,$T111,V$59-2022,MIN($T111,V$59-2021),$F$22,FALSE),
VDB($S111*(1-$F$28),0,$T111,MAX(0,V$59-$H111-0.5),MIN($T111,V$59-$H111+0.5),$F$22,FALSE))))</f>
        <v>274877.88057880948</v>
      </c>
      <c r="W111" s="43">
        <f t="shared" si="43"/>
        <v>514021.63668237376</v>
      </c>
      <c r="X111" s="43">
        <f t="shared" si="43"/>
        <v>447198.82391366514</v>
      </c>
      <c r="Y111" s="43">
        <f t="shared" si="43"/>
        <v>399038.95056911657</v>
      </c>
      <c r="Z111" s="43">
        <f t="shared" si="43"/>
        <v>399038.95056911657</v>
      </c>
      <c r="AB111" s="43">
        <f t="shared" ref="AB111:AF120" si="44">IF($J111=0, 0, IF(OR($H111&gt;AB$59,$H111+$J111&lt;AB$59),0,
IF(OR($H111=2020,$H111=2021),VDB($S111*$F$28,0,$T111,AB$59-2022,MIN($T111,AB$59-2021),1),
VDB($S111*$F$28,0,$T111,MAX(0,AB$59-$H111-0.5),MIN($T111,AB$59-$H111+0.5),1))))</f>
        <v>23493.835946906795</v>
      </c>
      <c r="AC111" s="43">
        <f t="shared" si="44"/>
        <v>46987.671893813589</v>
      </c>
      <c r="AD111" s="43">
        <f t="shared" si="44"/>
        <v>46987.671893813589</v>
      </c>
      <c r="AE111" s="43">
        <f t="shared" si="44"/>
        <v>46987.671893813589</v>
      </c>
      <c r="AF111" s="43">
        <f t="shared" si="44"/>
        <v>46987.671893813589</v>
      </c>
      <c r="AH111" s="43">
        <f t="shared" si="12"/>
        <v>298371.71652571624</v>
      </c>
      <c r="AI111" s="43">
        <f t="shared" si="13"/>
        <v>561009.30857618735</v>
      </c>
      <c r="AJ111" s="43">
        <f t="shared" si="14"/>
        <v>494186.49580747873</v>
      </c>
      <c r="AK111" s="43">
        <f t="shared" si="15"/>
        <v>446026.62246293016</v>
      </c>
      <c r="AL111" s="43">
        <f t="shared" si="16"/>
        <v>446026.62246293016</v>
      </c>
      <c r="AN111" s="43">
        <f t="shared" si="17"/>
        <v>4400395.4728556424</v>
      </c>
      <c r="AO111" s="43">
        <f t="shared" si="18"/>
        <v>3839386.1642794553</v>
      </c>
      <c r="AP111" s="43">
        <f t="shared" si="19"/>
        <v>3345199.6684719766</v>
      </c>
      <c r="AQ111" s="43">
        <f t="shared" si="20"/>
        <v>2899173.0460090465</v>
      </c>
      <c r="AR111" s="43">
        <f t="shared" si="21"/>
        <v>2453146.4235461163</v>
      </c>
      <c r="AT111" s="43">
        <f t="shared" ref="AT111:AX120" si="45">IF($H111&lt;=AT$59,$F111*INDEX($H$40:$N$46,$H111-2019,AT$59-2019)*INDEX($H$49:$N$55,$H111-2019,AT$59-2019)*$F$19,0)</f>
        <v>46987.671893813582</v>
      </c>
      <c r="AU111" s="43">
        <f t="shared" si="45"/>
        <v>49701.303921025108</v>
      </c>
      <c r="AV111" s="43">
        <f t="shared" si="45"/>
        <v>53462.698601768294</v>
      </c>
      <c r="AW111" s="43">
        <f t="shared" si="45"/>
        <v>54739.815545967322</v>
      </c>
      <c r="AX111" s="43">
        <f t="shared" si="45"/>
        <v>56592.648822567229</v>
      </c>
      <c r="AZ111" s="47">
        <f t="shared" si="22"/>
        <v>494972.83449662168</v>
      </c>
      <c r="BA111" s="47">
        <f t="shared" si="23"/>
        <v>737410.35591843456</v>
      </c>
      <c r="BB111" s="47">
        <f t="shared" si="24"/>
        <v>674766.78181118215</v>
      </c>
      <c r="BC111" s="47">
        <f t="shared" si="25"/>
        <v>610935.01375724119</v>
      </c>
      <c r="BD111" s="47">
        <f t="shared" si="26"/>
        <v>595838.83538024977</v>
      </c>
    </row>
    <row r="112" spans="2:56" ht="13">
      <c r="B112" s="37">
        <f>'3. Input (des)investeringen '!B145</f>
        <v>1580</v>
      </c>
      <c r="C112" s="48"/>
      <c r="D112" s="48"/>
      <c r="E112" s="48"/>
      <c r="F112" s="42">
        <f>'3. Input (des)investeringen '!D145</f>
        <v>7689046.2734296853</v>
      </c>
      <c r="G112" s="48"/>
      <c r="H112" s="37">
        <f>'3. Input (des)investeringen '!F145</f>
        <v>2022</v>
      </c>
      <c r="I112" s="42" t="str">
        <f>'3. Input (des)investeringen '!G145</f>
        <v>nvt</v>
      </c>
      <c r="J112" s="42">
        <f>'3. Input (des)investeringen '!H145</f>
        <v>15</v>
      </c>
      <c r="K112" s="42">
        <f>'3. Input (des)investeringen '!I145</f>
        <v>0</v>
      </c>
      <c r="M112" s="43">
        <f t="shared" si="37"/>
        <v>0</v>
      </c>
      <c r="N112" s="43">
        <f t="shared" si="38"/>
        <v>0</v>
      </c>
      <c r="P112" s="136">
        <f t="shared" si="27"/>
        <v>0</v>
      </c>
      <c r="Q112" s="136">
        <f t="shared" si="39"/>
        <v>0</v>
      </c>
      <c r="S112" s="43">
        <f t="shared" si="10"/>
        <v>7689046.2734296853</v>
      </c>
      <c r="T112" s="38">
        <f t="shared" si="11"/>
        <v>15</v>
      </c>
      <c r="V112" s="43">
        <f t="shared" si="43"/>
        <v>299872.80466375774</v>
      </c>
      <c r="W112" s="43">
        <f t="shared" si="43"/>
        <v>573756.6329233232</v>
      </c>
      <c r="X112" s="43">
        <f t="shared" si="43"/>
        <v>524031.05806996854</v>
      </c>
      <c r="Y112" s="43">
        <f t="shared" si="43"/>
        <v>478615.03303723788</v>
      </c>
      <c r="Z112" s="43">
        <f t="shared" si="43"/>
        <v>438597.05368629826</v>
      </c>
      <c r="AB112" s="43">
        <f t="shared" si="44"/>
        <v>25630.154244765621</v>
      </c>
      <c r="AC112" s="43">
        <f t="shared" si="44"/>
        <v>51260.308489531235</v>
      </c>
      <c r="AD112" s="43">
        <f t="shared" si="44"/>
        <v>51260.308489531235</v>
      </c>
      <c r="AE112" s="43">
        <f t="shared" si="44"/>
        <v>51260.308489531235</v>
      </c>
      <c r="AF112" s="43">
        <f t="shared" si="44"/>
        <v>51260.308489531235</v>
      </c>
      <c r="AH112" s="43">
        <f t="shared" si="12"/>
        <v>325502.95890852337</v>
      </c>
      <c r="AI112" s="43">
        <f t="shared" si="13"/>
        <v>625016.94141285447</v>
      </c>
      <c r="AJ112" s="43">
        <f t="shared" si="14"/>
        <v>575291.36655949976</v>
      </c>
      <c r="AK112" s="43">
        <f t="shared" si="15"/>
        <v>529875.3415267691</v>
      </c>
      <c r="AL112" s="43">
        <f t="shared" si="16"/>
        <v>489857.36217582948</v>
      </c>
      <c r="AN112" s="43">
        <f t="shared" si="17"/>
        <v>7363543.3145211618</v>
      </c>
      <c r="AO112" s="43">
        <f t="shared" si="18"/>
        <v>6738526.3731083069</v>
      </c>
      <c r="AP112" s="43">
        <f t="shared" si="19"/>
        <v>6163235.006548807</v>
      </c>
      <c r="AQ112" s="43">
        <f t="shared" si="20"/>
        <v>5633359.6650220379</v>
      </c>
      <c r="AR112" s="43">
        <f t="shared" si="21"/>
        <v>5143502.3028462082</v>
      </c>
      <c r="AT112" s="43">
        <f t="shared" si="45"/>
        <v>76890.46273429686</v>
      </c>
      <c r="AU112" s="43">
        <f t="shared" si="45"/>
        <v>81331.04073812798</v>
      </c>
      <c r="AV112" s="43">
        <f t="shared" si="45"/>
        <v>87486.173901189512</v>
      </c>
      <c r="AW112" s="43">
        <f t="shared" si="45"/>
        <v>89576.043623341116</v>
      </c>
      <c r="AX112" s="43">
        <f t="shared" si="45"/>
        <v>92608.013547903975</v>
      </c>
      <c r="AZ112" s="47">
        <f t="shared" si="22"/>
        <v>652753.89433653979</v>
      </c>
      <c r="BA112" s="47">
        <f t="shared" si="23"/>
        <v>928719.35246355657</v>
      </c>
      <c r="BB112" s="47">
        <f t="shared" si="24"/>
        <v>896980.47070954391</v>
      </c>
      <c r="BC112" s="47">
        <f t="shared" si="25"/>
        <v>833519.0524209477</v>
      </c>
      <c r="BD112" s="47">
        <f t="shared" si="26"/>
        <v>777918.46323188941</v>
      </c>
    </row>
    <row r="113" spans="2:56" ht="13">
      <c r="B113" s="37">
        <f>'3. Input (des)investeringen '!B146</f>
        <v>1581</v>
      </c>
      <c r="C113" s="48"/>
      <c r="D113" s="48"/>
      <c r="E113" s="48"/>
      <c r="F113" s="42">
        <f>'3. Input (des)investeringen '!D146</f>
        <v>7629142.1872137021</v>
      </c>
      <c r="G113" s="48"/>
      <c r="H113" s="37">
        <f>'3. Input (des)investeringen '!F146</f>
        <v>2022</v>
      </c>
      <c r="I113" s="42" t="str">
        <f>'3. Input (des)investeringen '!G146</f>
        <v>nvt</v>
      </c>
      <c r="J113" s="42">
        <f>'3. Input (des)investeringen '!H146</f>
        <v>30</v>
      </c>
      <c r="K113" s="42">
        <f>'3. Input (des)investeringen '!I146</f>
        <v>0</v>
      </c>
      <c r="M113" s="43">
        <f t="shared" si="37"/>
        <v>0</v>
      </c>
      <c r="N113" s="43">
        <f t="shared" si="38"/>
        <v>0</v>
      </c>
      <c r="P113" s="136">
        <f t="shared" si="27"/>
        <v>0</v>
      </c>
      <c r="Q113" s="136">
        <f t="shared" si="39"/>
        <v>0</v>
      </c>
      <c r="S113" s="43">
        <f t="shared" si="10"/>
        <v>7629142.1872137021</v>
      </c>
      <c r="T113" s="38">
        <f t="shared" si="11"/>
        <v>30</v>
      </c>
      <c r="V113" s="43">
        <f t="shared" si="43"/>
        <v>148768.2726506672</v>
      </c>
      <c r="W113" s="43">
        <f t="shared" si="43"/>
        <v>291089.92015313881</v>
      </c>
      <c r="X113" s="43">
        <f t="shared" si="43"/>
        <v>278476.02361316944</v>
      </c>
      <c r="Y113" s="43">
        <f t="shared" si="43"/>
        <v>266408.72925659874</v>
      </c>
      <c r="Z113" s="43">
        <f t="shared" si="43"/>
        <v>254864.35098881283</v>
      </c>
      <c r="AB113" s="43">
        <f t="shared" si="44"/>
        <v>12715.236978689503</v>
      </c>
      <c r="AC113" s="43">
        <f t="shared" si="44"/>
        <v>25430.473957379007</v>
      </c>
      <c r="AD113" s="43">
        <f t="shared" si="44"/>
        <v>25430.473957379007</v>
      </c>
      <c r="AE113" s="43">
        <f t="shared" si="44"/>
        <v>25430.473957379007</v>
      </c>
      <c r="AF113" s="43">
        <f t="shared" si="44"/>
        <v>25430.473957379007</v>
      </c>
      <c r="AH113" s="43">
        <f t="shared" si="12"/>
        <v>161483.5096293567</v>
      </c>
      <c r="AI113" s="43">
        <f t="shared" si="13"/>
        <v>316520.39411051781</v>
      </c>
      <c r="AJ113" s="43">
        <f t="shared" si="14"/>
        <v>303906.49757054844</v>
      </c>
      <c r="AK113" s="43">
        <f t="shared" si="15"/>
        <v>291839.20321397774</v>
      </c>
      <c r="AL113" s="43">
        <f t="shared" si="16"/>
        <v>280294.82494619186</v>
      </c>
      <c r="AN113" s="43">
        <f t="shared" si="17"/>
        <v>7467658.6775843455</v>
      </c>
      <c r="AO113" s="43">
        <f t="shared" si="18"/>
        <v>7151138.2834738279</v>
      </c>
      <c r="AP113" s="43">
        <f t="shared" si="19"/>
        <v>6847231.7859032797</v>
      </c>
      <c r="AQ113" s="43">
        <f t="shared" si="20"/>
        <v>6555392.582689302</v>
      </c>
      <c r="AR113" s="43">
        <f t="shared" si="21"/>
        <v>6275097.7577431099</v>
      </c>
      <c r="AT113" s="43">
        <f t="shared" si="45"/>
        <v>76291.421872137027</v>
      </c>
      <c r="AU113" s="43">
        <f t="shared" si="45"/>
        <v>80697.404068096686</v>
      </c>
      <c r="AV113" s="43">
        <f t="shared" si="45"/>
        <v>86804.583607970257</v>
      </c>
      <c r="AW113" s="43">
        <f t="shared" si="45"/>
        <v>88878.171501197445</v>
      </c>
      <c r="AX113" s="43">
        <f t="shared" si="45"/>
        <v>91886.519850169963</v>
      </c>
      <c r="AZ113" s="47">
        <f t="shared" si="22"/>
        <v>491675.3265393615</v>
      </c>
      <c r="BA113" s="47">
        <f t="shared" si="23"/>
        <v>633205.36153325078</v>
      </c>
      <c r="BB113" s="47">
        <f t="shared" si="24"/>
        <v>650905.88904284337</v>
      </c>
      <c r="BC113" s="47">
        <f t="shared" si="25"/>
        <v>629822.29285736871</v>
      </c>
      <c r="BD113" s="47">
        <f t="shared" si="26"/>
        <v>610635.05959060008</v>
      </c>
    </row>
    <row r="114" spans="2:56" ht="13">
      <c r="B114" s="37">
        <f>'3. Input (des)investeringen '!B147</f>
        <v>1582</v>
      </c>
      <c r="C114" s="48"/>
      <c r="D114" s="48"/>
      <c r="E114" s="48"/>
      <c r="F114" s="42">
        <f>'3. Input (des)investeringen '!D147</f>
        <v>0</v>
      </c>
      <c r="G114" s="48"/>
      <c r="H114" s="37">
        <f>'3. Input (des)investeringen '!F147</f>
        <v>2022</v>
      </c>
      <c r="I114" s="42" t="str">
        <f>'3. Input (des)investeringen '!G147</f>
        <v>nvt</v>
      </c>
      <c r="J114" s="42">
        <f>'3. Input (des)investeringen '!H147</f>
        <v>55</v>
      </c>
      <c r="K114" s="42">
        <f>'3. Input (des)investeringen '!I147</f>
        <v>0</v>
      </c>
      <c r="M114" s="43">
        <f t="shared" si="37"/>
        <v>0</v>
      </c>
      <c r="N114" s="43">
        <f t="shared" si="38"/>
        <v>0</v>
      </c>
      <c r="P114" s="136">
        <f t="shared" si="27"/>
        <v>0</v>
      </c>
      <c r="Q114" s="136">
        <f t="shared" si="39"/>
        <v>0</v>
      </c>
      <c r="S114" s="43">
        <f t="shared" si="10"/>
        <v>0</v>
      </c>
      <c r="T114" s="38">
        <f>IF($J114=0, 0, IF(H114&lt;2022,J114-2021+H114-0.5,J114))</f>
        <v>55</v>
      </c>
      <c r="V114" s="43">
        <f t="shared" si="43"/>
        <v>0</v>
      </c>
      <c r="W114" s="43">
        <f t="shared" si="43"/>
        <v>0</v>
      </c>
      <c r="X114" s="43">
        <f t="shared" si="43"/>
        <v>0</v>
      </c>
      <c r="Y114" s="43">
        <f t="shared" si="43"/>
        <v>0</v>
      </c>
      <c r="Z114" s="43">
        <f t="shared" si="43"/>
        <v>0</v>
      </c>
      <c r="AB114" s="43">
        <f t="shared" si="44"/>
        <v>0</v>
      </c>
      <c r="AC114" s="43">
        <f t="shared" si="44"/>
        <v>0</v>
      </c>
      <c r="AD114" s="43">
        <f t="shared" si="44"/>
        <v>0</v>
      </c>
      <c r="AE114" s="43">
        <f t="shared" si="44"/>
        <v>0</v>
      </c>
      <c r="AF114" s="43">
        <f t="shared" si="44"/>
        <v>0</v>
      </c>
      <c r="AH114" s="43">
        <f t="shared" si="12"/>
        <v>0</v>
      </c>
      <c r="AI114" s="43">
        <f t="shared" si="13"/>
        <v>0</v>
      </c>
      <c r="AJ114" s="43">
        <f t="shared" si="14"/>
        <v>0</v>
      </c>
      <c r="AK114" s="43">
        <f t="shared" si="15"/>
        <v>0</v>
      </c>
      <c r="AL114" s="43">
        <f t="shared" si="16"/>
        <v>0</v>
      </c>
      <c r="AN114" s="43">
        <f t="shared" si="17"/>
        <v>0</v>
      </c>
      <c r="AO114" s="43">
        <f t="shared" si="18"/>
        <v>0</v>
      </c>
      <c r="AP114" s="43">
        <f t="shared" si="19"/>
        <v>0</v>
      </c>
      <c r="AQ114" s="43">
        <f t="shared" si="20"/>
        <v>0</v>
      </c>
      <c r="AR114" s="43">
        <f t="shared" si="21"/>
        <v>0</v>
      </c>
      <c r="AT114" s="43">
        <f t="shared" si="45"/>
        <v>0</v>
      </c>
      <c r="AU114" s="43">
        <f t="shared" si="45"/>
        <v>0</v>
      </c>
      <c r="AV114" s="43">
        <f t="shared" si="45"/>
        <v>0</v>
      </c>
      <c r="AW114" s="43">
        <f t="shared" si="45"/>
        <v>0</v>
      </c>
      <c r="AX114" s="43">
        <f t="shared" si="45"/>
        <v>0</v>
      </c>
      <c r="AZ114" s="47">
        <f t="shared" si="22"/>
        <v>0</v>
      </c>
      <c r="BA114" s="47">
        <f t="shared" si="23"/>
        <v>0</v>
      </c>
      <c r="BB114" s="47">
        <f t="shared" si="24"/>
        <v>0</v>
      </c>
      <c r="BC114" s="47">
        <f t="shared" si="25"/>
        <v>0</v>
      </c>
      <c r="BD114" s="47">
        <f t="shared" si="26"/>
        <v>0</v>
      </c>
    </row>
    <row r="115" spans="2:56" ht="13">
      <c r="B115" s="37">
        <f>'3. Input (des)investeringen '!B148</f>
        <v>1583</v>
      </c>
      <c r="C115" s="48"/>
      <c r="D115" s="48"/>
      <c r="E115" s="48"/>
      <c r="F115" s="42">
        <f>'3. Input (des)investeringen '!D148</f>
        <v>0</v>
      </c>
      <c r="G115" s="48"/>
      <c r="H115" s="37">
        <f>'3. Input (des)investeringen '!F148</f>
        <v>2023</v>
      </c>
      <c r="I115" s="42" t="str">
        <f>'3. Input (des)investeringen '!G148</f>
        <v>nvt</v>
      </c>
      <c r="J115" s="42">
        <f>'3. Input (des)investeringen '!H148</f>
        <v>0</v>
      </c>
      <c r="K115" s="42">
        <f>'3. Input (des)investeringen '!I148</f>
        <v>1</v>
      </c>
      <c r="M115" s="43">
        <f t="shared" si="37"/>
        <v>0</v>
      </c>
      <c r="N115" s="43">
        <f t="shared" si="38"/>
        <v>0</v>
      </c>
      <c r="P115" s="136">
        <f t="shared" si="27"/>
        <v>0</v>
      </c>
      <c r="Q115" s="136">
        <f t="shared" si="39"/>
        <v>0</v>
      </c>
      <c r="S115" s="43">
        <f t="shared" si="10"/>
        <v>0</v>
      </c>
      <c r="T115" s="38">
        <f t="shared" si="11"/>
        <v>0</v>
      </c>
      <c r="V115" s="43">
        <f t="shared" si="43"/>
        <v>0</v>
      </c>
      <c r="W115" s="43">
        <f t="shared" si="43"/>
        <v>0</v>
      </c>
      <c r="X115" s="43">
        <f t="shared" si="43"/>
        <v>0</v>
      </c>
      <c r="Y115" s="43">
        <f t="shared" si="43"/>
        <v>0</v>
      </c>
      <c r="Z115" s="43">
        <f t="shared" si="43"/>
        <v>0</v>
      </c>
      <c r="AB115" s="43">
        <f t="shared" si="44"/>
        <v>0</v>
      </c>
      <c r="AC115" s="43">
        <f t="shared" si="44"/>
        <v>0</v>
      </c>
      <c r="AD115" s="43">
        <f t="shared" si="44"/>
        <v>0</v>
      </c>
      <c r="AE115" s="43">
        <f t="shared" si="44"/>
        <v>0</v>
      </c>
      <c r="AF115" s="43">
        <f t="shared" si="44"/>
        <v>0</v>
      </c>
      <c r="AH115" s="43">
        <f t="shared" si="12"/>
        <v>0</v>
      </c>
      <c r="AI115" s="43">
        <f t="shared" si="13"/>
        <v>0</v>
      </c>
      <c r="AJ115" s="43">
        <f t="shared" si="14"/>
        <v>0</v>
      </c>
      <c r="AK115" s="43">
        <f t="shared" si="15"/>
        <v>0</v>
      </c>
      <c r="AL115" s="43">
        <f t="shared" si="16"/>
        <v>0</v>
      </c>
      <c r="AN115" s="43">
        <f t="shared" si="17"/>
        <v>0</v>
      </c>
      <c r="AO115" s="43">
        <f t="shared" si="18"/>
        <v>0</v>
      </c>
      <c r="AP115" s="43">
        <f t="shared" si="19"/>
        <v>0</v>
      </c>
      <c r="AQ115" s="43">
        <f t="shared" si="20"/>
        <v>0</v>
      </c>
      <c r="AR115" s="43">
        <f t="shared" si="21"/>
        <v>0</v>
      </c>
      <c r="AT115" s="43">
        <f t="shared" si="45"/>
        <v>0</v>
      </c>
      <c r="AU115" s="43">
        <f t="shared" si="45"/>
        <v>0</v>
      </c>
      <c r="AV115" s="43">
        <f t="shared" si="45"/>
        <v>0</v>
      </c>
      <c r="AW115" s="43">
        <f t="shared" si="45"/>
        <v>0</v>
      </c>
      <c r="AX115" s="43">
        <f t="shared" si="45"/>
        <v>0</v>
      </c>
      <c r="AZ115" s="47">
        <f t="shared" si="22"/>
        <v>0</v>
      </c>
      <c r="BA115" s="47">
        <f t="shared" si="23"/>
        <v>0</v>
      </c>
      <c r="BB115" s="47">
        <f t="shared" si="24"/>
        <v>0</v>
      </c>
      <c r="BC115" s="47">
        <f t="shared" si="25"/>
        <v>0</v>
      </c>
      <c r="BD115" s="47">
        <f t="shared" si="26"/>
        <v>0</v>
      </c>
    </row>
    <row r="116" spans="2:56" ht="13">
      <c r="B116" s="37">
        <f>'3. Input (des)investeringen '!B149</f>
        <v>1584</v>
      </c>
      <c r="C116" s="48"/>
      <c r="D116" s="48"/>
      <c r="E116" s="48"/>
      <c r="F116" s="42">
        <f>'3. Input (des)investeringen '!D149</f>
        <v>17108593.055793844</v>
      </c>
      <c r="G116" s="48"/>
      <c r="H116" s="37">
        <f>'3. Input (des)investeringen '!F149</f>
        <v>2023</v>
      </c>
      <c r="I116" s="42" t="str">
        <f>'3. Input (des)investeringen '!G149</f>
        <v>nvt</v>
      </c>
      <c r="J116" s="42">
        <f>'3. Input (des)investeringen '!H149</f>
        <v>5</v>
      </c>
      <c r="K116" s="42">
        <f>'3. Input (des)investeringen '!I149</f>
        <v>1</v>
      </c>
      <c r="M116" s="43">
        <f t="shared" si="37"/>
        <v>0</v>
      </c>
      <c r="N116" s="43">
        <f t="shared" si="38"/>
        <v>0</v>
      </c>
      <c r="P116" s="136">
        <f t="shared" si="27"/>
        <v>0</v>
      </c>
      <c r="Q116" s="136">
        <f t="shared" si="39"/>
        <v>0</v>
      </c>
      <c r="S116" s="43">
        <f t="shared" si="10"/>
        <v>17108593.055793844</v>
      </c>
      <c r="T116" s="38">
        <f t="shared" si="11"/>
        <v>5</v>
      </c>
      <c r="V116" s="43">
        <f t="shared" si="43"/>
        <v>0</v>
      </c>
      <c r="W116" s="43">
        <f t="shared" si="43"/>
        <v>2001705.3875278798</v>
      </c>
      <c r="X116" s="43">
        <f t="shared" si="43"/>
        <v>3482967.3742985111</v>
      </c>
      <c r="Y116" s="43">
        <f t="shared" si="43"/>
        <v>2832303.1395394481</v>
      </c>
      <c r="Z116" s="43">
        <f t="shared" si="43"/>
        <v>2832303.1395394481</v>
      </c>
      <c r="AB116" s="43">
        <f t="shared" si="44"/>
        <v>0</v>
      </c>
      <c r="AC116" s="43">
        <f t="shared" si="44"/>
        <v>171085.93055793847</v>
      </c>
      <c r="AD116" s="43">
        <f t="shared" si="44"/>
        <v>342171.86111587688</v>
      </c>
      <c r="AE116" s="43">
        <f t="shared" si="44"/>
        <v>342171.86111587688</v>
      </c>
      <c r="AF116" s="43">
        <f t="shared" si="44"/>
        <v>342171.86111587688</v>
      </c>
      <c r="AH116" s="43">
        <f t="shared" si="12"/>
        <v>0</v>
      </c>
      <c r="AI116" s="43">
        <f t="shared" si="13"/>
        <v>2172791.3180858181</v>
      </c>
      <c r="AJ116" s="43">
        <f t="shared" si="14"/>
        <v>3825139.2354143881</v>
      </c>
      <c r="AK116" s="43">
        <f t="shared" si="15"/>
        <v>3174475.0006553251</v>
      </c>
      <c r="AL116" s="43">
        <f t="shared" si="16"/>
        <v>3174475.0006553251</v>
      </c>
      <c r="AN116" s="43">
        <f t="shared" si="17"/>
        <v>0</v>
      </c>
      <c r="AO116" s="43">
        <f t="shared" si="18"/>
        <v>14935801.737708027</v>
      </c>
      <c r="AP116" s="43">
        <f t="shared" si="19"/>
        <v>11110662.502293639</v>
      </c>
      <c r="AQ116" s="43">
        <f t="shared" si="20"/>
        <v>7936187.5016383138</v>
      </c>
      <c r="AR116" s="43">
        <f t="shared" si="21"/>
        <v>4761712.5009829886</v>
      </c>
      <c r="AT116" s="43">
        <f t="shared" si="45"/>
        <v>0</v>
      </c>
      <c r="AU116" s="43">
        <f t="shared" si="45"/>
        <v>171085.93055793844</v>
      </c>
      <c r="AV116" s="43">
        <f t="shared" si="45"/>
        <v>184033.71378256325</v>
      </c>
      <c r="AW116" s="43">
        <f t="shared" si="45"/>
        <v>188429.91113740113</v>
      </c>
      <c r="AX116" s="43">
        <f t="shared" si="45"/>
        <v>194807.88676957984</v>
      </c>
      <c r="AZ116" s="47">
        <f t="shared" si="22"/>
        <v>0</v>
      </c>
      <c r="BA116" s="47">
        <f t="shared" si="23"/>
        <v>2836758.7059881212</v>
      </c>
      <c r="BB116" s="47">
        <f t="shared" si="24"/>
        <v>4431378.1242841091</v>
      </c>
      <c r="BC116" s="47">
        <f t="shared" si="25"/>
        <v>3664480.0368549824</v>
      </c>
      <c r="BD116" s="47">
        <f t="shared" si="26"/>
        <v>3550227.9624622585</v>
      </c>
    </row>
    <row r="117" spans="2:56" ht="13">
      <c r="B117" s="37">
        <f>'3. Input (des)investeringen '!B150</f>
        <v>1585</v>
      </c>
      <c r="C117" s="48"/>
      <c r="D117" s="48"/>
      <c r="E117" s="48"/>
      <c r="F117" s="42">
        <f>'3. Input (des)investeringen '!D150</f>
        <v>5189405.6983328583</v>
      </c>
      <c r="G117" s="48"/>
      <c r="H117" s="37">
        <f>'3. Input (des)investeringen '!F150</f>
        <v>2023</v>
      </c>
      <c r="I117" s="42" t="str">
        <f>'3. Input (des)investeringen '!G150</f>
        <v>nvt</v>
      </c>
      <c r="J117" s="42">
        <f>'3. Input (des)investeringen '!H150</f>
        <v>10</v>
      </c>
      <c r="K117" s="42">
        <f>'3. Input (des)investeringen '!I150</f>
        <v>1</v>
      </c>
      <c r="M117" s="43">
        <f t="shared" si="37"/>
        <v>0</v>
      </c>
      <c r="N117" s="43">
        <f t="shared" si="38"/>
        <v>0</v>
      </c>
      <c r="P117" s="136">
        <f t="shared" si="27"/>
        <v>0</v>
      </c>
      <c r="Q117" s="136">
        <f t="shared" si="39"/>
        <v>0</v>
      </c>
      <c r="S117" s="43">
        <f t="shared" si="10"/>
        <v>5189405.6983328583</v>
      </c>
      <c r="T117" s="38">
        <f t="shared" si="11"/>
        <v>10</v>
      </c>
      <c r="V117" s="43">
        <f t="shared" si="43"/>
        <v>0</v>
      </c>
      <c r="W117" s="43">
        <f t="shared" si="43"/>
        <v>303580.23335247219</v>
      </c>
      <c r="X117" s="43">
        <f t="shared" si="43"/>
        <v>567695.03636912303</v>
      </c>
      <c r="Y117" s="43">
        <f t="shared" si="43"/>
        <v>493894.68164113705</v>
      </c>
      <c r="Z117" s="43">
        <f t="shared" si="43"/>
        <v>440706.02361824532</v>
      </c>
      <c r="AB117" s="43">
        <f t="shared" si="44"/>
        <v>0</v>
      </c>
      <c r="AC117" s="43">
        <f t="shared" si="44"/>
        <v>25947.028491664296</v>
      </c>
      <c r="AD117" s="43">
        <f t="shared" si="44"/>
        <v>51894.056983328592</v>
      </c>
      <c r="AE117" s="43">
        <f t="shared" si="44"/>
        <v>51894.056983328592</v>
      </c>
      <c r="AF117" s="43">
        <f t="shared" si="44"/>
        <v>51894.056983328592</v>
      </c>
      <c r="AH117" s="43">
        <f t="shared" si="12"/>
        <v>0</v>
      </c>
      <c r="AI117" s="43">
        <f t="shared" si="13"/>
        <v>329527.26184413646</v>
      </c>
      <c r="AJ117" s="43">
        <f t="shared" si="14"/>
        <v>619589.09335245157</v>
      </c>
      <c r="AK117" s="43">
        <f t="shared" si="15"/>
        <v>545788.73862446565</v>
      </c>
      <c r="AL117" s="43">
        <f t="shared" si="16"/>
        <v>492600.08060157392</v>
      </c>
      <c r="AN117" s="43">
        <f t="shared" si="17"/>
        <v>0</v>
      </c>
      <c r="AO117" s="43">
        <f t="shared" si="18"/>
        <v>4859878.4364887215</v>
      </c>
      <c r="AP117" s="43">
        <f t="shared" si="19"/>
        <v>4240289.3431362696</v>
      </c>
      <c r="AQ117" s="43">
        <f t="shared" si="20"/>
        <v>3694500.6045118039</v>
      </c>
      <c r="AR117" s="43">
        <f t="shared" si="21"/>
        <v>3201900.52391023</v>
      </c>
      <c r="AT117" s="43">
        <f t="shared" si="45"/>
        <v>0</v>
      </c>
      <c r="AU117" s="43">
        <f t="shared" si="45"/>
        <v>51894.056983328584</v>
      </c>
      <c r="AV117" s="43">
        <f t="shared" si="45"/>
        <v>55821.399215826896</v>
      </c>
      <c r="AW117" s="43">
        <f t="shared" si="45"/>
        <v>57154.860800294569</v>
      </c>
      <c r="AX117" s="43">
        <f t="shared" si="45"/>
        <v>59089.438528662933</v>
      </c>
      <c r="AZ117" s="47">
        <f t="shared" si="22"/>
        <v>0</v>
      </c>
      <c r="BA117" s="47">
        <f t="shared" si="23"/>
        <v>541797.30723159283</v>
      </c>
      <c r="BB117" s="47">
        <f t="shared" si="24"/>
        <v>836541.48760745663</v>
      </c>
      <c r="BC117" s="47">
        <f t="shared" si="25"/>
        <v>743334.6223962087</v>
      </c>
      <c r="BD117" s="47">
        <f t="shared" si="26"/>
        <v>673361.73903882562</v>
      </c>
    </row>
    <row r="118" spans="2:56" ht="13">
      <c r="B118" s="37">
        <f>'3. Input (des)investeringen '!B151</f>
        <v>1586</v>
      </c>
      <c r="C118" s="48"/>
      <c r="D118" s="48"/>
      <c r="E118" s="48"/>
      <c r="F118" s="42">
        <f>'3. Input (des)investeringen '!D151</f>
        <v>24478081.893697795</v>
      </c>
      <c r="G118" s="48"/>
      <c r="H118" s="37">
        <f>'3. Input (des)investeringen '!F151</f>
        <v>2023</v>
      </c>
      <c r="I118" s="42" t="str">
        <f>'3. Input (des)investeringen '!G151</f>
        <v>nvt</v>
      </c>
      <c r="J118" s="42">
        <f>'3. Input (des)investeringen '!H151</f>
        <v>15</v>
      </c>
      <c r="K118" s="42">
        <f>'3. Input (des)investeringen '!I151</f>
        <v>1</v>
      </c>
      <c r="M118" s="43">
        <f t="shared" si="37"/>
        <v>0</v>
      </c>
      <c r="N118" s="43">
        <f t="shared" si="38"/>
        <v>0</v>
      </c>
      <c r="P118" s="136">
        <f t="shared" si="27"/>
        <v>0</v>
      </c>
      <c r="Q118" s="136">
        <f t="shared" si="39"/>
        <v>0</v>
      </c>
      <c r="S118" s="43">
        <f t="shared" si="10"/>
        <v>24478081.893697795</v>
      </c>
      <c r="T118" s="38">
        <f t="shared" si="11"/>
        <v>15</v>
      </c>
      <c r="V118" s="43">
        <f t="shared" si="43"/>
        <v>0</v>
      </c>
      <c r="W118" s="43">
        <f t="shared" si="43"/>
        <v>954645.19385421404</v>
      </c>
      <c r="X118" s="43">
        <f t="shared" si="43"/>
        <v>1826554.4709077296</v>
      </c>
      <c r="Y118" s="43">
        <f t="shared" si="43"/>
        <v>1668253.0834290597</v>
      </c>
      <c r="Z118" s="43">
        <f t="shared" si="43"/>
        <v>1523671.1495318746</v>
      </c>
      <c r="AB118" s="43">
        <f t="shared" si="44"/>
        <v>0</v>
      </c>
      <c r="AC118" s="43">
        <f t="shared" si="44"/>
        <v>81593.606312325981</v>
      </c>
      <c r="AD118" s="43">
        <f t="shared" si="44"/>
        <v>163187.21262465196</v>
      </c>
      <c r="AE118" s="43">
        <f t="shared" si="44"/>
        <v>163187.21262465196</v>
      </c>
      <c r="AF118" s="43">
        <f t="shared" si="44"/>
        <v>163187.21262465196</v>
      </c>
      <c r="AH118" s="43">
        <f t="shared" si="12"/>
        <v>0</v>
      </c>
      <c r="AI118" s="43">
        <f t="shared" si="13"/>
        <v>1036238.8001665401</v>
      </c>
      <c r="AJ118" s="43">
        <f t="shared" si="14"/>
        <v>1989741.6835323814</v>
      </c>
      <c r="AK118" s="43">
        <f t="shared" si="15"/>
        <v>1831440.2960537118</v>
      </c>
      <c r="AL118" s="43">
        <f t="shared" si="16"/>
        <v>1686858.3621565267</v>
      </c>
      <c r="AN118" s="43">
        <f t="shared" si="17"/>
        <v>0</v>
      </c>
      <c r="AO118" s="43">
        <f t="shared" si="18"/>
        <v>23441843.093531255</v>
      </c>
      <c r="AP118" s="43">
        <f t="shared" si="19"/>
        <v>21452101.409998871</v>
      </c>
      <c r="AQ118" s="43">
        <f t="shared" si="20"/>
        <v>19620661.11394516</v>
      </c>
      <c r="AR118" s="43">
        <f t="shared" si="21"/>
        <v>17933802.751788635</v>
      </c>
      <c r="AT118" s="43">
        <f t="shared" si="45"/>
        <v>0</v>
      </c>
      <c r="AU118" s="43">
        <f t="shared" si="45"/>
        <v>244780.81893697794</v>
      </c>
      <c r="AV118" s="43">
        <f t="shared" si="45"/>
        <v>263305.83131412847</v>
      </c>
      <c r="AW118" s="43">
        <f t="shared" si="45"/>
        <v>269595.68101256038</v>
      </c>
      <c r="AX118" s="43">
        <f t="shared" si="45"/>
        <v>278720.95562347351</v>
      </c>
      <c r="AZ118" s="47">
        <f t="shared" si="22"/>
        <v>0</v>
      </c>
      <c r="BA118" s="47">
        <f t="shared" si="23"/>
        <v>2054600.4411900495</v>
      </c>
      <c r="BB118" s="47">
        <f t="shared" si="24"/>
        <v>3068227.3684264668</v>
      </c>
      <c r="BC118" s="47">
        <f t="shared" si="25"/>
        <v>2846621.0993961887</v>
      </c>
      <c r="BD118" s="47">
        <f t="shared" si="26"/>
        <v>2647063.8223479684</v>
      </c>
    </row>
    <row r="119" spans="2:56" ht="13">
      <c r="B119" s="37">
        <f>'3. Input (des)investeringen '!B152</f>
        <v>1587</v>
      </c>
      <c r="C119" s="48"/>
      <c r="D119" s="48"/>
      <c r="E119" s="48"/>
      <c r="F119" s="42">
        <f>'3. Input (des)investeringen '!D152</f>
        <v>30064216.026644446</v>
      </c>
      <c r="G119" s="48"/>
      <c r="H119" s="37">
        <f>'3. Input (des)investeringen '!F152</f>
        <v>2023</v>
      </c>
      <c r="I119" s="42" t="str">
        <f>'3. Input (des)investeringen '!G152</f>
        <v>nvt</v>
      </c>
      <c r="J119" s="42">
        <f>'3. Input (des)investeringen '!H152</f>
        <v>30</v>
      </c>
      <c r="K119" s="42">
        <f>'3. Input (des)investeringen '!I152</f>
        <v>1</v>
      </c>
      <c r="M119" s="43">
        <f t="shared" si="37"/>
        <v>0</v>
      </c>
      <c r="N119" s="43">
        <f t="shared" si="38"/>
        <v>0</v>
      </c>
      <c r="P119" s="136">
        <f t="shared" si="27"/>
        <v>0</v>
      </c>
      <c r="Q119" s="136">
        <f t="shared" si="39"/>
        <v>0</v>
      </c>
      <c r="S119" s="43">
        <f t="shared" si="10"/>
        <v>30064216.026644446</v>
      </c>
      <c r="T119" s="38">
        <f t="shared" si="11"/>
        <v>30</v>
      </c>
      <c r="V119" s="43">
        <f t="shared" si="43"/>
        <v>0</v>
      </c>
      <c r="W119" s="43">
        <f t="shared" si="43"/>
        <v>586252.21251956676</v>
      </c>
      <c r="X119" s="43">
        <f t="shared" si="43"/>
        <v>1147100.1624966189</v>
      </c>
      <c r="Y119" s="43">
        <f t="shared" si="43"/>
        <v>1097392.488788432</v>
      </c>
      <c r="Z119" s="43">
        <f t="shared" si="43"/>
        <v>1049838.8142742666</v>
      </c>
      <c r="AB119" s="43">
        <f t="shared" si="44"/>
        <v>0</v>
      </c>
      <c r="AC119" s="43">
        <f t="shared" si="44"/>
        <v>50107.026711074075</v>
      </c>
      <c r="AD119" s="43">
        <f t="shared" si="44"/>
        <v>100214.05342214815</v>
      </c>
      <c r="AE119" s="43">
        <f t="shared" si="44"/>
        <v>100214.05342214815</v>
      </c>
      <c r="AF119" s="43">
        <f t="shared" si="44"/>
        <v>100214.05342214815</v>
      </c>
      <c r="AH119" s="43">
        <f t="shared" si="12"/>
        <v>0</v>
      </c>
      <c r="AI119" s="43">
        <f t="shared" si="13"/>
        <v>636359.23923064081</v>
      </c>
      <c r="AJ119" s="43">
        <f t="shared" si="14"/>
        <v>1247314.215918767</v>
      </c>
      <c r="AK119" s="43">
        <f t="shared" si="15"/>
        <v>1197606.5422105801</v>
      </c>
      <c r="AL119" s="43">
        <f t="shared" si="16"/>
        <v>1150052.8676964147</v>
      </c>
      <c r="AN119" s="43">
        <f t="shared" si="17"/>
        <v>0</v>
      </c>
      <c r="AO119" s="43">
        <f t="shared" si="18"/>
        <v>29427856.787413806</v>
      </c>
      <c r="AP119" s="43">
        <f t="shared" si="19"/>
        <v>28180542.571495038</v>
      </c>
      <c r="AQ119" s="43">
        <f t="shared" si="20"/>
        <v>26982936.029284459</v>
      </c>
      <c r="AR119" s="43">
        <f t="shared" si="21"/>
        <v>25832883.161588043</v>
      </c>
      <c r="AT119" s="43">
        <f t="shared" si="45"/>
        <v>0</v>
      </c>
      <c r="AU119" s="43">
        <f t="shared" si="45"/>
        <v>300642.16026644449</v>
      </c>
      <c r="AV119" s="43">
        <f t="shared" si="45"/>
        <v>323394.75895540899</v>
      </c>
      <c r="AW119" s="43">
        <f t="shared" si="45"/>
        <v>331120.01295733586</v>
      </c>
      <c r="AX119" s="43">
        <f t="shared" si="45"/>
        <v>342327.76315591572</v>
      </c>
      <c r="AZ119" s="47">
        <f t="shared" si="22"/>
        <v>0</v>
      </c>
      <c r="BA119" s="47">
        <f t="shared" si="23"/>
        <v>1908120.673481741</v>
      </c>
      <c r="BB119" s="47">
        <f t="shared" si="24"/>
        <v>2641569.5925909872</v>
      </c>
      <c r="BC119" s="47">
        <f t="shared" si="25"/>
        <v>2554078.1242807251</v>
      </c>
      <c r="BD119" s="47">
        <f t="shared" si="26"/>
        <v>2474030.1909926762</v>
      </c>
    </row>
    <row r="120" spans="2:56" ht="13">
      <c r="B120" s="37">
        <f>'3. Input (des)investeringen '!B153</f>
        <v>1588</v>
      </c>
      <c r="C120" s="48"/>
      <c r="D120" s="48"/>
      <c r="E120" s="48"/>
      <c r="F120" s="42">
        <f>'3. Input (des)investeringen '!D153</f>
        <v>83221993.783928484</v>
      </c>
      <c r="G120" s="48"/>
      <c r="H120" s="37">
        <f>'3. Input (des)investeringen '!F153</f>
        <v>2023</v>
      </c>
      <c r="I120" s="42" t="str">
        <f>'3. Input (des)investeringen '!G153</f>
        <v>nvt</v>
      </c>
      <c r="J120" s="42">
        <f>'3. Input (des)investeringen '!H153</f>
        <v>55</v>
      </c>
      <c r="K120" s="42">
        <f>'3. Input (des)investeringen '!I153</f>
        <v>1</v>
      </c>
      <c r="M120" s="43">
        <f t="shared" si="37"/>
        <v>0</v>
      </c>
      <c r="N120" s="43">
        <f t="shared" si="38"/>
        <v>0</v>
      </c>
      <c r="P120" s="136">
        <f t="shared" si="27"/>
        <v>0</v>
      </c>
      <c r="Q120" s="136">
        <f t="shared" si="39"/>
        <v>0</v>
      </c>
      <c r="S120" s="43">
        <f t="shared" si="10"/>
        <v>83221993.783928484</v>
      </c>
      <c r="T120" s="38">
        <f t="shared" si="11"/>
        <v>55</v>
      </c>
      <c r="V120" s="43">
        <f t="shared" si="43"/>
        <v>0</v>
      </c>
      <c r="W120" s="43">
        <f t="shared" si="43"/>
        <v>885179.38842905755</v>
      </c>
      <c r="X120" s="43">
        <f t="shared" si="43"/>
        <v>1749436.3549497919</v>
      </c>
      <c r="Y120" s="43">
        <f t="shared" si="43"/>
        <v>1708086.0411055242</v>
      </c>
      <c r="Z120" s="43">
        <f t="shared" si="43"/>
        <v>1667713.0983157572</v>
      </c>
      <c r="AB120" s="43">
        <f t="shared" si="44"/>
        <v>0</v>
      </c>
      <c r="AC120" s="43">
        <f t="shared" si="44"/>
        <v>75656.357985389535</v>
      </c>
      <c r="AD120" s="43">
        <f t="shared" si="44"/>
        <v>151312.71597077907</v>
      </c>
      <c r="AE120" s="43">
        <f t="shared" si="44"/>
        <v>151312.71597077907</v>
      </c>
      <c r="AF120" s="43">
        <f t="shared" si="44"/>
        <v>151312.71597077907</v>
      </c>
      <c r="AH120" s="43">
        <f t="shared" si="12"/>
        <v>0</v>
      </c>
      <c r="AI120" s="43">
        <f t="shared" si="13"/>
        <v>960835.74641444709</v>
      </c>
      <c r="AJ120" s="43">
        <f t="shared" si="14"/>
        <v>1900749.070920571</v>
      </c>
      <c r="AK120" s="43">
        <f t="shared" si="15"/>
        <v>1859398.7570763032</v>
      </c>
      <c r="AL120" s="43">
        <f t="shared" si="16"/>
        <v>1819025.8142865363</v>
      </c>
      <c r="AN120" s="43">
        <f t="shared" si="17"/>
        <v>0</v>
      </c>
      <c r="AO120" s="43">
        <f t="shared" si="18"/>
        <v>82261158.037514031</v>
      </c>
      <c r="AP120" s="43">
        <f t="shared" si="19"/>
        <v>80360408.966593459</v>
      </c>
      <c r="AQ120" s="43">
        <f t="shared" si="20"/>
        <v>78501010.209517151</v>
      </c>
      <c r="AR120" s="43">
        <f t="shared" si="21"/>
        <v>76681984.395230621</v>
      </c>
      <c r="AT120" s="43">
        <f t="shared" si="45"/>
        <v>0</v>
      </c>
      <c r="AU120" s="43">
        <f t="shared" si="45"/>
        <v>832219.93783928489</v>
      </c>
      <c r="AV120" s="43">
        <f t="shared" si="45"/>
        <v>895202.34273496212</v>
      </c>
      <c r="AW120" s="43">
        <f t="shared" si="45"/>
        <v>916586.93629821483</v>
      </c>
      <c r="AX120" s="43">
        <f t="shared" si="45"/>
        <v>947611.57091803674</v>
      </c>
      <c r="AZ120" s="47">
        <f t="shared" si="22"/>
        <v>0</v>
      </c>
      <c r="BA120" s="47">
        <f t="shared" si="23"/>
        <v>4507673.8994916948</v>
      </c>
      <c r="BB120" s="47">
        <f t="shared" si="24"/>
        <v>5849646.9543860843</v>
      </c>
      <c r="BC120" s="47">
        <f t="shared" si="25"/>
        <v>5759024.0813361695</v>
      </c>
      <c r="BD120" s="47">
        <f t="shared" si="26"/>
        <v>5680552.7922233362</v>
      </c>
    </row>
    <row r="121" spans="2:56" ht="13">
      <c r="B121" s="37">
        <f>'3. Input (des)investeringen '!B154</f>
        <v>1589</v>
      </c>
      <c r="C121" s="48"/>
      <c r="D121" s="48"/>
      <c r="E121" s="48"/>
      <c r="F121" s="42">
        <f>'3. Input (des)investeringen '!D154</f>
        <v>-31765.350435964345</v>
      </c>
      <c r="G121" s="48"/>
      <c r="H121" s="37">
        <f>'3. Input (des)investeringen '!F154</f>
        <v>2023</v>
      </c>
      <c r="I121" s="42" t="str">
        <f>'3. Input (des)investeringen '!G154</f>
        <v>nvt</v>
      </c>
      <c r="J121" s="42">
        <f>'3. Input (des)investeringen '!H154</f>
        <v>0</v>
      </c>
      <c r="K121" s="42">
        <f>'3. Input (des)investeringen '!I154</f>
        <v>0</v>
      </c>
      <c r="M121" s="43">
        <f t="shared" si="37"/>
        <v>0</v>
      </c>
      <c r="N121" s="43">
        <f t="shared" si="38"/>
        <v>0</v>
      </c>
      <c r="P121" s="136">
        <f t="shared" si="27"/>
        <v>0</v>
      </c>
      <c r="Q121" s="136">
        <f t="shared" si="39"/>
        <v>0</v>
      </c>
      <c r="S121" s="43">
        <f t="shared" si="10"/>
        <v>-31765.350435964345</v>
      </c>
      <c r="T121" s="38">
        <f t="shared" si="11"/>
        <v>0</v>
      </c>
      <c r="V121" s="43">
        <f t="shared" ref="V121:Z130" si="46">IF($J121=0, 0, IF(OR($H121&gt;V$59,$H121+$J121&lt;V$59),0,
IF(OR($H121=2020,$H121=2021),VDB($S121*(1-$F$28),0,$T121,V$59-2022,MIN($T121,V$59-2021),$F$22,FALSE),
VDB($S121*(1-$F$28),0,$T121,MAX(0,V$59-$H121-0.5),MIN($T121,V$59-$H121+0.5),$F$22,FALSE))))</f>
        <v>0</v>
      </c>
      <c r="W121" s="43">
        <f t="shared" si="46"/>
        <v>0</v>
      </c>
      <c r="X121" s="43">
        <f t="shared" si="46"/>
        <v>0</v>
      </c>
      <c r="Y121" s="43">
        <f t="shared" si="46"/>
        <v>0</v>
      </c>
      <c r="Z121" s="43">
        <f t="shared" si="46"/>
        <v>0</v>
      </c>
      <c r="AB121" s="43">
        <f t="shared" ref="AB121:AF130" si="47">IF($J121=0, 0, IF(OR($H121&gt;AB$59,$H121+$J121&lt;AB$59),0,
IF(OR($H121=2020,$H121=2021),VDB($S121*$F$28,0,$T121,AB$59-2022,MIN($T121,AB$59-2021),1),
VDB($S121*$F$28,0,$T121,MAX(0,AB$59-$H121-0.5),MIN($T121,AB$59-$H121+0.5),1))))</f>
        <v>0</v>
      </c>
      <c r="AC121" s="43">
        <f t="shared" si="47"/>
        <v>0</v>
      </c>
      <c r="AD121" s="43">
        <f t="shared" si="47"/>
        <v>0</v>
      </c>
      <c r="AE121" s="43">
        <f t="shared" si="47"/>
        <v>0</v>
      </c>
      <c r="AF121" s="43">
        <f t="shared" si="47"/>
        <v>0</v>
      </c>
      <c r="AH121" s="43">
        <f t="shared" si="12"/>
        <v>0</v>
      </c>
      <c r="AI121" s="43">
        <f t="shared" si="13"/>
        <v>0</v>
      </c>
      <c r="AJ121" s="43">
        <f t="shared" si="14"/>
        <v>0</v>
      </c>
      <c r="AK121" s="43">
        <f t="shared" si="15"/>
        <v>0</v>
      </c>
      <c r="AL121" s="43">
        <f t="shared" si="16"/>
        <v>0</v>
      </c>
      <c r="AN121" s="43">
        <f t="shared" si="17"/>
        <v>0</v>
      </c>
      <c r="AO121" s="43">
        <f t="shared" si="18"/>
        <v>-31765.350435964345</v>
      </c>
      <c r="AP121" s="43">
        <f t="shared" si="19"/>
        <v>-31765.350435964345</v>
      </c>
      <c r="AQ121" s="43">
        <f t="shared" si="20"/>
        <v>-31765.350435964345</v>
      </c>
      <c r="AR121" s="43">
        <f t="shared" si="21"/>
        <v>-31765.350435964345</v>
      </c>
      <c r="AT121" s="43">
        <f t="shared" ref="AT121:AX130" si="48">IF($H121&lt;=AT$59,$F121*INDEX($H$40:$N$46,$H121-2019,AT$59-2019)*INDEX($H$49:$N$55,$H121-2019,AT$59-2019)*$F$19,0)</f>
        <v>0</v>
      </c>
      <c r="AU121" s="43">
        <f t="shared" si="48"/>
        <v>-317.65350435964348</v>
      </c>
      <c r="AV121" s="43">
        <f t="shared" si="48"/>
        <v>-341.69352156958126</v>
      </c>
      <c r="AW121" s="43">
        <f t="shared" si="48"/>
        <v>-349.85589641283542</v>
      </c>
      <c r="AX121" s="43">
        <f t="shared" si="48"/>
        <v>-361.69781879461715</v>
      </c>
      <c r="AZ121" s="47">
        <f t="shared" si="22"/>
        <v>0</v>
      </c>
      <c r="BA121" s="47">
        <f t="shared" si="23"/>
        <v>-1365.9100687464668</v>
      </c>
      <c r="BB121" s="47">
        <f t="shared" si="24"/>
        <v>-1548.7768381362264</v>
      </c>
      <c r="BC121" s="47">
        <f t="shared" si="25"/>
        <v>-1556.9392129794805</v>
      </c>
      <c r="BD121" s="47">
        <f t="shared" si="26"/>
        <v>-1568.7811353612624</v>
      </c>
    </row>
    <row r="122" spans="2:56" ht="13">
      <c r="B122" s="37">
        <f>'3. Input (des)investeringen '!B155</f>
        <v>1590</v>
      </c>
      <c r="C122" s="48"/>
      <c r="D122" s="48"/>
      <c r="E122" s="48"/>
      <c r="F122" s="42">
        <f>'3. Input (des)investeringen '!D155</f>
        <v>447398.87404737127</v>
      </c>
      <c r="G122" s="48"/>
      <c r="H122" s="37">
        <f>'3. Input (des)investeringen '!F155</f>
        <v>2023</v>
      </c>
      <c r="I122" s="42" t="str">
        <f>'3. Input (des)investeringen '!G155</f>
        <v>nvt</v>
      </c>
      <c r="J122" s="42">
        <f>'3. Input (des)investeringen '!H155</f>
        <v>5</v>
      </c>
      <c r="K122" s="42">
        <f>'3. Input (des)investeringen '!I155</f>
        <v>0</v>
      </c>
      <c r="M122" s="43">
        <f t="shared" si="37"/>
        <v>0</v>
      </c>
      <c r="N122" s="43">
        <f t="shared" si="38"/>
        <v>0</v>
      </c>
      <c r="P122" s="136">
        <f t="shared" si="27"/>
        <v>0</v>
      </c>
      <c r="Q122" s="136">
        <f t="shared" si="39"/>
        <v>0</v>
      </c>
      <c r="S122" s="43">
        <f t="shared" si="10"/>
        <v>447398.87404737127</v>
      </c>
      <c r="T122" s="38">
        <f t="shared" si="11"/>
        <v>5</v>
      </c>
      <c r="V122" s="43">
        <f t="shared" si="46"/>
        <v>0</v>
      </c>
      <c r="W122" s="43">
        <f t="shared" si="46"/>
        <v>52345.668263542444</v>
      </c>
      <c r="X122" s="43">
        <f t="shared" si="46"/>
        <v>91081.462778563844</v>
      </c>
      <c r="Y122" s="43">
        <f t="shared" si="46"/>
        <v>74066.244457293666</v>
      </c>
      <c r="Z122" s="43">
        <f t="shared" si="46"/>
        <v>74066.244457293666</v>
      </c>
      <c r="AB122" s="43">
        <f t="shared" si="47"/>
        <v>0</v>
      </c>
      <c r="AC122" s="43">
        <f t="shared" si="47"/>
        <v>4473.9887404737128</v>
      </c>
      <c r="AD122" s="43">
        <f t="shared" si="47"/>
        <v>8947.9774809474256</v>
      </c>
      <c r="AE122" s="43">
        <f t="shared" si="47"/>
        <v>8947.9774809474256</v>
      </c>
      <c r="AF122" s="43">
        <f t="shared" si="47"/>
        <v>8947.9774809474256</v>
      </c>
      <c r="AH122" s="43">
        <f t="shared" si="12"/>
        <v>0</v>
      </c>
      <c r="AI122" s="43">
        <f t="shared" si="13"/>
        <v>56819.65700401616</v>
      </c>
      <c r="AJ122" s="43">
        <f t="shared" si="14"/>
        <v>100029.44025951126</v>
      </c>
      <c r="AK122" s="43">
        <f t="shared" si="15"/>
        <v>83014.221938241099</v>
      </c>
      <c r="AL122" s="43">
        <f t="shared" si="16"/>
        <v>83014.221938241099</v>
      </c>
      <c r="AN122" s="43">
        <f t="shared" si="17"/>
        <v>0</v>
      </c>
      <c r="AO122" s="43">
        <f t="shared" si="18"/>
        <v>390579.21704335511</v>
      </c>
      <c r="AP122" s="43">
        <f t="shared" si="19"/>
        <v>290549.77678384387</v>
      </c>
      <c r="AQ122" s="43">
        <f t="shared" si="20"/>
        <v>207535.55484560278</v>
      </c>
      <c r="AR122" s="43">
        <f t="shared" si="21"/>
        <v>124521.33290736168</v>
      </c>
      <c r="AT122" s="43">
        <f t="shared" si="48"/>
        <v>0</v>
      </c>
      <c r="AU122" s="43">
        <f t="shared" si="48"/>
        <v>4473.9887404737128</v>
      </c>
      <c r="AV122" s="43">
        <f t="shared" si="48"/>
        <v>4812.5802083527633</v>
      </c>
      <c r="AW122" s="43">
        <f t="shared" si="48"/>
        <v>4927.5431243698949</v>
      </c>
      <c r="AX122" s="43">
        <f t="shared" si="48"/>
        <v>5094.3306040435664</v>
      </c>
      <c r="AZ122" s="47">
        <f t="shared" si="22"/>
        <v>0</v>
      </c>
      <c r="BA122" s="47">
        <f t="shared" si="23"/>
        <v>74182.75990692059</v>
      </c>
      <c r="BB122" s="47">
        <f t="shared" si="24"/>
        <v>115882.91198565009</v>
      </c>
      <c r="BC122" s="47">
        <f t="shared" si="25"/>
        <v>95828.116146743909</v>
      </c>
      <c r="BD122" s="47">
        <f t="shared" si="26"/>
        <v>92840.363192764416</v>
      </c>
    </row>
    <row r="123" spans="2:56" ht="13">
      <c r="B123" s="37">
        <f>'3. Input (des)investeringen '!B156</f>
        <v>1591</v>
      </c>
      <c r="C123" s="48"/>
      <c r="D123" s="48"/>
      <c r="E123" s="48"/>
      <c r="F123" s="42">
        <f>'3. Input (des)investeringen '!D156</f>
        <v>1604404.348819593</v>
      </c>
      <c r="G123" s="48"/>
      <c r="H123" s="37">
        <f>'3. Input (des)investeringen '!F156</f>
        <v>2023</v>
      </c>
      <c r="I123" s="42" t="str">
        <f>'3. Input (des)investeringen '!G156</f>
        <v>nvt</v>
      </c>
      <c r="J123" s="42">
        <f>'3. Input (des)investeringen '!H156</f>
        <v>10</v>
      </c>
      <c r="K123" s="42">
        <f>'3. Input (des)investeringen '!I156</f>
        <v>0</v>
      </c>
      <c r="M123" s="43">
        <f t="shared" si="37"/>
        <v>0</v>
      </c>
      <c r="N123" s="43">
        <f t="shared" si="38"/>
        <v>0</v>
      </c>
      <c r="P123" s="136">
        <f t="shared" si="27"/>
        <v>0</v>
      </c>
      <c r="Q123" s="136">
        <f t="shared" si="39"/>
        <v>0</v>
      </c>
      <c r="S123" s="43">
        <f t="shared" si="10"/>
        <v>1604404.348819593</v>
      </c>
      <c r="T123" s="38">
        <f t="shared" si="11"/>
        <v>10</v>
      </c>
      <c r="V123" s="43">
        <f t="shared" si="46"/>
        <v>0</v>
      </c>
      <c r="W123" s="43">
        <f t="shared" si="46"/>
        <v>93857.654405946188</v>
      </c>
      <c r="X123" s="43">
        <f t="shared" si="46"/>
        <v>175513.81373911939</v>
      </c>
      <c r="Y123" s="43">
        <f t="shared" si="46"/>
        <v>152697.01795303385</v>
      </c>
      <c r="Z123" s="43">
        <f t="shared" si="46"/>
        <v>136252.72371193793</v>
      </c>
      <c r="AB123" s="43">
        <f t="shared" si="47"/>
        <v>0</v>
      </c>
      <c r="AC123" s="43">
        <f t="shared" si="47"/>
        <v>8022.0217440979659</v>
      </c>
      <c r="AD123" s="43">
        <f t="shared" si="47"/>
        <v>16044.043488195932</v>
      </c>
      <c r="AE123" s="43">
        <f t="shared" si="47"/>
        <v>16044.043488195932</v>
      </c>
      <c r="AF123" s="43">
        <f t="shared" si="47"/>
        <v>16044.043488195932</v>
      </c>
      <c r="AH123" s="43">
        <f t="shared" si="12"/>
        <v>0</v>
      </c>
      <c r="AI123" s="43">
        <f t="shared" si="13"/>
        <v>101879.67615004415</v>
      </c>
      <c r="AJ123" s="43">
        <f t="shared" si="14"/>
        <v>191557.85722731531</v>
      </c>
      <c r="AK123" s="43">
        <f t="shared" si="15"/>
        <v>168741.06144122977</v>
      </c>
      <c r="AL123" s="43">
        <f t="shared" si="16"/>
        <v>152296.76720013385</v>
      </c>
      <c r="AN123" s="43">
        <f t="shared" si="17"/>
        <v>0</v>
      </c>
      <c r="AO123" s="43">
        <f t="shared" si="18"/>
        <v>1502524.6726695488</v>
      </c>
      <c r="AP123" s="43">
        <f t="shared" si="19"/>
        <v>1310966.8154422333</v>
      </c>
      <c r="AQ123" s="43">
        <f t="shared" si="20"/>
        <v>1142225.7540010037</v>
      </c>
      <c r="AR123" s="43">
        <f t="shared" si="21"/>
        <v>989928.98680086981</v>
      </c>
      <c r="AT123" s="43">
        <f t="shared" si="48"/>
        <v>0</v>
      </c>
      <c r="AU123" s="43">
        <f t="shared" si="48"/>
        <v>16044.04348819593</v>
      </c>
      <c r="AV123" s="43">
        <f t="shared" si="48"/>
        <v>17258.2566993826</v>
      </c>
      <c r="AW123" s="43">
        <f t="shared" si="48"/>
        <v>17670.521935417451</v>
      </c>
      <c r="AX123" s="43">
        <f t="shared" si="48"/>
        <v>18268.63376188746</v>
      </c>
      <c r="AZ123" s="47">
        <f t="shared" si="22"/>
        <v>0</v>
      </c>
      <c r="BA123" s="47">
        <f t="shared" si="23"/>
        <v>167507.03383633518</v>
      </c>
      <c r="BB123" s="47">
        <f t="shared" si="24"/>
        <v>258632.85291350275</v>
      </c>
      <c r="BC123" s="47">
        <f t="shared" si="25"/>
        <v>229816.16202868536</v>
      </c>
      <c r="BD123" s="47">
        <f t="shared" si="26"/>
        <v>208182.70246045437</v>
      </c>
    </row>
    <row r="124" spans="2:56" ht="13">
      <c r="B124" s="37">
        <f>'3. Input (des)investeringen '!B157</f>
        <v>1592</v>
      </c>
      <c r="C124" s="48"/>
      <c r="D124" s="48"/>
      <c r="E124" s="48"/>
      <c r="F124" s="42">
        <f>'3. Input (des)investeringen '!D157</f>
        <v>4821440.5639281506</v>
      </c>
      <c r="G124" s="48"/>
      <c r="H124" s="37">
        <f>'3. Input (des)investeringen '!F157</f>
        <v>2023</v>
      </c>
      <c r="I124" s="42" t="str">
        <f>'3. Input (des)investeringen '!G157</f>
        <v>nvt</v>
      </c>
      <c r="J124" s="42">
        <f>'3. Input (des)investeringen '!H157</f>
        <v>15</v>
      </c>
      <c r="K124" s="42">
        <f>'3. Input (des)investeringen '!I157</f>
        <v>0</v>
      </c>
      <c r="M124" s="43">
        <f t="shared" si="37"/>
        <v>0</v>
      </c>
      <c r="N124" s="43">
        <f t="shared" si="38"/>
        <v>0</v>
      </c>
      <c r="P124" s="136">
        <f t="shared" si="27"/>
        <v>0</v>
      </c>
      <c r="Q124" s="136">
        <f t="shared" si="39"/>
        <v>0</v>
      </c>
      <c r="S124" s="43">
        <f t="shared" si="10"/>
        <v>4821440.5639281506</v>
      </c>
      <c r="T124" s="38">
        <f t="shared" si="11"/>
        <v>15</v>
      </c>
      <c r="V124" s="43">
        <f t="shared" si="46"/>
        <v>0</v>
      </c>
      <c r="W124" s="43">
        <f t="shared" si="46"/>
        <v>188036.18199319788</v>
      </c>
      <c r="X124" s="43">
        <f t="shared" si="46"/>
        <v>359775.89488031861</v>
      </c>
      <c r="Y124" s="43">
        <f t="shared" si="46"/>
        <v>328595.31732402433</v>
      </c>
      <c r="Z124" s="43">
        <f t="shared" si="46"/>
        <v>300117.05648927559</v>
      </c>
      <c r="AB124" s="43">
        <f t="shared" si="47"/>
        <v>0</v>
      </c>
      <c r="AC124" s="43">
        <f t="shared" si="47"/>
        <v>16071.46854642717</v>
      </c>
      <c r="AD124" s="43">
        <f t="shared" si="47"/>
        <v>32142.937092854339</v>
      </c>
      <c r="AE124" s="43">
        <f t="shared" si="47"/>
        <v>32142.937092854339</v>
      </c>
      <c r="AF124" s="43">
        <f t="shared" si="47"/>
        <v>32142.937092854339</v>
      </c>
      <c r="AH124" s="43">
        <f t="shared" si="12"/>
        <v>0</v>
      </c>
      <c r="AI124" s="43">
        <f t="shared" si="13"/>
        <v>204107.65053962506</v>
      </c>
      <c r="AJ124" s="43">
        <f t="shared" si="14"/>
        <v>391918.83197317296</v>
      </c>
      <c r="AK124" s="43">
        <f t="shared" si="15"/>
        <v>360738.25441687868</v>
      </c>
      <c r="AL124" s="43">
        <f t="shared" si="16"/>
        <v>332259.99358212994</v>
      </c>
      <c r="AN124" s="43">
        <f t="shared" si="17"/>
        <v>0</v>
      </c>
      <c r="AO124" s="43">
        <f t="shared" si="18"/>
        <v>4617332.9133885251</v>
      </c>
      <c r="AP124" s="43">
        <f t="shared" si="19"/>
        <v>4225414.0814153524</v>
      </c>
      <c r="AQ124" s="43">
        <f t="shared" si="20"/>
        <v>3864675.8269984736</v>
      </c>
      <c r="AR124" s="43">
        <f t="shared" si="21"/>
        <v>3532415.8334163437</v>
      </c>
      <c r="AT124" s="43">
        <f t="shared" si="48"/>
        <v>0</v>
      </c>
      <c r="AU124" s="43">
        <f t="shared" si="48"/>
        <v>48214.405639281504</v>
      </c>
      <c r="AV124" s="43">
        <f t="shared" si="48"/>
        <v>51863.271858062326</v>
      </c>
      <c r="AW124" s="43">
        <f t="shared" si="48"/>
        <v>53102.181696207728</v>
      </c>
      <c r="AX124" s="43">
        <f t="shared" si="48"/>
        <v>54899.584342260969</v>
      </c>
      <c r="AZ124" s="47">
        <f t="shared" si="22"/>
        <v>0</v>
      </c>
      <c r="BA124" s="47">
        <f t="shared" si="23"/>
        <v>404694.04232072789</v>
      </c>
      <c r="BB124" s="47">
        <f t="shared" si="24"/>
        <v>604347.83892501867</v>
      </c>
      <c r="BC124" s="47">
        <f t="shared" si="25"/>
        <v>560698.1175390284</v>
      </c>
      <c r="BD124" s="47">
        <f t="shared" si="26"/>
        <v>521391.37959421193</v>
      </c>
    </row>
    <row r="125" spans="2:56" ht="13">
      <c r="B125" s="37">
        <f>'3. Input (des)investeringen '!B158</f>
        <v>1593</v>
      </c>
      <c r="C125" s="48"/>
      <c r="D125" s="48"/>
      <c r="E125" s="48"/>
      <c r="F125" s="42">
        <f>'3. Input (des)investeringen '!D158</f>
        <v>27346413.49123003</v>
      </c>
      <c r="G125" s="48"/>
      <c r="H125" s="37">
        <f>'3. Input (des)investeringen '!F158</f>
        <v>2023</v>
      </c>
      <c r="I125" s="42" t="str">
        <f>'3. Input (des)investeringen '!G158</f>
        <v>nvt</v>
      </c>
      <c r="J125" s="42">
        <f>'3. Input (des)investeringen '!H158</f>
        <v>30</v>
      </c>
      <c r="K125" s="42">
        <f>'3. Input (des)investeringen '!I158</f>
        <v>0</v>
      </c>
      <c r="M125" s="43">
        <f t="shared" ref="M125:M156" si="49">IF($J125=0, 0, IF($H125&lt;=M$59,
VDB($F125,0,$J125,MAX(0,M$59-$H125-0.5),MIN($J125,M$59-$H125+0.5),1)*INDEX(H$40:H$46,$H125-2019,1),
0))</f>
        <v>0</v>
      </c>
      <c r="N125" s="43">
        <f t="shared" ref="N125:N156" si="50">IF($J125=0, 0, IF($H125&lt;=N$59,
VDB($F125,0,$J125,MAX(0,N$59-$H125-0.5),MIN($J125,N$59-$H125+0.5),1)*INDEX(I$40:I$46,$H125-2019,1),
0))</f>
        <v>0</v>
      </c>
      <c r="P125" s="136">
        <f t="shared" si="27"/>
        <v>0</v>
      </c>
      <c r="Q125" s="136">
        <f t="shared" ref="Q125:Q156" si="51">IF($J125=0,IF($H125=N$59,$F125,$P125*I$40),IF(OR($H125&gt;Q$59,$H125+$J125&lt;=Q$59),0,
IF($H125=Q$59,F125-N125,P125*I$40-N125)))</f>
        <v>0</v>
      </c>
      <c r="S125" s="43">
        <f t="shared" si="10"/>
        <v>27346413.49123003</v>
      </c>
      <c r="T125" s="38">
        <f t="shared" si="11"/>
        <v>30</v>
      </c>
      <c r="V125" s="43">
        <f t="shared" si="46"/>
        <v>0</v>
      </c>
      <c r="W125" s="43">
        <f t="shared" si="46"/>
        <v>533255.06307898567</v>
      </c>
      <c r="X125" s="43">
        <f t="shared" si="46"/>
        <v>1043402.406757882</v>
      </c>
      <c r="Y125" s="43">
        <f t="shared" si="46"/>
        <v>998188.30246504035</v>
      </c>
      <c r="Z125" s="43">
        <f t="shared" si="46"/>
        <v>954933.47602488857</v>
      </c>
      <c r="AB125" s="43">
        <f t="shared" si="47"/>
        <v>0</v>
      </c>
      <c r="AC125" s="43">
        <f t="shared" si="47"/>
        <v>45577.355818716715</v>
      </c>
      <c r="AD125" s="43">
        <f t="shared" si="47"/>
        <v>91154.711637433429</v>
      </c>
      <c r="AE125" s="43">
        <f t="shared" si="47"/>
        <v>91154.711637433429</v>
      </c>
      <c r="AF125" s="43">
        <f t="shared" si="47"/>
        <v>91154.711637433429</v>
      </c>
      <c r="AH125" s="43">
        <f t="shared" si="12"/>
        <v>0</v>
      </c>
      <c r="AI125" s="43">
        <f t="shared" si="13"/>
        <v>578832.41889770236</v>
      </c>
      <c r="AJ125" s="43">
        <f t="shared" si="14"/>
        <v>1134557.1183953155</v>
      </c>
      <c r="AK125" s="43">
        <f t="shared" si="15"/>
        <v>1089343.0141024739</v>
      </c>
      <c r="AL125" s="43">
        <f t="shared" si="16"/>
        <v>1046088.187662322</v>
      </c>
      <c r="AN125" s="43">
        <f t="shared" si="17"/>
        <v>0</v>
      </c>
      <c r="AO125" s="43">
        <f t="shared" si="18"/>
        <v>26767581.072332326</v>
      </c>
      <c r="AP125" s="43">
        <f t="shared" si="19"/>
        <v>25633023.953937009</v>
      </c>
      <c r="AQ125" s="43">
        <f t="shared" si="20"/>
        <v>24543680.939834535</v>
      </c>
      <c r="AR125" s="43">
        <f t="shared" si="21"/>
        <v>23497592.752172213</v>
      </c>
      <c r="AT125" s="43">
        <f t="shared" si="48"/>
        <v>0</v>
      </c>
      <c r="AU125" s="43">
        <f t="shared" si="48"/>
        <v>273464.13491230027</v>
      </c>
      <c r="AV125" s="43">
        <f t="shared" si="48"/>
        <v>294159.90064246318</v>
      </c>
      <c r="AW125" s="43">
        <f t="shared" si="48"/>
        <v>301186.79234901036</v>
      </c>
      <c r="AX125" s="43">
        <f t="shared" si="48"/>
        <v>311381.36289643968</v>
      </c>
      <c r="AZ125" s="47">
        <f t="shared" si="22"/>
        <v>0</v>
      </c>
      <c r="BA125" s="47">
        <f t="shared" si="23"/>
        <v>1735626.7291969694</v>
      </c>
      <c r="BB125" s="47">
        <f t="shared" si="24"/>
        <v>2402771.9292873847</v>
      </c>
      <c r="BC125" s="47">
        <f t="shared" si="25"/>
        <v>2323189.6821651966</v>
      </c>
      <c r="BD125" s="47">
        <f t="shared" si="26"/>
        <v>2250378.0751413056</v>
      </c>
    </row>
    <row r="126" spans="2:56" ht="13">
      <c r="B126" s="37">
        <f>'3. Input (des)investeringen '!B159</f>
        <v>1594</v>
      </c>
      <c r="C126" s="48"/>
      <c r="D126" s="48"/>
      <c r="E126" s="48"/>
      <c r="F126" s="42">
        <f>'3. Input (des)investeringen '!D159</f>
        <v>38630.691367044557</v>
      </c>
      <c r="G126" s="48"/>
      <c r="H126" s="37">
        <f>'3. Input (des)investeringen '!F159</f>
        <v>2023</v>
      </c>
      <c r="I126" s="42" t="str">
        <f>'3. Input (des)investeringen '!G159</f>
        <v>nvt</v>
      </c>
      <c r="J126" s="42">
        <f>'3. Input (des)investeringen '!H159</f>
        <v>55</v>
      </c>
      <c r="K126" s="42">
        <f>'3. Input (des)investeringen '!I159</f>
        <v>0</v>
      </c>
      <c r="M126" s="43">
        <f t="shared" si="49"/>
        <v>0</v>
      </c>
      <c r="N126" s="43">
        <f t="shared" si="50"/>
        <v>0</v>
      </c>
      <c r="P126" s="136">
        <f t="shared" ref="P126:P158" si="52">IF($J126=0,IF($H126=M$59,$F126,0),IF(OR($H126&gt;P$59,$H126+$J126&lt;=P$59),0,
F126-M126))</f>
        <v>0</v>
      </c>
      <c r="Q126" s="136">
        <f t="shared" si="51"/>
        <v>0</v>
      </c>
      <c r="S126" s="43">
        <f t="shared" ref="S126:S189" si="53">IF($P126=0, IF(H126&lt;=2021, $Q126, IF(H126&gt;=2022, $F126,0)), IF(H126&lt;=2021,Q126,F126))</f>
        <v>38630.691367044557</v>
      </c>
      <c r="T126" s="38">
        <f t="shared" ref="T126:T137" si="54">IF($J126=0, 0, IF(H126&lt;2022,J126-2021+H126-0.5,J126))</f>
        <v>55</v>
      </c>
      <c r="V126" s="43">
        <f t="shared" si="46"/>
        <v>0</v>
      </c>
      <c r="W126" s="43">
        <f t="shared" si="46"/>
        <v>410.89008090401938</v>
      </c>
      <c r="X126" s="43">
        <f t="shared" si="46"/>
        <v>812.06821444121647</v>
      </c>
      <c r="Y126" s="43">
        <f t="shared" si="46"/>
        <v>792.87387482715144</v>
      </c>
      <c r="Z126" s="43">
        <f t="shared" si="46"/>
        <v>774.13321960396422</v>
      </c>
      <c r="AB126" s="43">
        <f t="shared" si="47"/>
        <v>0</v>
      </c>
      <c r="AC126" s="43">
        <f t="shared" si="47"/>
        <v>35.118810333676876</v>
      </c>
      <c r="AD126" s="43">
        <f t="shared" si="47"/>
        <v>70.237620667353752</v>
      </c>
      <c r="AE126" s="43">
        <f t="shared" si="47"/>
        <v>70.237620667353752</v>
      </c>
      <c r="AF126" s="43">
        <f t="shared" si="47"/>
        <v>70.237620667353752</v>
      </c>
      <c r="AH126" s="43">
        <f t="shared" ref="AH126:AH137" si="55">V126+AB126</f>
        <v>0</v>
      </c>
      <c r="AI126" s="43">
        <f t="shared" ref="AI126:AI137" si="56">W126+AC126</f>
        <v>446.00889123769628</v>
      </c>
      <c r="AJ126" s="43">
        <f t="shared" ref="AJ126:AJ137" si="57">X126+AD126</f>
        <v>882.30583510857025</v>
      </c>
      <c r="AK126" s="43">
        <f t="shared" ref="AK126:AK137" si="58">Y126+AE126</f>
        <v>863.11149549450522</v>
      </c>
      <c r="AL126" s="43">
        <f t="shared" ref="AL126:AL137" si="59">Z126+AF126</f>
        <v>844.370840271318</v>
      </c>
      <c r="AN126" s="43">
        <f t="shared" ref="AN126:AN189" si="60">IF($J126=0, IF($H126&gt;AN$59,0, $S126), IF(OR($H126&gt;AN$59,$H126+$J126&lt;=AN$59),0,
IF($H126=AN$59,$S126-AH126,
S126-AH126)))</f>
        <v>0</v>
      </c>
      <c r="AO126" s="43">
        <f t="shared" ref="AO126:AO189" si="61">IF($J126=0, IF($H126 &gt; AO$59, 0, IF($H126=AO$59, $F126, AN126)), IF(OR($H126&gt;AO$59,$H126+$J126&lt;=AO$59),0,
IF($H126=AO$59,$S126-AI126,
AN126-AI126)))</f>
        <v>38184.682475806861</v>
      </c>
      <c r="AP126" s="43">
        <f t="shared" ref="AP126:AP189" si="62">IF($J126=0, IF($H126 &gt; AP$59, 0, IF($H126=AP$59, $F126, AO126)), IF(OR($H126&gt;AP$59,$H126+$J126&lt;=AP$59),0,
IF($H126=AP$59,$S126-AJ126,
AO126-AJ126)))</f>
        <v>37302.37664069829</v>
      </c>
      <c r="AQ126" s="43">
        <f t="shared" ref="AQ126:AQ189" si="63">IF($J126=0, IF($H126 &gt; AQ$59, 0, IF($H126=AQ$59, $F126, AP126)), IF(OR($H126&gt;AQ$59,$H126+$J126&lt;=AQ$59),0,
IF($H126=AQ$59,$S126-AK126,
AP126-AK126)))</f>
        <v>36439.265145203783</v>
      </c>
      <c r="AR126" s="43">
        <f t="shared" ref="AR126:AR189" si="64">IF($J126=0, IF($H126 &gt; AR$59, 0, IF($H126=AR$59, $F126, AQ126)), IF(OR($H126&gt;AR$59,$H126+$J126&lt;=AR$59),0,
IF($H126=AR$59,$S126-AL126,
AQ126-AL126)))</f>
        <v>35594.894304932466</v>
      </c>
      <c r="AT126" s="43">
        <f t="shared" si="48"/>
        <v>0</v>
      </c>
      <c r="AU126" s="43">
        <f t="shared" si="48"/>
        <v>386.30691367044557</v>
      </c>
      <c r="AV126" s="43">
        <f t="shared" si="48"/>
        <v>415.54262089702496</v>
      </c>
      <c r="AW126" s="43">
        <f t="shared" si="48"/>
        <v>425.46910302501311</v>
      </c>
      <c r="AX126" s="43">
        <f t="shared" si="48"/>
        <v>439.87038122420375</v>
      </c>
      <c r="AZ126" s="47">
        <f t="shared" ref="AZ126:AZ137" si="65">(AH126+AN126*J$16+AT126)*IF($K126=1,$F$25,1)</f>
        <v>0</v>
      </c>
      <c r="BA126" s="47">
        <f t="shared" ref="BA126:BA137" si="66">(AI126+AO126*K$16+AU126)*IF($K126=1,$F$25,1)</f>
        <v>2092.4103266097686</v>
      </c>
      <c r="BB126" s="47">
        <f t="shared" ref="BB126:BB137" si="67">(AJ126+AP126*L$16+AV126)*IF($K126=1,$F$25,1)</f>
        <v>2715.33876835213</v>
      </c>
      <c r="BC126" s="47">
        <f t="shared" ref="BC126:BC137" si="68">(AK126+AQ126*M$16+AW126)*IF($K126=1,$F$25,1)</f>
        <v>2673.2726740372623</v>
      </c>
      <c r="BD126" s="47">
        <f t="shared" ref="BD126:BD137" si="69">(AL126+AR126*N$16+AX126)*IF($K126=1,$F$25,1)</f>
        <v>2636.8472050829555</v>
      </c>
    </row>
    <row r="127" spans="2:56" ht="13">
      <c r="B127" s="37">
        <f>'3. Input (des)investeringen '!B160</f>
        <v>1595</v>
      </c>
      <c r="C127" s="48"/>
      <c r="D127" s="48"/>
      <c r="E127" s="48"/>
      <c r="F127" s="42">
        <f>'3. Input (des)investeringen '!D160</f>
        <v>0</v>
      </c>
      <c r="G127" s="48"/>
      <c r="H127" s="37">
        <f>'3. Input (des)investeringen '!F160</f>
        <v>2023</v>
      </c>
      <c r="I127" s="42" t="str">
        <f>'3. Input (des)investeringen '!G160</f>
        <v>nvt</v>
      </c>
      <c r="J127" s="42">
        <f>'3. Input (des)investeringen '!H160</f>
        <v>0</v>
      </c>
      <c r="K127" s="42">
        <f>'3. Input (des)investeringen '!I160</f>
        <v>0</v>
      </c>
      <c r="M127" s="43">
        <f t="shared" si="49"/>
        <v>0</v>
      </c>
      <c r="N127" s="43">
        <f t="shared" si="50"/>
        <v>0</v>
      </c>
      <c r="P127" s="136">
        <f t="shared" si="52"/>
        <v>0</v>
      </c>
      <c r="Q127" s="136">
        <f t="shared" si="51"/>
        <v>0</v>
      </c>
      <c r="S127" s="43">
        <f t="shared" si="53"/>
        <v>0</v>
      </c>
      <c r="T127" s="38">
        <f t="shared" si="54"/>
        <v>0</v>
      </c>
      <c r="V127" s="43">
        <f t="shared" si="46"/>
        <v>0</v>
      </c>
      <c r="W127" s="43">
        <f t="shared" si="46"/>
        <v>0</v>
      </c>
      <c r="X127" s="43">
        <f t="shared" si="46"/>
        <v>0</v>
      </c>
      <c r="Y127" s="43">
        <f t="shared" si="46"/>
        <v>0</v>
      </c>
      <c r="Z127" s="43">
        <f t="shared" si="46"/>
        <v>0</v>
      </c>
      <c r="AB127" s="43">
        <f t="shared" si="47"/>
        <v>0</v>
      </c>
      <c r="AC127" s="43">
        <f t="shared" si="47"/>
        <v>0</v>
      </c>
      <c r="AD127" s="43">
        <f t="shared" si="47"/>
        <v>0</v>
      </c>
      <c r="AE127" s="43">
        <f t="shared" si="47"/>
        <v>0</v>
      </c>
      <c r="AF127" s="43">
        <f t="shared" si="47"/>
        <v>0</v>
      </c>
      <c r="AH127" s="43">
        <f t="shared" si="55"/>
        <v>0</v>
      </c>
      <c r="AI127" s="43">
        <f t="shared" si="56"/>
        <v>0</v>
      </c>
      <c r="AJ127" s="43">
        <f t="shared" si="57"/>
        <v>0</v>
      </c>
      <c r="AK127" s="43">
        <f t="shared" si="58"/>
        <v>0</v>
      </c>
      <c r="AL127" s="43">
        <f t="shared" si="59"/>
        <v>0</v>
      </c>
      <c r="AN127" s="43">
        <f t="shared" si="60"/>
        <v>0</v>
      </c>
      <c r="AO127" s="43">
        <f t="shared" si="61"/>
        <v>0</v>
      </c>
      <c r="AP127" s="43">
        <f t="shared" si="62"/>
        <v>0</v>
      </c>
      <c r="AQ127" s="43">
        <f t="shared" si="63"/>
        <v>0</v>
      </c>
      <c r="AR127" s="43">
        <f t="shared" si="64"/>
        <v>0</v>
      </c>
      <c r="AT127" s="43">
        <f t="shared" si="48"/>
        <v>0</v>
      </c>
      <c r="AU127" s="43">
        <f t="shared" si="48"/>
        <v>0</v>
      </c>
      <c r="AV127" s="43">
        <f t="shared" si="48"/>
        <v>0</v>
      </c>
      <c r="AW127" s="43">
        <f t="shared" si="48"/>
        <v>0</v>
      </c>
      <c r="AX127" s="43">
        <f t="shared" si="48"/>
        <v>0</v>
      </c>
      <c r="AZ127" s="47">
        <f t="shared" si="65"/>
        <v>0</v>
      </c>
      <c r="BA127" s="47">
        <f t="shared" si="66"/>
        <v>0</v>
      </c>
      <c r="BB127" s="47">
        <f t="shared" si="67"/>
        <v>0</v>
      </c>
      <c r="BC127" s="47">
        <f t="shared" si="68"/>
        <v>0</v>
      </c>
      <c r="BD127" s="47">
        <f t="shared" si="69"/>
        <v>0</v>
      </c>
    </row>
    <row r="128" spans="2:56" ht="13">
      <c r="B128" s="37">
        <f>'3. Input (des)investeringen '!B161</f>
        <v>1596</v>
      </c>
      <c r="C128" s="48"/>
      <c r="D128" s="48"/>
      <c r="E128" s="48"/>
      <c r="F128" s="42">
        <f>'3. Input (des)investeringen '!D161</f>
        <v>642958.60343053075</v>
      </c>
      <c r="G128" s="48"/>
      <c r="H128" s="37">
        <f>'3. Input (des)investeringen '!F161</f>
        <v>2023</v>
      </c>
      <c r="I128" s="42" t="str">
        <f>'3. Input (des)investeringen '!G161</f>
        <v>nvt</v>
      </c>
      <c r="J128" s="42">
        <f>'3. Input (des)investeringen '!H161</f>
        <v>5</v>
      </c>
      <c r="K128" s="42">
        <f>'3. Input (des)investeringen '!I161</f>
        <v>0</v>
      </c>
      <c r="M128" s="43">
        <f t="shared" si="49"/>
        <v>0</v>
      </c>
      <c r="N128" s="43">
        <f t="shared" si="50"/>
        <v>0</v>
      </c>
      <c r="P128" s="136">
        <f t="shared" si="52"/>
        <v>0</v>
      </c>
      <c r="Q128" s="136">
        <f t="shared" si="51"/>
        <v>0</v>
      </c>
      <c r="S128" s="43">
        <f t="shared" si="53"/>
        <v>642958.60343053075</v>
      </c>
      <c r="T128" s="38">
        <f t="shared" si="54"/>
        <v>5</v>
      </c>
      <c r="V128" s="43">
        <f t="shared" si="46"/>
        <v>0</v>
      </c>
      <c r="W128" s="43">
        <f t="shared" si="46"/>
        <v>75226.156601372117</v>
      </c>
      <c r="X128" s="43">
        <f t="shared" si="46"/>
        <v>130893.51248638747</v>
      </c>
      <c r="Y128" s="43">
        <f t="shared" si="46"/>
        <v>106440.87828563376</v>
      </c>
      <c r="Z128" s="43">
        <f t="shared" si="46"/>
        <v>106440.87828563376</v>
      </c>
      <c r="AB128" s="43">
        <f t="shared" si="47"/>
        <v>0</v>
      </c>
      <c r="AC128" s="43">
        <f t="shared" si="47"/>
        <v>6429.5860343053082</v>
      </c>
      <c r="AD128" s="43">
        <f t="shared" si="47"/>
        <v>12859.172068610616</v>
      </c>
      <c r="AE128" s="43">
        <f t="shared" si="47"/>
        <v>12859.172068610616</v>
      </c>
      <c r="AF128" s="43">
        <f t="shared" si="47"/>
        <v>12859.172068610616</v>
      </c>
      <c r="AH128" s="43">
        <f t="shared" si="55"/>
        <v>0</v>
      </c>
      <c r="AI128" s="43">
        <f t="shared" si="56"/>
        <v>81655.742635677423</v>
      </c>
      <c r="AJ128" s="43">
        <f t="shared" si="57"/>
        <v>143752.68455499809</v>
      </c>
      <c r="AK128" s="43">
        <f t="shared" si="58"/>
        <v>119300.05035424438</v>
      </c>
      <c r="AL128" s="43">
        <f t="shared" si="59"/>
        <v>119300.05035424438</v>
      </c>
      <c r="AN128" s="43">
        <f t="shared" si="60"/>
        <v>0</v>
      </c>
      <c r="AO128" s="43">
        <f t="shared" si="61"/>
        <v>561302.8607948533</v>
      </c>
      <c r="AP128" s="43">
        <f t="shared" si="62"/>
        <v>417550.17623985524</v>
      </c>
      <c r="AQ128" s="43">
        <f t="shared" si="63"/>
        <v>298250.12588561088</v>
      </c>
      <c r="AR128" s="43">
        <f t="shared" si="64"/>
        <v>178950.07553136651</v>
      </c>
      <c r="AT128" s="43">
        <f t="shared" si="48"/>
        <v>0</v>
      </c>
      <c r="AU128" s="43">
        <f t="shared" si="48"/>
        <v>6429.5860343053073</v>
      </c>
      <c r="AV128" s="43">
        <f t="shared" si="48"/>
        <v>6916.1771053815328</v>
      </c>
      <c r="AW128" s="43">
        <f t="shared" si="48"/>
        <v>7081.3907440748881</v>
      </c>
      <c r="AX128" s="43">
        <f t="shared" si="48"/>
        <v>7321.081657980335</v>
      </c>
      <c r="AZ128" s="47">
        <f t="shared" si="65"/>
        <v>0</v>
      </c>
      <c r="BA128" s="47">
        <f t="shared" si="66"/>
        <v>106608.3230762129</v>
      </c>
      <c r="BB128" s="47">
        <f t="shared" si="67"/>
        <v>166535.76835749412</v>
      </c>
      <c r="BC128" s="47">
        <f t="shared" si="68"/>
        <v>137714.9458819725</v>
      </c>
      <c r="BD128" s="47">
        <f t="shared" si="69"/>
        <v>133421.23488241664</v>
      </c>
    </row>
    <row r="129" spans="2:56" ht="13">
      <c r="B129" s="37">
        <f>'3. Input (des)investeringen '!B162</f>
        <v>1597</v>
      </c>
      <c r="C129" s="48"/>
      <c r="D129" s="48"/>
      <c r="E129" s="48"/>
      <c r="F129" s="42">
        <f>'3. Input (des)investeringen '!D162</f>
        <v>4759531.6466744374</v>
      </c>
      <c r="G129" s="48"/>
      <c r="H129" s="37">
        <f>'3. Input (des)investeringen '!F162</f>
        <v>2023</v>
      </c>
      <c r="I129" s="42" t="str">
        <f>'3. Input (des)investeringen '!G162</f>
        <v>nvt</v>
      </c>
      <c r="J129" s="42">
        <f>'3. Input (des)investeringen '!H162</f>
        <v>10</v>
      </c>
      <c r="K129" s="42">
        <f>'3. Input (des)investeringen '!I162</f>
        <v>0</v>
      </c>
      <c r="M129" s="43">
        <f t="shared" si="49"/>
        <v>0</v>
      </c>
      <c r="N129" s="43">
        <f t="shared" si="50"/>
        <v>0</v>
      </c>
      <c r="P129" s="136">
        <f t="shared" si="52"/>
        <v>0</v>
      </c>
      <c r="Q129" s="136">
        <f t="shared" si="51"/>
        <v>0</v>
      </c>
      <c r="S129" s="43">
        <f t="shared" si="53"/>
        <v>4759531.6466744374</v>
      </c>
      <c r="T129" s="38">
        <f t="shared" si="54"/>
        <v>10</v>
      </c>
      <c r="V129" s="43">
        <f t="shared" si="46"/>
        <v>0</v>
      </c>
      <c r="W129" s="43">
        <f t="shared" si="46"/>
        <v>278432.60133045464</v>
      </c>
      <c r="X129" s="43">
        <f t="shared" si="46"/>
        <v>520668.96448795014</v>
      </c>
      <c r="Y129" s="43">
        <f t="shared" si="46"/>
        <v>452981.99910451664</v>
      </c>
      <c r="Z129" s="43">
        <f t="shared" si="46"/>
        <v>404199.32227787637</v>
      </c>
      <c r="AB129" s="43">
        <f t="shared" si="47"/>
        <v>0</v>
      </c>
      <c r="AC129" s="43">
        <f t="shared" si="47"/>
        <v>23797.658233372189</v>
      </c>
      <c r="AD129" s="43">
        <f t="shared" si="47"/>
        <v>47595.316466744378</v>
      </c>
      <c r="AE129" s="43">
        <f t="shared" si="47"/>
        <v>47595.316466744378</v>
      </c>
      <c r="AF129" s="43">
        <f t="shared" si="47"/>
        <v>47595.316466744378</v>
      </c>
      <c r="AH129" s="43">
        <f t="shared" si="55"/>
        <v>0</v>
      </c>
      <c r="AI129" s="43">
        <f t="shared" si="56"/>
        <v>302230.25956382684</v>
      </c>
      <c r="AJ129" s="43">
        <f t="shared" si="57"/>
        <v>568264.28095469449</v>
      </c>
      <c r="AK129" s="43">
        <f t="shared" si="58"/>
        <v>500577.31557126099</v>
      </c>
      <c r="AL129" s="43">
        <f t="shared" si="59"/>
        <v>451794.63874462072</v>
      </c>
      <c r="AN129" s="43">
        <f t="shared" si="60"/>
        <v>0</v>
      </c>
      <c r="AO129" s="43">
        <f t="shared" si="61"/>
        <v>4457301.3871106105</v>
      </c>
      <c r="AP129" s="43">
        <f t="shared" si="62"/>
        <v>3889037.1061559161</v>
      </c>
      <c r="AQ129" s="43">
        <f t="shared" si="63"/>
        <v>3388459.790584655</v>
      </c>
      <c r="AR129" s="43">
        <f t="shared" si="64"/>
        <v>2936665.1518400344</v>
      </c>
      <c r="AT129" s="43">
        <f t="shared" si="48"/>
        <v>0</v>
      </c>
      <c r="AU129" s="43">
        <f t="shared" si="48"/>
        <v>47595.316466744378</v>
      </c>
      <c r="AV129" s="43">
        <f t="shared" si="48"/>
        <v>51197.330016947592</v>
      </c>
      <c r="AW129" s="43">
        <f t="shared" si="48"/>
        <v>52420.331836392441</v>
      </c>
      <c r="AX129" s="43">
        <f t="shared" si="48"/>
        <v>54194.655228390649</v>
      </c>
      <c r="AZ129" s="47">
        <f t="shared" si="65"/>
        <v>0</v>
      </c>
      <c r="BA129" s="47">
        <f t="shared" si="66"/>
        <v>496916.52180522133</v>
      </c>
      <c r="BB129" s="47">
        <f t="shared" si="67"/>
        <v>767245.02100556693</v>
      </c>
      <c r="BC129" s="47">
        <f t="shared" si="68"/>
        <v>681759.11944987031</v>
      </c>
      <c r="BD129" s="47">
        <f t="shared" si="69"/>
        <v>617582.56974293268</v>
      </c>
    </row>
    <row r="130" spans="2:56" ht="13">
      <c r="B130" s="37">
        <f>'3. Input (des)investeringen '!B163</f>
        <v>1598</v>
      </c>
      <c r="C130" s="48"/>
      <c r="D130" s="48"/>
      <c r="E130" s="48"/>
      <c r="F130" s="42">
        <f>'3. Input (des)investeringen '!D163</f>
        <v>7788481.0198376775</v>
      </c>
      <c r="G130" s="48"/>
      <c r="H130" s="37">
        <f>'3. Input (des)investeringen '!F163</f>
        <v>2023</v>
      </c>
      <c r="I130" s="42" t="str">
        <f>'3. Input (des)investeringen '!G163</f>
        <v>nvt</v>
      </c>
      <c r="J130" s="42">
        <f>'3. Input (des)investeringen '!H163</f>
        <v>15</v>
      </c>
      <c r="K130" s="42">
        <f>'3. Input (des)investeringen '!I163</f>
        <v>0</v>
      </c>
      <c r="M130" s="43">
        <f t="shared" si="49"/>
        <v>0</v>
      </c>
      <c r="N130" s="43">
        <f t="shared" si="50"/>
        <v>0</v>
      </c>
      <c r="P130" s="136">
        <f t="shared" si="52"/>
        <v>0</v>
      </c>
      <c r="Q130" s="136">
        <f t="shared" si="51"/>
        <v>0</v>
      </c>
      <c r="S130" s="43">
        <f t="shared" si="53"/>
        <v>7788481.0198376775</v>
      </c>
      <c r="T130" s="38">
        <f t="shared" si="54"/>
        <v>15</v>
      </c>
      <c r="V130" s="43">
        <f t="shared" si="46"/>
        <v>0</v>
      </c>
      <c r="W130" s="43">
        <f t="shared" si="46"/>
        <v>303750.75977366942</v>
      </c>
      <c r="X130" s="43">
        <f t="shared" si="46"/>
        <v>581176.4537002875</v>
      </c>
      <c r="Y130" s="43">
        <f t="shared" si="46"/>
        <v>530807.82771292923</v>
      </c>
      <c r="Z130" s="43">
        <f t="shared" si="46"/>
        <v>484804.48264447541</v>
      </c>
      <c r="AB130" s="43">
        <f t="shared" si="47"/>
        <v>0</v>
      </c>
      <c r="AC130" s="43">
        <f t="shared" si="47"/>
        <v>25961.603399458927</v>
      </c>
      <c r="AD130" s="43">
        <f t="shared" si="47"/>
        <v>51923.206798917854</v>
      </c>
      <c r="AE130" s="43">
        <f t="shared" si="47"/>
        <v>51923.206798917854</v>
      </c>
      <c r="AF130" s="43">
        <f t="shared" si="47"/>
        <v>51923.206798917854</v>
      </c>
      <c r="AH130" s="43">
        <f t="shared" si="55"/>
        <v>0</v>
      </c>
      <c r="AI130" s="43">
        <f t="shared" si="56"/>
        <v>329712.36317312834</v>
      </c>
      <c r="AJ130" s="43">
        <f t="shared" si="57"/>
        <v>633099.66049920535</v>
      </c>
      <c r="AK130" s="43">
        <f t="shared" si="58"/>
        <v>582731.03451184707</v>
      </c>
      <c r="AL130" s="43">
        <f t="shared" si="59"/>
        <v>536727.68944339326</v>
      </c>
      <c r="AN130" s="43">
        <f t="shared" si="60"/>
        <v>0</v>
      </c>
      <c r="AO130" s="43">
        <f t="shared" si="61"/>
        <v>7458768.6566645494</v>
      </c>
      <c r="AP130" s="43">
        <f t="shared" si="62"/>
        <v>6825668.9961653445</v>
      </c>
      <c r="AQ130" s="43">
        <f t="shared" si="63"/>
        <v>6242937.9616534971</v>
      </c>
      <c r="AR130" s="43">
        <f t="shared" si="64"/>
        <v>5706210.2722101035</v>
      </c>
      <c r="AT130" s="43">
        <f t="shared" si="48"/>
        <v>0</v>
      </c>
      <c r="AU130" s="43">
        <f t="shared" si="48"/>
        <v>77884.81019837677</v>
      </c>
      <c r="AV130" s="43">
        <f t="shared" si="48"/>
        <v>83779.13263418994</v>
      </c>
      <c r="AW130" s="43">
        <f t="shared" si="48"/>
        <v>85780.448554555478</v>
      </c>
      <c r="AX130" s="43">
        <f t="shared" si="48"/>
        <v>88683.945177230053</v>
      </c>
      <c r="AZ130" s="47">
        <f t="shared" si="65"/>
        <v>0</v>
      </c>
      <c r="BA130" s="47">
        <f t="shared" si="66"/>
        <v>653736.53904143523</v>
      </c>
      <c r="BB130" s="47">
        <f t="shared" si="67"/>
        <v>976254.21498767834</v>
      </c>
      <c r="BC130" s="47">
        <f t="shared" si="68"/>
        <v>905743.12560923537</v>
      </c>
      <c r="BD130" s="47">
        <f t="shared" si="69"/>
        <v>842247.62496460718</v>
      </c>
    </row>
    <row r="131" spans="2:56" ht="13">
      <c r="B131" s="37">
        <f>'3. Input (des)investeringen '!B164</f>
        <v>1599</v>
      </c>
      <c r="C131" s="48"/>
      <c r="D131" s="48"/>
      <c r="E131" s="48"/>
      <c r="F131" s="42">
        <f>'3. Input (des)investeringen '!D164</f>
        <v>7727802.2539787497</v>
      </c>
      <c r="G131" s="48"/>
      <c r="H131" s="37">
        <f>'3. Input (des)investeringen '!F164</f>
        <v>2023</v>
      </c>
      <c r="I131" s="42" t="str">
        <f>'3. Input (des)investeringen '!G164</f>
        <v>nvt</v>
      </c>
      <c r="J131" s="42">
        <f>'3. Input (des)investeringen '!H164</f>
        <v>30</v>
      </c>
      <c r="K131" s="42">
        <f>'3. Input (des)investeringen '!I164</f>
        <v>0</v>
      </c>
      <c r="M131" s="43">
        <f t="shared" si="49"/>
        <v>0</v>
      </c>
      <c r="N131" s="43">
        <f t="shared" si="50"/>
        <v>0</v>
      </c>
      <c r="P131" s="136">
        <f t="shared" si="52"/>
        <v>0</v>
      </c>
      <c r="Q131" s="136">
        <f t="shared" si="51"/>
        <v>0</v>
      </c>
      <c r="S131" s="43">
        <f t="shared" si="53"/>
        <v>7727802.2539787497</v>
      </c>
      <c r="T131" s="38">
        <f t="shared" si="54"/>
        <v>30</v>
      </c>
      <c r="V131" s="43">
        <f t="shared" ref="V131:Z140" si="70">IF($J131=0, 0, IF(OR($H131&gt;V$59,$H131+$J131&lt;V$59),0,
IF(OR($H131=2020,$H131=2021),VDB($S131*(1-$F$28),0,$T131,V$59-2022,MIN($T131,V$59-2021),$F$22,FALSE),
VDB($S131*(1-$F$28),0,$T131,MAX(0,V$59-$H131-0.5),MIN($T131,V$59-$H131+0.5),$F$22,FALSE))))</f>
        <v>0</v>
      </c>
      <c r="W131" s="43">
        <f t="shared" si="70"/>
        <v>150692.14395258564</v>
      </c>
      <c r="X131" s="43">
        <f t="shared" si="70"/>
        <v>294854.29500055924</v>
      </c>
      <c r="Y131" s="43">
        <f t="shared" si="70"/>
        <v>282077.27555053495</v>
      </c>
      <c r="Z131" s="43">
        <f t="shared" si="70"/>
        <v>269853.92694334511</v>
      </c>
      <c r="AB131" s="43">
        <f t="shared" ref="AB131:AF140" si="71">IF($J131=0, 0, IF(OR($H131&gt;AB$59,$H131+$J131&lt;AB$59),0,
IF(OR($H131=2020,$H131=2021),VDB($S131*$F$28,0,$T131,AB$59-2022,MIN($T131,AB$59-2021),1),
VDB($S131*$F$28,0,$T131,MAX(0,AB$59-$H131-0.5),MIN($T131,AB$59-$H131+0.5),1))))</f>
        <v>0</v>
      </c>
      <c r="AC131" s="43">
        <f t="shared" si="71"/>
        <v>12879.670423297917</v>
      </c>
      <c r="AD131" s="43">
        <f t="shared" si="71"/>
        <v>25759.340846595835</v>
      </c>
      <c r="AE131" s="43">
        <f t="shared" si="71"/>
        <v>25759.340846595835</v>
      </c>
      <c r="AF131" s="43">
        <f t="shared" si="71"/>
        <v>25759.340846595835</v>
      </c>
      <c r="AH131" s="43">
        <f t="shared" si="55"/>
        <v>0</v>
      </c>
      <c r="AI131" s="43">
        <f t="shared" si="56"/>
        <v>163571.81437588355</v>
      </c>
      <c r="AJ131" s="43">
        <f t="shared" si="57"/>
        <v>320613.63584715506</v>
      </c>
      <c r="AK131" s="43">
        <f t="shared" si="58"/>
        <v>307836.61639713077</v>
      </c>
      <c r="AL131" s="43">
        <f t="shared" si="59"/>
        <v>295613.26778994093</v>
      </c>
      <c r="AN131" s="43">
        <f t="shared" si="60"/>
        <v>0</v>
      </c>
      <c r="AO131" s="43">
        <f t="shared" si="61"/>
        <v>7564230.4396028658</v>
      </c>
      <c r="AP131" s="43">
        <f t="shared" si="62"/>
        <v>7243616.8037557108</v>
      </c>
      <c r="AQ131" s="43">
        <f t="shared" si="63"/>
        <v>6935780.1873585805</v>
      </c>
      <c r="AR131" s="43">
        <f t="shared" si="64"/>
        <v>6640166.9195686392</v>
      </c>
      <c r="AT131" s="43">
        <f t="shared" ref="AT131:AX140" si="72">IF($H131&lt;=AT$59,$F131*INDEX($H$40:$N$46,$H131-2019,AT$59-2019)*INDEX($H$49:$N$55,$H131-2019,AT$59-2019)*$F$19,0)</f>
        <v>0</v>
      </c>
      <c r="AU131" s="43">
        <f t="shared" si="72"/>
        <v>77278.022539787504</v>
      </c>
      <c r="AV131" s="43">
        <f t="shared" si="72"/>
        <v>83126.423285598619</v>
      </c>
      <c r="AW131" s="43">
        <f t="shared" si="72"/>
        <v>85112.147285044994</v>
      </c>
      <c r="AX131" s="43">
        <f t="shared" si="72"/>
        <v>87993.023246349185</v>
      </c>
      <c r="AZ131" s="47">
        <f t="shared" si="65"/>
        <v>0</v>
      </c>
      <c r="BA131" s="47">
        <f t="shared" si="66"/>
        <v>490469.44142256567</v>
      </c>
      <c r="BB131" s="47">
        <f t="shared" si="67"/>
        <v>678997.49767547077</v>
      </c>
      <c r="BC131" s="47">
        <f t="shared" si="68"/>
        <v>656508.41080180183</v>
      </c>
      <c r="BD131" s="47">
        <f t="shared" si="69"/>
        <v>635932.63397989841</v>
      </c>
    </row>
    <row r="132" spans="2:56" ht="13">
      <c r="B132" s="37">
        <f>'3. Input (des)investeringen '!B165</f>
        <v>1600</v>
      </c>
      <c r="C132" s="48"/>
      <c r="D132" s="48"/>
      <c r="E132" s="48"/>
      <c r="F132" s="42">
        <f>'3. Input (des)investeringen '!D165</f>
        <v>0</v>
      </c>
      <c r="G132" s="48"/>
      <c r="H132" s="37">
        <f>'3. Input (des)investeringen '!F165</f>
        <v>2023</v>
      </c>
      <c r="I132" s="42" t="str">
        <f>'3. Input (des)investeringen '!G165</f>
        <v>nvt</v>
      </c>
      <c r="J132" s="42">
        <f>'3. Input (des)investeringen '!H165</f>
        <v>55</v>
      </c>
      <c r="K132" s="42">
        <f>'3. Input (des)investeringen '!I165</f>
        <v>0</v>
      </c>
      <c r="M132" s="43">
        <f t="shared" si="49"/>
        <v>0</v>
      </c>
      <c r="N132" s="43">
        <f t="shared" si="50"/>
        <v>0</v>
      </c>
      <c r="P132" s="136">
        <f t="shared" si="52"/>
        <v>0</v>
      </c>
      <c r="Q132" s="136">
        <f t="shared" si="51"/>
        <v>0</v>
      </c>
      <c r="S132" s="43">
        <f t="shared" si="53"/>
        <v>0</v>
      </c>
      <c r="T132" s="38">
        <f t="shared" si="54"/>
        <v>55</v>
      </c>
      <c r="V132" s="43">
        <f t="shared" si="70"/>
        <v>0</v>
      </c>
      <c r="W132" s="43">
        <f t="shared" si="70"/>
        <v>0</v>
      </c>
      <c r="X132" s="43">
        <f t="shared" si="70"/>
        <v>0</v>
      </c>
      <c r="Y132" s="43">
        <f t="shared" si="70"/>
        <v>0</v>
      </c>
      <c r="Z132" s="43">
        <f t="shared" si="70"/>
        <v>0</v>
      </c>
      <c r="AB132" s="43">
        <f t="shared" si="71"/>
        <v>0</v>
      </c>
      <c r="AC132" s="43">
        <f t="shared" si="71"/>
        <v>0</v>
      </c>
      <c r="AD132" s="43">
        <f t="shared" si="71"/>
        <v>0</v>
      </c>
      <c r="AE132" s="43">
        <f t="shared" si="71"/>
        <v>0</v>
      </c>
      <c r="AF132" s="43">
        <f t="shared" si="71"/>
        <v>0</v>
      </c>
      <c r="AH132" s="43">
        <f t="shared" si="55"/>
        <v>0</v>
      </c>
      <c r="AI132" s="43">
        <f t="shared" si="56"/>
        <v>0</v>
      </c>
      <c r="AJ132" s="43">
        <f t="shared" si="57"/>
        <v>0</v>
      </c>
      <c r="AK132" s="43">
        <f t="shared" si="58"/>
        <v>0</v>
      </c>
      <c r="AL132" s="43">
        <f t="shared" si="59"/>
        <v>0</v>
      </c>
      <c r="AN132" s="43">
        <f t="shared" si="60"/>
        <v>0</v>
      </c>
      <c r="AO132" s="43">
        <f t="shared" si="61"/>
        <v>0</v>
      </c>
      <c r="AP132" s="43">
        <f t="shared" si="62"/>
        <v>0</v>
      </c>
      <c r="AQ132" s="43">
        <f t="shared" si="63"/>
        <v>0</v>
      </c>
      <c r="AR132" s="43">
        <f t="shared" si="64"/>
        <v>0</v>
      </c>
      <c r="AT132" s="43">
        <f t="shared" si="72"/>
        <v>0</v>
      </c>
      <c r="AU132" s="43">
        <f t="shared" si="72"/>
        <v>0</v>
      </c>
      <c r="AV132" s="43">
        <f t="shared" si="72"/>
        <v>0</v>
      </c>
      <c r="AW132" s="43">
        <f t="shared" si="72"/>
        <v>0</v>
      </c>
      <c r="AX132" s="43">
        <f t="shared" si="72"/>
        <v>0</v>
      </c>
      <c r="AZ132" s="47">
        <f t="shared" si="65"/>
        <v>0</v>
      </c>
      <c r="BA132" s="47">
        <f t="shared" si="66"/>
        <v>0</v>
      </c>
      <c r="BB132" s="47">
        <f t="shared" si="67"/>
        <v>0</v>
      </c>
      <c r="BC132" s="47">
        <f t="shared" si="68"/>
        <v>0</v>
      </c>
      <c r="BD132" s="47">
        <f t="shared" si="69"/>
        <v>0</v>
      </c>
    </row>
    <row r="133" spans="2:56" ht="13">
      <c r="B133" s="37">
        <f>'3. Input (des)investeringen '!B166</f>
        <v>1601</v>
      </c>
      <c r="C133" s="48"/>
      <c r="D133" s="48"/>
      <c r="E133" s="48"/>
      <c r="F133" s="42">
        <f>'3. Input (des)investeringen '!D166</f>
        <v>0</v>
      </c>
      <c r="G133" s="48"/>
      <c r="H133" s="37">
        <f>'3. Input (des)investeringen '!F166</f>
        <v>2024</v>
      </c>
      <c r="I133" s="42" t="str">
        <f>'3. Input (des)investeringen '!G166</f>
        <v>nvt</v>
      </c>
      <c r="J133" s="42">
        <f>'3. Input (des)investeringen '!H166</f>
        <v>0</v>
      </c>
      <c r="K133" s="42">
        <f>'3. Input (des)investeringen '!I166</f>
        <v>1</v>
      </c>
      <c r="M133" s="43">
        <f t="shared" si="49"/>
        <v>0</v>
      </c>
      <c r="N133" s="43">
        <f t="shared" si="50"/>
        <v>0</v>
      </c>
      <c r="P133" s="136">
        <f t="shared" si="52"/>
        <v>0</v>
      </c>
      <c r="Q133" s="136">
        <f t="shared" si="51"/>
        <v>0</v>
      </c>
      <c r="S133" s="43">
        <f t="shared" si="53"/>
        <v>0</v>
      </c>
      <c r="T133" s="38">
        <f t="shared" si="54"/>
        <v>0</v>
      </c>
      <c r="V133" s="43">
        <f t="shared" si="70"/>
        <v>0</v>
      </c>
      <c r="W133" s="43">
        <f t="shared" si="70"/>
        <v>0</v>
      </c>
      <c r="X133" s="43">
        <f t="shared" si="70"/>
        <v>0</v>
      </c>
      <c r="Y133" s="43">
        <f t="shared" si="70"/>
        <v>0</v>
      </c>
      <c r="Z133" s="43">
        <f t="shared" si="70"/>
        <v>0</v>
      </c>
      <c r="AB133" s="43">
        <f t="shared" si="71"/>
        <v>0</v>
      </c>
      <c r="AC133" s="43">
        <f t="shared" si="71"/>
        <v>0</v>
      </c>
      <c r="AD133" s="43">
        <f t="shared" si="71"/>
        <v>0</v>
      </c>
      <c r="AE133" s="43">
        <f t="shared" si="71"/>
        <v>0</v>
      </c>
      <c r="AF133" s="43">
        <f t="shared" si="71"/>
        <v>0</v>
      </c>
      <c r="AH133" s="43">
        <f t="shared" si="55"/>
        <v>0</v>
      </c>
      <c r="AI133" s="43">
        <f t="shared" si="56"/>
        <v>0</v>
      </c>
      <c r="AJ133" s="43">
        <f t="shared" si="57"/>
        <v>0</v>
      </c>
      <c r="AK133" s="43">
        <f t="shared" si="58"/>
        <v>0</v>
      </c>
      <c r="AL133" s="43">
        <f t="shared" si="59"/>
        <v>0</v>
      </c>
      <c r="AN133" s="43">
        <f t="shared" si="60"/>
        <v>0</v>
      </c>
      <c r="AO133" s="43">
        <f t="shared" si="61"/>
        <v>0</v>
      </c>
      <c r="AP133" s="43">
        <f t="shared" si="62"/>
        <v>0</v>
      </c>
      <c r="AQ133" s="43">
        <f t="shared" si="63"/>
        <v>0</v>
      </c>
      <c r="AR133" s="43">
        <f t="shared" si="64"/>
        <v>0</v>
      </c>
      <c r="AT133" s="43">
        <f t="shared" si="72"/>
        <v>0</v>
      </c>
      <c r="AU133" s="43">
        <f t="shared" si="72"/>
        <v>0</v>
      </c>
      <c r="AV133" s="43">
        <f t="shared" si="72"/>
        <v>0</v>
      </c>
      <c r="AW133" s="43">
        <f t="shared" si="72"/>
        <v>0</v>
      </c>
      <c r="AX133" s="43">
        <f t="shared" si="72"/>
        <v>0</v>
      </c>
      <c r="AZ133" s="47">
        <f t="shared" si="65"/>
        <v>0</v>
      </c>
      <c r="BA133" s="47">
        <f t="shared" si="66"/>
        <v>0</v>
      </c>
      <c r="BB133" s="47">
        <f t="shared" si="67"/>
        <v>0</v>
      </c>
      <c r="BC133" s="47">
        <f t="shared" si="68"/>
        <v>0</v>
      </c>
      <c r="BD133" s="47">
        <f t="shared" si="69"/>
        <v>0</v>
      </c>
    </row>
    <row r="134" spans="2:56" ht="13">
      <c r="B134" s="37">
        <f>'3. Input (des)investeringen '!B167</f>
        <v>1602</v>
      </c>
      <c r="C134" s="48"/>
      <c r="D134" s="48"/>
      <c r="E134" s="48"/>
      <c r="F134" s="42">
        <f>'3. Input (des)investeringen '!D167</f>
        <v>17329841.381191369</v>
      </c>
      <c r="G134" s="48"/>
      <c r="H134" s="37">
        <f>'3. Input (des)investeringen '!F167</f>
        <v>2024</v>
      </c>
      <c r="I134" s="42" t="str">
        <f>'3. Input (des)investeringen '!G167</f>
        <v>nvt</v>
      </c>
      <c r="J134" s="42">
        <f>'3. Input (des)investeringen '!H167</f>
        <v>5</v>
      </c>
      <c r="K134" s="42">
        <f>'3. Input (des)investeringen '!I167</f>
        <v>1</v>
      </c>
      <c r="M134" s="43">
        <f t="shared" si="49"/>
        <v>0</v>
      </c>
      <c r="N134" s="43">
        <f t="shared" si="50"/>
        <v>0</v>
      </c>
      <c r="P134" s="136">
        <f t="shared" si="52"/>
        <v>0</v>
      </c>
      <c r="Q134" s="136">
        <f t="shared" si="51"/>
        <v>0</v>
      </c>
      <c r="S134" s="43">
        <f t="shared" si="53"/>
        <v>17329841.381191369</v>
      </c>
      <c r="T134" s="38">
        <f t="shared" si="54"/>
        <v>5</v>
      </c>
      <c r="V134" s="43">
        <f t="shared" si="70"/>
        <v>0</v>
      </c>
      <c r="W134" s="43">
        <f t="shared" si="70"/>
        <v>0</v>
      </c>
      <c r="X134" s="43">
        <f t="shared" si="70"/>
        <v>2027591.4415993902</v>
      </c>
      <c r="Y134" s="43">
        <f t="shared" si="70"/>
        <v>3528009.1083829394</v>
      </c>
      <c r="Z134" s="43">
        <f t="shared" si="70"/>
        <v>2868930.4837399721</v>
      </c>
      <c r="AB134" s="43">
        <f t="shared" si="71"/>
        <v>0</v>
      </c>
      <c r="AC134" s="43">
        <f t="shared" si="71"/>
        <v>0</v>
      </c>
      <c r="AD134" s="43">
        <f t="shared" si="71"/>
        <v>173298.41381191369</v>
      </c>
      <c r="AE134" s="43">
        <f t="shared" si="71"/>
        <v>346596.82762382738</v>
      </c>
      <c r="AF134" s="43">
        <f t="shared" si="71"/>
        <v>346596.82762382738</v>
      </c>
      <c r="AH134" s="43">
        <f t="shared" si="55"/>
        <v>0</v>
      </c>
      <c r="AI134" s="43">
        <f t="shared" si="56"/>
        <v>0</v>
      </c>
      <c r="AJ134" s="43">
        <f t="shared" si="57"/>
        <v>2200889.8554113042</v>
      </c>
      <c r="AK134" s="43">
        <f t="shared" si="58"/>
        <v>3874605.9360067667</v>
      </c>
      <c r="AL134" s="43">
        <f t="shared" si="59"/>
        <v>3215527.3113637995</v>
      </c>
      <c r="AN134" s="43">
        <f t="shared" si="60"/>
        <v>0</v>
      </c>
      <c r="AO134" s="43">
        <f t="shared" si="61"/>
        <v>0</v>
      </c>
      <c r="AP134" s="43">
        <f t="shared" si="62"/>
        <v>15128951.525780065</v>
      </c>
      <c r="AQ134" s="43">
        <f t="shared" si="63"/>
        <v>11254345.589773297</v>
      </c>
      <c r="AR134" s="43">
        <f t="shared" si="64"/>
        <v>8038818.2784094978</v>
      </c>
      <c r="AT134" s="43">
        <f t="shared" si="72"/>
        <v>0</v>
      </c>
      <c r="AU134" s="43">
        <f t="shared" si="72"/>
        <v>0</v>
      </c>
      <c r="AV134" s="43">
        <f t="shared" si="72"/>
        <v>173298.41381191369</v>
      </c>
      <c r="AW134" s="43">
        <f t="shared" si="72"/>
        <v>177438.16632105267</v>
      </c>
      <c r="AX134" s="43">
        <f t="shared" si="72"/>
        <v>183444.09337468765</v>
      </c>
      <c r="AZ134" s="47">
        <f t="shared" si="65"/>
        <v>0</v>
      </c>
      <c r="BA134" s="47">
        <f t="shared" si="66"/>
        <v>0</v>
      </c>
      <c r="BB134" s="47">
        <f t="shared" si="67"/>
        <v>2949088.4272028604</v>
      </c>
      <c r="BC134" s="47">
        <f t="shared" si="68"/>
        <v>4479709.2347392039</v>
      </c>
      <c r="BD134" s="47">
        <f t="shared" si="69"/>
        <v>3704446.4993180479</v>
      </c>
    </row>
    <row r="135" spans="2:56" ht="13">
      <c r="B135" s="37">
        <f>'3. Input (des)investeringen '!B168</f>
        <v>1603</v>
      </c>
      <c r="C135" s="48"/>
      <c r="D135" s="48"/>
      <c r="E135" s="48"/>
      <c r="F135" s="42">
        <f>'3. Input (des)investeringen '!D168</f>
        <v>5256515.0928236982</v>
      </c>
      <c r="G135" s="48"/>
      <c r="H135" s="37">
        <f>'3. Input (des)investeringen '!F168</f>
        <v>2024</v>
      </c>
      <c r="I135" s="42" t="str">
        <f>'3. Input (des)investeringen '!G168</f>
        <v>nvt</v>
      </c>
      <c r="J135" s="42">
        <f>'3. Input (des)investeringen '!H168</f>
        <v>10</v>
      </c>
      <c r="K135" s="42">
        <f>'3. Input (des)investeringen '!I168</f>
        <v>1</v>
      </c>
      <c r="M135" s="43">
        <f t="shared" si="49"/>
        <v>0</v>
      </c>
      <c r="N135" s="43">
        <f t="shared" si="50"/>
        <v>0</v>
      </c>
      <c r="P135" s="136">
        <f t="shared" si="52"/>
        <v>0</v>
      </c>
      <c r="Q135" s="136">
        <f t="shared" si="51"/>
        <v>0</v>
      </c>
      <c r="S135" s="43">
        <f t="shared" si="53"/>
        <v>5256515.0928236982</v>
      </c>
      <c r="T135" s="38">
        <f t="shared" si="54"/>
        <v>10</v>
      </c>
      <c r="V135" s="43">
        <f t="shared" si="70"/>
        <v>0</v>
      </c>
      <c r="W135" s="43">
        <f t="shared" si="70"/>
        <v>0</v>
      </c>
      <c r="X135" s="43">
        <f t="shared" si="70"/>
        <v>307506.13293018634</v>
      </c>
      <c r="Y135" s="43">
        <f t="shared" si="70"/>
        <v>575036.46857944841</v>
      </c>
      <c r="Z135" s="43">
        <f t="shared" si="70"/>
        <v>500281.72766412015</v>
      </c>
      <c r="AB135" s="43">
        <f t="shared" si="71"/>
        <v>0</v>
      </c>
      <c r="AC135" s="43">
        <f t="shared" si="71"/>
        <v>0</v>
      </c>
      <c r="AD135" s="43">
        <f t="shared" si="71"/>
        <v>26282.575464118494</v>
      </c>
      <c r="AE135" s="43">
        <f t="shared" si="71"/>
        <v>52565.150928236988</v>
      </c>
      <c r="AF135" s="43">
        <f t="shared" si="71"/>
        <v>52565.150928236988</v>
      </c>
      <c r="AH135" s="43">
        <f t="shared" si="55"/>
        <v>0</v>
      </c>
      <c r="AI135" s="43">
        <f t="shared" si="56"/>
        <v>0</v>
      </c>
      <c r="AJ135" s="43">
        <f t="shared" si="57"/>
        <v>333788.70839430485</v>
      </c>
      <c r="AK135" s="43">
        <f t="shared" si="58"/>
        <v>627601.61950768542</v>
      </c>
      <c r="AL135" s="43">
        <f t="shared" si="59"/>
        <v>552846.87859235716</v>
      </c>
      <c r="AN135" s="43">
        <f t="shared" si="60"/>
        <v>0</v>
      </c>
      <c r="AO135" s="43">
        <f t="shared" si="61"/>
        <v>0</v>
      </c>
      <c r="AP135" s="43">
        <f t="shared" si="62"/>
        <v>4922726.3844293933</v>
      </c>
      <c r="AQ135" s="43">
        <f t="shared" si="63"/>
        <v>4295124.764921708</v>
      </c>
      <c r="AR135" s="43">
        <f t="shared" si="64"/>
        <v>3742277.886329351</v>
      </c>
      <c r="AT135" s="43">
        <f t="shared" si="72"/>
        <v>0</v>
      </c>
      <c r="AU135" s="43">
        <f t="shared" si="72"/>
        <v>0</v>
      </c>
      <c r="AV135" s="43">
        <f t="shared" si="72"/>
        <v>52565.150928236981</v>
      </c>
      <c r="AW135" s="43">
        <f t="shared" si="72"/>
        <v>53820.827253610711</v>
      </c>
      <c r="AX135" s="43">
        <f t="shared" si="72"/>
        <v>55642.554614490924</v>
      </c>
      <c r="AZ135" s="47">
        <f t="shared" si="65"/>
        <v>0</v>
      </c>
      <c r="BA135" s="47">
        <f t="shared" si="66"/>
        <v>0</v>
      </c>
      <c r="BB135" s="47">
        <f t="shared" si="67"/>
        <v>573417.46193085879</v>
      </c>
      <c r="BC135" s="47">
        <f t="shared" si="68"/>
        <v>844637.18782832101</v>
      </c>
      <c r="BD135" s="47">
        <f t="shared" si="69"/>
        <v>750695.99288736342</v>
      </c>
    </row>
    <row r="136" spans="2:56" ht="13">
      <c r="B136" s="37">
        <f>'3. Input (des)investeringen '!B169</f>
        <v>1604</v>
      </c>
      <c r="C136" s="48"/>
      <c r="D136" s="48"/>
      <c r="E136" s="48"/>
      <c r="F136" s="42">
        <f>'3. Input (des)investeringen '!D169</f>
        <v>24794632.448747091</v>
      </c>
      <c r="G136" s="48"/>
      <c r="H136" s="37">
        <f>'3. Input (des)investeringen '!F169</f>
        <v>2024</v>
      </c>
      <c r="I136" s="42" t="str">
        <f>'3. Input (des)investeringen '!G169</f>
        <v>nvt</v>
      </c>
      <c r="J136" s="42">
        <f>'3. Input (des)investeringen '!H169</f>
        <v>15</v>
      </c>
      <c r="K136" s="42">
        <f>'3. Input (des)investeringen '!I169</f>
        <v>1</v>
      </c>
      <c r="M136" s="43">
        <f t="shared" si="49"/>
        <v>0</v>
      </c>
      <c r="N136" s="43">
        <f t="shared" si="50"/>
        <v>0</v>
      </c>
      <c r="P136" s="136">
        <f t="shared" si="52"/>
        <v>0</v>
      </c>
      <c r="Q136" s="136">
        <f t="shared" si="51"/>
        <v>0</v>
      </c>
      <c r="S136" s="43">
        <f t="shared" si="53"/>
        <v>24794632.448747091</v>
      </c>
      <c r="T136" s="38">
        <f t="shared" si="54"/>
        <v>15</v>
      </c>
      <c r="V136" s="43">
        <f t="shared" si="70"/>
        <v>0</v>
      </c>
      <c r="W136" s="43">
        <f t="shared" si="70"/>
        <v>0</v>
      </c>
      <c r="X136" s="43">
        <f t="shared" si="70"/>
        <v>966990.66550113657</v>
      </c>
      <c r="Y136" s="43">
        <f t="shared" si="70"/>
        <v>1850175.4733255082</v>
      </c>
      <c r="Z136" s="43">
        <f t="shared" si="70"/>
        <v>1689826.9323039639</v>
      </c>
      <c r="AB136" s="43">
        <f t="shared" si="71"/>
        <v>0</v>
      </c>
      <c r="AC136" s="43">
        <f t="shared" si="71"/>
        <v>0</v>
      </c>
      <c r="AD136" s="43">
        <f t="shared" si="71"/>
        <v>82648.774829156973</v>
      </c>
      <c r="AE136" s="43">
        <f t="shared" si="71"/>
        <v>165297.54965831395</v>
      </c>
      <c r="AF136" s="43">
        <f t="shared" si="71"/>
        <v>165297.54965831395</v>
      </c>
      <c r="AH136" s="43">
        <f t="shared" si="55"/>
        <v>0</v>
      </c>
      <c r="AI136" s="43">
        <f t="shared" si="56"/>
        <v>0</v>
      </c>
      <c r="AJ136" s="43">
        <f t="shared" si="57"/>
        <v>1049639.4403302935</v>
      </c>
      <c r="AK136" s="43">
        <f t="shared" si="58"/>
        <v>2015473.022983822</v>
      </c>
      <c r="AL136" s="43">
        <f t="shared" si="59"/>
        <v>1855124.4819622778</v>
      </c>
      <c r="AN136" s="43">
        <f t="shared" si="60"/>
        <v>0</v>
      </c>
      <c r="AO136" s="43">
        <f t="shared" si="61"/>
        <v>0</v>
      </c>
      <c r="AP136" s="43">
        <f t="shared" si="62"/>
        <v>23744993.008416798</v>
      </c>
      <c r="AQ136" s="43">
        <f t="shared" si="63"/>
        <v>21729519.985432975</v>
      </c>
      <c r="AR136" s="43">
        <f t="shared" si="64"/>
        <v>19874395.503470697</v>
      </c>
      <c r="AT136" s="43">
        <f t="shared" si="72"/>
        <v>0</v>
      </c>
      <c r="AU136" s="43">
        <f t="shared" si="72"/>
        <v>0</v>
      </c>
      <c r="AV136" s="43">
        <f t="shared" si="72"/>
        <v>247946.32448747091</v>
      </c>
      <c r="AW136" s="43">
        <f t="shared" si="72"/>
        <v>253869.26628682762</v>
      </c>
      <c r="AX136" s="43">
        <f t="shared" si="72"/>
        <v>262462.23321210418</v>
      </c>
      <c r="AZ136" s="47">
        <f t="shared" si="65"/>
        <v>0</v>
      </c>
      <c r="BA136" s="47">
        <f t="shared" si="66"/>
        <v>0</v>
      </c>
      <c r="BB136" s="47">
        <f t="shared" si="67"/>
        <v>2199895.4991376027</v>
      </c>
      <c r="BC136" s="47">
        <f t="shared" si="68"/>
        <v>3095064.048717103</v>
      </c>
      <c r="BD136" s="47">
        <f t="shared" si="69"/>
        <v>2872813.7443062682</v>
      </c>
    </row>
    <row r="137" spans="2:56" ht="13">
      <c r="B137" s="37">
        <f>'3. Input (des)investeringen '!B170</f>
        <v>1605</v>
      </c>
      <c r="C137" s="48"/>
      <c r="D137" s="48"/>
      <c r="E137" s="48"/>
      <c r="F137" s="42">
        <f>'3. Input (des)investeringen '!D170</f>
        <v>30453006.468301013</v>
      </c>
      <c r="G137" s="48"/>
      <c r="H137" s="37">
        <f>'3. Input (des)investeringen '!F170</f>
        <v>2024</v>
      </c>
      <c r="I137" s="42" t="str">
        <f>'3. Input (des)investeringen '!G170</f>
        <v>nvt</v>
      </c>
      <c r="J137" s="42">
        <f>'3. Input (des)investeringen '!H170</f>
        <v>30</v>
      </c>
      <c r="K137" s="42">
        <f>'3. Input (des)investeringen '!I170</f>
        <v>1</v>
      </c>
      <c r="M137" s="43">
        <f t="shared" si="49"/>
        <v>0</v>
      </c>
      <c r="N137" s="43">
        <f t="shared" si="50"/>
        <v>0</v>
      </c>
      <c r="P137" s="136">
        <f t="shared" si="52"/>
        <v>0</v>
      </c>
      <c r="Q137" s="136">
        <f t="shared" si="51"/>
        <v>0</v>
      </c>
      <c r="S137" s="43">
        <f t="shared" si="53"/>
        <v>30453006.468301013</v>
      </c>
      <c r="T137" s="38">
        <f t="shared" si="54"/>
        <v>30</v>
      </c>
      <c r="V137" s="43">
        <f t="shared" si="70"/>
        <v>0</v>
      </c>
      <c r="W137" s="43">
        <f t="shared" si="70"/>
        <v>0</v>
      </c>
      <c r="X137" s="43">
        <f t="shared" si="70"/>
        <v>593833.62613186974</v>
      </c>
      <c r="Y137" s="43">
        <f t="shared" si="70"/>
        <v>1161934.4617980253</v>
      </c>
      <c r="Z137" s="43">
        <f t="shared" si="70"/>
        <v>1111583.9684534443</v>
      </c>
      <c r="AB137" s="43">
        <f t="shared" si="71"/>
        <v>0</v>
      </c>
      <c r="AC137" s="43">
        <f t="shared" si="71"/>
        <v>0</v>
      </c>
      <c r="AD137" s="43">
        <f t="shared" si="71"/>
        <v>50755.010780501689</v>
      </c>
      <c r="AE137" s="43">
        <f t="shared" si="71"/>
        <v>101510.02156100339</v>
      </c>
      <c r="AF137" s="43">
        <f t="shared" si="71"/>
        <v>101510.02156100339</v>
      </c>
      <c r="AH137" s="43">
        <f t="shared" si="55"/>
        <v>0</v>
      </c>
      <c r="AI137" s="43">
        <f t="shared" si="56"/>
        <v>0</v>
      </c>
      <c r="AJ137" s="43">
        <f t="shared" si="57"/>
        <v>644588.63691237138</v>
      </c>
      <c r="AK137" s="43">
        <f t="shared" si="58"/>
        <v>1263444.4833590286</v>
      </c>
      <c r="AL137" s="43">
        <f t="shared" si="59"/>
        <v>1213093.9900144476</v>
      </c>
      <c r="AN137" s="43">
        <f t="shared" si="60"/>
        <v>0</v>
      </c>
      <c r="AO137" s="43">
        <f t="shared" si="61"/>
        <v>0</v>
      </c>
      <c r="AP137" s="43">
        <f t="shared" si="62"/>
        <v>29808417.831388641</v>
      </c>
      <c r="AQ137" s="43">
        <f t="shared" si="63"/>
        <v>28544973.348029613</v>
      </c>
      <c r="AR137" s="43">
        <f t="shared" si="64"/>
        <v>27331879.358015165</v>
      </c>
      <c r="AT137" s="43">
        <f t="shared" si="72"/>
        <v>0</v>
      </c>
      <c r="AU137" s="43">
        <f t="shared" si="72"/>
        <v>0</v>
      </c>
      <c r="AV137" s="43">
        <f t="shared" si="72"/>
        <v>304530.06468301016</v>
      </c>
      <c r="AW137" s="43">
        <f t="shared" si="72"/>
        <v>311804.67886815785</v>
      </c>
      <c r="AX137" s="43">
        <f t="shared" si="72"/>
        <v>322358.64363848726</v>
      </c>
      <c r="AZ137" s="47">
        <f t="shared" si="65"/>
        <v>0</v>
      </c>
      <c r="BA137" s="47">
        <f t="shared" si="66"/>
        <v>0</v>
      </c>
      <c r="BB137" s="47">
        <f t="shared" si="67"/>
        <v>2081838.5791881497</v>
      </c>
      <c r="BC137" s="47">
        <f t="shared" si="68"/>
        <v>2659958.1494523119</v>
      </c>
      <c r="BD137" s="47">
        <f t="shared" si="69"/>
        <v>2574064.0492575113</v>
      </c>
    </row>
    <row r="138" spans="2:56" ht="13">
      <c r="B138" s="37">
        <f>'3. Input (des)investeringen '!B171</f>
        <v>1606</v>
      </c>
      <c r="C138" s="48"/>
      <c r="D138" s="48"/>
      <c r="E138" s="48"/>
      <c r="F138" s="42">
        <f>'3. Input (des)investeringen '!D171</f>
        <v>84298220.607542247</v>
      </c>
      <c r="G138" s="48"/>
      <c r="H138" s="37">
        <f>'3. Input (des)investeringen '!F171</f>
        <v>2024</v>
      </c>
      <c r="I138" s="42" t="str">
        <f>'3. Input (des)investeringen '!G171</f>
        <v>nvt</v>
      </c>
      <c r="J138" s="42">
        <f>'3. Input (des)investeringen '!H171</f>
        <v>55</v>
      </c>
      <c r="K138" s="42">
        <f>'3. Input (des)investeringen '!I171</f>
        <v>1</v>
      </c>
      <c r="M138" s="43">
        <f t="shared" si="49"/>
        <v>0</v>
      </c>
      <c r="N138" s="43">
        <f t="shared" si="50"/>
        <v>0</v>
      </c>
      <c r="P138" s="136">
        <f t="shared" si="52"/>
        <v>0</v>
      </c>
      <c r="Q138" s="136">
        <f t="shared" si="51"/>
        <v>0</v>
      </c>
      <c r="S138" s="43">
        <f t="shared" si="53"/>
        <v>84298220.607542247</v>
      </c>
      <c r="T138" s="38">
        <f t="shared" ref="T138:T158" si="73">IF($J138=0, 0, IF(H138&lt;2022,J138-2021+H138-0.5,J138))</f>
        <v>55</v>
      </c>
      <c r="V138" s="43">
        <f t="shared" si="70"/>
        <v>0</v>
      </c>
      <c r="W138" s="43">
        <f t="shared" si="70"/>
        <v>0</v>
      </c>
      <c r="X138" s="43">
        <f t="shared" si="70"/>
        <v>896626.52828022209</v>
      </c>
      <c r="Y138" s="43">
        <f t="shared" si="70"/>
        <v>1772060.0658920023</v>
      </c>
      <c r="Z138" s="43">
        <f t="shared" si="70"/>
        <v>1730175.0097891006</v>
      </c>
      <c r="AB138" s="43">
        <f t="shared" si="71"/>
        <v>0</v>
      </c>
      <c r="AC138" s="43">
        <f t="shared" si="71"/>
        <v>0</v>
      </c>
      <c r="AD138" s="43">
        <f t="shared" si="71"/>
        <v>76634.746006856585</v>
      </c>
      <c r="AE138" s="43">
        <f t="shared" si="71"/>
        <v>153269.49201371317</v>
      </c>
      <c r="AF138" s="43">
        <f t="shared" si="71"/>
        <v>153269.49201371317</v>
      </c>
      <c r="AH138" s="43">
        <f t="shared" ref="AH138:AH158" si="74">V138+AB138</f>
        <v>0</v>
      </c>
      <c r="AI138" s="43">
        <f t="shared" ref="AI138:AI158" si="75">W138+AC138</f>
        <v>0</v>
      </c>
      <c r="AJ138" s="43">
        <f t="shared" ref="AJ138:AJ158" si="76">X138+AD138</f>
        <v>973261.27428707865</v>
      </c>
      <c r="AK138" s="43">
        <f t="shared" ref="AK138:AK158" si="77">Y138+AE138</f>
        <v>1925329.5579057154</v>
      </c>
      <c r="AL138" s="43">
        <f t="shared" ref="AL138:AL158" si="78">Z138+AF138</f>
        <v>1883444.5018028137</v>
      </c>
      <c r="AN138" s="43">
        <f t="shared" si="60"/>
        <v>0</v>
      </c>
      <c r="AO138" s="43">
        <f t="shared" si="61"/>
        <v>0</v>
      </c>
      <c r="AP138" s="43">
        <f t="shared" si="62"/>
        <v>83324959.333255172</v>
      </c>
      <c r="AQ138" s="43">
        <f t="shared" si="63"/>
        <v>81399629.775349453</v>
      </c>
      <c r="AR138" s="43">
        <f t="shared" si="64"/>
        <v>79516185.273546636</v>
      </c>
      <c r="AT138" s="43">
        <f t="shared" si="72"/>
        <v>0</v>
      </c>
      <c r="AU138" s="43">
        <f t="shared" si="72"/>
        <v>0</v>
      </c>
      <c r="AV138" s="43">
        <f t="shared" si="72"/>
        <v>842982.20607542247</v>
      </c>
      <c r="AW138" s="43">
        <f t="shared" si="72"/>
        <v>863119.36501415225</v>
      </c>
      <c r="AX138" s="43">
        <f t="shared" si="72"/>
        <v>892334.2292811512</v>
      </c>
      <c r="AZ138" s="47">
        <f t="shared" ref="AZ138:AZ158" si="79">(AH138+AN138*J$16+AT138)*IF($K138=1,$F$25,1)</f>
        <v>0</v>
      </c>
      <c r="BA138" s="47">
        <f t="shared" ref="BA138:BA158" si="80">(AI138+AO138*K$16+AU138)*IF($K138=1,$F$25,1)</f>
        <v>0</v>
      </c>
      <c r="BB138" s="47">
        <f t="shared" ref="BB138:BB158" si="81">(AJ138+AP138*L$16+AV138)*IF($K138=1,$F$25,1)</f>
        <v>4982591.9350261968</v>
      </c>
      <c r="BC138" s="47">
        <f t="shared" ref="BC138:BC158" si="82">(AK138+AQ138*M$16+AW138)*IF($K138=1,$F$25,1)</f>
        <v>5881634.8543831473</v>
      </c>
      <c r="BD138" s="47">
        <f t="shared" ref="BD138:BD158" si="83">(AL138+AR138*N$16+AX138)*IF($K138=1,$F$25,1)</f>
        <v>5797393.7714787368</v>
      </c>
    </row>
    <row r="139" spans="2:56" ht="13">
      <c r="B139" s="37">
        <f>'3. Input (des)investeringen '!B172</f>
        <v>1607</v>
      </c>
      <c r="C139" s="48"/>
      <c r="D139" s="48"/>
      <c r="E139" s="48"/>
      <c r="F139" s="42">
        <f>'3. Input (des)investeringen '!D172</f>
        <v>-32176.139947802236</v>
      </c>
      <c r="G139" s="48"/>
      <c r="H139" s="37">
        <f>'3. Input (des)investeringen '!F172</f>
        <v>2024</v>
      </c>
      <c r="I139" s="42" t="str">
        <f>'3. Input (des)investeringen '!G172</f>
        <v>nvt</v>
      </c>
      <c r="J139" s="42">
        <f>'3. Input (des)investeringen '!H172</f>
        <v>0</v>
      </c>
      <c r="K139" s="42">
        <f>'3. Input (des)investeringen '!I172</f>
        <v>0</v>
      </c>
      <c r="M139" s="43">
        <f t="shared" si="49"/>
        <v>0</v>
      </c>
      <c r="N139" s="43">
        <f t="shared" si="50"/>
        <v>0</v>
      </c>
      <c r="P139" s="136">
        <f t="shared" si="52"/>
        <v>0</v>
      </c>
      <c r="Q139" s="136">
        <f t="shared" si="51"/>
        <v>0</v>
      </c>
      <c r="S139" s="43">
        <f t="shared" si="53"/>
        <v>-32176.139947802236</v>
      </c>
      <c r="T139" s="38">
        <f t="shared" si="73"/>
        <v>0</v>
      </c>
      <c r="V139" s="43">
        <f t="shared" si="70"/>
        <v>0</v>
      </c>
      <c r="W139" s="43">
        <f t="shared" si="70"/>
        <v>0</v>
      </c>
      <c r="X139" s="43">
        <f t="shared" si="70"/>
        <v>0</v>
      </c>
      <c r="Y139" s="43">
        <f t="shared" si="70"/>
        <v>0</v>
      </c>
      <c r="Z139" s="43">
        <f t="shared" si="70"/>
        <v>0</v>
      </c>
      <c r="AB139" s="43">
        <f t="shared" si="71"/>
        <v>0</v>
      </c>
      <c r="AC139" s="43">
        <f t="shared" si="71"/>
        <v>0</v>
      </c>
      <c r="AD139" s="43">
        <f t="shared" si="71"/>
        <v>0</v>
      </c>
      <c r="AE139" s="43">
        <f t="shared" si="71"/>
        <v>0</v>
      </c>
      <c r="AF139" s="43">
        <f t="shared" si="71"/>
        <v>0</v>
      </c>
      <c r="AH139" s="43">
        <f t="shared" si="74"/>
        <v>0</v>
      </c>
      <c r="AI139" s="43">
        <f t="shared" si="75"/>
        <v>0</v>
      </c>
      <c r="AJ139" s="43">
        <f t="shared" si="76"/>
        <v>0</v>
      </c>
      <c r="AK139" s="43">
        <f t="shared" si="77"/>
        <v>0</v>
      </c>
      <c r="AL139" s="43">
        <f t="shared" si="78"/>
        <v>0</v>
      </c>
      <c r="AN139" s="43">
        <f t="shared" si="60"/>
        <v>0</v>
      </c>
      <c r="AO139" s="43">
        <f t="shared" si="61"/>
        <v>0</v>
      </c>
      <c r="AP139" s="43">
        <f t="shared" si="62"/>
        <v>-32176.139947802236</v>
      </c>
      <c r="AQ139" s="43">
        <f t="shared" si="63"/>
        <v>-32176.139947802236</v>
      </c>
      <c r="AR139" s="43">
        <f t="shared" si="64"/>
        <v>-32176.139947802236</v>
      </c>
      <c r="AT139" s="43">
        <f t="shared" si="72"/>
        <v>0</v>
      </c>
      <c r="AU139" s="43">
        <f t="shared" si="72"/>
        <v>0</v>
      </c>
      <c r="AV139" s="43">
        <f t="shared" si="72"/>
        <v>-321.76139947802238</v>
      </c>
      <c r="AW139" s="43">
        <f t="shared" si="72"/>
        <v>-329.44763578875342</v>
      </c>
      <c r="AX139" s="43">
        <f t="shared" si="72"/>
        <v>-340.59877936493103</v>
      </c>
      <c r="AZ139" s="47">
        <f t="shared" si="79"/>
        <v>0</v>
      </c>
      <c r="BA139" s="47">
        <f t="shared" si="80"/>
        <v>0</v>
      </c>
      <c r="BB139" s="47">
        <f t="shared" si="81"/>
        <v>-1544.4547174945073</v>
      </c>
      <c r="BC139" s="47">
        <f t="shared" si="82"/>
        <v>-1552.1409538052383</v>
      </c>
      <c r="BD139" s="47">
        <f t="shared" si="83"/>
        <v>-1563.2920973814159</v>
      </c>
    </row>
    <row r="140" spans="2:56" ht="13">
      <c r="B140" s="37">
        <f>'3. Input (des)investeringen '!B173</f>
        <v>1608</v>
      </c>
      <c r="C140" s="48"/>
      <c r="D140" s="48"/>
      <c r="E140" s="48"/>
      <c r="F140" s="42">
        <f>'3. Input (des)investeringen '!D173</f>
        <v>453184.63628655189</v>
      </c>
      <c r="G140" s="48"/>
      <c r="H140" s="37">
        <f>'3. Input (des)investeringen '!F173</f>
        <v>2024</v>
      </c>
      <c r="I140" s="42" t="str">
        <f>'3. Input (des)investeringen '!G173</f>
        <v>nvt</v>
      </c>
      <c r="J140" s="42">
        <f>'3. Input (des)investeringen '!H173</f>
        <v>5</v>
      </c>
      <c r="K140" s="42">
        <f>'3. Input (des)investeringen '!I173</f>
        <v>0</v>
      </c>
      <c r="M140" s="43">
        <f t="shared" si="49"/>
        <v>0</v>
      </c>
      <c r="N140" s="43">
        <f t="shared" si="50"/>
        <v>0</v>
      </c>
      <c r="P140" s="136">
        <f t="shared" si="52"/>
        <v>0</v>
      </c>
      <c r="Q140" s="136">
        <f t="shared" si="51"/>
        <v>0</v>
      </c>
      <c r="S140" s="43">
        <f t="shared" si="53"/>
        <v>453184.63628655189</v>
      </c>
      <c r="T140" s="38">
        <f t="shared" si="73"/>
        <v>5</v>
      </c>
      <c r="V140" s="43">
        <f t="shared" si="70"/>
        <v>0</v>
      </c>
      <c r="W140" s="43">
        <f t="shared" si="70"/>
        <v>0</v>
      </c>
      <c r="X140" s="43">
        <f t="shared" si="70"/>
        <v>53022.602445526572</v>
      </c>
      <c r="Y140" s="43">
        <f t="shared" si="70"/>
        <v>92259.328255216242</v>
      </c>
      <c r="Z140" s="43">
        <f t="shared" si="70"/>
        <v>75024.069130615404</v>
      </c>
      <c r="AB140" s="43">
        <f t="shared" si="71"/>
        <v>0</v>
      </c>
      <c r="AC140" s="43">
        <f t="shared" si="71"/>
        <v>0</v>
      </c>
      <c r="AD140" s="43">
        <f t="shared" si="71"/>
        <v>4531.846362865519</v>
      </c>
      <c r="AE140" s="43">
        <f t="shared" si="71"/>
        <v>9063.6927257310381</v>
      </c>
      <c r="AF140" s="43">
        <f t="shared" si="71"/>
        <v>9063.6927257310381</v>
      </c>
      <c r="AH140" s="43">
        <f t="shared" si="74"/>
        <v>0</v>
      </c>
      <c r="AI140" s="43">
        <f t="shared" si="75"/>
        <v>0</v>
      </c>
      <c r="AJ140" s="43">
        <f t="shared" si="76"/>
        <v>57554.448808392088</v>
      </c>
      <c r="AK140" s="43">
        <f t="shared" si="77"/>
        <v>101323.02098094727</v>
      </c>
      <c r="AL140" s="43">
        <f t="shared" si="78"/>
        <v>84087.761856346449</v>
      </c>
      <c r="AN140" s="43">
        <f t="shared" si="60"/>
        <v>0</v>
      </c>
      <c r="AO140" s="43">
        <f t="shared" si="61"/>
        <v>0</v>
      </c>
      <c r="AP140" s="43">
        <f t="shared" si="62"/>
        <v>395630.18747815979</v>
      </c>
      <c r="AQ140" s="43">
        <f t="shared" si="63"/>
        <v>294307.16649721249</v>
      </c>
      <c r="AR140" s="43">
        <f t="shared" si="64"/>
        <v>210219.40464086604</v>
      </c>
      <c r="AT140" s="43">
        <f t="shared" si="72"/>
        <v>0</v>
      </c>
      <c r="AU140" s="43">
        <f t="shared" si="72"/>
        <v>0</v>
      </c>
      <c r="AV140" s="43">
        <f t="shared" si="72"/>
        <v>4531.846362865519</v>
      </c>
      <c r="AW140" s="43">
        <f t="shared" si="72"/>
        <v>4640.10310878165</v>
      </c>
      <c r="AX140" s="43">
        <f t="shared" si="72"/>
        <v>4797.1613188076926</v>
      </c>
      <c r="AZ140" s="47">
        <f t="shared" si="79"/>
        <v>0</v>
      </c>
      <c r="BA140" s="47">
        <f t="shared" si="80"/>
        <v>0</v>
      </c>
      <c r="BB140" s="47">
        <f t="shared" si="81"/>
        <v>77120.24229542767</v>
      </c>
      <c r="BC140" s="47">
        <f t="shared" si="82"/>
        <v>117146.79641662299</v>
      </c>
      <c r="BD140" s="47">
        <f t="shared" si="83"/>
        <v>96873.260551507046</v>
      </c>
    </row>
    <row r="141" spans="2:56" ht="13">
      <c r="B141" s="37">
        <f>'3. Input (des)investeringen '!B174</f>
        <v>1609</v>
      </c>
      <c r="C141" s="48"/>
      <c r="D141" s="48"/>
      <c r="E141" s="48"/>
      <c r="F141" s="42">
        <f>'3. Input (des)investeringen '!D174</f>
        <v>1625152.505858528</v>
      </c>
      <c r="G141" s="48"/>
      <c r="H141" s="37">
        <f>'3. Input (des)investeringen '!F174</f>
        <v>2024</v>
      </c>
      <c r="I141" s="42" t="str">
        <f>'3. Input (des)investeringen '!G174</f>
        <v>nvt</v>
      </c>
      <c r="J141" s="42">
        <f>'3. Input (des)investeringen '!H174</f>
        <v>10</v>
      </c>
      <c r="K141" s="42">
        <f>'3. Input (des)investeringen '!I174</f>
        <v>0</v>
      </c>
      <c r="M141" s="43">
        <f t="shared" si="49"/>
        <v>0</v>
      </c>
      <c r="N141" s="43">
        <f t="shared" si="50"/>
        <v>0</v>
      </c>
      <c r="P141" s="136">
        <f t="shared" si="52"/>
        <v>0</v>
      </c>
      <c r="Q141" s="136">
        <f t="shared" si="51"/>
        <v>0</v>
      </c>
      <c r="S141" s="43">
        <f t="shared" si="53"/>
        <v>1625152.505858528</v>
      </c>
      <c r="T141" s="38">
        <f t="shared" si="73"/>
        <v>10</v>
      </c>
      <c r="V141" s="43">
        <f t="shared" ref="V141:Z150" si="84">IF($J141=0, 0, IF(OR($H141&gt;V$59,$H141+$J141&lt;V$59),0,
IF(OR($H141=2020,$H141=2021),VDB($S141*(1-$F$28),0,$T141,V$59-2022,MIN($T141,V$59-2021),$F$22,FALSE),
VDB($S141*(1-$F$28),0,$T141,MAX(0,V$59-$H141-0.5),MIN($T141,V$59-$H141+0.5),$F$22,FALSE))))</f>
        <v>0</v>
      </c>
      <c r="W141" s="43">
        <f t="shared" si="84"/>
        <v>0</v>
      </c>
      <c r="X141" s="43">
        <f t="shared" si="84"/>
        <v>95071.421592723898</v>
      </c>
      <c r="Y141" s="43">
        <f t="shared" si="84"/>
        <v>177783.5583783937</v>
      </c>
      <c r="Z141" s="43">
        <f t="shared" si="84"/>
        <v>154671.69578920252</v>
      </c>
      <c r="AB141" s="43">
        <f t="shared" ref="AB141:AF150" si="85">IF($J141=0, 0, IF(OR($H141&gt;AB$59,$H141+$J141&lt;AB$59),0,
IF(OR($H141=2020,$H141=2021),VDB($S141*$F$28,0,$T141,AB$59-2022,MIN($T141,AB$59-2021),1),
VDB($S141*$F$28,0,$T141,MAX(0,AB$59-$H141-0.5),MIN($T141,AB$59-$H141+0.5),1))))</f>
        <v>0</v>
      </c>
      <c r="AC141" s="43">
        <f t="shared" si="85"/>
        <v>0</v>
      </c>
      <c r="AD141" s="43">
        <f t="shared" si="85"/>
        <v>8125.7625292926405</v>
      </c>
      <c r="AE141" s="43">
        <f t="shared" si="85"/>
        <v>16251.525058585281</v>
      </c>
      <c r="AF141" s="43">
        <f t="shared" si="85"/>
        <v>16251.525058585281</v>
      </c>
      <c r="AH141" s="43">
        <f t="shared" si="74"/>
        <v>0</v>
      </c>
      <c r="AI141" s="43">
        <f t="shared" si="75"/>
        <v>0</v>
      </c>
      <c r="AJ141" s="43">
        <f t="shared" si="76"/>
        <v>103197.18412201654</v>
      </c>
      <c r="AK141" s="43">
        <f t="shared" si="77"/>
        <v>194035.08343697898</v>
      </c>
      <c r="AL141" s="43">
        <f t="shared" si="78"/>
        <v>170923.2208477878</v>
      </c>
      <c r="AN141" s="43">
        <f t="shared" si="60"/>
        <v>0</v>
      </c>
      <c r="AO141" s="43">
        <f t="shared" si="61"/>
        <v>0</v>
      </c>
      <c r="AP141" s="43">
        <f t="shared" si="62"/>
        <v>1521955.3217365113</v>
      </c>
      <c r="AQ141" s="43">
        <f t="shared" si="63"/>
        <v>1327920.2382995323</v>
      </c>
      <c r="AR141" s="43">
        <f t="shared" si="64"/>
        <v>1156997.0174517445</v>
      </c>
      <c r="AT141" s="43">
        <f t="shared" ref="AT141:AX150" si="86">IF($H141&lt;=AT$59,$F141*INDEX($H$40:$N$46,$H141-2019,AT$59-2019)*INDEX($H$49:$N$55,$H141-2019,AT$59-2019)*$F$19,0)</f>
        <v>0</v>
      </c>
      <c r="AU141" s="43">
        <f t="shared" si="86"/>
        <v>0</v>
      </c>
      <c r="AV141" s="43">
        <f t="shared" si="86"/>
        <v>16251.525058585279</v>
      </c>
      <c r="AW141" s="43">
        <f t="shared" si="86"/>
        <v>16639.741489184766</v>
      </c>
      <c r="AX141" s="43">
        <f t="shared" si="86"/>
        <v>17202.963459110695</v>
      </c>
      <c r="AZ141" s="47">
        <f t="shared" si="79"/>
        <v>0</v>
      </c>
      <c r="BA141" s="47">
        <f t="shared" si="80"/>
        <v>0</v>
      </c>
      <c r="BB141" s="47">
        <f t="shared" si="81"/>
        <v>177283.01140658924</v>
      </c>
      <c r="BC141" s="47">
        <f t="shared" si="82"/>
        <v>261135.79398154598</v>
      </c>
      <c r="BD141" s="47">
        <f t="shared" si="83"/>
        <v>232092.07097006479</v>
      </c>
    </row>
    <row r="142" spans="2:56" ht="13">
      <c r="B142" s="37">
        <f>'3. Input (des)investeringen '!B175</f>
        <v>1610</v>
      </c>
      <c r="C142" s="48"/>
      <c r="D142" s="48"/>
      <c r="E142" s="48"/>
      <c r="F142" s="42">
        <f>'3. Input (des)investeringen '!D175</f>
        <v>4883791.4333008695</v>
      </c>
      <c r="G142" s="48"/>
      <c r="H142" s="37">
        <f>'3. Input (des)investeringen '!F175</f>
        <v>2024</v>
      </c>
      <c r="I142" s="42" t="str">
        <f>'3. Input (des)investeringen '!G175</f>
        <v>nvt</v>
      </c>
      <c r="J142" s="42">
        <f>'3. Input (des)investeringen '!H175</f>
        <v>15</v>
      </c>
      <c r="K142" s="42">
        <f>'3. Input (des)investeringen '!I175</f>
        <v>0</v>
      </c>
      <c r="M142" s="43">
        <f t="shared" si="49"/>
        <v>0</v>
      </c>
      <c r="N142" s="43">
        <f t="shared" si="50"/>
        <v>0</v>
      </c>
      <c r="P142" s="136">
        <f t="shared" si="52"/>
        <v>0</v>
      </c>
      <c r="Q142" s="136">
        <f t="shared" si="51"/>
        <v>0</v>
      </c>
      <c r="S142" s="43">
        <f t="shared" si="53"/>
        <v>4883791.4333008695</v>
      </c>
      <c r="T142" s="38">
        <f t="shared" si="73"/>
        <v>15</v>
      </c>
      <c r="V142" s="43">
        <f t="shared" si="84"/>
        <v>0</v>
      </c>
      <c r="W142" s="43">
        <f t="shared" si="84"/>
        <v>0</v>
      </c>
      <c r="X142" s="43">
        <f t="shared" si="84"/>
        <v>190467.86589873393</v>
      </c>
      <c r="Y142" s="43">
        <f t="shared" si="84"/>
        <v>364428.51675291092</v>
      </c>
      <c r="Z142" s="43">
        <f t="shared" si="84"/>
        <v>332844.7119676586</v>
      </c>
      <c r="AB142" s="43">
        <f t="shared" si="85"/>
        <v>0</v>
      </c>
      <c r="AC142" s="43">
        <f t="shared" si="85"/>
        <v>0</v>
      </c>
      <c r="AD142" s="43">
        <f t="shared" si="85"/>
        <v>16279.304777669566</v>
      </c>
      <c r="AE142" s="43">
        <f t="shared" si="85"/>
        <v>32558.609555339131</v>
      </c>
      <c r="AF142" s="43">
        <f t="shared" si="85"/>
        <v>32558.609555339131</v>
      </c>
      <c r="AH142" s="43">
        <f t="shared" si="74"/>
        <v>0</v>
      </c>
      <c r="AI142" s="43">
        <f t="shared" si="75"/>
        <v>0</v>
      </c>
      <c r="AJ142" s="43">
        <f t="shared" si="76"/>
        <v>206747.1706764035</v>
      </c>
      <c r="AK142" s="43">
        <f t="shared" si="77"/>
        <v>396987.12630825007</v>
      </c>
      <c r="AL142" s="43">
        <f t="shared" si="78"/>
        <v>365403.32152299775</v>
      </c>
      <c r="AN142" s="43">
        <f t="shared" si="60"/>
        <v>0</v>
      </c>
      <c r="AO142" s="43">
        <f t="shared" si="61"/>
        <v>0</v>
      </c>
      <c r="AP142" s="43">
        <f t="shared" si="62"/>
        <v>4677044.2626244659</v>
      </c>
      <c r="AQ142" s="43">
        <f t="shared" si="63"/>
        <v>4280057.1363162156</v>
      </c>
      <c r="AR142" s="43">
        <f t="shared" si="64"/>
        <v>3914653.8147932179</v>
      </c>
      <c r="AT142" s="43">
        <f t="shared" si="86"/>
        <v>0</v>
      </c>
      <c r="AU142" s="43">
        <f t="shared" si="86"/>
        <v>0</v>
      </c>
      <c r="AV142" s="43">
        <f t="shared" si="86"/>
        <v>48837.914333008695</v>
      </c>
      <c r="AW142" s="43">
        <f t="shared" si="86"/>
        <v>50004.554430595606</v>
      </c>
      <c r="AX142" s="43">
        <f t="shared" si="86"/>
        <v>51697.108588962416</v>
      </c>
      <c r="AZ142" s="47">
        <f t="shared" si="79"/>
        <v>0</v>
      </c>
      <c r="BA142" s="47">
        <f t="shared" si="80"/>
        <v>0</v>
      </c>
      <c r="BB142" s="47">
        <f t="shared" si="81"/>
        <v>433312.76698914194</v>
      </c>
      <c r="BC142" s="47">
        <f t="shared" si="82"/>
        <v>609633.85191886185</v>
      </c>
      <c r="BD142" s="47">
        <f t="shared" si="83"/>
        <v>565857.27507410245</v>
      </c>
    </row>
    <row r="143" spans="2:56" ht="13">
      <c r="B143" s="37">
        <f>'3. Input (des)investeringen '!B176</f>
        <v>1611</v>
      </c>
      <c r="C143" s="48"/>
      <c r="D143" s="48"/>
      <c r="E143" s="48"/>
      <c r="F143" s="42">
        <f>'3. Input (des)investeringen '!D176</f>
        <v>27700057.310498618</v>
      </c>
      <c r="G143" s="48"/>
      <c r="H143" s="37">
        <f>'3. Input (des)investeringen '!F176</f>
        <v>2024</v>
      </c>
      <c r="I143" s="42" t="str">
        <f>'3. Input (des)investeringen '!G176</f>
        <v>nvt</v>
      </c>
      <c r="J143" s="42">
        <f>'3. Input (des)investeringen '!H176</f>
        <v>30</v>
      </c>
      <c r="K143" s="42">
        <f>'3. Input (des)investeringen '!I176</f>
        <v>0</v>
      </c>
      <c r="M143" s="43">
        <f t="shared" si="49"/>
        <v>0</v>
      </c>
      <c r="N143" s="43">
        <f t="shared" si="50"/>
        <v>0</v>
      </c>
      <c r="P143" s="136">
        <f t="shared" si="52"/>
        <v>0</v>
      </c>
      <c r="Q143" s="136">
        <f t="shared" si="51"/>
        <v>0</v>
      </c>
      <c r="S143" s="43">
        <f t="shared" si="53"/>
        <v>27700057.310498618</v>
      </c>
      <c r="T143" s="38">
        <f t="shared" si="73"/>
        <v>30</v>
      </c>
      <c r="V143" s="43">
        <f t="shared" si="84"/>
        <v>0</v>
      </c>
      <c r="W143" s="43">
        <f t="shared" si="84"/>
        <v>0</v>
      </c>
      <c r="X143" s="43">
        <f t="shared" si="84"/>
        <v>540151.11755472305</v>
      </c>
      <c r="Y143" s="43">
        <f t="shared" si="84"/>
        <v>1056895.6866820748</v>
      </c>
      <c r="Z143" s="43">
        <f t="shared" si="84"/>
        <v>1011096.8735925182</v>
      </c>
      <c r="AB143" s="43">
        <f t="shared" si="85"/>
        <v>0</v>
      </c>
      <c r="AC143" s="43">
        <f t="shared" si="85"/>
        <v>0</v>
      </c>
      <c r="AD143" s="43">
        <f t="shared" si="85"/>
        <v>46166.762184164363</v>
      </c>
      <c r="AE143" s="43">
        <f t="shared" si="85"/>
        <v>92333.524368328726</v>
      </c>
      <c r="AF143" s="43">
        <f t="shared" si="85"/>
        <v>92333.524368328726</v>
      </c>
      <c r="AH143" s="43">
        <f t="shared" si="74"/>
        <v>0</v>
      </c>
      <c r="AI143" s="43">
        <f t="shared" si="75"/>
        <v>0</v>
      </c>
      <c r="AJ143" s="43">
        <f t="shared" si="76"/>
        <v>586317.87973888742</v>
      </c>
      <c r="AK143" s="43">
        <f t="shared" si="77"/>
        <v>1149229.2110504035</v>
      </c>
      <c r="AL143" s="43">
        <f t="shared" si="78"/>
        <v>1103430.3979608468</v>
      </c>
      <c r="AN143" s="43">
        <f t="shared" si="60"/>
        <v>0</v>
      </c>
      <c r="AO143" s="43">
        <f t="shared" si="61"/>
        <v>0</v>
      </c>
      <c r="AP143" s="43">
        <f t="shared" si="62"/>
        <v>27113739.430759732</v>
      </c>
      <c r="AQ143" s="43">
        <f t="shared" si="63"/>
        <v>25964510.219709329</v>
      </c>
      <c r="AR143" s="43">
        <f t="shared" si="64"/>
        <v>24861079.821748484</v>
      </c>
      <c r="AT143" s="43">
        <f t="shared" si="86"/>
        <v>0</v>
      </c>
      <c r="AU143" s="43">
        <f t="shared" si="86"/>
        <v>0</v>
      </c>
      <c r="AV143" s="43">
        <f t="shared" si="86"/>
        <v>277000.57310498616</v>
      </c>
      <c r="AW143" s="43">
        <f t="shared" si="86"/>
        <v>283617.56279531808</v>
      </c>
      <c r="AX143" s="43">
        <f t="shared" si="86"/>
        <v>293217.45006081404</v>
      </c>
      <c r="AZ143" s="47">
        <f t="shared" si="79"/>
        <v>0</v>
      </c>
      <c r="BA143" s="47">
        <f t="shared" si="80"/>
        <v>0</v>
      </c>
      <c r="BB143" s="47">
        <f t="shared" si="81"/>
        <v>1893640.5512127434</v>
      </c>
      <c r="BC143" s="47">
        <f t="shared" si="82"/>
        <v>2419498.1621946762</v>
      </c>
      <c r="BD143" s="47">
        <f t="shared" si="83"/>
        <v>2341368.8812481035</v>
      </c>
    </row>
    <row r="144" spans="2:56" ht="13">
      <c r="B144" s="37">
        <f>'3. Input (des)investeringen '!B177</f>
        <v>1612</v>
      </c>
      <c r="C144" s="48"/>
      <c r="D144" s="48"/>
      <c r="E144" s="48"/>
      <c r="F144" s="42">
        <f>'3. Input (des)investeringen '!D177</f>
        <v>39130.263467803168</v>
      </c>
      <c r="G144" s="48"/>
      <c r="H144" s="37">
        <f>'3. Input (des)investeringen '!F177</f>
        <v>2024</v>
      </c>
      <c r="I144" s="42" t="str">
        <f>'3. Input (des)investeringen '!G177</f>
        <v>nvt</v>
      </c>
      <c r="J144" s="42">
        <f>'3. Input (des)investeringen '!H177</f>
        <v>55</v>
      </c>
      <c r="K144" s="42">
        <f>'3. Input (des)investeringen '!I177</f>
        <v>0</v>
      </c>
      <c r="M144" s="43">
        <f t="shared" si="49"/>
        <v>0</v>
      </c>
      <c r="N144" s="43">
        <f t="shared" si="50"/>
        <v>0</v>
      </c>
      <c r="P144" s="136">
        <f t="shared" si="52"/>
        <v>0</v>
      </c>
      <c r="Q144" s="136">
        <f t="shared" si="51"/>
        <v>0</v>
      </c>
      <c r="S144" s="43">
        <f t="shared" si="53"/>
        <v>39130.263467803168</v>
      </c>
      <c r="T144" s="38">
        <f t="shared" si="73"/>
        <v>55</v>
      </c>
      <c r="V144" s="43">
        <f t="shared" si="84"/>
        <v>0</v>
      </c>
      <c r="W144" s="43">
        <f t="shared" si="84"/>
        <v>0</v>
      </c>
      <c r="X144" s="43">
        <f t="shared" si="84"/>
        <v>416.20371143027006</v>
      </c>
      <c r="Y144" s="43">
        <f t="shared" si="84"/>
        <v>822.56988059037008</v>
      </c>
      <c r="Z144" s="43">
        <f t="shared" si="84"/>
        <v>803.1273197764159</v>
      </c>
      <c r="AB144" s="43">
        <f t="shared" si="85"/>
        <v>0</v>
      </c>
      <c r="AC144" s="43">
        <f t="shared" si="85"/>
        <v>0</v>
      </c>
      <c r="AD144" s="43">
        <f t="shared" si="85"/>
        <v>35.57296678891197</v>
      </c>
      <c r="AE144" s="43">
        <f t="shared" si="85"/>
        <v>71.145933577823953</v>
      </c>
      <c r="AF144" s="43">
        <f t="shared" si="85"/>
        <v>71.145933577823953</v>
      </c>
      <c r="AH144" s="43">
        <f t="shared" si="74"/>
        <v>0</v>
      </c>
      <c r="AI144" s="43">
        <f t="shared" si="75"/>
        <v>0</v>
      </c>
      <c r="AJ144" s="43">
        <f t="shared" si="76"/>
        <v>451.77667821918203</v>
      </c>
      <c r="AK144" s="43">
        <f t="shared" si="77"/>
        <v>893.71581416819402</v>
      </c>
      <c r="AL144" s="43">
        <f t="shared" si="78"/>
        <v>874.27325335423984</v>
      </c>
      <c r="AN144" s="43">
        <f t="shared" si="60"/>
        <v>0</v>
      </c>
      <c r="AO144" s="43">
        <f t="shared" si="61"/>
        <v>0</v>
      </c>
      <c r="AP144" s="43">
        <f t="shared" si="62"/>
        <v>38678.486789583985</v>
      </c>
      <c r="AQ144" s="43">
        <f t="shared" si="63"/>
        <v>37784.770975415791</v>
      </c>
      <c r="AR144" s="43">
        <f t="shared" si="64"/>
        <v>36910.497722061555</v>
      </c>
      <c r="AT144" s="43">
        <f t="shared" si="86"/>
        <v>0</v>
      </c>
      <c r="AU144" s="43">
        <f t="shared" si="86"/>
        <v>0</v>
      </c>
      <c r="AV144" s="43">
        <f t="shared" si="86"/>
        <v>391.30263467803167</v>
      </c>
      <c r="AW144" s="43">
        <f t="shared" si="86"/>
        <v>400.65007201522053</v>
      </c>
      <c r="AX144" s="43">
        <f t="shared" si="86"/>
        <v>414.2112756527917</v>
      </c>
      <c r="AZ144" s="47">
        <f t="shared" si="79"/>
        <v>0</v>
      </c>
      <c r="BA144" s="47">
        <f t="shared" si="80"/>
        <v>0</v>
      </c>
      <c r="BB144" s="47">
        <f t="shared" si="81"/>
        <v>2312.8618109014051</v>
      </c>
      <c r="BC144" s="47">
        <f t="shared" si="82"/>
        <v>2730.1871832492143</v>
      </c>
      <c r="BD144" s="47">
        <f t="shared" si="83"/>
        <v>2691.0834424453706</v>
      </c>
    </row>
    <row r="145" spans="2:56" ht="13">
      <c r="B145" s="37">
        <f>'3. Input (des)investeringen '!B178</f>
        <v>1613</v>
      </c>
      <c r="C145" s="48"/>
      <c r="D145" s="48"/>
      <c r="E145" s="48"/>
      <c r="F145" s="42">
        <f>'3. Input (des)investeringen '!D178</f>
        <v>0</v>
      </c>
      <c r="G145" s="48"/>
      <c r="H145" s="37">
        <f>'3. Input (des)investeringen '!F178</f>
        <v>2024</v>
      </c>
      <c r="I145" s="42" t="str">
        <f>'3. Input (des)investeringen '!G178</f>
        <v>nvt</v>
      </c>
      <c r="J145" s="42">
        <f>'3. Input (des)investeringen '!H178</f>
        <v>0</v>
      </c>
      <c r="K145" s="42">
        <f>'3. Input (des)investeringen '!I178</f>
        <v>0</v>
      </c>
      <c r="M145" s="43">
        <f t="shared" si="49"/>
        <v>0</v>
      </c>
      <c r="N145" s="43">
        <f t="shared" si="50"/>
        <v>0</v>
      </c>
      <c r="P145" s="136">
        <f t="shared" si="52"/>
        <v>0</v>
      </c>
      <c r="Q145" s="136">
        <f t="shared" si="51"/>
        <v>0</v>
      </c>
      <c r="S145" s="43">
        <f t="shared" si="53"/>
        <v>0</v>
      </c>
      <c r="T145" s="38">
        <f t="shared" si="73"/>
        <v>0</v>
      </c>
      <c r="V145" s="43">
        <f t="shared" si="84"/>
        <v>0</v>
      </c>
      <c r="W145" s="43">
        <f t="shared" si="84"/>
        <v>0</v>
      </c>
      <c r="X145" s="43">
        <f t="shared" si="84"/>
        <v>0</v>
      </c>
      <c r="Y145" s="43">
        <f t="shared" si="84"/>
        <v>0</v>
      </c>
      <c r="Z145" s="43">
        <f t="shared" si="84"/>
        <v>0</v>
      </c>
      <c r="AB145" s="43">
        <f t="shared" si="85"/>
        <v>0</v>
      </c>
      <c r="AC145" s="43">
        <f t="shared" si="85"/>
        <v>0</v>
      </c>
      <c r="AD145" s="43">
        <f t="shared" si="85"/>
        <v>0</v>
      </c>
      <c r="AE145" s="43">
        <f t="shared" si="85"/>
        <v>0</v>
      </c>
      <c r="AF145" s="43">
        <f t="shared" si="85"/>
        <v>0</v>
      </c>
      <c r="AH145" s="43">
        <f t="shared" si="74"/>
        <v>0</v>
      </c>
      <c r="AI145" s="43">
        <f t="shared" si="75"/>
        <v>0</v>
      </c>
      <c r="AJ145" s="43">
        <f t="shared" si="76"/>
        <v>0</v>
      </c>
      <c r="AK145" s="43">
        <f t="shared" si="77"/>
        <v>0</v>
      </c>
      <c r="AL145" s="43">
        <f t="shared" si="78"/>
        <v>0</v>
      </c>
      <c r="AN145" s="43">
        <f t="shared" si="60"/>
        <v>0</v>
      </c>
      <c r="AO145" s="43">
        <f t="shared" si="61"/>
        <v>0</v>
      </c>
      <c r="AP145" s="43">
        <f t="shared" si="62"/>
        <v>0</v>
      </c>
      <c r="AQ145" s="43">
        <f t="shared" si="63"/>
        <v>0</v>
      </c>
      <c r="AR145" s="43">
        <f t="shared" si="64"/>
        <v>0</v>
      </c>
      <c r="AT145" s="43">
        <f t="shared" si="86"/>
        <v>0</v>
      </c>
      <c r="AU145" s="43">
        <f t="shared" si="86"/>
        <v>0</v>
      </c>
      <c r="AV145" s="43">
        <f t="shared" si="86"/>
        <v>0</v>
      </c>
      <c r="AW145" s="43">
        <f t="shared" si="86"/>
        <v>0</v>
      </c>
      <c r="AX145" s="43">
        <f t="shared" si="86"/>
        <v>0</v>
      </c>
      <c r="AZ145" s="47">
        <f t="shared" si="79"/>
        <v>0</v>
      </c>
      <c r="BA145" s="47">
        <f t="shared" si="80"/>
        <v>0</v>
      </c>
      <c r="BB145" s="47">
        <f t="shared" si="81"/>
        <v>0</v>
      </c>
      <c r="BC145" s="47">
        <f t="shared" si="82"/>
        <v>0</v>
      </c>
      <c r="BD145" s="47">
        <f t="shared" si="83"/>
        <v>0</v>
      </c>
    </row>
    <row r="146" spans="2:56" ht="13">
      <c r="B146" s="37">
        <f>'3. Input (des)investeringen '!B179</f>
        <v>1614</v>
      </c>
      <c r="C146" s="48"/>
      <c r="D146" s="48"/>
      <c r="E146" s="48"/>
      <c r="F146" s="42">
        <f>'3. Input (des)investeringen '!D179</f>
        <v>651273.34409009432</v>
      </c>
      <c r="G146" s="48"/>
      <c r="H146" s="37">
        <f>'3. Input (des)investeringen '!F179</f>
        <v>2024</v>
      </c>
      <c r="I146" s="42" t="str">
        <f>'3. Input (des)investeringen '!G179</f>
        <v>nvt</v>
      </c>
      <c r="J146" s="42">
        <f>'3. Input (des)investeringen '!H179</f>
        <v>5</v>
      </c>
      <c r="K146" s="42">
        <f>'3. Input (des)investeringen '!I179</f>
        <v>0</v>
      </c>
      <c r="M146" s="43">
        <f t="shared" si="49"/>
        <v>0</v>
      </c>
      <c r="N146" s="43">
        <f t="shared" si="50"/>
        <v>0</v>
      </c>
      <c r="P146" s="136">
        <f t="shared" si="52"/>
        <v>0</v>
      </c>
      <c r="Q146" s="136">
        <f t="shared" si="51"/>
        <v>0</v>
      </c>
      <c r="S146" s="43">
        <f t="shared" si="53"/>
        <v>651273.34409009432</v>
      </c>
      <c r="T146" s="38">
        <f t="shared" si="73"/>
        <v>5</v>
      </c>
      <c r="V146" s="43">
        <f t="shared" si="84"/>
        <v>0</v>
      </c>
      <c r="W146" s="43">
        <f t="shared" si="84"/>
        <v>0</v>
      </c>
      <c r="X146" s="43">
        <f t="shared" si="84"/>
        <v>76198.98125854104</v>
      </c>
      <c r="Y146" s="43">
        <f t="shared" si="84"/>
        <v>132586.22738986139</v>
      </c>
      <c r="Z146" s="43">
        <f t="shared" si="84"/>
        <v>107817.37172362355</v>
      </c>
      <c r="AB146" s="43">
        <f t="shared" si="85"/>
        <v>0</v>
      </c>
      <c r="AC146" s="43">
        <f t="shared" si="85"/>
        <v>0</v>
      </c>
      <c r="AD146" s="43">
        <f t="shared" si="85"/>
        <v>6512.7334409009436</v>
      </c>
      <c r="AE146" s="43">
        <f t="shared" si="85"/>
        <v>13025.466881801887</v>
      </c>
      <c r="AF146" s="43">
        <f t="shared" si="85"/>
        <v>13025.466881801887</v>
      </c>
      <c r="AH146" s="43">
        <f t="shared" si="74"/>
        <v>0</v>
      </c>
      <c r="AI146" s="43">
        <f t="shared" si="75"/>
        <v>0</v>
      </c>
      <c r="AJ146" s="43">
        <f t="shared" si="76"/>
        <v>82711.714699441989</v>
      </c>
      <c r="AK146" s="43">
        <f t="shared" si="77"/>
        <v>145611.69427166329</v>
      </c>
      <c r="AL146" s="43">
        <f t="shared" si="78"/>
        <v>120842.83860542544</v>
      </c>
      <c r="AN146" s="43">
        <f t="shared" si="60"/>
        <v>0</v>
      </c>
      <c r="AO146" s="43">
        <f t="shared" si="61"/>
        <v>0</v>
      </c>
      <c r="AP146" s="43">
        <f t="shared" si="62"/>
        <v>568561.62939065229</v>
      </c>
      <c r="AQ146" s="43">
        <f t="shared" si="63"/>
        <v>422949.93511898897</v>
      </c>
      <c r="AR146" s="43">
        <f t="shared" si="64"/>
        <v>302107.09651356353</v>
      </c>
      <c r="AT146" s="43">
        <f t="shared" si="86"/>
        <v>0</v>
      </c>
      <c r="AU146" s="43">
        <f t="shared" si="86"/>
        <v>0</v>
      </c>
      <c r="AV146" s="43">
        <f t="shared" si="86"/>
        <v>6512.7334409009436</v>
      </c>
      <c r="AW146" s="43">
        <f t="shared" si="86"/>
        <v>6668.309617337185</v>
      </c>
      <c r="AX146" s="43">
        <f t="shared" si="86"/>
        <v>6894.0185612648147</v>
      </c>
      <c r="AZ146" s="47">
        <f t="shared" si="79"/>
        <v>0</v>
      </c>
      <c r="BA146" s="47">
        <f t="shared" si="80"/>
        <v>0</v>
      </c>
      <c r="BB146" s="47">
        <f t="shared" si="81"/>
        <v>110829.79005718773</v>
      </c>
      <c r="BC146" s="47">
        <f t="shared" si="82"/>
        <v>168352.10142352205</v>
      </c>
      <c r="BD146" s="47">
        <f t="shared" si="83"/>
        <v>139216.92683420566</v>
      </c>
    </row>
    <row r="147" spans="2:56" ht="13">
      <c r="B147" s="37">
        <f>'3. Input (des)investeringen '!B180</f>
        <v>1615</v>
      </c>
      <c r="C147" s="48"/>
      <c r="D147" s="48"/>
      <c r="E147" s="48"/>
      <c r="F147" s="42">
        <f>'3. Input (des)investeringen '!D180</f>
        <v>4821081.9099292308</v>
      </c>
      <c r="G147" s="48"/>
      <c r="H147" s="37">
        <f>'3. Input (des)investeringen '!F180</f>
        <v>2024</v>
      </c>
      <c r="I147" s="42" t="str">
        <f>'3. Input (des)investeringen '!G180</f>
        <v>nvt</v>
      </c>
      <c r="J147" s="42">
        <f>'3. Input (des)investeringen '!H180</f>
        <v>10</v>
      </c>
      <c r="K147" s="42">
        <f>'3. Input (des)investeringen '!I180</f>
        <v>0</v>
      </c>
      <c r="M147" s="43">
        <f t="shared" si="49"/>
        <v>0</v>
      </c>
      <c r="N147" s="43">
        <f t="shared" si="50"/>
        <v>0</v>
      </c>
      <c r="P147" s="136">
        <f t="shared" si="52"/>
        <v>0</v>
      </c>
      <c r="Q147" s="136">
        <f t="shared" si="51"/>
        <v>0</v>
      </c>
      <c r="S147" s="43">
        <f t="shared" si="53"/>
        <v>4821081.9099292308</v>
      </c>
      <c r="T147" s="38">
        <f t="shared" si="73"/>
        <v>10</v>
      </c>
      <c r="V147" s="43">
        <f t="shared" si="84"/>
        <v>0</v>
      </c>
      <c r="W147" s="43">
        <f t="shared" si="84"/>
        <v>0</v>
      </c>
      <c r="X147" s="43">
        <f t="shared" si="84"/>
        <v>282033.29173086007</v>
      </c>
      <c r="Y147" s="43">
        <f t="shared" si="84"/>
        <v>527402.25553670828</v>
      </c>
      <c r="Z147" s="43">
        <f t="shared" si="84"/>
        <v>458839.96231693623</v>
      </c>
      <c r="AB147" s="43">
        <f t="shared" si="85"/>
        <v>0</v>
      </c>
      <c r="AC147" s="43">
        <f t="shared" si="85"/>
        <v>0</v>
      </c>
      <c r="AD147" s="43">
        <f t="shared" si="85"/>
        <v>24105.409549646156</v>
      </c>
      <c r="AE147" s="43">
        <f t="shared" si="85"/>
        <v>48210.819099292312</v>
      </c>
      <c r="AF147" s="43">
        <f t="shared" si="85"/>
        <v>48210.819099292312</v>
      </c>
      <c r="AH147" s="43">
        <f t="shared" si="74"/>
        <v>0</v>
      </c>
      <c r="AI147" s="43">
        <f t="shared" si="75"/>
        <v>0</v>
      </c>
      <c r="AJ147" s="43">
        <f t="shared" si="76"/>
        <v>306138.70128050621</v>
      </c>
      <c r="AK147" s="43">
        <f t="shared" si="77"/>
        <v>575613.07463600056</v>
      </c>
      <c r="AL147" s="43">
        <f t="shared" si="78"/>
        <v>507050.78141622856</v>
      </c>
      <c r="AN147" s="43">
        <f t="shared" si="60"/>
        <v>0</v>
      </c>
      <c r="AO147" s="43">
        <f t="shared" si="61"/>
        <v>0</v>
      </c>
      <c r="AP147" s="43">
        <f t="shared" si="62"/>
        <v>4514943.2086487245</v>
      </c>
      <c r="AQ147" s="43">
        <f t="shared" si="63"/>
        <v>3939330.1340127238</v>
      </c>
      <c r="AR147" s="43">
        <f t="shared" si="64"/>
        <v>3432279.3525964953</v>
      </c>
      <c r="AT147" s="43">
        <f t="shared" si="86"/>
        <v>0</v>
      </c>
      <c r="AU147" s="43">
        <f t="shared" si="86"/>
        <v>0</v>
      </c>
      <c r="AV147" s="43">
        <f t="shared" si="86"/>
        <v>48210.819099292312</v>
      </c>
      <c r="AW147" s="43">
        <f t="shared" si="86"/>
        <v>49362.479145936202</v>
      </c>
      <c r="AX147" s="43">
        <f t="shared" si="86"/>
        <v>51033.30034006785</v>
      </c>
      <c r="AZ147" s="47">
        <f t="shared" si="79"/>
        <v>0</v>
      </c>
      <c r="BA147" s="47">
        <f t="shared" si="80"/>
        <v>0</v>
      </c>
      <c r="BB147" s="47">
        <f t="shared" si="81"/>
        <v>525917.36230845004</v>
      </c>
      <c r="BC147" s="47">
        <f t="shared" si="82"/>
        <v>774670.09887442028</v>
      </c>
      <c r="BD147" s="47">
        <f t="shared" si="83"/>
        <v>688510.69715496316</v>
      </c>
    </row>
    <row r="148" spans="2:56" ht="13">
      <c r="B148" s="37">
        <f>'3. Input (des)investeringen '!B181</f>
        <v>1616</v>
      </c>
      <c r="C148" s="48"/>
      <c r="D148" s="48"/>
      <c r="E148" s="48"/>
      <c r="F148" s="42">
        <f>'3. Input (des)investeringen '!D181</f>
        <v>7889201.656386218</v>
      </c>
      <c r="G148" s="48"/>
      <c r="H148" s="37">
        <f>'3. Input (des)investeringen '!F181</f>
        <v>2024</v>
      </c>
      <c r="I148" s="42" t="str">
        <f>'3. Input (des)investeringen '!G181</f>
        <v>nvt</v>
      </c>
      <c r="J148" s="42">
        <f>'3. Input (des)investeringen '!H181</f>
        <v>15</v>
      </c>
      <c r="K148" s="42">
        <f>'3. Input (des)investeringen '!I181</f>
        <v>0</v>
      </c>
      <c r="M148" s="43">
        <f t="shared" si="49"/>
        <v>0</v>
      </c>
      <c r="N148" s="43">
        <f t="shared" si="50"/>
        <v>0</v>
      </c>
      <c r="P148" s="136">
        <f t="shared" si="52"/>
        <v>0</v>
      </c>
      <c r="Q148" s="136">
        <f t="shared" si="51"/>
        <v>0</v>
      </c>
      <c r="S148" s="43">
        <f t="shared" si="53"/>
        <v>7889201.656386218</v>
      </c>
      <c r="T148" s="38">
        <f t="shared" si="73"/>
        <v>15</v>
      </c>
      <c r="V148" s="43">
        <f t="shared" si="84"/>
        <v>0</v>
      </c>
      <c r="W148" s="43">
        <f t="shared" si="84"/>
        <v>0</v>
      </c>
      <c r="X148" s="43">
        <f t="shared" si="84"/>
        <v>307678.86459906254</v>
      </c>
      <c r="Y148" s="43">
        <f t="shared" si="84"/>
        <v>588692.22759953968</v>
      </c>
      <c r="Z148" s="43">
        <f t="shared" si="84"/>
        <v>537672.2345409129</v>
      </c>
      <c r="AB148" s="43">
        <f t="shared" si="85"/>
        <v>0</v>
      </c>
      <c r="AC148" s="43">
        <f t="shared" si="85"/>
        <v>0</v>
      </c>
      <c r="AD148" s="43">
        <f t="shared" si="85"/>
        <v>26297.338854620732</v>
      </c>
      <c r="AE148" s="43">
        <f t="shared" si="85"/>
        <v>52594.677709241463</v>
      </c>
      <c r="AF148" s="43">
        <f t="shared" si="85"/>
        <v>52594.677709241463</v>
      </c>
      <c r="AH148" s="43">
        <f t="shared" si="74"/>
        <v>0</v>
      </c>
      <c r="AI148" s="43">
        <f t="shared" si="75"/>
        <v>0</v>
      </c>
      <c r="AJ148" s="43">
        <f t="shared" si="76"/>
        <v>333976.20345368329</v>
      </c>
      <c r="AK148" s="43">
        <f t="shared" si="77"/>
        <v>641286.90530878119</v>
      </c>
      <c r="AL148" s="43">
        <f t="shared" si="78"/>
        <v>590266.91225015442</v>
      </c>
      <c r="AN148" s="43">
        <f t="shared" si="60"/>
        <v>0</v>
      </c>
      <c r="AO148" s="43">
        <f t="shared" si="61"/>
        <v>0</v>
      </c>
      <c r="AP148" s="43">
        <f t="shared" si="62"/>
        <v>7555225.4529325347</v>
      </c>
      <c r="AQ148" s="43">
        <f t="shared" si="63"/>
        <v>6913938.5476237535</v>
      </c>
      <c r="AR148" s="43">
        <f t="shared" si="64"/>
        <v>6323671.6353735989</v>
      </c>
      <c r="AT148" s="43">
        <f t="shared" si="86"/>
        <v>0</v>
      </c>
      <c r="AU148" s="43">
        <f t="shared" si="86"/>
        <v>0</v>
      </c>
      <c r="AV148" s="43">
        <f t="shared" si="86"/>
        <v>78892.016563862184</v>
      </c>
      <c r="AW148" s="43">
        <f t="shared" si="86"/>
        <v>80776.58905553972</v>
      </c>
      <c r="AX148" s="43">
        <f t="shared" si="86"/>
        <v>83510.715041891643</v>
      </c>
      <c r="AZ148" s="47">
        <f t="shared" si="79"/>
        <v>0</v>
      </c>
      <c r="BA148" s="47">
        <f t="shared" si="80"/>
        <v>0</v>
      </c>
      <c r="BB148" s="47">
        <f t="shared" si="81"/>
        <v>699966.78722898185</v>
      </c>
      <c r="BC148" s="47">
        <f t="shared" si="82"/>
        <v>984793.15917402355</v>
      </c>
      <c r="BD148" s="47">
        <f t="shared" si="83"/>
        <v>914077.14943624288</v>
      </c>
    </row>
    <row r="149" spans="2:56" ht="13">
      <c r="B149" s="37">
        <f>'3. Input (des)investeringen '!B182</f>
        <v>1617</v>
      </c>
      <c r="C149" s="48"/>
      <c r="D149" s="48"/>
      <c r="E149" s="48"/>
      <c r="F149" s="42">
        <f>'3. Input (des)investeringen '!D182</f>
        <v>7827738.1927272025</v>
      </c>
      <c r="G149" s="48"/>
      <c r="H149" s="37">
        <f>'3. Input (des)investeringen '!F182</f>
        <v>2024</v>
      </c>
      <c r="I149" s="42" t="str">
        <f>'3. Input (des)investeringen '!G182</f>
        <v>nvt</v>
      </c>
      <c r="J149" s="42">
        <f>'3. Input (des)investeringen '!H182</f>
        <v>30</v>
      </c>
      <c r="K149" s="42">
        <f>'3. Input (des)investeringen '!I182</f>
        <v>0</v>
      </c>
      <c r="M149" s="43">
        <f t="shared" si="49"/>
        <v>0</v>
      </c>
      <c r="N149" s="43">
        <f t="shared" si="50"/>
        <v>0</v>
      </c>
      <c r="P149" s="136">
        <f t="shared" si="52"/>
        <v>0</v>
      </c>
      <c r="Q149" s="136">
        <f t="shared" si="51"/>
        <v>0</v>
      </c>
      <c r="S149" s="43">
        <f t="shared" si="53"/>
        <v>7827738.1927272025</v>
      </c>
      <c r="T149" s="38">
        <f t="shared" si="73"/>
        <v>30</v>
      </c>
      <c r="V149" s="43">
        <f t="shared" si="84"/>
        <v>0</v>
      </c>
      <c r="W149" s="43">
        <f t="shared" si="84"/>
        <v>0</v>
      </c>
      <c r="X149" s="43">
        <f t="shared" si="84"/>
        <v>152640.89475818045</v>
      </c>
      <c r="Y149" s="43">
        <f t="shared" si="84"/>
        <v>298667.35074350639</v>
      </c>
      <c r="Z149" s="43">
        <f t="shared" si="84"/>
        <v>285725.09887795447</v>
      </c>
      <c r="AB149" s="43">
        <f t="shared" si="85"/>
        <v>0</v>
      </c>
      <c r="AC149" s="43">
        <f t="shared" si="85"/>
        <v>0</v>
      </c>
      <c r="AD149" s="43">
        <f t="shared" si="85"/>
        <v>13046.230321212004</v>
      </c>
      <c r="AE149" s="43">
        <f t="shared" si="85"/>
        <v>26092.460642424008</v>
      </c>
      <c r="AF149" s="43">
        <f t="shared" si="85"/>
        <v>26092.460642424008</v>
      </c>
      <c r="AH149" s="43">
        <f t="shared" si="74"/>
        <v>0</v>
      </c>
      <c r="AI149" s="43">
        <f t="shared" si="75"/>
        <v>0</v>
      </c>
      <c r="AJ149" s="43">
        <f t="shared" si="76"/>
        <v>165687.12507939246</v>
      </c>
      <c r="AK149" s="43">
        <f t="shared" si="77"/>
        <v>324759.8113859304</v>
      </c>
      <c r="AL149" s="43">
        <f t="shared" si="78"/>
        <v>311817.55952037848</v>
      </c>
      <c r="AN149" s="43">
        <f t="shared" si="60"/>
        <v>0</v>
      </c>
      <c r="AO149" s="43">
        <f t="shared" si="61"/>
        <v>0</v>
      </c>
      <c r="AP149" s="43">
        <f t="shared" si="62"/>
        <v>7662051.0676478101</v>
      </c>
      <c r="AQ149" s="43">
        <f t="shared" si="63"/>
        <v>7337291.2562618796</v>
      </c>
      <c r="AR149" s="43">
        <f t="shared" si="64"/>
        <v>7025473.6967415009</v>
      </c>
      <c r="AT149" s="43">
        <f t="shared" si="86"/>
        <v>0</v>
      </c>
      <c r="AU149" s="43">
        <f t="shared" si="86"/>
        <v>0</v>
      </c>
      <c r="AV149" s="43">
        <f t="shared" si="86"/>
        <v>78277.381927272028</v>
      </c>
      <c r="AW149" s="43">
        <f t="shared" si="86"/>
        <v>80147.27202675071</v>
      </c>
      <c r="AX149" s="43">
        <f t="shared" si="86"/>
        <v>82860.096890312168</v>
      </c>
      <c r="AZ149" s="47">
        <f t="shared" si="79"/>
        <v>0</v>
      </c>
      <c r="BA149" s="47">
        <f t="shared" si="80"/>
        <v>0</v>
      </c>
      <c r="BB149" s="47">
        <f t="shared" si="81"/>
        <v>535122.44757728127</v>
      </c>
      <c r="BC149" s="47">
        <f t="shared" si="82"/>
        <v>683724.15115063253</v>
      </c>
      <c r="BD149" s="47">
        <f t="shared" si="83"/>
        <v>661645.65688686771</v>
      </c>
    </row>
    <row r="150" spans="2:56" ht="13">
      <c r="B150" s="37">
        <f>'3. Input (des)investeringen '!B183</f>
        <v>1618</v>
      </c>
      <c r="C150" s="48"/>
      <c r="D150" s="48"/>
      <c r="E150" s="48"/>
      <c r="F150" s="42">
        <f>'3. Input (des)investeringen '!D183</f>
        <v>0</v>
      </c>
      <c r="G150" s="48"/>
      <c r="H150" s="37">
        <f>'3. Input (des)investeringen '!F183</f>
        <v>2024</v>
      </c>
      <c r="I150" s="42" t="str">
        <f>'3. Input (des)investeringen '!G183</f>
        <v>nvt</v>
      </c>
      <c r="J150" s="42">
        <f>'3. Input (des)investeringen '!H183</f>
        <v>55</v>
      </c>
      <c r="K150" s="42">
        <f>'3. Input (des)investeringen '!I183</f>
        <v>0</v>
      </c>
      <c r="M150" s="43">
        <f t="shared" si="49"/>
        <v>0</v>
      </c>
      <c r="N150" s="43">
        <f t="shared" si="50"/>
        <v>0</v>
      </c>
      <c r="P150" s="136">
        <f t="shared" si="52"/>
        <v>0</v>
      </c>
      <c r="Q150" s="136">
        <f t="shared" si="51"/>
        <v>0</v>
      </c>
      <c r="S150" s="43">
        <f t="shared" si="53"/>
        <v>0</v>
      </c>
      <c r="T150" s="38">
        <f t="shared" si="73"/>
        <v>55</v>
      </c>
      <c r="V150" s="43">
        <f t="shared" si="84"/>
        <v>0</v>
      </c>
      <c r="W150" s="43">
        <f t="shared" si="84"/>
        <v>0</v>
      </c>
      <c r="X150" s="43">
        <f t="shared" si="84"/>
        <v>0</v>
      </c>
      <c r="Y150" s="43">
        <f t="shared" si="84"/>
        <v>0</v>
      </c>
      <c r="Z150" s="43">
        <f t="shared" si="84"/>
        <v>0</v>
      </c>
      <c r="AB150" s="43">
        <f t="shared" si="85"/>
        <v>0</v>
      </c>
      <c r="AC150" s="43">
        <f t="shared" si="85"/>
        <v>0</v>
      </c>
      <c r="AD150" s="43">
        <f t="shared" si="85"/>
        <v>0</v>
      </c>
      <c r="AE150" s="43">
        <f t="shared" si="85"/>
        <v>0</v>
      </c>
      <c r="AF150" s="43">
        <f t="shared" si="85"/>
        <v>0</v>
      </c>
      <c r="AH150" s="43">
        <f t="shared" si="74"/>
        <v>0</v>
      </c>
      <c r="AI150" s="43">
        <f t="shared" si="75"/>
        <v>0</v>
      </c>
      <c r="AJ150" s="43">
        <f t="shared" si="76"/>
        <v>0</v>
      </c>
      <c r="AK150" s="43">
        <f t="shared" si="77"/>
        <v>0</v>
      </c>
      <c r="AL150" s="43">
        <f t="shared" si="78"/>
        <v>0</v>
      </c>
      <c r="AN150" s="43">
        <f t="shared" si="60"/>
        <v>0</v>
      </c>
      <c r="AO150" s="43">
        <f t="shared" si="61"/>
        <v>0</v>
      </c>
      <c r="AP150" s="43">
        <f t="shared" si="62"/>
        <v>0</v>
      </c>
      <c r="AQ150" s="43">
        <f t="shared" si="63"/>
        <v>0</v>
      </c>
      <c r="AR150" s="43">
        <f t="shared" si="64"/>
        <v>0</v>
      </c>
      <c r="AT150" s="43">
        <f t="shared" si="86"/>
        <v>0</v>
      </c>
      <c r="AU150" s="43">
        <f t="shared" si="86"/>
        <v>0</v>
      </c>
      <c r="AV150" s="43">
        <f t="shared" si="86"/>
        <v>0</v>
      </c>
      <c r="AW150" s="43">
        <f t="shared" si="86"/>
        <v>0</v>
      </c>
      <c r="AX150" s="43">
        <f t="shared" si="86"/>
        <v>0</v>
      </c>
      <c r="AZ150" s="47">
        <f t="shared" si="79"/>
        <v>0</v>
      </c>
      <c r="BA150" s="47">
        <f t="shared" si="80"/>
        <v>0</v>
      </c>
      <c r="BB150" s="47">
        <f t="shared" si="81"/>
        <v>0</v>
      </c>
      <c r="BC150" s="47">
        <f t="shared" si="82"/>
        <v>0</v>
      </c>
      <c r="BD150" s="47">
        <f t="shared" si="83"/>
        <v>0</v>
      </c>
    </row>
    <row r="151" spans="2:56" ht="13">
      <c r="B151" s="37">
        <f>'3. Input (des)investeringen '!B184</f>
        <v>1619</v>
      </c>
      <c r="C151" s="48"/>
      <c r="D151" s="48"/>
      <c r="E151" s="48"/>
      <c r="F151" s="42">
        <f>'3. Input (des)investeringen '!D184</f>
        <v>0</v>
      </c>
      <c r="G151" s="48"/>
      <c r="H151" s="37">
        <f>'3. Input (des)investeringen '!F184</f>
        <v>2025</v>
      </c>
      <c r="I151" s="42" t="str">
        <f>'3. Input (des)investeringen '!G184</f>
        <v>nvt</v>
      </c>
      <c r="J151" s="42">
        <f>'3. Input (des)investeringen '!H184</f>
        <v>0</v>
      </c>
      <c r="K151" s="42">
        <f>'3. Input (des)investeringen '!I184</f>
        <v>1</v>
      </c>
      <c r="M151" s="43">
        <f t="shared" si="49"/>
        <v>0</v>
      </c>
      <c r="N151" s="43">
        <f t="shared" si="50"/>
        <v>0</v>
      </c>
      <c r="P151" s="136">
        <f t="shared" si="52"/>
        <v>0</v>
      </c>
      <c r="Q151" s="136">
        <f t="shared" si="51"/>
        <v>0</v>
      </c>
      <c r="S151" s="43">
        <f t="shared" si="53"/>
        <v>0</v>
      </c>
      <c r="T151" s="38">
        <f t="shared" si="73"/>
        <v>0</v>
      </c>
      <c r="V151" s="43">
        <f t="shared" ref="V151:Z160" si="87">IF($J151=0, 0, IF(OR($H151&gt;V$59,$H151+$J151&lt;V$59),0,
IF(OR($H151=2020,$H151=2021),VDB($S151*(1-$F$28),0,$T151,V$59-2022,MIN($T151,V$59-2021),$F$22,FALSE),
VDB($S151*(1-$F$28),0,$T151,MAX(0,V$59-$H151-0.5),MIN($T151,V$59-$H151+0.5),$F$22,FALSE))))</f>
        <v>0</v>
      </c>
      <c r="W151" s="43">
        <f t="shared" si="87"/>
        <v>0</v>
      </c>
      <c r="X151" s="43">
        <f t="shared" si="87"/>
        <v>0</v>
      </c>
      <c r="Y151" s="43">
        <f t="shared" si="87"/>
        <v>0</v>
      </c>
      <c r="Z151" s="43">
        <f t="shared" si="87"/>
        <v>0</v>
      </c>
      <c r="AB151" s="43">
        <f t="shared" ref="AB151:AF160" si="88">IF($J151=0, 0, IF(OR($H151&gt;AB$59,$H151+$J151&lt;AB$59),0,
IF(OR($H151=2020,$H151=2021),VDB($S151*$F$28,0,$T151,AB$59-2022,MIN($T151,AB$59-2021),1),
VDB($S151*$F$28,0,$T151,MAX(0,AB$59-$H151-0.5),MIN($T151,AB$59-$H151+0.5),1))))</f>
        <v>0</v>
      </c>
      <c r="AC151" s="43">
        <f t="shared" si="88"/>
        <v>0</v>
      </c>
      <c r="AD151" s="43">
        <f t="shared" si="88"/>
        <v>0</v>
      </c>
      <c r="AE151" s="43">
        <f t="shared" si="88"/>
        <v>0</v>
      </c>
      <c r="AF151" s="43">
        <f t="shared" si="88"/>
        <v>0</v>
      </c>
      <c r="AH151" s="43">
        <f t="shared" si="74"/>
        <v>0</v>
      </c>
      <c r="AI151" s="43">
        <f t="shared" si="75"/>
        <v>0</v>
      </c>
      <c r="AJ151" s="43">
        <f t="shared" si="76"/>
        <v>0</v>
      </c>
      <c r="AK151" s="43">
        <f t="shared" si="77"/>
        <v>0</v>
      </c>
      <c r="AL151" s="43">
        <f t="shared" si="78"/>
        <v>0</v>
      </c>
      <c r="AN151" s="43">
        <f t="shared" si="60"/>
        <v>0</v>
      </c>
      <c r="AO151" s="43">
        <f t="shared" si="61"/>
        <v>0</v>
      </c>
      <c r="AP151" s="43">
        <f t="shared" si="62"/>
        <v>0</v>
      </c>
      <c r="AQ151" s="43">
        <f t="shared" si="63"/>
        <v>0</v>
      </c>
      <c r="AR151" s="43">
        <f t="shared" si="64"/>
        <v>0</v>
      </c>
      <c r="AT151" s="43">
        <f t="shared" ref="AT151:AX160" si="89">IF($H151&lt;=AT$59,$F151*INDEX($H$40:$N$46,$H151-2019,AT$59-2019)*INDEX($H$49:$N$55,$H151-2019,AT$59-2019)*$F$19,0)</f>
        <v>0</v>
      </c>
      <c r="AU151" s="43">
        <f t="shared" si="89"/>
        <v>0</v>
      </c>
      <c r="AV151" s="43">
        <f t="shared" si="89"/>
        <v>0</v>
      </c>
      <c r="AW151" s="43">
        <f t="shared" si="89"/>
        <v>0</v>
      </c>
      <c r="AX151" s="43">
        <f t="shared" si="89"/>
        <v>0</v>
      </c>
      <c r="AZ151" s="47">
        <f t="shared" si="79"/>
        <v>0</v>
      </c>
      <c r="BA151" s="47">
        <f t="shared" si="80"/>
        <v>0</v>
      </c>
      <c r="BB151" s="47">
        <f t="shared" si="81"/>
        <v>0</v>
      </c>
      <c r="BC151" s="47">
        <f t="shared" si="82"/>
        <v>0</v>
      </c>
      <c r="BD151" s="47">
        <f t="shared" si="83"/>
        <v>0</v>
      </c>
    </row>
    <row r="152" spans="2:56" ht="13">
      <c r="B152" s="37">
        <f>'3. Input (des)investeringen '!B185</f>
        <v>1620</v>
      </c>
      <c r="C152" s="48"/>
      <c r="D152" s="48"/>
      <c r="E152" s="48"/>
      <c r="F152" s="42">
        <f>'3. Input (des)investeringen '!D185</f>
        <v>17553950.889932934</v>
      </c>
      <c r="G152" s="48"/>
      <c r="H152" s="37">
        <f>'3. Input (des)investeringen '!F185</f>
        <v>2025</v>
      </c>
      <c r="I152" s="42" t="str">
        <f>'3. Input (des)investeringen '!G185</f>
        <v>nvt</v>
      </c>
      <c r="J152" s="42">
        <f>'3. Input (des)investeringen '!H185</f>
        <v>5</v>
      </c>
      <c r="K152" s="42">
        <f>'3. Input (des)investeringen '!I185</f>
        <v>1</v>
      </c>
      <c r="M152" s="43">
        <f t="shared" si="49"/>
        <v>0</v>
      </c>
      <c r="N152" s="43">
        <f t="shared" si="50"/>
        <v>0</v>
      </c>
      <c r="P152" s="136">
        <f t="shared" si="52"/>
        <v>0</v>
      </c>
      <c r="Q152" s="136">
        <f t="shared" si="51"/>
        <v>0</v>
      </c>
      <c r="S152" s="43">
        <f t="shared" si="53"/>
        <v>17553950.889932934</v>
      </c>
      <c r="T152" s="38">
        <f t="shared" si="73"/>
        <v>5</v>
      </c>
      <c r="V152" s="43">
        <f t="shared" si="87"/>
        <v>0</v>
      </c>
      <c r="W152" s="43">
        <f t="shared" si="87"/>
        <v>0</v>
      </c>
      <c r="X152" s="43">
        <f t="shared" si="87"/>
        <v>0</v>
      </c>
      <c r="Y152" s="43">
        <f t="shared" si="87"/>
        <v>2053812.2541221536</v>
      </c>
      <c r="Z152" s="43">
        <f t="shared" si="87"/>
        <v>3573633.3221725472</v>
      </c>
      <c r="AB152" s="43">
        <f t="shared" si="88"/>
        <v>0</v>
      </c>
      <c r="AC152" s="43">
        <f t="shared" si="88"/>
        <v>0</v>
      </c>
      <c r="AD152" s="43">
        <f t="shared" si="88"/>
        <v>0</v>
      </c>
      <c r="AE152" s="43">
        <f t="shared" si="88"/>
        <v>175539.50889932935</v>
      </c>
      <c r="AF152" s="43">
        <f t="shared" si="88"/>
        <v>351079.01779865869</v>
      </c>
      <c r="AH152" s="43">
        <f t="shared" si="74"/>
        <v>0</v>
      </c>
      <c r="AI152" s="43">
        <f t="shared" si="75"/>
        <v>0</v>
      </c>
      <c r="AJ152" s="43">
        <f t="shared" si="76"/>
        <v>0</v>
      </c>
      <c r="AK152" s="43">
        <f t="shared" si="77"/>
        <v>2229351.7630214831</v>
      </c>
      <c r="AL152" s="43">
        <f t="shared" si="78"/>
        <v>3924712.3399712062</v>
      </c>
      <c r="AN152" s="43">
        <f t="shared" si="60"/>
        <v>0</v>
      </c>
      <c r="AO152" s="43">
        <f t="shared" si="61"/>
        <v>0</v>
      </c>
      <c r="AP152" s="43">
        <f t="shared" si="62"/>
        <v>0</v>
      </c>
      <c r="AQ152" s="43">
        <f t="shared" si="63"/>
        <v>15324599.12691145</v>
      </c>
      <c r="AR152" s="43">
        <f t="shared" si="64"/>
        <v>11399886.786940243</v>
      </c>
      <c r="AT152" s="43">
        <f t="shared" si="89"/>
        <v>0</v>
      </c>
      <c r="AU152" s="43">
        <f t="shared" si="89"/>
        <v>0</v>
      </c>
      <c r="AV152" s="43">
        <f t="shared" si="89"/>
        <v>0</v>
      </c>
      <c r="AW152" s="43">
        <f t="shared" si="89"/>
        <v>175539.50889932935</v>
      </c>
      <c r="AX152" s="43">
        <f t="shared" si="89"/>
        <v>181481.17019655384</v>
      </c>
      <c r="AZ152" s="47">
        <f t="shared" si="79"/>
        <v>0</v>
      </c>
      <c r="BA152" s="47">
        <f t="shared" si="80"/>
        <v>0</v>
      </c>
      <c r="BB152" s="47">
        <f t="shared" si="81"/>
        <v>0</v>
      </c>
      <c r="BC152" s="47">
        <f t="shared" si="82"/>
        <v>2987226.0387434475</v>
      </c>
      <c r="BD152" s="47">
        <f t="shared" si="83"/>
        <v>4539389.2080714889</v>
      </c>
    </row>
    <row r="153" spans="2:56" ht="13">
      <c r="B153" s="37">
        <f>'3. Input (des)investeringen '!B186</f>
        <v>1621</v>
      </c>
      <c r="C153" s="48"/>
      <c r="D153" s="48"/>
      <c r="E153" s="48"/>
      <c r="F153" s="42">
        <f>'3. Input (des)investeringen '!D186</f>
        <v>5324492.346004094</v>
      </c>
      <c r="G153" s="48"/>
      <c r="H153" s="37">
        <f>'3. Input (des)investeringen '!F186</f>
        <v>2025</v>
      </c>
      <c r="I153" s="42" t="str">
        <f>'3. Input (des)investeringen '!G186</f>
        <v>nvt</v>
      </c>
      <c r="J153" s="42">
        <f>'3. Input (des)investeringen '!H186</f>
        <v>10</v>
      </c>
      <c r="K153" s="42">
        <f>'3. Input (des)investeringen '!I186</f>
        <v>1</v>
      </c>
      <c r="M153" s="43">
        <f t="shared" si="49"/>
        <v>0</v>
      </c>
      <c r="N153" s="43">
        <f t="shared" si="50"/>
        <v>0</v>
      </c>
      <c r="P153" s="136">
        <f t="shared" si="52"/>
        <v>0</v>
      </c>
      <c r="Q153" s="136">
        <f t="shared" si="51"/>
        <v>0</v>
      </c>
      <c r="S153" s="43">
        <f t="shared" si="53"/>
        <v>5324492.346004094</v>
      </c>
      <c r="T153" s="38">
        <f t="shared" si="73"/>
        <v>10</v>
      </c>
      <c r="V153" s="43">
        <f t="shared" si="87"/>
        <v>0</v>
      </c>
      <c r="W153" s="43">
        <f t="shared" si="87"/>
        <v>0</v>
      </c>
      <c r="X153" s="43">
        <f t="shared" si="87"/>
        <v>0</v>
      </c>
      <c r="Y153" s="43">
        <f t="shared" si="87"/>
        <v>311482.80224123952</v>
      </c>
      <c r="Z153" s="43">
        <f t="shared" si="87"/>
        <v>582472.84019111795</v>
      </c>
      <c r="AB153" s="43">
        <f t="shared" si="88"/>
        <v>0</v>
      </c>
      <c r="AC153" s="43">
        <f t="shared" si="88"/>
        <v>0</v>
      </c>
      <c r="AD153" s="43">
        <f t="shared" si="88"/>
        <v>0</v>
      </c>
      <c r="AE153" s="43">
        <f t="shared" si="88"/>
        <v>26622.46173002047</v>
      </c>
      <c r="AF153" s="43">
        <f t="shared" si="88"/>
        <v>53244.92346004094</v>
      </c>
      <c r="AH153" s="43">
        <f t="shared" si="74"/>
        <v>0</v>
      </c>
      <c r="AI153" s="43">
        <f t="shared" si="75"/>
        <v>0</v>
      </c>
      <c r="AJ153" s="43">
        <f t="shared" si="76"/>
        <v>0</v>
      </c>
      <c r="AK153" s="43">
        <f t="shared" si="77"/>
        <v>338105.26397125999</v>
      </c>
      <c r="AL153" s="43">
        <f t="shared" si="78"/>
        <v>635717.76365115889</v>
      </c>
      <c r="AN153" s="43">
        <f t="shared" si="60"/>
        <v>0</v>
      </c>
      <c r="AO153" s="43">
        <f t="shared" si="61"/>
        <v>0</v>
      </c>
      <c r="AP153" s="43">
        <f t="shared" si="62"/>
        <v>0</v>
      </c>
      <c r="AQ153" s="43">
        <f t="shared" si="63"/>
        <v>4986387.0820328342</v>
      </c>
      <c r="AR153" s="43">
        <f t="shared" si="64"/>
        <v>4350669.3183816755</v>
      </c>
      <c r="AT153" s="43">
        <f t="shared" si="89"/>
        <v>0</v>
      </c>
      <c r="AU153" s="43">
        <f t="shared" si="89"/>
        <v>0</v>
      </c>
      <c r="AV153" s="43">
        <f t="shared" si="89"/>
        <v>0</v>
      </c>
      <c r="AW153" s="43">
        <f t="shared" si="89"/>
        <v>53244.92346004094</v>
      </c>
      <c r="AX153" s="43">
        <f t="shared" si="89"/>
        <v>55047.157629316403</v>
      </c>
      <c r="AZ153" s="47">
        <f t="shared" si="79"/>
        <v>0</v>
      </c>
      <c r="BA153" s="47">
        <f t="shared" si="80"/>
        <v>0</v>
      </c>
      <c r="BB153" s="47">
        <f t="shared" si="81"/>
        <v>0</v>
      </c>
      <c r="BC153" s="47">
        <f t="shared" si="82"/>
        <v>580832.8965485486</v>
      </c>
      <c r="BD153" s="47">
        <f t="shared" si="83"/>
        <v>856090.355378979</v>
      </c>
    </row>
    <row r="154" spans="2:56" ht="13">
      <c r="B154" s="37">
        <f>'3. Input (des)investeringen '!B187</f>
        <v>1622</v>
      </c>
      <c r="C154" s="48"/>
      <c r="D154" s="48"/>
      <c r="E154" s="48"/>
      <c r="F154" s="42">
        <f>'3. Input (des)investeringen '!D187</f>
        <v>25115276.635574285</v>
      </c>
      <c r="G154" s="48"/>
      <c r="H154" s="37">
        <f>'3. Input (des)investeringen '!F187</f>
        <v>2025</v>
      </c>
      <c r="I154" s="42" t="str">
        <f>'3. Input (des)investeringen '!G187</f>
        <v>nvt</v>
      </c>
      <c r="J154" s="42">
        <f>'3. Input (des)investeringen '!H187</f>
        <v>15</v>
      </c>
      <c r="K154" s="42">
        <f>'3. Input (des)investeringen '!I187</f>
        <v>1</v>
      </c>
      <c r="M154" s="43">
        <f t="shared" si="49"/>
        <v>0</v>
      </c>
      <c r="N154" s="43">
        <f t="shared" si="50"/>
        <v>0</v>
      </c>
      <c r="P154" s="136">
        <f t="shared" si="52"/>
        <v>0</v>
      </c>
      <c r="Q154" s="136">
        <f t="shared" si="51"/>
        <v>0</v>
      </c>
      <c r="S154" s="43">
        <f t="shared" si="53"/>
        <v>25115276.635574285</v>
      </c>
      <c r="T154" s="38">
        <f t="shared" si="73"/>
        <v>15</v>
      </c>
      <c r="V154" s="43">
        <f t="shared" si="87"/>
        <v>0</v>
      </c>
      <c r="W154" s="43">
        <f t="shared" si="87"/>
        <v>0</v>
      </c>
      <c r="X154" s="43">
        <f t="shared" si="87"/>
        <v>0</v>
      </c>
      <c r="Y154" s="43">
        <f t="shared" si="87"/>
        <v>979495.78878739709</v>
      </c>
      <c r="Z154" s="43">
        <f t="shared" si="87"/>
        <v>1874101.942546553</v>
      </c>
      <c r="AB154" s="43">
        <f t="shared" si="88"/>
        <v>0</v>
      </c>
      <c r="AC154" s="43">
        <f t="shared" si="88"/>
        <v>0</v>
      </c>
      <c r="AD154" s="43">
        <f t="shared" si="88"/>
        <v>0</v>
      </c>
      <c r="AE154" s="43">
        <f t="shared" si="88"/>
        <v>83717.588785247615</v>
      </c>
      <c r="AF154" s="43">
        <f t="shared" si="88"/>
        <v>167435.17757049523</v>
      </c>
      <c r="AH154" s="43">
        <f t="shared" si="74"/>
        <v>0</v>
      </c>
      <c r="AI154" s="43">
        <f t="shared" si="75"/>
        <v>0</v>
      </c>
      <c r="AJ154" s="43">
        <f t="shared" si="76"/>
        <v>0</v>
      </c>
      <c r="AK154" s="43">
        <f t="shared" si="77"/>
        <v>1063213.3775726447</v>
      </c>
      <c r="AL154" s="43">
        <f t="shared" si="78"/>
        <v>2041537.1201170483</v>
      </c>
      <c r="AN154" s="43">
        <f t="shared" si="60"/>
        <v>0</v>
      </c>
      <c r="AO154" s="43">
        <f t="shared" si="61"/>
        <v>0</v>
      </c>
      <c r="AP154" s="43">
        <f t="shared" si="62"/>
        <v>0</v>
      </c>
      <c r="AQ154" s="43">
        <f t="shared" si="63"/>
        <v>24052063.25800164</v>
      </c>
      <c r="AR154" s="43">
        <f t="shared" si="64"/>
        <v>22010526.137884591</v>
      </c>
      <c r="AT154" s="43">
        <f t="shared" si="89"/>
        <v>0</v>
      </c>
      <c r="AU154" s="43">
        <f t="shared" si="89"/>
        <v>0</v>
      </c>
      <c r="AV154" s="43">
        <f t="shared" si="89"/>
        <v>0</v>
      </c>
      <c r="AW154" s="43">
        <f t="shared" si="89"/>
        <v>251152.76635574285</v>
      </c>
      <c r="AX154" s="43">
        <f t="shared" si="89"/>
        <v>259653.78519135204</v>
      </c>
      <c r="AZ154" s="47">
        <f t="shared" si="79"/>
        <v>0</v>
      </c>
      <c r="BA154" s="47">
        <f t="shared" si="80"/>
        <v>0</v>
      </c>
      <c r="BB154" s="47">
        <f t="shared" si="81"/>
        <v>0</v>
      </c>
      <c r="BC154" s="47">
        <f t="shared" si="82"/>
        <v>2228344.5477324496</v>
      </c>
      <c r="BD154" s="47">
        <f t="shared" si="83"/>
        <v>3137590.8985480149</v>
      </c>
    </row>
    <row r="155" spans="2:56" ht="13">
      <c r="B155" s="37">
        <f>'3. Input (des)investeringen '!B188</f>
        <v>1623</v>
      </c>
      <c r="C155" s="48"/>
      <c r="D155" s="48"/>
      <c r="E155" s="48"/>
      <c r="F155" s="42">
        <f>'3. Input (des)investeringen '!D188</f>
        <v>30846824.747949079</v>
      </c>
      <c r="G155" s="48"/>
      <c r="H155" s="37">
        <f>'3. Input (des)investeringen '!F188</f>
        <v>2025</v>
      </c>
      <c r="I155" s="42" t="str">
        <f>'3. Input (des)investeringen '!G188</f>
        <v>nvt</v>
      </c>
      <c r="J155" s="42">
        <f>'3. Input (des)investeringen '!H188</f>
        <v>30</v>
      </c>
      <c r="K155" s="42">
        <f>'3. Input (des)investeringen '!I188</f>
        <v>1</v>
      </c>
      <c r="M155" s="43">
        <f t="shared" si="49"/>
        <v>0</v>
      </c>
      <c r="N155" s="43">
        <f t="shared" si="50"/>
        <v>0</v>
      </c>
      <c r="P155" s="136">
        <f t="shared" si="52"/>
        <v>0</v>
      </c>
      <c r="Q155" s="136">
        <f t="shared" si="51"/>
        <v>0</v>
      </c>
      <c r="S155" s="43">
        <f t="shared" si="53"/>
        <v>30846824.747949079</v>
      </c>
      <c r="T155" s="38">
        <f t="shared" si="73"/>
        <v>30</v>
      </c>
      <c r="V155" s="43">
        <f t="shared" si="87"/>
        <v>0</v>
      </c>
      <c r="W155" s="43">
        <f t="shared" si="87"/>
        <v>0</v>
      </c>
      <c r="X155" s="43">
        <f t="shared" si="87"/>
        <v>0</v>
      </c>
      <c r="Y155" s="43">
        <f t="shared" si="87"/>
        <v>601513.08258500707</v>
      </c>
      <c r="Z155" s="43">
        <f t="shared" si="87"/>
        <v>1176960.5982579973</v>
      </c>
      <c r="AB155" s="43">
        <f t="shared" si="88"/>
        <v>0</v>
      </c>
      <c r="AC155" s="43">
        <f t="shared" si="88"/>
        <v>0</v>
      </c>
      <c r="AD155" s="43">
        <f t="shared" si="88"/>
        <v>0</v>
      </c>
      <c r="AE155" s="43">
        <f t="shared" si="88"/>
        <v>51411.374579915129</v>
      </c>
      <c r="AF155" s="43">
        <f t="shared" si="88"/>
        <v>102822.74915983026</v>
      </c>
      <c r="AH155" s="43">
        <f t="shared" si="74"/>
        <v>0</v>
      </c>
      <c r="AI155" s="43">
        <f t="shared" si="75"/>
        <v>0</v>
      </c>
      <c r="AJ155" s="43">
        <f t="shared" si="76"/>
        <v>0</v>
      </c>
      <c r="AK155" s="43">
        <f t="shared" si="77"/>
        <v>652924.45716492215</v>
      </c>
      <c r="AL155" s="43">
        <f t="shared" si="78"/>
        <v>1279783.3474178275</v>
      </c>
      <c r="AN155" s="43">
        <f t="shared" si="60"/>
        <v>0</v>
      </c>
      <c r="AO155" s="43">
        <f t="shared" si="61"/>
        <v>0</v>
      </c>
      <c r="AP155" s="43">
        <f t="shared" si="62"/>
        <v>0</v>
      </c>
      <c r="AQ155" s="43">
        <f t="shared" si="63"/>
        <v>30193900.290784158</v>
      </c>
      <c r="AR155" s="43">
        <f t="shared" si="64"/>
        <v>28914116.94336633</v>
      </c>
      <c r="AT155" s="43">
        <f t="shared" si="89"/>
        <v>0</v>
      </c>
      <c r="AU155" s="43">
        <f t="shared" si="89"/>
        <v>0</v>
      </c>
      <c r="AV155" s="43">
        <f t="shared" si="89"/>
        <v>0</v>
      </c>
      <c r="AW155" s="43">
        <f t="shared" si="89"/>
        <v>308468.24747949082</v>
      </c>
      <c r="AX155" s="43">
        <f t="shared" si="89"/>
        <v>318909.28072017664</v>
      </c>
      <c r="AZ155" s="47">
        <f t="shared" si="79"/>
        <v>0</v>
      </c>
      <c r="BA155" s="47">
        <f t="shared" si="80"/>
        <v>0</v>
      </c>
      <c r="BB155" s="47">
        <f t="shared" si="81"/>
        <v>0</v>
      </c>
      <c r="BC155" s="47">
        <f t="shared" si="82"/>
        <v>2108760.9156942111</v>
      </c>
      <c r="BD155" s="47">
        <f t="shared" si="83"/>
        <v>2697429.0719859246</v>
      </c>
    </row>
    <row r="156" spans="2:56" ht="13">
      <c r="B156" s="37">
        <f>'3. Input (des)investeringen '!B189</f>
        <v>1624</v>
      </c>
      <c r="C156" s="48"/>
      <c r="D156" s="48"/>
      <c r="E156" s="48"/>
      <c r="F156" s="42">
        <f>'3. Input (des)investeringen '!D189</f>
        <v>85388365.196438983</v>
      </c>
      <c r="G156" s="48"/>
      <c r="H156" s="37">
        <f>'3. Input (des)investeringen '!F189</f>
        <v>2025</v>
      </c>
      <c r="I156" s="42" t="str">
        <f>'3. Input (des)investeringen '!G189</f>
        <v>nvt</v>
      </c>
      <c r="J156" s="42">
        <f>'3. Input (des)investeringen '!H189</f>
        <v>55</v>
      </c>
      <c r="K156" s="42">
        <f>'3. Input (des)investeringen '!I189</f>
        <v>1</v>
      </c>
      <c r="M156" s="43">
        <f t="shared" si="49"/>
        <v>0</v>
      </c>
      <c r="N156" s="43">
        <f t="shared" si="50"/>
        <v>0</v>
      </c>
      <c r="P156" s="136">
        <f t="shared" si="52"/>
        <v>0</v>
      </c>
      <c r="Q156" s="136">
        <f t="shared" si="51"/>
        <v>0</v>
      </c>
      <c r="S156" s="43">
        <f t="shared" si="53"/>
        <v>85388365.196438983</v>
      </c>
      <c r="T156" s="38">
        <f t="shared" si="73"/>
        <v>55</v>
      </c>
      <c r="V156" s="43">
        <f t="shared" si="87"/>
        <v>0</v>
      </c>
      <c r="W156" s="43">
        <f t="shared" si="87"/>
        <v>0</v>
      </c>
      <c r="X156" s="43">
        <f t="shared" si="87"/>
        <v>0</v>
      </c>
      <c r="Y156" s="43">
        <f t="shared" si="87"/>
        <v>908221.70254394179</v>
      </c>
      <c r="Z156" s="43">
        <f t="shared" si="87"/>
        <v>1794976.3466641176</v>
      </c>
      <c r="AB156" s="43">
        <f t="shared" si="88"/>
        <v>0</v>
      </c>
      <c r="AC156" s="43">
        <f t="shared" si="88"/>
        <v>0</v>
      </c>
      <c r="AD156" s="43">
        <f t="shared" si="88"/>
        <v>0</v>
      </c>
      <c r="AE156" s="43">
        <f t="shared" si="88"/>
        <v>77625.786542217262</v>
      </c>
      <c r="AF156" s="43">
        <f t="shared" si="88"/>
        <v>155251.57308443452</v>
      </c>
      <c r="AH156" s="43">
        <f t="shared" si="74"/>
        <v>0</v>
      </c>
      <c r="AI156" s="43">
        <f t="shared" si="75"/>
        <v>0</v>
      </c>
      <c r="AJ156" s="43">
        <f t="shared" si="76"/>
        <v>0</v>
      </c>
      <c r="AK156" s="43">
        <f t="shared" si="77"/>
        <v>985847.48908615904</v>
      </c>
      <c r="AL156" s="43">
        <f t="shared" si="78"/>
        <v>1950227.9197485521</v>
      </c>
      <c r="AN156" s="43">
        <f t="shared" si="60"/>
        <v>0</v>
      </c>
      <c r="AO156" s="43">
        <f t="shared" si="61"/>
        <v>0</v>
      </c>
      <c r="AP156" s="43">
        <f t="shared" si="62"/>
        <v>0</v>
      </c>
      <c r="AQ156" s="43">
        <f t="shared" si="63"/>
        <v>84402517.707352817</v>
      </c>
      <c r="AR156" s="43">
        <f t="shared" si="64"/>
        <v>82452289.787604272</v>
      </c>
      <c r="AT156" s="43">
        <f t="shared" si="89"/>
        <v>0</v>
      </c>
      <c r="AU156" s="43">
        <f t="shared" si="89"/>
        <v>0</v>
      </c>
      <c r="AV156" s="43">
        <f t="shared" si="89"/>
        <v>0</v>
      </c>
      <c r="AW156" s="43">
        <f t="shared" si="89"/>
        <v>853883.65196438984</v>
      </c>
      <c r="AX156" s="43">
        <f t="shared" si="89"/>
        <v>882785.90581608063</v>
      </c>
      <c r="AZ156" s="47">
        <f t="shared" si="79"/>
        <v>0</v>
      </c>
      <c r="BA156" s="47">
        <f t="shared" si="80"/>
        <v>0</v>
      </c>
      <c r="BB156" s="47">
        <f t="shared" si="81"/>
        <v>0</v>
      </c>
      <c r="BC156" s="47">
        <f t="shared" si="82"/>
        <v>5047026.8139299564</v>
      </c>
      <c r="BD156" s="47">
        <f t="shared" si="83"/>
        <v>5966200.8374935957</v>
      </c>
    </row>
    <row r="157" spans="2:56" ht="13">
      <c r="B157" s="37">
        <f>'3. Input (des)investeringen '!B190</f>
        <v>1625</v>
      </c>
      <c r="C157" s="48"/>
      <c r="D157" s="48"/>
      <c r="E157" s="48"/>
      <c r="F157" s="42">
        <f>'3. Input (des)investeringen '!D190</f>
        <v>-32592.241789607215</v>
      </c>
      <c r="G157" s="48"/>
      <c r="H157" s="37">
        <f>'3. Input (des)investeringen '!F190</f>
        <v>2025</v>
      </c>
      <c r="I157" s="42" t="str">
        <f>'3. Input (des)investeringen '!G190</f>
        <v>nvt</v>
      </c>
      <c r="J157" s="42">
        <f>'3. Input (des)investeringen '!H190</f>
        <v>0</v>
      </c>
      <c r="K157" s="42">
        <f>'3. Input (des)investeringen '!I190</f>
        <v>0</v>
      </c>
      <c r="M157" s="43">
        <f t="shared" ref="M157:M188" si="90">IF($J157=0, 0, IF($H157&lt;=M$59,
VDB($F157,0,$J157,MAX(0,M$59-$H157-0.5),MIN($J157,M$59-$H157+0.5),1)*INDEX(H$40:H$46,$H157-2019,1),
0))</f>
        <v>0</v>
      </c>
      <c r="N157" s="43">
        <f t="shared" ref="N157:N188" si="91">IF($J157=0, 0, IF($H157&lt;=N$59,
VDB($F157,0,$J157,MAX(0,N$59-$H157-0.5),MIN($J157,N$59-$H157+0.5),1)*INDEX(I$40:I$46,$H157-2019,1),
0))</f>
        <v>0</v>
      </c>
      <c r="P157" s="136">
        <f t="shared" si="52"/>
        <v>0</v>
      </c>
      <c r="Q157" s="136">
        <f t="shared" ref="Q157:Q188" si="92">IF($J157=0,IF($H157=N$59,$F157,$P157*I$40),IF(OR($H157&gt;Q$59,$H157+$J157&lt;=Q$59),0,
IF($H157=Q$59,F157-N157,P157*I$40-N157)))</f>
        <v>0</v>
      </c>
      <c r="S157" s="43">
        <f t="shared" si="53"/>
        <v>-32592.241789607215</v>
      </c>
      <c r="T157" s="38">
        <f t="shared" si="73"/>
        <v>0</v>
      </c>
      <c r="V157" s="43">
        <f t="shared" si="87"/>
        <v>0</v>
      </c>
      <c r="W157" s="43">
        <f t="shared" si="87"/>
        <v>0</v>
      </c>
      <c r="X157" s="43">
        <f t="shared" si="87"/>
        <v>0</v>
      </c>
      <c r="Y157" s="43">
        <f t="shared" si="87"/>
        <v>0</v>
      </c>
      <c r="Z157" s="43">
        <f t="shared" si="87"/>
        <v>0</v>
      </c>
      <c r="AB157" s="43">
        <f t="shared" si="88"/>
        <v>0</v>
      </c>
      <c r="AC157" s="43">
        <f t="shared" si="88"/>
        <v>0</v>
      </c>
      <c r="AD157" s="43">
        <f t="shared" si="88"/>
        <v>0</v>
      </c>
      <c r="AE157" s="43">
        <f t="shared" si="88"/>
        <v>0</v>
      </c>
      <c r="AF157" s="43">
        <f t="shared" si="88"/>
        <v>0</v>
      </c>
      <c r="AH157" s="43">
        <f t="shared" si="74"/>
        <v>0</v>
      </c>
      <c r="AI157" s="43">
        <f t="shared" si="75"/>
        <v>0</v>
      </c>
      <c r="AJ157" s="43">
        <f t="shared" si="76"/>
        <v>0</v>
      </c>
      <c r="AK157" s="43">
        <f t="shared" si="77"/>
        <v>0</v>
      </c>
      <c r="AL157" s="43">
        <f t="shared" si="78"/>
        <v>0</v>
      </c>
      <c r="AN157" s="43">
        <f t="shared" si="60"/>
        <v>0</v>
      </c>
      <c r="AO157" s="43">
        <f t="shared" si="61"/>
        <v>0</v>
      </c>
      <c r="AP157" s="43">
        <f t="shared" si="62"/>
        <v>0</v>
      </c>
      <c r="AQ157" s="43">
        <f t="shared" si="63"/>
        <v>-32592.241789607215</v>
      </c>
      <c r="AR157" s="43">
        <f t="shared" si="64"/>
        <v>-32592.241789607215</v>
      </c>
      <c r="AT157" s="43">
        <f t="shared" si="89"/>
        <v>0</v>
      </c>
      <c r="AU157" s="43">
        <f t="shared" si="89"/>
        <v>0</v>
      </c>
      <c r="AV157" s="43">
        <f t="shared" si="89"/>
        <v>0</v>
      </c>
      <c r="AW157" s="43">
        <f t="shared" si="89"/>
        <v>-325.92241789607215</v>
      </c>
      <c r="AX157" s="43">
        <f t="shared" si="89"/>
        <v>-336.9542398970184</v>
      </c>
      <c r="AZ157" s="47">
        <f t="shared" si="79"/>
        <v>0</v>
      </c>
      <c r="BA157" s="47">
        <f t="shared" si="80"/>
        <v>0</v>
      </c>
      <c r="BB157" s="47">
        <f t="shared" si="81"/>
        <v>0</v>
      </c>
      <c r="BC157" s="47">
        <f t="shared" si="82"/>
        <v>-1564.4276059011463</v>
      </c>
      <c r="BD157" s="47">
        <f t="shared" si="83"/>
        <v>-1575.4594279020926</v>
      </c>
    </row>
    <row r="158" spans="2:56" ht="13">
      <c r="B158" s="37">
        <f>'3. Input (des)investeringen '!B191</f>
        <v>1626</v>
      </c>
      <c r="C158" s="48"/>
      <c r="D158" s="48"/>
      <c r="E158" s="48"/>
      <c r="F158" s="42">
        <f>'3. Input (des)investeringen '!D191</f>
        <v>459045.22000300954</v>
      </c>
      <c r="G158" s="48"/>
      <c r="H158" s="37">
        <f>'3. Input (des)investeringen '!F191</f>
        <v>2025</v>
      </c>
      <c r="I158" s="42" t="str">
        <f>'3. Input (des)investeringen '!G191</f>
        <v>nvt</v>
      </c>
      <c r="J158" s="42">
        <f>'3. Input (des)investeringen '!H191</f>
        <v>5</v>
      </c>
      <c r="K158" s="42">
        <f>'3. Input (des)investeringen '!I191</f>
        <v>0</v>
      </c>
      <c r="M158" s="43">
        <f t="shared" si="90"/>
        <v>0</v>
      </c>
      <c r="N158" s="43">
        <f t="shared" si="91"/>
        <v>0</v>
      </c>
      <c r="P158" s="136">
        <f t="shared" si="52"/>
        <v>0</v>
      </c>
      <c r="Q158" s="136">
        <f t="shared" si="92"/>
        <v>0</v>
      </c>
      <c r="S158" s="43">
        <f t="shared" si="53"/>
        <v>459045.22000300954</v>
      </c>
      <c r="T158" s="38">
        <f t="shared" si="73"/>
        <v>5</v>
      </c>
      <c r="V158" s="43">
        <f t="shared" si="87"/>
        <v>0</v>
      </c>
      <c r="W158" s="43">
        <f t="shared" si="87"/>
        <v>0</v>
      </c>
      <c r="X158" s="43">
        <f t="shared" si="87"/>
        <v>0</v>
      </c>
      <c r="Y158" s="43">
        <f t="shared" si="87"/>
        <v>53708.290740352124</v>
      </c>
      <c r="Z158" s="43">
        <f t="shared" si="87"/>
        <v>93452.425888212689</v>
      </c>
      <c r="AB158" s="43">
        <f t="shared" si="88"/>
        <v>0</v>
      </c>
      <c r="AC158" s="43">
        <f t="shared" si="88"/>
        <v>0</v>
      </c>
      <c r="AD158" s="43">
        <f t="shared" si="88"/>
        <v>0</v>
      </c>
      <c r="AE158" s="43">
        <f t="shared" si="88"/>
        <v>4590.4522000300958</v>
      </c>
      <c r="AF158" s="43">
        <f t="shared" si="88"/>
        <v>9180.9044000601934</v>
      </c>
      <c r="AH158" s="43">
        <f t="shared" si="74"/>
        <v>0</v>
      </c>
      <c r="AI158" s="43">
        <f t="shared" si="75"/>
        <v>0</v>
      </c>
      <c r="AJ158" s="43">
        <f t="shared" si="76"/>
        <v>0</v>
      </c>
      <c r="AK158" s="43">
        <f t="shared" si="77"/>
        <v>58298.742940382217</v>
      </c>
      <c r="AL158" s="43">
        <f t="shared" si="78"/>
        <v>102633.33028827287</v>
      </c>
      <c r="AN158" s="43">
        <f t="shared" si="60"/>
        <v>0</v>
      </c>
      <c r="AO158" s="43">
        <f t="shared" si="61"/>
        <v>0</v>
      </c>
      <c r="AP158" s="43">
        <f t="shared" si="62"/>
        <v>0</v>
      </c>
      <c r="AQ158" s="43">
        <f t="shared" si="63"/>
        <v>400746.47706262732</v>
      </c>
      <c r="AR158" s="43">
        <f t="shared" si="64"/>
        <v>298113.14677435445</v>
      </c>
      <c r="AT158" s="43">
        <f t="shared" si="89"/>
        <v>0</v>
      </c>
      <c r="AU158" s="43">
        <f t="shared" si="89"/>
        <v>0</v>
      </c>
      <c r="AV158" s="43">
        <f t="shared" si="89"/>
        <v>0</v>
      </c>
      <c r="AW158" s="43">
        <f t="shared" si="89"/>
        <v>4590.4522000300958</v>
      </c>
      <c r="AX158" s="43">
        <f t="shared" si="89"/>
        <v>4745.829826096714</v>
      </c>
      <c r="AZ158" s="47">
        <f t="shared" si="79"/>
        <v>0</v>
      </c>
      <c r="BA158" s="47">
        <f t="shared" si="80"/>
        <v>0</v>
      </c>
      <c r="BB158" s="47">
        <f t="shared" si="81"/>
        <v>0</v>
      </c>
      <c r="BC158" s="47">
        <f t="shared" si="82"/>
        <v>78117.561268792153</v>
      </c>
      <c r="BD158" s="47">
        <f t="shared" si="83"/>
        <v>118707.45969179505</v>
      </c>
    </row>
    <row r="159" spans="2:56" ht="13">
      <c r="B159" s="37">
        <f>'3. Input (des)investeringen '!B192</f>
        <v>1627</v>
      </c>
      <c r="C159" s="48"/>
      <c r="D159" s="48"/>
      <c r="E159" s="48"/>
      <c r="F159" s="42">
        <f>'3. Input (des)investeringen '!D192</f>
        <v>1646168.9780642902</v>
      </c>
      <c r="G159" s="48"/>
      <c r="H159" s="37">
        <f>'3. Input (des)investeringen '!F192</f>
        <v>2025</v>
      </c>
      <c r="I159" s="42" t="str">
        <f>'3. Input (des)investeringen '!G192</f>
        <v>nvt</v>
      </c>
      <c r="J159" s="42">
        <f>'3. Input (des)investeringen '!H192</f>
        <v>10</v>
      </c>
      <c r="K159" s="42">
        <f>'3. Input (des)investeringen '!I192</f>
        <v>0</v>
      </c>
      <c r="M159" s="43">
        <f t="shared" si="90"/>
        <v>0</v>
      </c>
      <c r="N159" s="43">
        <f t="shared" si="91"/>
        <v>0</v>
      </c>
      <c r="P159" s="136">
        <f t="shared" ref="P159:P200" si="93">IF($J159=0,IF($H159=M$59,$F159,0),IF(OR($H159&gt;P$59,$H159+$J159&lt;=P$59),0,
F159-M159))</f>
        <v>0</v>
      </c>
      <c r="Q159" s="136">
        <f t="shared" si="92"/>
        <v>0</v>
      </c>
      <c r="S159" s="43">
        <f t="shared" si="53"/>
        <v>1646168.9780642902</v>
      </c>
      <c r="T159" s="38">
        <f t="shared" ref="T159:T200" si="94">IF($J159=0, 0, IF(H159&lt;2022,J159-2021+H159-0.5,J159))</f>
        <v>10</v>
      </c>
      <c r="V159" s="43">
        <f t="shared" si="87"/>
        <v>0</v>
      </c>
      <c r="W159" s="43">
        <f t="shared" si="87"/>
        <v>0</v>
      </c>
      <c r="X159" s="43">
        <f t="shared" si="87"/>
        <v>0</v>
      </c>
      <c r="Y159" s="43">
        <f t="shared" si="87"/>
        <v>96300.885216760973</v>
      </c>
      <c r="Z159" s="43">
        <f t="shared" si="87"/>
        <v>180082.65535534304</v>
      </c>
      <c r="AB159" s="43">
        <f t="shared" si="88"/>
        <v>0</v>
      </c>
      <c r="AC159" s="43">
        <f t="shared" si="88"/>
        <v>0</v>
      </c>
      <c r="AD159" s="43">
        <f t="shared" si="88"/>
        <v>0</v>
      </c>
      <c r="AE159" s="43">
        <f t="shared" si="88"/>
        <v>8230.8448903214521</v>
      </c>
      <c r="AF159" s="43">
        <f t="shared" si="88"/>
        <v>16461.689780642904</v>
      </c>
      <c r="AH159" s="43">
        <f t="shared" ref="AH159:AH200" si="95">V159+AB159</f>
        <v>0</v>
      </c>
      <c r="AI159" s="43">
        <f t="shared" ref="AI159:AI200" si="96">W159+AC159</f>
        <v>0</v>
      </c>
      <c r="AJ159" s="43">
        <f t="shared" ref="AJ159:AJ200" si="97">X159+AD159</f>
        <v>0</v>
      </c>
      <c r="AK159" s="43">
        <f t="shared" ref="AK159:AK200" si="98">Y159+AE159</f>
        <v>104531.73010708243</v>
      </c>
      <c r="AL159" s="43">
        <f t="shared" ref="AL159:AL200" si="99">Z159+AF159</f>
        <v>196544.34513598593</v>
      </c>
      <c r="AN159" s="43">
        <f t="shared" si="60"/>
        <v>0</v>
      </c>
      <c r="AO159" s="43">
        <f t="shared" si="61"/>
        <v>0</v>
      </c>
      <c r="AP159" s="43">
        <f t="shared" si="62"/>
        <v>0</v>
      </c>
      <c r="AQ159" s="43">
        <f t="shared" si="63"/>
        <v>1541637.2479572077</v>
      </c>
      <c r="AR159" s="43">
        <f t="shared" si="64"/>
        <v>1345092.9028212219</v>
      </c>
      <c r="AT159" s="43">
        <f t="shared" si="89"/>
        <v>0</v>
      </c>
      <c r="AU159" s="43">
        <f t="shared" si="89"/>
        <v>0</v>
      </c>
      <c r="AV159" s="43">
        <f t="shared" si="89"/>
        <v>0</v>
      </c>
      <c r="AW159" s="43">
        <f t="shared" si="89"/>
        <v>16461.689780642904</v>
      </c>
      <c r="AX159" s="43">
        <f t="shared" si="89"/>
        <v>17018.885056338102</v>
      </c>
      <c r="AZ159" s="47">
        <f t="shared" ref="AZ159:AZ200" si="100">(AH159+AN159*J$16+AT159)*IF($K159=1,$F$25,1)</f>
        <v>0</v>
      </c>
      <c r="BA159" s="47">
        <f t="shared" ref="BA159:BA200" si="101">(AI159+AO159*K$16+AU159)*IF($K159=1,$F$25,1)</f>
        <v>0</v>
      </c>
      <c r="BB159" s="47">
        <f t="shared" ref="BB159:BB200" si="102">(AJ159+AP159*L$16+AV159)*IF($K159=1,$F$25,1)</f>
        <v>0</v>
      </c>
      <c r="BC159" s="47">
        <f t="shared" ref="BC159:BC200" si="103">(AK159+AQ159*M$16+AW159)*IF($K159=1,$F$25,1)</f>
        <v>179575.63531009923</v>
      </c>
      <c r="BD159" s="47">
        <f t="shared" ref="BD159:BD200" si="104">(AL159+AR159*N$16+AX159)*IF($K159=1,$F$25,1)</f>
        <v>264676.76049953047</v>
      </c>
    </row>
    <row r="160" spans="2:56" ht="13">
      <c r="B160" s="37">
        <f>'3. Input (des)investeringen '!B193</f>
        <v>1628</v>
      </c>
      <c r="C160" s="48"/>
      <c r="D160" s="48"/>
      <c r="E160" s="48"/>
      <c r="F160" s="42">
        <f>'3. Input (des)investeringen '!D193</f>
        <v>4946948.6241163164</v>
      </c>
      <c r="G160" s="48"/>
      <c r="H160" s="37">
        <f>'3. Input (des)investeringen '!F193</f>
        <v>2025</v>
      </c>
      <c r="I160" s="42" t="str">
        <f>'3. Input (des)investeringen '!G193</f>
        <v>nvt</v>
      </c>
      <c r="J160" s="42">
        <f>'3. Input (des)investeringen '!H193</f>
        <v>15</v>
      </c>
      <c r="K160" s="42">
        <f>'3. Input (des)investeringen '!I193</f>
        <v>0</v>
      </c>
      <c r="M160" s="43">
        <f t="shared" si="90"/>
        <v>0</v>
      </c>
      <c r="N160" s="43">
        <f t="shared" si="91"/>
        <v>0</v>
      </c>
      <c r="P160" s="136">
        <f t="shared" si="93"/>
        <v>0</v>
      </c>
      <c r="Q160" s="136">
        <f t="shared" si="92"/>
        <v>0</v>
      </c>
      <c r="S160" s="43">
        <f t="shared" si="53"/>
        <v>4946948.6241163164</v>
      </c>
      <c r="T160" s="38">
        <f t="shared" si="94"/>
        <v>15</v>
      </c>
      <c r="V160" s="43">
        <f t="shared" si="87"/>
        <v>0</v>
      </c>
      <c r="W160" s="43">
        <f t="shared" si="87"/>
        <v>0</v>
      </c>
      <c r="X160" s="43">
        <f t="shared" si="87"/>
        <v>0</v>
      </c>
      <c r="Y160" s="43">
        <f t="shared" si="87"/>
        <v>192930.99634053637</v>
      </c>
      <c r="Z160" s="43">
        <f t="shared" si="87"/>
        <v>369141.30633155955</v>
      </c>
      <c r="AB160" s="43">
        <f t="shared" si="88"/>
        <v>0</v>
      </c>
      <c r="AC160" s="43">
        <f t="shared" si="88"/>
        <v>0</v>
      </c>
      <c r="AD160" s="43">
        <f t="shared" si="88"/>
        <v>0</v>
      </c>
      <c r="AE160" s="43">
        <f t="shared" si="88"/>
        <v>16489.828747054391</v>
      </c>
      <c r="AF160" s="43">
        <f t="shared" si="88"/>
        <v>32979.657494108782</v>
      </c>
      <c r="AH160" s="43">
        <f t="shared" si="95"/>
        <v>0</v>
      </c>
      <c r="AI160" s="43">
        <f t="shared" si="96"/>
        <v>0</v>
      </c>
      <c r="AJ160" s="43">
        <f t="shared" si="97"/>
        <v>0</v>
      </c>
      <c r="AK160" s="43">
        <f t="shared" si="98"/>
        <v>209420.82508759075</v>
      </c>
      <c r="AL160" s="43">
        <f t="shared" si="99"/>
        <v>402120.96382566832</v>
      </c>
      <c r="AN160" s="43">
        <f t="shared" si="60"/>
        <v>0</v>
      </c>
      <c r="AO160" s="43">
        <f t="shared" si="61"/>
        <v>0</v>
      </c>
      <c r="AP160" s="43">
        <f t="shared" si="62"/>
        <v>0</v>
      </c>
      <c r="AQ160" s="43">
        <f t="shared" si="63"/>
        <v>4737527.7990287254</v>
      </c>
      <c r="AR160" s="43">
        <f t="shared" si="64"/>
        <v>4335406.8352030572</v>
      </c>
      <c r="AT160" s="43">
        <f t="shared" si="89"/>
        <v>0</v>
      </c>
      <c r="AU160" s="43">
        <f t="shared" si="89"/>
        <v>0</v>
      </c>
      <c r="AV160" s="43">
        <f t="shared" si="89"/>
        <v>0</v>
      </c>
      <c r="AW160" s="43">
        <f t="shared" si="89"/>
        <v>49469.486241163162</v>
      </c>
      <c r="AX160" s="43">
        <f t="shared" si="89"/>
        <v>51143.929411454053</v>
      </c>
      <c r="AZ160" s="47">
        <f t="shared" si="100"/>
        <v>0</v>
      </c>
      <c r="BA160" s="47">
        <f t="shared" si="101"/>
        <v>0</v>
      </c>
      <c r="BB160" s="47">
        <f t="shared" si="102"/>
        <v>0</v>
      </c>
      <c r="BC160" s="47">
        <f t="shared" si="103"/>
        <v>438916.36769184546</v>
      </c>
      <c r="BD160" s="47">
        <f t="shared" si="104"/>
        <v>618010.35297483846</v>
      </c>
    </row>
    <row r="161" spans="2:56" ht="13">
      <c r="B161" s="37">
        <f>'3. Input (des)investeringen '!B194</f>
        <v>1629</v>
      </c>
      <c r="C161" s="48"/>
      <c r="D161" s="48"/>
      <c r="E161" s="48"/>
      <c r="F161" s="42">
        <f>'3. Input (des)investeringen '!D194</f>
        <v>28058274.451637983</v>
      </c>
      <c r="G161" s="48"/>
      <c r="H161" s="37">
        <f>'3. Input (des)investeringen '!F194</f>
        <v>2025</v>
      </c>
      <c r="I161" s="42" t="str">
        <f>'3. Input (des)investeringen '!G194</f>
        <v>nvt</v>
      </c>
      <c r="J161" s="42">
        <f>'3. Input (des)investeringen '!H194</f>
        <v>30</v>
      </c>
      <c r="K161" s="42">
        <f>'3. Input (des)investeringen '!I194</f>
        <v>0</v>
      </c>
      <c r="M161" s="43">
        <f t="shared" si="90"/>
        <v>0</v>
      </c>
      <c r="N161" s="43">
        <f t="shared" si="91"/>
        <v>0</v>
      </c>
      <c r="P161" s="136">
        <f t="shared" si="93"/>
        <v>0</v>
      </c>
      <c r="Q161" s="136">
        <f t="shared" si="92"/>
        <v>0</v>
      </c>
      <c r="S161" s="43">
        <f t="shared" si="53"/>
        <v>28058274.451637983</v>
      </c>
      <c r="T161" s="38">
        <f t="shared" si="94"/>
        <v>30</v>
      </c>
      <c r="V161" s="43">
        <f t="shared" ref="V161:Z170" si="105">IF($J161=0, 0, IF(OR($H161&gt;V$59,$H161+$J161&lt;V$59),0,
IF(OR($H161=2020,$H161=2021),VDB($S161*(1-$F$28),0,$T161,V$59-2022,MIN($T161,V$59-2021),$F$22,FALSE),
VDB($S161*(1-$F$28),0,$T161,MAX(0,V$59-$H161-0.5),MIN($T161,V$59-$H161+0.5),$F$22,FALSE))))</f>
        <v>0</v>
      </c>
      <c r="W161" s="43">
        <f t="shared" si="105"/>
        <v>0</v>
      </c>
      <c r="X161" s="43">
        <f t="shared" si="105"/>
        <v>0</v>
      </c>
      <c r="Y161" s="43">
        <f t="shared" si="105"/>
        <v>547136.35180694074</v>
      </c>
      <c r="Z161" s="43">
        <f t="shared" si="105"/>
        <v>1070563.4617022472</v>
      </c>
      <c r="AB161" s="43">
        <f t="shared" ref="AB161:AF170" si="106">IF($J161=0, 0, IF(OR($H161&gt;AB$59,$H161+$J161&lt;AB$59),0,
IF(OR($H161=2020,$H161=2021),VDB($S161*$F$28,0,$T161,AB$59-2022,MIN($T161,AB$59-2021),1),
VDB($S161*$F$28,0,$T161,MAX(0,AB$59-$H161-0.5),MIN($T161,AB$59-$H161+0.5),1))))</f>
        <v>0</v>
      </c>
      <c r="AC161" s="43">
        <f t="shared" si="106"/>
        <v>0</v>
      </c>
      <c r="AD161" s="43">
        <f t="shared" si="106"/>
        <v>0</v>
      </c>
      <c r="AE161" s="43">
        <f t="shared" si="106"/>
        <v>46763.790752729976</v>
      </c>
      <c r="AF161" s="43">
        <f t="shared" si="106"/>
        <v>93527.581505459952</v>
      </c>
      <c r="AH161" s="43">
        <f t="shared" si="95"/>
        <v>0</v>
      </c>
      <c r="AI161" s="43">
        <f t="shared" si="96"/>
        <v>0</v>
      </c>
      <c r="AJ161" s="43">
        <f t="shared" si="97"/>
        <v>0</v>
      </c>
      <c r="AK161" s="43">
        <f t="shared" si="98"/>
        <v>593900.14255967073</v>
      </c>
      <c r="AL161" s="43">
        <f t="shared" si="99"/>
        <v>1164091.0432077071</v>
      </c>
      <c r="AN161" s="43">
        <f t="shared" si="60"/>
        <v>0</v>
      </c>
      <c r="AO161" s="43">
        <f t="shared" si="61"/>
        <v>0</v>
      </c>
      <c r="AP161" s="43">
        <f t="shared" si="62"/>
        <v>0</v>
      </c>
      <c r="AQ161" s="43">
        <f t="shared" si="63"/>
        <v>27464374.309078313</v>
      </c>
      <c r="AR161" s="43">
        <f t="shared" si="64"/>
        <v>26300283.265870605</v>
      </c>
      <c r="AT161" s="43">
        <f t="shared" ref="AT161:AX170" si="107">IF($H161&lt;=AT$59,$F161*INDEX($H$40:$N$46,$H161-2019,AT$59-2019)*INDEX($H$49:$N$55,$H161-2019,AT$59-2019)*$F$19,0)</f>
        <v>0</v>
      </c>
      <c r="AU161" s="43">
        <f t="shared" si="107"/>
        <v>0</v>
      </c>
      <c r="AV161" s="43">
        <f t="shared" si="107"/>
        <v>0</v>
      </c>
      <c r="AW161" s="43">
        <f t="shared" si="107"/>
        <v>280582.74451637984</v>
      </c>
      <c r="AX161" s="43">
        <f t="shared" si="107"/>
        <v>290079.9092527703</v>
      </c>
      <c r="AZ161" s="47">
        <f t="shared" si="100"/>
        <v>0</v>
      </c>
      <c r="BA161" s="47">
        <f t="shared" si="101"/>
        <v>0</v>
      </c>
      <c r="BB161" s="47">
        <f t="shared" si="102"/>
        <v>0</v>
      </c>
      <c r="BC161" s="47">
        <f t="shared" si="103"/>
        <v>1918129.1108210266</v>
      </c>
      <c r="BD161" s="47">
        <f t="shared" si="104"/>
        <v>2453581.7165635601</v>
      </c>
    </row>
    <row r="162" spans="2:56" ht="13">
      <c r="B162" s="37">
        <f>'3. Input (des)investeringen '!B195</f>
        <v>1630</v>
      </c>
      <c r="C162" s="48"/>
      <c r="D162" s="48"/>
      <c r="E162" s="48"/>
      <c r="F162" s="42">
        <f>'3. Input (des)investeringen '!D195</f>
        <v>39636.2960349688</v>
      </c>
      <c r="G162" s="48"/>
      <c r="H162" s="37">
        <f>'3. Input (des)investeringen '!F195</f>
        <v>2025</v>
      </c>
      <c r="I162" s="42" t="str">
        <f>'3. Input (des)investeringen '!G195</f>
        <v>nvt</v>
      </c>
      <c r="J162" s="42">
        <f>'3. Input (des)investeringen '!H195</f>
        <v>55</v>
      </c>
      <c r="K162" s="42">
        <f>'3. Input (des)investeringen '!I195</f>
        <v>0</v>
      </c>
      <c r="M162" s="43">
        <f t="shared" si="90"/>
        <v>0</v>
      </c>
      <c r="N162" s="43">
        <f t="shared" si="91"/>
        <v>0</v>
      </c>
      <c r="P162" s="136">
        <f t="shared" si="93"/>
        <v>0</v>
      </c>
      <c r="Q162" s="136">
        <f t="shared" si="92"/>
        <v>0</v>
      </c>
      <c r="S162" s="43">
        <f t="shared" si="53"/>
        <v>39636.2960349688</v>
      </c>
      <c r="T162" s="38">
        <f t="shared" si="94"/>
        <v>55</v>
      </c>
      <c r="V162" s="43">
        <f t="shared" si="105"/>
        <v>0</v>
      </c>
      <c r="W162" s="43">
        <f t="shared" si="105"/>
        <v>0</v>
      </c>
      <c r="X162" s="43">
        <f t="shared" si="105"/>
        <v>0</v>
      </c>
      <c r="Y162" s="43">
        <f t="shared" si="105"/>
        <v>421.58605782648635</v>
      </c>
      <c r="Z162" s="43">
        <f t="shared" si="105"/>
        <v>833.2073542861649</v>
      </c>
      <c r="AB162" s="43">
        <f t="shared" si="106"/>
        <v>0</v>
      </c>
      <c r="AC162" s="43">
        <f t="shared" si="106"/>
        <v>0</v>
      </c>
      <c r="AD162" s="43">
        <f t="shared" si="106"/>
        <v>0</v>
      </c>
      <c r="AE162" s="43">
        <f t="shared" si="106"/>
        <v>36.032996395426181</v>
      </c>
      <c r="AF162" s="43">
        <f t="shared" si="106"/>
        <v>72.065992790852363</v>
      </c>
      <c r="AH162" s="43">
        <f t="shared" si="95"/>
        <v>0</v>
      </c>
      <c r="AI162" s="43">
        <f t="shared" si="96"/>
        <v>0</v>
      </c>
      <c r="AJ162" s="43">
        <f t="shared" si="97"/>
        <v>0</v>
      </c>
      <c r="AK162" s="43">
        <f t="shared" si="98"/>
        <v>457.61905422191251</v>
      </c>
      <c r="AL162" s="43">
        <f t="shared" si="99"/>
        <v>905.27334707701721</v>
      </c>
      <c r="AN162" s="43">
        <f t="shared" si="60"/>
        <v>0</v>
      </c>
      <c r="AO162" s="43">
        <f t="shared" si="61"/>
        <v>0</v>
      </c>
      <c r="AP162" s="43">
        <f t="shared" si="62"/>
        <v>0</v>
      </c>
      <c r="AQ162" s="43">
        <f t="shared" si="63"/>
        <v>39178.676980746888</v>
      </c>
      <c r="AR162" s="43">
        <f t="shared" si="64"/>
        <v>38273.40363366987</v>
      </c>
      <c r="AT162" s="43">
        <f t="shared" si="107"/>
        <v>0</v>
      </c>
      <c r="AU162" s="43">
        <f t="shared" si="107"/>
        <v>0</v>
      </c>
      <c r="AV162" s="43">
        <f t="shared" si="107"/>
        <v>0</v>
      </c>
      <c r="AW162" s="43">
        <f t="shared" si="107"/>
        <v>396.36296034968802</v>
      </c>
      <c r="AX162" s="43">
        <f t="shared" si="107"/>
        <v>409.77905383160424</v>
      </c>
      <c r="AZ162" s="47">
        <f t="shared" si="100"/>
        <v>0</v>
      </c>
      <c r="BA162" s="47">
        <f t="shared" si="101"/>
        <v>0</v>
      </c>
      <c r="BB162" s="47">
        <f t="shared" si="102"/>
        <v>0</v>
      </c>
      <c r="BC162" s="47">
        <f t="shared" si="103"/>
        <v>2342.7717398399823</v>
      </c>
      <c r="BD162" s="47">
        <f t="shared" si="104"/>
        <v>2769.4417389880768</v>
      </c>
    </row>
    <row r="163" spans="2:56" ht="13">
      <c r="B163" s="37">
        <f>'3. Input (des)investeringen '!B196</f>
        <v>1631</v>
      </c>
      <c r="C163" s="48"/>
      <c r="D163" s="48"/>
      <c r="E163" s="48"/>
      <c r="F163" s="42">
        <f>'3. Input (des)investeringen '!D196</f>
        <v>0</v>
      </c>
      <c r="G163" s="48"/>
      <c r="H163" s="37">
        <f>'3. Input (des)investeringen '!F196</f>
        <v>2025</v>
      </c>
      <c r="I163" s="42" t="str">
        <f>'3. Input (des)investeringen '!G196</f>
        <v>nvt</v>
      </c>
      <c r="J163" s="42">
        <f>'3. Input (des)investeringen '!H196</f>
        <v>0</v>
      </c>
      <c r="K163" s="42">
        <f>'3. Input (des)investeringen '!I196</f>
        <v>0</v>
      </c>
      <c r="M163" s="43">
        <f t="shared" si="90"/>
        <v>0</v>
      </c>
      <c r="N163" s="43">
        <f t="shared" si="91"/>
        <v>0</v>
      </c>
      <c r="P163" s="136">
        <f t="shared" si="93"/>
        <v>0</v>
      </c>
      <c r="Q163" s="136">
        <f t="shared" si="92"/>
        <v>0</v>
      </c>
      <c r="S163" s="43">
        <f t="shared" si="53"/>
        <v>0</v>
      </c>
      <c r="T163" s="38">
        <f t="shared" si="94"/>
        <v>0</v>
      </c>
      <c r="V163" s="43">
        <f t="shared" si="105"/>
        <v>0</v>
      </c>
      <c r="W163" s="43">
        <f t="shared" si="105"/>
        <v>0</v>
      </c>
      <c r="X163" s="43">
        <f t="shared" si="105"/>
        <v>0</v>
      </c>
      <c r="Y163" s="43">
        <f t="shared" si="105"/>
        <v>0</v>
      </c>
      <c r="Z163" s="43">
        <f t="shared" si="105"/>
        <v>0</v>
      </c>
      <c r="AB163" s="43">
        <f t="shared" si="106"/>
        <v>0</v>
      </c>
      <c r="AC163" s="43">
        <f t="shared" si="106"/>
        <v>0</v>
      </c>
      <c r="AD163" s="43">
        <f t="shared" si="106"/>
        <v>0</v>
      </c>
      <c r="AE163" s="43">
        <f t="shared" si="106"/>
        <v>0</v>
      </c>
      <c r="AF163" s="43">
        <f t="shared" si="106"/>
        <v>0</v>
      </c>
      <c r="AH163" s="43">
        <f t="shared" si="95"/>
        <v>0</v>
      </c>
      <c r="AI163" s="43">
        <f t="shared" si="96"/>
        <v>0</v>
      </c>
      <c r="AJ163" s="43">
        <f t="shared" si="97"/>
        <v>0</v>
      </c>
      <c r="AK163" s="43">
        <f t="shared" si="98"/>
        <v>0</v>
      </c>
      <c r="AL163" s="43">
        <f t="shared" si="99"/>
        <v>0</v>
      </c>
      <c r="AN163" s="43">
        <f t="shared" si="60"/>
        <v>0</v>
      </c>
      <c r="AO163" s="43">
        <f t="shared" si="61"/>
        <v>0</v>
      </c>
      <c r="AP163" s="43">
        <f t="shared" si="62"/>
        <v>0</v>
      </c>
      <c r="AQ163" s="43">
        <f t="shared" si="63"/>
        <v>0</v>
      </c>
      <c r="AR163" s="43">
        <f t="shared" si="64"/>
        <v>0</v>
      </c>
      <c r="AT163" s="43">
        <f t="shared" si="107"/>
        <v>0</v>
      </c>
      <c r="AU163" s="43">
        <f t="shared" si="107"/>
        <v>0</v>
      </c>
      <c r="AV163" s="43">
        <f t="shared" si="107"/>
        <v>0</v>
      </c>
      <c r="AW163" s="43">
        <f t="shared" si="107"/>
        <v>0</v>
      </c>
      <c r="AX163" s="43">
        <f t="shared" si="107"/>
        <v>0</v>
      </c>
      <c r="AZ163" s="47">
        <f t="shared" si="100"/>
        <v>0</v>
      </c>
      <c r="BA163" s="47">
        <f t="shared" si="101"/>
        <v>0</v>
      </c>
      <c r="BB163" s="47">
        <f t="shared" si="102"/>
        <v>0</v>
      </c>
      <c r="BC163" s="47">
        <f t="shared" si="103"/>
        <v>0</v>
      </c>
      <c r="BD163" s="47">
        <f t="shared" si="104"/>
        <v>0</v>
      </c>
    </row>
    <row r="164" spans="2:56" ht="13">
      <c r="B164" s="37">
        <f>'3. Input (des)investeringen '!B197</f>
        <v>1632</v>
      </c>
      <c r="C164" s="48"/>
      <c r="D164" s="48"/>
      <c r="E164" s="48"/>
      <c r="F164" s="42">
        <f>'3. Input (des)investeringen '!D197</f>
        <v>659695.61097586737</v>
      </c>
      <c r="G164" s="48"/>
      <c r="H164" s="37">
        <f>'3. Input (des)investeringen '!F197</f>
        <v>2025</v>
      </c>
      <c r="I164" s="42" t="str">
        <f>'3. Input (des)investeringen '!G197</f>
        <v>nvt</v>
      </c>
      <c r="J164" s="42">
        <f>'3. Input (des)investeringen '!H197</f>
        <v>5</v>
      </c>
      <c r="K164" s="42">
        <f>'3. Input (des)investeringen '!I197</f>
        <v>0</v>
      </c>
      <c r="M164" s="43">
        <f t="shared" si="90"/>
        <v>0</v>
      </c>
      <c r="N164" s="43">
        <f t="shared" si="91"/>
        <v>0</v>
      </c>
      <c r="P164" s="136">
        <f t="shared" si="93"/>
        <v>0</v>
      </c>
      <c r="Q164" s="136">
        <f t="shared" si="92"/>
        <v>0</v>
      </c>
      <c r="S164" s="43">
        <f t="shared" si="53"/>
        <v>659695.61097586737</v>
      </c>
      <c r="T164" s="38">
        <f t="shared" si="94"/>
        <v>5</v>
      </c>
      <c r="V164" s="43">
        <f t="shared" si="105"/>
        <v>0</v>
      </c>
      <c r="W164" s="43">
        <f t="shared" si="105"/>
        <v>0</v>
      </c>
      <c r="X164" s="43">
        <f t="shared" si="105"/>
        <v>0</v>
      </c>
      <c r="Y164" s="43">
        <f t="shared" si="105"/>
        <v>77184.386484176488</v>
      </c>
      <c r="Z164" s="43">
        <f t="shared" si="105"/>
        <v>134300.83248246709</v>
      </c>
      <c r="AB164" s="43">
        <f t="shared" si="106"/>
        <v>0</v>
      </c>
      <c r="AC164" s="43">
        <f t="shared" si="106"/>
        <v>0</v>
      </c>
      <c r="AD164" s="43">
        <f t="shared" si="106"/>
        <v>0</v>
      </c>
      <c r="AE164" s="43">
        <f t="shared" si="106"/>
        <v>6596.9561097586748</v>
      </c>
      <c r="AF164" s="43">
        <f t="shared" si="106"/>
        <v>13193.912219517348</v>
      </c>
      <c r="AH164" s="43">
        <f t="shared" si="95"/>
        <v>0</v>
      </c>
      <c r="AI164" s="43">
        <f t="shared" si="96"/>
        <v>0</v>
      </c>
      <c r="AJ164" s="43">
        <f t="shared" si="97"/>
        <v>0</v>
      </c>
      <c r="AK164" s="43">
        <f t="shared" si="98"/>
        <v>83781.342593935158</v>
      </c>
      <c r="AL164" s="43">
        <f t="shared" si="99"/>
        <v>147494.74470198443</v>
      </c>
      <c r="AN164" s="43">
        <f t="shared" si="60"/>
        <v>0</v>
      </c>
      <c r="AO164" s="43">
        <f t="shared" si="61"/>
        <v>0</v>
      </c>
      <c r="AP164" s="43">
        <f t="shared" si="62"/>
        <v>0</v>
      </c>
      <c r="AQ164" s="43">
        <f t="shared" si="63"/>
        <v>575914.26838193217</v>
      </c>
      <c r="AR164" s="43">
        <f t="shared" si="64"/>
        <v>428419.52367994771</v>
      </c>
      <c r="AT164" s="43">
        <f t="shared" si="107"/>
        <v>0</v>
      </c>
      <c r="AU164" s="43">
        <f t="shared" si="107"/>
        <v>0</v>
      </c>
      <c r="AV164" s="43">
        <f t="shared" si="107"/>
        <v>0</v>
      </c>
      <c r="AW164" s="43">
        <f t="shared" si="107"/>
        <v>6596.9561097586738</v>
      </c>
      <c r="AX164" s="43">
        <f t="shared" si="107"/>
        <v>6820.2498801617858</v>
      </c>
      <c r="AZ164" s="47">
        <f t="shared" si="100"/>
        <v>0</v>
      </c>
      <c r="BA164" s="47">
        <f t="shared" si="101"/>
        <v>0</v>
      </c>
      <c r="BB164" s="47">
        <f t="shared" si="102"/>
        <v>0</v>
      </c>
      <c r="BC164" s="47">
        <f t="shared" si="103"/>
        <v>112263.04090220726</v>
      </c>
      <c r="BD164" s="47">
        <f t="shared" si="104"/>
        <v>170594.93648198422</v>
      </c>
    </row>
    <row r="165" spans="2:56" ht="13">
      <c r="B165" s="37">
        <f>'3. Input (des)investeringen '!B198</f>
        <v>1633</v>
      </c>
      <c r="C165" s="48"/>
      <c r="D165" s="48"/>
      <c r="E165" s="48"/>
      <c r="F165" s="42">
        <f>'3. Input (des)investeringen '!D198</f>
        <v>4883428.1411884353</v>
      </c>
      <c r="G165" s="48"/>
      <c r="H165" s="37">
        <f>'3. Input (des)investeringen '!F198</f>
        <v>2025</v>
      </c>
      <c r="I165" s="42" t="str">
        <f>'3. Input (des)investeringen '!G198</f>
        <v>nvt</v>
      </c>
      <c r="J165" s="42">
        <f>'3. Input (des)investeringen '!H198</f>
        <v>10</v>
      </c>
      <c r="K165" s="42">
        <f>'3. Input (des)investeringen '!I198</f>
        <v>0</v>
      </c>
      <c r="M165" s="43">
        <f t="shared" si="90"/>
        <v>0</v>
      </c>
      <c r="N165" s="43">
        <f t="shared" si="91"/>
        <v>0</v>
      </c>
      <c r="P165" s="136">
        <f t="shared" si="93"/>
        <v>0</v>
      </c>
      <c r="Q165" s="136">
        <f t="shared" si="92"/>
        <v>0</v>
      </c>
      <c r="S165" s="43">
        <f t="shared" si="53"/>
        <v>4883428.1411884353</v>
      </c>
      <c r="T165" s="38">
        <f t="shared" si="94"/>
        <v>10</v>
      </c>
      <c r="V165" s="43">
        <f t="shared" si="105"/>
        <v>0</v>
      </c>
      <c r="W165" s="43">
        <f t="shared" si="105"/>
        <v>0</v>
      </c>
      <c r="X165" s="43">
        <f t="shared" si="105"/>
        <v>0</v>
      </c>
      <c r="Y165" s="43">
        <f t="shared" si="105"/>
        <v>285680.54625952349</v>
      </c>
      <c r="Z165" s="43">
        <f t="shared" si="105"/>
        <v>534222.6215053089</v>
      </c>
      <c r="AB165" s="43">
        <f t="shared" si="106"/>
        <v>0</v>
      </c>
      <c r="AC165" s="43">
        <f t="shared" si="106"/>
        <v>0</v>
      </c>
      <c r="AD165" s="43">
        <f t="shared" si="106"/>
        <v>0</v>
      </c>
      <c r="AE165" s="43">
        <f t="shared" si="106"/>
        <v>24417.140705942176</v>
      </c>
      <c r="AF165" s="43">
        <f t="shared" si="106"/>
        <v>48834.281411884353</v>
      </c>
      <c r="AH165" s="43">
        <f t="shared" si="95"/>
        <v>0</v>
      </c>
      <c r="AI165" s="43">
        <f t="shared" si="96"/>
        <v>0</v>
      </c>
      <c r="AJ165" s="43">
        <f t="shared" si="97"/>
        <v>0</v>
      </c>
      <c r="AK165" s="43">
        <f t="shared" si="98"/>
        <v>310097.68696546566</v>
      </c>
      <c r="AL165" s="43">
        <f t="shared" si="99"/>
        <v>583056.90291719325</v>
      </c>
      <c r="AN165" s="43">
        <f t="shared" si="60"/>
        <v>0</v>
      </c>
      <c r="AO165" s="43">
        <f t="shared" si="61"/>
        <v>0</v>
      </c>
      <c r="AP165" s="43">
        <f t="shared" si="62"/>
        <v>0</v>
      </c>
      <c r="AQ165" s="43">
        <f t="shared" si="63"/>
        <v>4573330.4542229697</v>
      </c>
      <c r="AR165" s="43">
        <f t="shared" si="64"/>
        <v>3990273.5513057765</v>
      </c>
      <c r="AT165" s="43">
        <f t="shared" si="107"/>
        <v>0</v>
      </c>
      <c r="AU165" s="43">
        <f t="shared" si="107"/>
        <v>0</v>
      </c>
      <c r="AV165" s="43">
        <f t="shared" si="107"/>
        <v>0</v>
      </c>
      <c r="AW165" s="43">
        <f t="shared" si="107"/>
        <v>48834.281411884353</v>
      </c>
      <c r="AX165" s="43">
        <f t="shared" si="107"/>
        <v>50487.224169113812</v>
      </c>
      <c r="AZ165" s="47">
        <f t="shared" si="100"/>
        <v>0</v>
      </c>
      <c r="BA165" s="47">
        <f t="shared" si="101"/>
        <v>0</v>
      </c>
      <c r="BB165" s="47">
        <f t="shared" si="102"/>
        <v>0</v>
      </c>
      <c r="BC165" s="47">
        <f t="shared" si="103"/>
        <v>532718.52563782292</v>
      </c>
      <c r="BD165" s="47">
        <f t="shared" si="104"/>
        <v>785174.52203592658</v>
      </c>
    </row>
    <row r="166" spans="2:56" ht="13">
      <c r="B166" s="37">
        <f>'3. Input (des)investeringen '!B199</f>
        <v>1634</v>
      </c>
      <c r="C166" s="48"/>
      <c r="D166" s="48"/>
      <c r="E166" s="48"/>
      <c r="F166" s="42">
        <f>'3. Input (des)investeringen '!D199</f>
        <v>7991224.8122066045</v>
      </c>
      <c r="G166" s="48"/>
      <c r="H166" s="37">
        <f>'3. Input (des)investeringen '!F199</f>
        <v>2025</v>
      </c>
      <c r="I166" s="42" t="str">
        <f>'3. Input (des)investeringen '!G199</f>
        <v>nvt</v>
      </c>
      <c r="J166" s="42">
        <f>'3. Input (des)investeringen '!H199</f>
        <v>15</v>
      </c>
      <c r="K166" s="42">
        <f>'3. Input (des)investeringen '!I199</f>
        <v>0</v>
      </c>
      <c r="M166" s="43">
        <f t="shared" si="90"/>
        <v>0</v>
      </c>
      <c r="N166" s="43">
        <f t="shared" si="91"/>
        <v>0</v>
      </c>
      <c r="P166" s="136">
        <f t="shared" si="93"/>
        <v>0</v>
      </c>
      <c r="Q166" s="136">
        <f t="shared" si="92"/>
        <v>0</v>
      </c>
      <c r="S166" s="43">
        <f t="shared" si="53"/>
        <v>7991224.8122066045</v>
      </c>
      <c r="T166" s="38">
        <f t="shared" si="94"/>
        <v>15</v>
      </c>
      <c r="V166" s="43">
        <f t="shared" si="105"/>
        <v>0</v>
      </c>
      <c r="W166" s="43">
        <f t="shared" si="105"/>
        <v>0</v>
      </c>
      <c r="X166" s="43">
        <f t="shared" si="105"/>
        <v>0</v>
      </c>
      <c r="Y166" s="43">
        <f t="shared" si="105"/>
        <v>311657.76767605759</v>
      </c>
      <c r="Z166" s="43">
        <f t="shared" si="105"/>
        <v>596305.19548685686</v>
      </c>
      <c r="AB166" s="43">
        <f t="shared" si="106"/>
        <v>0</v>
      </c>
      <c r="AC166" s="43">
        <f t="shared" si="106"/>
        <v>0</v>
      </c>
      <c r="AD166" s="43">
        <f t="shared" si="106"/>
        <v>0</v>
      </c>
      <c r="AE166" s="43">
        <f t="shared" si="106"/>
        <v>26637.416040688684</v>
      </c>
      <c r="AF166" s="43">
        <f t="shared" si="106"/>
        <v>53274.832081377368</v>
      </c>
      <c r="AH166" s="43">
        <f t="shared" si="95"/>
        <v>0</v>
      </c>
      <c r="AI166" s="43">
        <f t="shared" si="96"/>
        <v>0</v>
      </c>
      <c r="AJ166" s="43">
        <f t="shared" si="97"/>
        <v>0</v>
      </c>
      <c r="AK166" s="43">
        <f t="shared" si="98"/>
        <v>338295.18371674628</v>
      </c>
      <c r="AL166" s="43">
        <f t="shared" si="99"/>
        <v>649580.02756823425</v>
      </c>
      <c r="AN166" s="43">
        <f t="shared" si="60"/>
        <v>0</v>
      </c>
      <c r="AO166" s="43">
        <f t="shared" si="61"/>
        <v>0</v>
      </c>
      <c r="AP166" s="43">
        <f t="shared" si="62"/>
        <v>0</v>
      </c>
      <c r="AQ166" s="43">
        <f t="shared" si="63"/>
        <v>7652929.6284898585</v>
      </c>
      <c r="AR166" s="43">
        <f t="shared" si="64"/>
        <v>7003349.6009216243</v>
      </c>
      <c r="AT166" s="43">
        <f t="shared" si="107"/>
        <v>0</v>
      </c>
      <c r="AU166" s="43">
        <f t="shared" si="107"/>
        <v>0</v>
      </c>
      <c r="AV166" s="43">
        <f t="shared" si="107"/>
        <v>0</v>
      </c>
      <c r="AW166" s="43">
        <f t="shared" si="107"/>
        <v>79912.248122066041</v>
      </c>
      <c r="AX166" s="43">
        <f t="shared" si="107"/>
        <v>82617.117896501746</v>
      </c>
      <c r="AZ166" s="47">
        <f t="shared" si="100"/>
        <v>0</v>
      </c>
      <c r="BA166" s="47">
        <f t="shared" si="101"/>
        <v>0</v>
      </c>
      <c r="BB166" s="47">
        <f t="shared" si="102"/>
        <v>0</v>
      </c>
      <c r="BC166" s="47">
        <f t="shared" si="103"/>
        <v>709018.7577214269</v>
      </c>
      <c r="BD166" s="47">
        <f t="shared" si="104"/>
        <v>998324.43029975775</v>
      </c>
    </row>
    <row r="167" spans="2:56" ht="13">
      <c r="B167" s="37">
        <f>'3. Input (des)investeringen '!B200</f>
        <v>1635</v>
      </c>
      <c r="C167" s="48"/>
      <c r="D167" s="48"/>
      <c r="E167" s="48"/>
      <c r="F167" s="42">
        <f>'3. Input (des)investeringen '!D200</f>
        <v>7928966.50303555</v>
      </c>
      <c r="G167" s="48"/>
      <c r="H167" s="37">
        <f>'3. Input (des)investeringen '!F200</f>
        <v>2025</v>
      </c>
      <c r="I167" s="42" t="str">
        <f>'3. Input (des)investeringen '!G200</f>
        <v>nvt</v>
      </c>
      <c r="J167" s="42">
        <f>'3. Input (des)investeringen '!H200</f>
        <v>30</v>
      </c>
      <c r="K167" s="42">
        <f>'3. Input (des)investeringen '!I200</f>
        <v>0</v>
      </c>
      <c r="M167" s="43">
        <f t="shared" si="90"/>
        <v>0</v>
      </c>
      <c r="N167" s="43">
        <f t="shared" si="91"/>
        <v>0</v>
      </c>
      <c r="P167" s="136">
        <f t="shared" si="93"/>
        <v>0</v>
      </c>
      <c r="Q167" s="136">
        <f t="shared" si="92"/>
        <v>0</v>
      </c>
      <c r="S167" s="43">
        <f t="shared" si="53"/>
        <v>7928966.50303555</v>
      </c>
      <c r="T167" s="38">
        <f t="shared" si="94"/>
        <v>30</v>
      </c>
      <c r="V167" s="43">
        <f t="shared" si="105"/>
        <v>0</v>
      </c>
      <c r="W167" s="43">
        <f t="shared" si="105"/>
        <v>0</v>
      </c>
      <c r="X167" s="43">
        <f t="shared" si="105"/>
        <v>0</v>
      </c>
      <c r="Y167" s="43">
        <f t="shared" si="105"/>
        <v>154614.84680919323</v>
      </c>
      <c r="Z167" s="43">
        <f t="shared" si="105"/>
        <v>302529.71692332142</v>
      </c>
      <c r="AB167" s="43">
        <f t="shared" si="106"/>
        <v>0</v>
      </c>
      <c r="AC167" s="43">
        <f t="shared" si="106"/>
        <v>0</v>
      </c>
      <c r="AD167" s="43">
        <f t="shared" si="106"/>
        <v>0</v>
      </c>
      <c r="AE167" s="43">
        <f t="shared" si="106"/>
        <v>13214.944171725918</v>
      </c>
      <c r="AF167" s="43">
        <f t="shared" si="106"/>
        <v>26429.888343451836</v>
      </c>
      <c r="AH167" s="43">
        <f t="shared" si="95"/>
        <v>0</v>
      </c>
      <c r="AI167" s="43">
        <f t="shared" si="96"/>
        <v>0</v>
      </c>
      <c r="AJ167" s="43">
        <f t="shared" si="97"/>
        <v>0</v>
      </c>
      <c r="AK167" s="43">
        <f t="shared" si="98"/>
        <v>167829.79098091915</v>
      </c>
      <c r="AL167" s="43">
        <f t="shared" si="99"/>
        <v>328959.60526677326</v>
      </c>
      <c r="AN167" s="43">
        <f t="shared" si="60"/>
        <v>0</v>
      </c>
      <c r="AO167" s="43">
        <f t="shared" si="61"/>
        <v>0</v>
      </c>
      <c r="AP167" s="43">
        <f t="shared" si="62"/>
        <v>0</v>
      </c>
      <c r="AQ167" s="43">
        <f t="shared" si="63"/>
        <v>7761136.7120546307</v>
      </c>
      <c r="AR167" s="43">
        <f t="shared" si="64"/>
        <v>7432177.1067878576</v>
      </c>
      <c r="AT167" s="43">
        <f t="shared" si="107"/>
        <v>0</v>
      </c>
      <c r="AU167" s="43">
        <f t="shared" si="107"/>
        <v>0</v>
      </c>
      <c r="AV167" s="43">
        <f t="shared" si="107"/>
        <v>0</v>
      </c>
      <c r="AW167" s="43">
        <f t="shared" si="107"/>
        <v>79289.665030355507</v>
      </c>
      <c r="AX167" s="43">
        <f t="shared" si="107"/>
        <v>81973.46161230297</v>
      </c>
      <c r="AZ167" s="47">
        <f t="shared" si="100"/>
        <v>0</v>
      </c>
      <c r="BA167" s="47">
        <f t="shared" si="101"/>
        <v>0</v>
      </c>
      <c r="BB167" s="47">
        <f t="shared" si="102"/>
        <v>0</v>
      </c>
      <c r="BC167" s="47">
        <f t="shared" si="103"/>
        <v>542042.65106935054</v>
      </c>
      <c r="BD167" s="47">
        <f t="shared" si="104"/>
        <v>693355.79693701479</v>
      </c>
    </row>
    <row r="168" spans="2:56" ht="13">
      <c r="B168" s="37">
        <f>'3. Input (des)investeringen '!B201</f>
        <v>1636</v>
      </c>
      <c r="C168" s="48"/>
      <c r="D168" s="48"/>
      <c r="E168" s="48"/>
      <c r="F168" s="42">
        <f>'3. Input (des)investeringen '!D201</f>
        <v>0</v>
      </c>
      <c r="G168" s="48"/>
      <c r="H168" s="37">
        <f>'3. Input (des)investeringen '!F201</f>
        <v>2025</v>
      </c>
      <c r="I168" s="42" t="str">
        <f>'3. Input (des)investeringen '!G201</f>
        <v>nvt</v>
      </c>
      <c r="J168" s="42">
        <f>'3. Input (des)investeringen '!H201</f>
        <v>55</v>
      </c>
      <c r="K168" s="42">
        <f>'3. Input (des)investeringen '!I201</f>
        <v>0</v>
      </c>
      <c r="M168" s="43">
        <f t="shared" si="90"/>
        <v>0</v>
      </c>
      <c r="N168" s="43">
        <f t="shared" si="91"/>
        <v>0</v>
      </c>
      <c r="P168" s="136">
        <f t="shared" si="93"/>
        <v>0</v>
      </c>
      <c r="Q168" s="136">
        <f t="shared" si="92"/>
        <v>0</v>
      </c>
      <c r="S168" s="43">
        <f t="shared" si="53"/>
        <v>0</v>
      </c>
      <c r="T168" s="38">
        <f t="shared" si="94"/>
        <v>55</v>
      </c>
      <c r="V168" s="43">
        <f t="shared" si="105"/>
        <v>0</v>
      </c>
      <c r="W168" s="43">
        <f t="shared" si="105"/>
        <v>0</v>
      </c>
      <c r="X168" s="43">
        <f t="shared" si="105"/>
        <v>0</v>
      </c>
      <c r="Y168" s="43">
        <f t="shared" si="105"/>
        <v>0</v>
      </c>
      <c r="Z168" s="43">
        <f t="shared" si="105"/>
        <v>0</v>
      </c>
      <c r="AB168" s="43">
        <f t="shared" si="106"/>
        <v>0</v>
      </c>
      <c r="AC168" s="43">
        <f t="shared" si="106"/>
        <v>0</v>
      </c>
      <c r="AD168" s="43">
        <f t="shared" si="106"/>
        <v>0</v>
      </c>
      <c r="AE168" s="43">
        <f t="shared" si="106"/>
        <v>0</v>
      </c>
      <c r="AF168" s="43">
        <f t="shared" si="106"/>
        <v>0</v>
      </c>
      <c r="AH168" s="43">
        <f t="shared" si="95"/>
        <v>0</v>
      </c>
      <c r="AI168" s="43">
        <f t="shared" si="96"/>
        <v>0</v>
      </c>
      <c r="AJ168" s="43">
        <f t="shared" si="97"/>
        <v>0</v>
      </c>
      <c r="AK168" s="43">
        <f t="shared" si="98"/>
        <v>0</v>
      </c>
      <c r="AL168" s="43">
        <f t="shared" si="99"/>
        <v>0</v>
      </c>
      <c r="AN168" s="43">
        <f t="shared" si="60"/>
        <v>0</v>
      </c>
      <c r="AO168" s="43">
        <f t="shared" si="61"/>
        <v>0</v>
      </c>
      <c r="AP168" s="43">
        <f t="shared" si="62"/>
        <v>0</v>
      </c>
      <c r="AQ168" s="43">
        <f t="shared" si="63"/>
        <v>0</v>
      </c>
      <c r="AR168" s="43">
        <f t="shared" si="64"/>
        <v>0</v>
      </c>
      <c r="AT168" s="43">
        <f t="shared" si="107"/>
        <v>0</v>
      </c>
      <c r="AU168" s="43">
        <f t="shared" si="107"/>
        <v>0</v>
      </c>
      <c r="AV168" s="43">
        <f t="shared" si="107"/>
        <v>0</v>
      </c>
      <c r="AW168" s="43">
        <f t="shared" si="107"/>
        <v>0</v>
      </c>
      <c r="AX168" s="43">
        <f t="shared" si="107"/>
        <v>0</v>
      </c>
      <c r="AZ168" s="47">
        <f t="shared" si="100"/>
        <v>0</v>
      </c>
      <c r="BA168" s="47">
        <f t="shared" si="101"/>
        <v>0</v>
      </c>
      <c r="BB168" s="47">
        <f t="shared" si="102"/>
        <v>0</v>
      </c>
      <c r="BC168" s="47">
        <f t="shared" si="103"/>
        <v>0</v>
      </c>
      <c r="BD168" s="47">
        <f t="shared" si="104"/>
        <v>0</v>
      </c>
    </row>
    <row r="169" spans="2:56" ht="13">
      <c r="B169" s="37">
        <f>'3. Input (des)investeringen '!B202</f>
        <v>1637</v>
      </c>
      <c r="C169" s="48"/>
      <c r="D169" s="48"/>
      <c r="E169" s="48"/>
      <c r="F169" s="42">
        <f>'3. Input (des)investeringen '!D202</f>
        <v>0</v>
      </c>
      <c r="G169" s="48"/>
      <c r="H169" s="37">
        <f>'3. Input (des)investeringen '!F202</f>
        <v>2026</v>
      </c>
      <c r="I169" s="42" t="str">
        <f>'3. Input (des)investeringen '!G202</f>
        <v>nvt</v>
      </c>
      <c r="J169" s="42">
        <f>'3. Input (des)investeringen '!H202</f>
        <v>0</v>
      </c>
      <c r="K169" s="42">
        <f>'3. Input (des)investeringen '!I202</f>
        <v>1</v>
      </c>
      <c r="M169" s="43">
        <f t="shared" si="90"/>
        <v>0</v>
      </c>
      <c r="N169" s="43">
        <f t="shared" si="91"/>
        <v>0</v>
      </c>
      <c r="P169" s="136">
        <f t="shared" si="93"/>
        <v>0</v>
      </c>
      <c r="Q169" s="136">
        <f t="shared" si="92"/>
        <v>0</v>
      </c>
      <c r="S169" s="43">
        <f t="shared" si="53"/>
        <v>0</v>
      </c>
      <c r="T169" s="38">
        <f t="shared" si="94"/>
        <v>0</v>
      </c>
      <c r="V169" s="43">
        <f t="shared" si="105"/>
        <v>0</v>
      </c>
      <c r="W169" s="43">
        <f t="shared" si="105"/>
        <v>0</v>
      </c>
      <c r="X169" s="43">
        <f t="shared" si="105"/>
        <v>0</v>
      </c>
      <c r="Y169" s="43">
        <f t="shared" si="105"/>
        <v>0</v>
      </c>
      <c r="Z169" s="43">
        <f t="shared" si="105"/>
        <v>0</v>
      </c>
      <c r="AB169" s="43">
        <f t="shared" si="106"/>
        <v>0</v>
      </c>
      <c r="AC169" s="43">
        <f t="shared" si="106"/>
        <v>0</v>
      </c>
      <c r="AD169" s="43">
        <f t="shared" si="106"/>
        <v>0</v>
      </c>
      <c r="AE169" s="43">
        <f t="shared" si="106"/>
        <v>0</v>
      </c>
      <c r="AF169" s="43">
        <f t="shared" si="106"/>
        <v>0</v>
      </c>
      <c r="AH169" s="43">
        <f t="shared" si="95"/>
        <v>0</v>
      </c>
      <c r="AI169" s="43">
        <f t="shared" si="96"/>
        <v>0</v>
      </c>
      <c r="AJ169" s="43">
        <f t="shared" si="97"/>
        <v>0</v>
      </c>
      <c r="AK169" s="43">
        <f t="shared" si="98"/>
        <v>0</v>
      </c>
      <c r="AL169" s="43">
        <f t="shared" si="99"/>
        <v>0</v>
      </c>
      <c r="AN169" s="43">
        <f t="shared" si="60"/>
        <v>0</v>
      </c>
      <c r="AO169" s="43">
        <f t="shared" si="61"/>
        <v>0</v>
      </c>
      <c r="AP169" s="43">
        <f t="shared" si="62"/>
        <v>0</v>
      </c>
      <c r="AQ169" s="43">
        <f t="shared" si="63"/>
        <v>0</v>
      </c>
      <c r="AR169" s="43">
        <f t="shared" si="64"/>
        <v>0</v>
      </c>
      <c r="AT169" s="43">
        <f t="shared" si="107"/>
        <v>0</v>
      </c>
      <c r="AU169" s="43">
        <f t="shared" si="107"/>
        <v>0</v>
      </c>
      <c r="AV169" s="43">
        <f t="shared" si="107"/>
        <v>0</v>
      </c>
      <c r="AW169" s="43">
        <f t="shared" si="107"/>
        <v>0</v>
      </c>
      <c r="AX169" s="43">
        <f t="shared" si="107"/>
        <v>0</v>
      </c>
      <c r="AZ169" s="47">
        <f t="shared" si="100"/>
        <v>0</v>
      </c>
      <c r="BA169" s="47">
        <f t="shared" si="101"/>
        <v>0</v>
      </c>
      <c r="BB169" s="47">
        <f t="shared" si="102"/>
        <v>0</v>
      </c>
      <c r="BC169" s="47">
        <f t="shared" si="103"/>
        <v>0</v>
      </c>
      <c r="BD169" s="47">
        <f t="shared" si="104"/>
        <v>0</v>
      </c>
    </row>
    <row r="170" spans="2:56" ht="13">
      <c r="B170" s="37">
        <f>'3. Input (des)investeringen '!B203</f>
        <v>1638</v>
      </c>
      <c r="C170" s="48"/>
      <c r="D170" s="48"/>
      <c r="E170" s="48"/>
      <c r="F170" s="42">
        <f>'3. Input (des)investeringen '!D203</f>
        <v>17780958.582841545</v>
      </c>
      <c r="G170" s="48"/>
      <c r="H170" s="37">
        <f>'3. Input (des)investeringen '!F203</f>
        <v>2026</v>
      </c>
      <c r="I170" s="42" t="str">
        <f>'3. Input (des)investeringen '!G203</f>
        <v>nvt</v>
      </c>
      <c r="J170" s="42">
        <f>'3. Input (des)investeringen '!H203</f>
        <v>5</v>
      </c>
      <c r="K170" s="42">
        <f>'3. Input (des)investeringen '!I203</f>
        <v>1</v>
      </c>
      <c r="M170" s="43">
        <f t="shared" si="90"/>
        <v>0</v>
      </c>
      <c r="N170" s="43">
        <f t="shared" si="91"/>
        <v>0</v>
      </c>
      <c r="P170" s="136">
        <f t="shared" si="93"/>
        <v>0</v>
      </c>
      <c r="Q170" s="136">
        <f t="shared" si="92"/>
        <v>0</v>
      </c>
      <c r="S170" s="43">
        <f t="shared" si="53"/>
        <v>17780958.582841545</v>
      </c>
      <c r="T170" s="38">
        <f t="shared" si="94"/>
        <v>5</v>
      </c>
      <c r="V170" s="43">
        <f t="shared" si="105"/>
        <v>0</v>
      </c>
      <c r="W170" s="43">
        <f t="shared" si="105"/>
        <v>0</v>
      </c>
      <c r="X170" s="43">
        <f t="shared" si="105"/>
        <v>0</v>
      </c>
      <c r="Y170" s="43">
        <f t="shared" si="105"/>
        <v>0</v>
      </c>
      <c r="Z170" s="43">
        <f t="shared" si="105"/>
        <v>2080372.1541924609</v>
      </c>
      <c r="AB170" s="43">
        <f t="shared" si="106"/>
        <v>0</v>
      </c>
      <c r="AC170" s="43">
        <f t="shared" si="106"/>
        <v>0</v>
      </c>
      <c r="AD170" s="43">
        <f t="shared" si="106"/>
        <v>0</v>
      </c>
      <c r="AE170" s="43">
        <f t="shared" si="106"/>
        <v>0</v>
      </c>
      <c r="AF170" s="43">
        <f t="shared" si="106"/>
        <v>177809.58582841547</v>
      </c>
      <c r="AH170" s="43">
        <f t="shared" si="95"/>
        <v>0</v>
      </c>
      <c r="AI170" s="43">
        <f t="shared" si="96"/>
        <v>0</v>
      </c>
      <c r="AJ170" s="43">
        <f t="shared" si="97"/>
        <v>0</v>
      </c>
      <c r="AK170" s="43">
        <f t="shared" si="98"/>
        <v>0</v>
      </c>
      <c r="AL170" s="43">
        <f t="shared" si="99"/>
        <v>2258181.7400208763</v>
      </c>
      <c r="AN170" s="43">
        <f t="shared" si="60"/>
        <v>0</v>
      </c>
      <c r="AO170" s="43">
        <f t="shared" si="61"/>
        <v>0</v>
      </c>
      <c r="AP170" s="43">
        <f t="shared" si="62"/>
        <v>0</v>
      </c>
      <c r="AQ170" s="43">
        <f t="shared" si="63"/>
        <v>0</v>
      </c>
      <c r="AR170" s="43">
        <f t="shared" si="64"/>
        <v>15522776.842820669</v>
      </c>
      <c r="AT170" s="43">
        <f t="shared" si="107"/>
        <v>0</v>
      </c>
      <c r="AU170" s="43">
        <f t="shared" si="107"/>
        <v>0</v>
      </c>
      <c r="AV170" s="43">
        <f t="shared" si="107"/>
        <v>0</v>
      </c>
      <c r="AW170" s="43">
        <f t="shared" si="107"/>
        <v>0</v>
      </c>
      <c r="AX170" s="43">
        <f t="shared" si="107"/>
        <v>177809.58582841547</v>
      </c>
      <c r="AZ170" s="47">
        <f t="shared" si="100"/>
        <v>0</v>
      </c>
      <c r="BA170" s="47">
        <f t="shared" si="101"/>
        <v>0</v>
      </c>
      <c r="BB170" s="47">
        <f t="shared" si="102"/>
        <v>0</v>
      </c>
      <c r="BC170" s="47">
        <f t="shared" si="103"/>
        <v>0</v>
      </c>
      <c r="BD170" s="47">
        <f t="shared" si="104"/>
        <v>3025856.8458764772</v>
      </c>
    </row>
    <row r="171" spans="2:56" ht="13">
      <c r="B171" s="37">
        <f>'3. Input (des)investeringen '!B204</f>
        <v>1639</v>
      </c>
      <c r="C171" s="48"/>
      <c r="D171" s="48"/>
      <c r="E171" s="48"/>
      <c r="F171" s="42">
        <f>'3. Input (des)investeringen '!D204</f>
        <v>5393348.681022618</v>
      </c>
      <c r="G171" s="48"/>
      <c r="H171" s="37">
        <f>'3. Input (des)investeringen '!F204</f>
        <v>2026</v>
      </c>
      <c r="I171" s="42" t="str">
        <f>'3. Input (des)investeringen '!G204</f>
        <v>nvt</v>
      </c>
      <c r="J171" s="42">
        <f>'3. Input (des)investeringen '!H204</f>
        <v>10</v>
      </c>
      <c r="K171" s="42">
        <f>'3. Input (des)investeringen '!I204</f>
        <v>1</v>
      </c>
      <c r="M171" s="43">
        <f t="shared" si="90"/>
        <v>0</v>
      </c>
      <c r="N171" s="43">
        <f t="shared" si="91"/>
        <v>0</v>
      </c>
      <c r="P171" s="136">
        <f t="shared" si="93"/>
        <v>0</v>
      </c>
      <c r="Q171" s="136">
        <f t="shared" si="92"/>
        <v>0</v>
      </c>
      <c r="S171" s="43">
        <f t="shared" si="53"/>
        <v>5393348.681022618</v>
      </c>
      <c r="T171" s="38">
        <f t="shared" si="94"/>
        <v>10</v>
      </c>
      <c r="V171" s="43">
        <f t="shared" ref="V171:Z180" si="108">IF($J171=0, 0, IF(OR($H171&gt;V$59,$H171+$J171&lt;V$59),0,
IF(OR($H171=2020,$H171=2021),VDB($S171*(1-$F$28),0,$T171,V$59-2022,MIN($T171,V$59-2021),$F$22,FALSE),
VDB($S171*(1-$F$28),0,$T171,MAX(0,V$59-$H171-0.5),MIN($T171,V$59-$H171+0.5),$F$22,FALSE))))</f>
        <v>0</v>
      </c>
      <c r="W171" s="43">
        <f t="shared" si="108"/>
        <v>0</v>
      </c>
      <c r="X171" s="43">
        <f t="shared" si="108"/>
        <v>0</v>
      </c>
      <c r="Y171" s="43">
        <f t="shared" si="108"/>
        <v>0</v>
      </c>
      <c r="Z171" s="43">
        <f t="shared" si="108"/>
        <v>315510.89783982316</v>
      </c>
      <c r="AB171" s="43">
        <f t="shared" ref="AB171:AF180" si="109">IF($J171=0, 0, IF(OR($H171&gt;AB$59,$H171+$J171&lt;AB$59),0,
IF(OR($H171=2020,$H171=2021),VDB($S171*$F$28,0,$T171,AB$59-2022,MIN($T171,AB$59-2021),1),
VDB($S171*$F$28,0,$T171,MAX(0,AB$59-$H171-0.5),MIN($T171,AB$59-$H171+0.5),1))))</f>
        <v>0</v>
      </c>
      <c r="AC171" s="43">
        <f t="shared" si="109"/>
        <v>0</v>
      </c>
      <c r="AD171" s="43">
        <f t="shared" si="109"/>
        <v>0</v>
      </c>
      <c r="AE171" s="43">
        <f t="shared" si="109"/>
        <v>0</v>
      </c>
      <c r="AF171" s="43">
        <f t="shared" si="109"/>
        <v>26966.743405113091</v>
      </c>
      <c r="AH171" s="43">
        <f t="shared" si="95"/>
        <v>0</v>
      </c>
      <c r="AI171" s="43">
        <f t="shared" si="96"/>
        <v>0</v>
      </c>
      <c r="AJ171" s="43">
        <f t="shared" si="97"/>
        <v>0</v>
      </c>
      <c r="AK171" s="43">
        <f t="shared" si="98"/>
        <v>0</v>
      </c>
      <c r="AL171" s="43">
        <f t="shared" si="99"/>
        <v>342477.64124493627</v>
      </c>
      <c r="AN171" s="43">
        <f t="shared" si="60"/>
        <v>0</v>
      </c>
      <c r="AO171" s="43">
        <f t="shared" si="61"/>
        <v>0</v>
      </c>
      <c r="AP171" s="43">
        <f t="shared" si="62"/>
        <v>0</v>
      </c>
      <c r="AQ171" s="43">
        <f t="shared" si="63"/>
        <v>0</v>
      </c>
      <c r="AR171" s="43">
        <f t="shared" si="64"/>
        <v>5050871.0397776812</v>
      </c>
      <c r="AT171" s="43">
        <f t="shared" ref="AT171:AX180" si="110">IF($H171&lt;=AT$59,$F171*INDEX($H$40:$N$46,$H171-2019,AT$59-2019)*INDEX($H$49:$N$55,$H171-2019,AT$59-2019)*$F$19,0)</f>
        <v>0</v>
      </c>
      <c r="AU171" s="43">
        <f t="shared" si="110"/>
        <v>0</v>
      </c>
      <c r="AV171" s="43">
        <f t="shared" si="110"/>
        <v>0</v>
      </c>
      <c r="AW171" s="43">
        <f t="shared" si="110"/>
        <v>0</v>
      </c>
      <c r="AX171" s="43">
        <f t="shared" si="110"/>
        <v>53933.486810226183</v>
      </c>
      <c r="AZ171" s="47">
        <f t="shared" si="100"/>
        <v>0</v>
      </c>
      <c r="BA171" s="47">
        <f t="shared" si="101"/>
        <v>0</v>
      </c>
      <c r="BB171" s="47">
        <f t="shared" si="102"/>
        <v>0</v>
      </c>
      <c r="BC171" s="47">
        <f t="shared" si="103"/>
        <v>0</v>
      </c>
      <c r="BD171" s="47">
        <f t="shared" si="104"/>
        <v>588344.2275667144</v>
      </c>
    </row>
    <row r="172" spans="2:56" ht="13">
      <c r="B172" s="37">
        <f>'3. Input (des)investeringen '!B205</f>
        <v>1640</v>
      </c>
      <c r="C172" s="48"/>
      <c r="D172" s="48"/>
      <c r="E172" s="48"/>
      <c r="F172" s="42">
        <f>'3. Input (des)investeringen '!D205</f>
        <v>25440067.393025532</v>
      </c>
      <c r="G172" s="48"/>
      <c r="H172" s="37">
        <f>'3. Input (des)investeringen '!F205</f>
        <v>2026</v>
      </c>
      <c r="I172" s="42" t="str">
        <f>'3. Input (des)investeringen '!G205</f>
        <v>nvt</v>
      </c>
      <c r="J172" s="42">
        <f>'3. Input (des)investeringen '!H205</f>
        <v>15</v>
      </c>
      <c r="K172" s="42">
        <f>'3. Input (des)investeringen '!I205</f>
        <v>1</v>
      </c>
      <c r="M172" s="43">
        <f t="shared" si="90"/>
        <v>0</v>
      </c>
      <c r="N172" s="43">
        <f t="shared" si="91"/>
        <v>0</v>
      </c>
      <c r="P172" s="136">
        <f t="shared" si="93"/>
        <v>0</v>
      </c>
      <c r="Q172" s="136">
        <f t="shared" si="92"/>
        <v>0</v>
      </c>
      <c r="S172" s="43">
        <f t="shared" si="53"/>
        <v>25440067.393025532</v>
      </c>
      <c r="T172" s="38">
        <f t="shared" si="94"/>
        <v>15</v>
      </c>
      <c r="V172" s="43">
        <f t="shared" si="108"/>
        <v>0</v>
      </c>
      <c r="W172" s="43">
        <f t="shared" si="108"/>
        <v>0</v>
      </c>
      <c r="X172" s="43">
        <f t="shared" si="108"/>
        <v>0</v>
      </c>
      <c r="Y172" s="43">
        <f t="shared" si="108"/>
        <v>0</v>
      </c>
      <c r="Z172" s="43">
        <f t="shared" si="108"/>
        <v>992162.62832799577</v>
      </c>
      <c r="AB172" s="43">
        <f t="shared" si="109"/>
        <v>0</v>
      </c>
      <c r="AC172" s="43">
        <f t="shared" si="109"/>
        <v>0</v>
      </c>
      <c r="AD172" s="43">
        <f t="shared" si="109"/>
        <v>0</v>
      </c>
      <c r="AE172" s="43">
        <f t="shared" si="109"/>
        <v>0</v>
      </c>
      <c r="AF172" s="43">
        <f t="shared" si="109"/>
        <v>84800.224643418434</v>
      </c>
      <c r="AH172" s="43">
        <f t="shared" si="95"/>
        <v>0</v>
      </c>
      <c r="AI172" s="43">
        <f t="shared" si="96"/>
        <v>0</v>
      </c>
      <c r="AJ172" s="43">
        <f t="shared" si="97"/>
        <v>0</v>
      </c>
      <c r="AK172" s="43">
        <f t="shared" si="98"/>
        <v>0</v>
      </c>
      <c r="AL172" s="43">
        <f t="shared" si="99"/>
        <v>1076962.8529714141</v>
      </c>
      <c r="AN172" s="43">
        <f t="shared" si="60"/>
        <v>0</v>
      </c>
      <c r="AO172" s="43">
        <f t="shared" si="61"/>
        <v>0</v>
      </c>
      <c r="AP172" s="43">
        <f t="shared" si="62"/>
        <v>0</v>
      </c>
      <c r="AQ172" s="43">
        <f t="shared" si="63"/>
        <v>0</v>
      </c>
      <c r="AR172" s="43">
        <f t="shared" si="64"/>
        <v>24363104.54005412</v>
      </c>
      <c r="AT172" s="43">
        <f t="shared" si="110"/>
        <v>0</v>
      </c>
      <c r="AU172" s="43">
        <f t="shared" si="110"/>
        <v>0</v>
      </c>
      <c r="AV172" s="43">
        <f t="shared" si="110"/>
        <v>0</v>
      </c>
      <c r="AW172" s="43">
        <f t="shared" si="110"/>
        <v>0</v>
      </c>
      <c r="AX172" s="43">
        <f t="shared" si="110"/>
        <v>254400.67393025532</v>
      </c>
      <c r="AZ172" s="47">
        <f t="shared" si="100"/>
        <v>0</v>
      </c>
      <c r="BA172" s="47">
        <f t="shared" si="101"/>
        <v>0</v>
      </c>
      <c r="BB172" s="47">
        <f t="shared" si="102"/>
        <v>0</v>
      </c>
      <c r="BC172" s="47">
        <f t="shared" si="103"/>
        <v>0</v>
      </c>
      <c r="BD172" s="47">
        <f t="shared" si="104"/>
        <v>2257161.499423726</v>
      </c>
    </row>
    <row r="173" spans="2:56" ht="13">
      <c r="B173" s="37">
        <f>'3. Input (des)investeringen '!B206</f>
        <v>1641</v>
      </c>
      <c r="C173" s="48"/>
      <c r="D173" s="48"/>
      <c r="E173" s="48"/>
      <c r="F173" s="42">
        <f>'3. Input (des)investeringen '!D206</f>
        <v>31245735.885589555</v>
      </c>
      <c r="G173" s="48"/>
      <c r="H173" s="37">
        <f>'3. Input (des)investeringen '!F206</f>
        <v>2026</v>
      </c>
      <c r="I173" s="42" t="str">
        <f>'3. Input (des)investeringen '!G206</f>
        <v>nvt</v>
      </c>
      <c r="J173" s="42">
        <f>'3. Input (des)investeringen '!H206</f>
        <v>30</v>
      </c>
      <c r="K173" s="42">
        <f>'3. Input (des)investeringen '!I206</f>
        <v>1</v>
      </c>
      <c r="M173" s="43">
        <f t="shared" si="90"/>
        <v>0</v>
      </c>
      <c r="N173" s="43">
        <f t="shared" si="91"/>
        <v>0</v>
      </c>
      <c r="P173" s="136">
        <f t="shared" si="93"/>
        <v>0</v>
      </c>
      <c r="Q173" s="136">
        <f t="shared" si="92"/>
        <v>0</v>
      </c>
      <c r="S173" s="43">
        <f t="shared" si="53"/>
        <v>31245735.885589555</v>
      </c>
      <c r="T173" s="38">
        <f t="shared" si="94"/>
        <v>30</v>
      </c>
      <c r="V173" s="43">
        <f t="shared" si="108"/>
        <v>0</v>
      </c>
      <c r="W173" s="43">
        <f t="shared" si="108"/>
        <v>0</v>
      </c>
      <c r="X173" s="43">
        <f t="shared" si="108"/>
        <v>0</v>
      </c>
      <c r="Y173" s="43">
        <f t="shared" si="108"/>
        <v>0</v>
      </c>
      <c r="Z173" s="43">
        <f t="shared" si="108"/>
        <v>609291.84976899636</v>
      </c>
      <c r="AB173" s="43">
        <f t="shared" si="109"/>
        <v>0</v>
      </c>
      <c r="AC173" s="43">
        <f t="shared" si="109"/>
        <v>0</v>
      </c>
      <c r="AD173" s="43">
        <f t="shared" si="109"/>
        <v>0</v>
      </c>
      <c r="AE173" s="43">
        <f t="shared" si="109"/>
        <v>0</v>
      </c>
      <c r="AF173" s="43">
        <f t="shared" si="109"/>
        <v>52076.226475982592</v>
      </c>
      <c r="AH173" s="43">
        <f t="shared" si="95"/>
        <v>0</v>
      </c>
      <c r="AI173" s="43">
        <f t="shared" si="96"/>
        <v>0</v>
      </c>
      <c r="AJ173" s="43">
        <f t="shared" si="97"/>
        <v>0</v>
      </c>
      <c r="AK173" s="43">
        <f t="shared" si="98"/>
        <v>0</v>
      </c>
      <c r="AL173" s="43">
        <f t="shared" si="99"/>
        <v>661368.07624497893</v>
      </c>
      <c r="AN173" s="43">
        <f t="shared" si="60"/>
        <v>0</v>
      </c>
      <c r="AO173" s="43">
        <f t="shared" si="61"/>
        <v>0</v>
      </c>
      <c r="AP173" s="43">
        <f t="shared" si="62"/>
        <v>0</v>
      </c>
      <c r="AQ173" s="43">
        <f t="shared" si="63"/>
        <v>0</v>
      </c>
      <c r="AR173" s="43">
        <f t="shared" si="64"/>
        <v>30584367.809344575</v>
      </c>
      <c r="AT173" s="43">
        <f t="shared" si="110"/>
        <v>0</v>
      </c>
      <c r="AU173" s="43">
        <f t="shared" si="110"/>
        <v>0</v>
      </c>
      <c r="AV173" s="43">
        <f t="shared" si="110"/>
        <v>0</v>
      </c>
      <c r="AW173" s="43">
        <f t="shared" si="110"/>
        <v>0</v>
      </c>
      <c r="AX173" s="43">
        <f t="shared" si="110"/>
        <v>312457.35885589558</v>
      </c>
      <c r="AZ173" s="47">
        <f t="shared" si="100"/>
        <v>0</v>
      </c>
      <c r="BA173" s="47">
        <f t="shared" si="101"/>
        <v>0</v>
      </c>
      <c r="BB173" s="47">
        <f t="shared" si="102"/>
        <v>0</v>
      </c>
      <c r="BC173" s="47">
        <f t="shared" si="103"/>
        <v>0</v>
      </c>
      <c r="BD173" s="47">
        <f t="shared" si="104"/>
        <v>2136031.4118559682</v>
      </c>
    </row>
    <row r="174" spans="2:56" ht="13">
      <c r="B174" s="37">
        <f>'3. Input (des)investeringen '!B207</f>
        <v>1642</v>
      </c>
      <c r="C174" s="48"/>
      <c r="D174" s="48"/>
      <c r="E174" s="48"/>
      <c r="F174" s="42">
        <f>'3. Input (des)investeringen '!D207</f>
        <v>86492607.535159335</v>
      </c>
      <c r="G174" s="48"/>
      <c r="H174" s="37">
        <f>'3. Input (des)investeringen '!F207</f>
        <v>2026</v>
      </c>
      <c r="I174" s="42" t="str">
        <f>'3. Input (des)investeringen '!G207</f>
        <v>nvt</v>
      </c>
      <c r="J174" s="42">
        <f>'3. Input (des)investeringen '!H207</f>
        <v>55</v>
      </c>
      <c r="K174" s="42">
        <f>'3. Input (des)investeringen '!I207</f>
        <v>1</v>
      </c>
      <c r="M174" s="43">
        <f t="shared" si="90"/>
        <v>0</v>
      </c>
      <c r="N174" s="43">
        <f t="shared" si="91"/>
        <v>0</v>
      </c>
      <c r="P174" s="136">
        <f t="shared" si="93"/>
        <v>0</v>
      </c>
      <c r="Q174" s="136">
        <f t="shared" si="92"/>
        <v>0</v>
      </c>
      <c r="S174" s="43">
        <f t="shared" si="53"/>
        <v>86492607.535159335</v>
      </c>
      <c r="T174" s="38">
        <f t="shared" si="94"/>
        <v>55</v>
      </c>
      <c r="V174" s="43">
        <f t="shared" si="108"/>
        <v>0</v>
      </c>
      <c r="W174" s="43">
        <f t="shared" si="108"/>
        <v>0</v>
      </c>
      <c r="X174" s="43">
        <f t="shared" si="108"/>
        <v>0</v>
      </c>
      <c r="Y174" s="43">
        <f t="shared" si="108"/>
        <v>0</v>
      </c>
      <c r="Z174" s="43">
        <f t="shared" si="108"/>
        <v>919966.82560124027</v>
      </c>
      <c r="AB174" s="43">
        <f t="shared" si="109"/>
        <v>0</v>
      </c>
      <c r="AC174" s="43">
        <f t="shared" si="109"/>
        <v>0</v>
      </c>
      <c r="AD174" s="43">
        <f t="shared" si="109"/>
        <v>0</v>
      </c>
      <c r="AE174" s="43">
        <f t="shared" si="109"/>
        <v>0</v>
      </c>
      <c r="AF174" s="43">
        <f t="shared" si="109"/>
        <v>78629.643213781223</v>
      </c>
      <c r="AH174" s="43">
        <f t="shared" si="95"/>
        <v>0</v>
      </c>
      <c r="AI174" s="43">
        <f t="shared" si="96"/>
        <v>0</v>
      </c>
      <c r="AJ174" s="43">
        <f t="shared" si="97"/>
        <v>0</v>
      </c>
      <c r="AK174" s="43">
        <f t="shared" si="98"/>
        <v>0</v>
      </c>
      <c r="AL174" s="43">
        <f t="shared" si="99"/>
        <v>998596.46881502145</v>
      </c>
      <c r="AN174" s="43">
        <f t="shared" si="60"/>
        <v>0</v>
      </c>
      <c r="AO174" s="43">
        <f t="shared" si="61"/>
        <v>0</v>
      </c>
      <c r="AP174" s="43">
        <f t="shared" si="62"/>
        <v>0</v>
      </c>
      <c r="AQ174" s="43">
        <f t="shared" si="63"/>
        <v>0</v>
      </c>
      <c r="AR174" s="43">
        <f t="shared" si="64"/>
        <v>85494011.066344306</v>
      </c>
      <c r="AT174" s="43">
        <f t="shared" si="110"/>
        <v>0</v>
      </c>
      <c r="AU174" s="43">
        <f t="shared" si="110"/>
        <v>0</v>
      </c>
      <c r="AV174" s="43">
        <f t="shared" si="110"/>
        <v>0</v>
      </c>
      <c r="AW174" s="43">
        <f t="shared" si="110"/>
        <v>0</v>
      </c>
      <c r="AX174" s="43">
        <f t="shared" si="110"/>
        <v>864926.07535159332</v>
      </c>
      <c r="AZ174" s="47">
        <f t="shared" si="100"/>
        <v>0</v>
      </c>
      <c r="BA174" s="47">
        <f t="shared" si="101"/>
        <v>0</v>
      </c>
      <c r="BB174" s="47">
        <f t="shared" si="102"/>
        <v>0</v>
      </c>
      <c r="BC174" s="47">
        <f t="shared" si="103"/>
        <v>0</v>
      </c>
      <c r="BD174" s="47">
        <f t="shared" si="104"/>
        <v>5112294.9646876985</v>
      </c>
    </row>
    <row r="175" spans="2:56" ht="13">
      <c r="B175" s="37">
        <f>'3. Input (des)investeringen '!B208</f>
        <v>1643</v>
      </c>
      <c r="C175" s="48"/>
      <c r="D175" s="48"/>
      <c r="E175" s="48"/>
      <c r="F175" s="42">
        <f>'3. Input (des)investeringen '!D208</f>
        <v>-33013.724660430409</v>
      </c>
      <c r="G175" s="48"/>
      <c r="H175" s="37">
        <f>'3. Input (des)investeringen '!F208</f>
        <v>2026</v>
      </c>
      <c r="I175" s="42" t="str">
        <f>'3. Input (des)investeringen '!G208</f>
        <v>nvt</v>
      </c>
      <c r="J175" s="42">
        <f>'3. Input (des)investeringen '!H208</f>
        <v>0</v>
      </c>
      <c r="K175" s="42">
        <f>'3. Input (des)investeringen '!I208</f>
        <v>0</v>
      </c>
      <c r="M175" s="43">
        <f t="shared" si="90"/>
        <v>0</v>
      </c>
      <c r="N175" s="43">
        <f t="shared" si="91"/>
        <v>0</v>
      </c>
      <c r="P175" s="136">
        <f t="shared" si="93"/>
        <v>0</v>
      </c>
      <c r="Q175" s="136">
        <f t="shared" si="92"/>
        <v>0</v>
      </c>
      <c r="S175" s="43">
        <f t="shared" si="53"/>
        <v>-33013.724660430409</v>
      </c>
      <c r="T175" s="38">
        <f t="shared" si="94"/>
        <v>0</v>
      </c>
      <c r="V175" s="43">
        <f t="shared" si="108"/>
        <v>0</v>
      </c>
      <c r="W175" s="43">
        <f t="shared" si="108"/>
        <v>0</v>
      </c>
      <c r="X175" s="43">
        <f t="shared" si="108"/>
        <v>0</v>
      </c>
      <c r="Y175" s="43">
        <f t="shared" si="108"/>
        <v>0</v>
      </c>
      <c r="Z175" s="43">
        <f t="shared" si="108"/>
        <v>0</v>
      </c>
      <c r="AB175" s="43">
        <f t="shared" si="109"/>
        <v>0</v>
      </c>
      <c r="AC175" s="43">
        <f t="shared" si="109"/>
        <v>0</v>
      </c>
      <c r="AD175" s="43">
        <f t="shared" si="109"/>
        <v>0</v>
      </c>
      <c r="AE175" s="43">
        <f t="shared" si="109"/>
        <v>0</v>
      </c>
      <c r="AF175" s="43">
        <f t="shared" si="109"/>
        <v>0</v>
      </c>
      <c r="AH175" s="43">
        <f t="shared" si="95"/>
        <v>0</v>
      </c>
      <c r="AI175" s="43">
        <f t="shared" si="96"/>
        <v>0</v>
      </c>
      <c r="AJ175" s="43">
        <f t="shared" si="97"/>
        <v>0</v>
      </c>
      <c r="AK175" s="43">
        <f t="shared" si="98"/>
        <v>0</v>
      </c>
      <c r="AL175" s="43">
        <f t="shared" si="99"/>
        <v>0</v>
      </c>
      <c r="AN175" s="43">
        <f t="shared" si="60"/>
        <v>0</v>
      </c>
      <c r="AO175" s="43">
        <f t="shared" si="61"/>
        <v>0</v>
      </c>
      <c r="AP175" s="43">
        <f t="shared" si="62"/>
        <v>0</v>
      </c>
      <c r="AQ175" s="43">
        <f t="shared" si="63"/>
        <v>0</v>
      </c>
      <c r="AR175" s="43">
        <f t="shared" si="64"/>
        <v>-33013.724660430409</v>
      </c>
      <c r="AT175" s="43">
        <f t="shared" si="110"/>
        <v>0</v>
      </c>
      <c r="AU175" s="43">
        <f t="shared" si="110"/>
        <v>0</v>
      </c>
      <c r="AV175" s="43">
        <f t="shared" si="110"/>
        <v>0</v>
      </c>
      <c r="AW175" s="43">
        <f t="shared" si="110"/>
        <v>0</v>
      </c>
      <c r="AX175" s="43">
        <f t="shared" si="110"/>
        <v>-330.1372466043041</v>
      </c>
      <c r="AZ175" s="47">
        <f t="shared" si="100"/>
        <v>0</v>
      </c>
      <c r="BA175" s="47">
        <f t="shared" si="101"/>
        <v>0</v>
      </c>
      <c r="BB175" s="47">
        <f t="shared" si="102"/>
        <v>0</v>
      </c>
      <c r="BC175" s="47">
        <f t="shared" si="103"/>
        <v>0</v>
      </c>
      <c r="BD175" s="47">
        <f t="shared" si="104"/>
        <v>-1584.6587837006596</v>
      </c>
    </row>
    <row r="176" spans="2:56" ht="13">
      <c r="B176" s="37">
        <f>'3. Input (des)investeringen '!B209</f>
        <v>1644</v>
      </c>
      <c r="C176" s="48"/>
      <c r="D176" s="48"/>
      <c r="E176" s="48"/>
      <c r="F176" s="42">
        <f>'3. Input (des)investeringen '!D209</f>
        <v>464981.59278808843</v>
      </c>
      <c r="G176" s="48"/>
      <c r="H176" s="37">
        <f>'3. Input (des)investeringen '!F209</f>
        <v>2026</v>
      </c>
      <c r="I176" s="42" t="str">
        <f>'3. Input (des)investeringen '!G209</f>
        <v>nvt</v>
      </c>
      <c r="J176" s="42">
        <f>'3. Input (des)investeringen '!H209</f>
        <v>5</v>
      </c>
      <c r="K176" s="42">
        <f>'3. Input (des)investeringen '!I209</f>
        <v>0</v>
      </c>
      <c r="M176" s="43">
        <f t="shared" si="90"/>
        <v>0</v>
      </c>
      <c r="N176" s="43">
        <f t="shared" si="91"/>
        <v>0</v>
      </c>
      <c r="P176" s="136">
        <f t="shared" si="93"/>
        <v>0</v>
      </c>
      <c r="Q176" s="136">
        <f t="shared" si="92"/>
        <v>0</v>
      </c>
      <c r="S176" s="43">
        <f t="shared" si="53"/>
        <v>464981.59278808843</v>
      </c>
      <c r="T176" s="38">
        <f t="shared" si="94"/>
        <v>5</v>
      </c>
      <c r="V176" s="43">
        <f t="shared" si="108"/>
        <v>0</v>
      </c>
      <c r="W176" s="43">
        <f t="shared" si="108"/>
        <v>0</v>
      </c>
      <c r="X176" s="43">
        <f t="shared" si="108"/>
        <v>0</v>
      </c>
      <c r="Y176" s="43">
        <f t="shared" si="108"/>
        <v>0</v>
      </c>
      <c r="Z176" s="43">
        <f t="shared" si="108"/>
        <v>54402.846356206348</v>
      </c>
      <c r="AB176" s="43">
        <f t="shared" si="109"/>
        <v>0</v>
      </c>
      <c r="AC176" s="43">
        <f t="shared" si="109"/>
        <v>0</v>
      </c>
      <c r="AD176" s="43">
        <f t="shared" si="109"/>
        <v>0</v>
      </c>
      <c r="AE176" s="43">
        <f t="shared" si="109"/>
        <v>0</v>
      </c>
      <c r="AF176" s="43">
        <f t="shared" si="109"/>
        <v>4649.8159278808844</v>
      </c>
      <c r="AH176" s="43">
        <f t="shared" si="95"/>
        <v>0</v>
      </c>
      <c r="AI176" s="43">
        <f t="shared" si="96"/>
        <v>0</v>
      </c>
      <c r="AJ176" s="43">
        <f t="shared" si="97"/>
        <v>0</v>
      </c>
      <c r="AK176" s="43">
        <f t="shared" si="98"/>
        <v>0</v>
      </c>
      <c r="AL176" s="43">
        <f t="shared" si="99"/>
        <v>59052.66228408723</v>
      </c>
      <c r="AN176" s="43">
        <f t="shared" si="60"/>
        <v>0</v>
      </c>
      <c r="AO176" s="43">
        <f t="shared" si="61"/>
        <v>0</v>
      </c>
      <c r="AP176" s="43">
        <f t="shared" si="62"/>
        <v>0</v>
      </c>
      <c r="AQ176" s="43">
        <f t="shared" si="63"/>
        <v>0</v>
      </c>
      <c r="AR176" s="43">
        <f t="shared" si="64"/>
        <v>405928.93050400121</v>
      </c>
      <c r="AT176" s="43">
        <f t="shared" si="110"/>
        <v>0</v>
      </c>
      <c r="AU176" s="43">
        <f t="shared" si="110"/>
        <v>0</v>
      </c>
      <c r="AV176" s="43">
        <f t="shared" si="110"/>
        <v>0</v>
      </c>
      <c r="AW176" s="43">
        <f t="shared" si="110"/>
        <v>0</v>
      </c>
      <c r="AX176" s="43">
        <f t="shared" si="110"/>
        <v>4649.8159278808844</v>
      </c>
      <c r="AZ176" s="47">
        <f t="shared" si="100"/>
        <v>0</v>
      </c>
      <c r="BA176" s="47">
        <f t="shared" si="101"/>
        <v>0</v>
      </c>
      <c r="BB176" s="47">
        <f t="shared" si="102"/>
        <v>0</v>
      </c>
      <c r="BC176" s="47">
        <f t="shared" si="103"/>
        <v>0</v>
      </c>
      <c r="BD176" s="47">
        <f t="shared" si="104"/>
        <v>79127.777571120168</v>
      </c>
    </row>
    <row r="177" spans="2:56" ht="13">
      <c r="B177" s="37">
        <f>'3. Input (des)investeringen '!B210</f>
        <v>1645</v>
      </c>
      <c r="C177" s="48"/>
      <c r="D177" s="48"/>
      <c r="E177" s="48"/>
      <c r="F177" s="42">
        <f>'3. Input (des)investeringen '!D210</f>
        <v>1667457.2352886177</v>
      </c>
      <c r="G177" s="48"/>
      <c r="H177" s="37">
        <f>'3. Input (des)investeringen '!F210</f>
        <v>2026</v>
      </c>
      <c r="I177" s="42" t="str">
        <f>'3. Input (des)investeringen '!G210</f>
        <v>nvt</v>
      </c>
      <c r="J177" s="42">
        <f>'3. Input (des)investeringen '!H210</f>
        <v>10</v>
      </c>
      <c r="K177" s="42">
        <f>'3. Input (des)investeringen '!I210</f>
        <v>0</v>
      </c>
      <c r="M177" s="43">
        <f t="shared" si="90"/>
        <v>0</v>
      </c>
      <c r="N177" s="43">
        <f t="shared" si="91"/>
        <v>0</v>
      </c>
      <c r="P177" s="136">
        <f t="shared" si="93"/>
        <v>0</v>
      </c>
      <c r="Q177" s="136">
        <f t="shared" si="92"/>
        <v>0</v>
      </c>
      <c r="S177" s="43">
        <f t="shared" si="53"/>
        <v>1667457.2352886177</v>
      </c>
      <c r="T177" s="38">
        <f t="shared" si="94"/>
        <v>10</v>
      </c>
      <c r="V177" s="43">
        <f t="shared" si="108"/>
        <v>0</v>
      </c>
      <c r="W177" s="43">
        <f t="shared" si="108"/>
        <v>0</v>
      </c>
      <c r="X177" s="43">
        <f t="shared" si="108"/>
        <v>0</v>
      </c>
      <c r="Y177" s="43">
        <f t="shared" si="108"/>
        <v>0</v>
      </c>
      <c r="Z177" s="43">
        <f t="shared" si="108"/>
        <v>97546.248264384136</v>
      </c>
      <c r="AB177" s="43">
        <f t="shared" si="109"/>
        <v>0</v>
      </c>
      <c r="AC177" s="43">
        <f t="shared" si="109"/>
        <v>0</v>
      </c>
      <c r="AD177" s="43">
        <f t="shared" si="109"/>
        <v>0</v>
      </c>
      <c r="AE177" s="43">
        <f t="shared" si="109"/>
        <v>0</v>
      </c>
      <c r="AF177" s="43">
        <f t="shared" si="109"/>
        <v>8337.2861764430891</v>
      </c>
      <c r="AH177" s="43">
        <f t="shared" si="95"/>
        <v>0</v>
      </c>
      <c r="AI177" s="43">
        <f t="shared" si="96"/>
        <v>0</v>
      </c>
      <c r="AJ177" s="43">
        <f t="shared" si="97"/>
        <v>0</v>
      </c>
      <c r="AK177" s="43">
        <f t="shared" si="98"/>
        <v>0</v>
      </c>
      <c r="AL177" s="43">
        <f t="shared" si="99"/>
        <v>105883.53444082722</v>
      </c>
      <c r="AN177" s="43">
        <f t="shared" si="60"/>
        <v>0</v>
      </c>
      <c r="AO177" s="43">
        <f t="shared" si="61"/>
        <v>0</v>
      </c>
      <c r="AP177" s="43">
        <f t="shared" si="62"/>
        <v>0</v>
      </c>
      <c r="AQ177" s="43">
        <f t="shared" si="63"/>
        <v>0</v>
      </c>
      <c r="AR177" s="43">
        <f t="shared" si="64"/>
        <v>1561573.7008477903</v>
      </c>
      <c r="AT177" s="43">
        <f t="shared" si="110"/>
        <v>0</v>
      </c>
      <c r="AU177" s="43">
        <f t="shared" si="110"/>
        <v>0</v>
      </c>
      <c r="AV177" s="43">
        <f t="shared" si="110"/>
        <v>0</v>
      </c>
      <c r="AW177" s="43">
        <f t="shared" si="110"/>
        <v>0</v>
      </c>
      <c r="AX177" s="43">
        <f t="shared" si="110"/>
        <v>16674.572352886178</v>
      </c>
      <c r="AZ177" s="47">
        <f t="shared" si="100"/>
        <v>0</v>
      </c>
      <c r="BA177" s="47">
        <f t="shared" si="101"/>
        <v>0</v>
      </c>
      <c r="BB177" s="47">
        <f t="shared" si="102"/>
        <v>0</v>
      </c>
      <c r="BC177" s="47">
        <f t="shared" si="103"/>
        <v>0</v>
      </c>
      <c r="BD177" s="47">
        <f t="shared" si="104"/>
        <v>181897.90742592941</v>
      </c>
    </row>
    <row r="178" spans="2:56" ht="13">
      <c r="B178" s="37">
        <f>'3. Input (des)investeringen '!B211</f>
        <v>1646</v>
      </c>
      <c r="C178" s="48"/>
      <c r="D178" s="48"/>
      <c r="E178" s="48"/>
      <c r="F178" s="42">
        <f>'3. Input (des)investeringen '!D211</f>
        <v>5010922.5637233881</v>
      </c>
      <c r="G178" s="48"/>
      <c r="H178" s="37">
        <f>'3. Input (des)investeringen '!F211</f>
        <v>2026</v>
      </c>
      <c r="I178" s="42" t="str">
        <f>'3. Input (des)investeringen '!G211</f>
        <v>nvt</v>
      </c>
      <c r="J178" s="42">
        <f>'3. Input (des)investeringen '!H211</f>
        <v>15</v>
      </c>
      <c r="K178" s="42">
        <f>'3. Input (des)investeringen '!I211</f>
        <v>0</v>
      </c>
      <c r="M178" s="43">
        <f t="shared" si="90"/>
        <v>0</v>
      </c>
      <c r="N178" s="43">
        <f t="shared" si="91"/>
        <v>0</v>
      </c>
      <c r="P178" s="136">
        <f t="shared" si="93"/>
        <v>0</v>
      </c>
      <c r="Q178" s="136">
        <f t="shared" si="92"/>
        <v>0</v>
      </c>
      <c r="S178" s="43">
        <f t="shared" si="53"/>
        <v>5010922.5637233881</v>
      </c>
      <c r="T178" s="38">
        <f t="shared" si="94"/>
        <v>15</v>
      </c>
      <c r="V178" s="43">
        <f t="shared" si="108"/>
        <v>0</v>
      </c>
      <c r="W178" s="43">
        <f t="shared" si="108"/>
        <v>0</v>
      </c>
      <c r="X178" s="43">
        <f t="shared" si="108"/>
        <v>0</v>
      </c>
      <c r="Y178" s="43">
        <f t="shared" si="108"/>
        <v>0</v>
      </c>
      <c r="Z178" s="43">
        <f t="shared" si="108"/>
        <v>195425.97998521212</v>
      </c>
      <c r="AB178" s="43">
        <f t="shared" si="109"/>
        <v>0</v>
      </c>
      <c r="AC178" s="43">
        <f t="shared" si="109"/>
        <v>0</v>
      </c>
      <c r="AD178" s="43">
        <f t="shared" si="109"/>
        <v>0</v>
      </c>
      <c r="AE178" s="43">
        <f t="shared" si="109"/>
        <v>0</v>
      </c>
      <c r="AF178" s="43">
        <f t="shared" si="109"/>
        <v>16703.075212411295</v>
      </c>
      <c r="AH178" s="43">
        <f t="shared" si="95"/>
        <v>0</v>
      </c>
      <c r="AI178" s="43">
        <f t="shared" si="96"/>
        <v>0</v>
      </c>
      <c r="AJ178" s="43">
        <f t="shared" si="97"/>
        <v>0</v>
      </c>
      <c r="AK178" s="43">
        <f t="shared" si="98"/>
        <v>0</v>
      </c>
      <c r="AL178" s="43">
        <f t="shared" si="99"/>
        <v>212129.05519762341</v>
      </c>
      <c r="AN178" s="43">
        <f t="shared" si="60"/>
        <v>0</v>
      </c>
      <c r="AO178" s="43">
        <f t="shared" si="61"/>
        <v>0</v>
      </c>
      <c r="AP178" s="43">
        <f t="shared" si="62"/>
        <v>0</v>
      </c>
      <c r="AQ178" s="43">
        <f t="shared" si="63"/>
        <v>0</v>
      </c>
      <c r="AR178" s="43">
        <f t="shared" si="64"/>
        <v>4798793.5085257646</v>
      </c>
      <c r="AT178" s="43">
        <f t="shared" si="110"/>
        <v>0</v>
      </c>
      <c r="AU178" s="43">
        <f t="shared" si="110"/>
        <v>0</v>
      </c>
      <c r="AV178" s="43">
        <f t="shared" si="110"/>
        <v>0</v>
      </c>
      <c r="AW178" s="43">
        <f t="shared" si="110"/>
        <v>0</v>
      </c>
      <c r="AX178" s="43">
        <f t="shared" si="110"/>
        <v>50109.225637233882</v>
      </c>
      <c r="AZ178" s="47">
        <f t="shared" si="100"/>
        <v>0</v>
      </c>
      <c r="BA178" s="47">
        <f t="shared" si="101"/>
        <v>0</v>
      </c>
      <c r="BB178" s="47">
        <f t="shared" si="102"/>
        <v>0</v>
      </c>
      <c r="BC178" s="47">
        <f t="shared" si="103"/>
        <v>0</v>
      </c>
      <c r="BD178" s="47">
        <f t="shared" si="104"/>
        <v>444592.43415883632</v>
      </c>
    </row>
    <row r="179" spans="2:56" ht="13">
      <c r="B179" s="37">
        <f>'3. Input (des)investeringen '!B212</f>
        <v>1647</v>
      </c>
      <c r="C179" s="48"/>
      <c r="D179" s="48"/>
      <c r="E179" s="48"/>
      <c r="F179" s="42">
        <f>'3. Input (des)investeringen '!D212</f>
        <v>28421124.056846563</v>
      </c>
      <c r="G179" s="48"/>
      <c r="H179" s="37">
        <f>'3. Input (des)investeringen '!F212</f>
        <v>2026</v>
      </c>
      <c r="I179" s="42" t="str">
        <f>'3. Input (des)investeringen '!G212</f>
        <v>nvt</v>
      </c>
      <c r="J179" s="42">
        <f>'3. Input (des)investeringen '!H212</f>
        <v>30</v>
      </c>
      <c r="K179" s="42">
        <f>'3. Input (des)investeringen '!I212</f>
        <v>0</v>
      </c>
      <c r="M179" s="43">
        <f t="shared" si="90"/>
        <v>0</v>
      </c>
      <c r="N179" s="43">
        <f t="shared" si="91"/>
        <v>0</v>
      </c>
      <c r="P179" s="136">
        <f t="shared" si="93"/>
        <v>0</v>
      </c>
      <c r="Q179" s="136">
        <f t="shared" si="92"/>
        <v>0</v>
      </c>
      <c r="S179" s="43">
        <f t="shared" si="53"/>
        <v>28421124.056846563</v>
      </c>
      <c r="T179" s="38">
        <f t="shared" si="94"/>
        <v>30</v>
      </c>
      <c r="V179" s="43">
        <f t="shared" si="108"/>
        <v>0</v>
      </c>
      <c r="W179" s="43">
        <f t="shared" si="108"/>
        <v>0</v>
      </c>
      <c r="X179" s="43">
        <f t="shared" si="108"/>
        <v>0</v>
      </c>
      <c r="Y179" s="43">
        <f t="shared" si="108"/>
        <v>0</v>
      </c>
      <c r="Z179" s="43">
        <f t="shared" si="108"/>
        <v>554211.91910850792</v>
      </c>
      <c r="AB179" s="43">
        <f t="shared" si="109"/>
        <v>0</v>
      </c>
      <c r="AC179" s="43">
        <f t="shared" si="109"/>
        <v>0</v>
      </c>
      <c r="AD179" s="43">
        <f t="shared" si="109"/>
        <v>0</v>
      </c>
      <c r="AE179" s="43">
        <f t="shared" si="109"/>
        <v>0</v>
      </c>
      <c r="AF179" s="43">
        <f t="shared" si="109"/>
        <v>47368.540094744276</v>
      </c>
      <c r="AH179" s="43">
        <f t="shared" si="95"/>
        <v>0</v>
      </c>
      <c r="AI179" s="43">
        <f t="shared" si="96"/>
        <v>0</v>
      </c>
      <c r="AJ179" s="43">
        <f t="shared" si="97"/>
        <v>0</v>
      </c>
      <c r="AK179" s="43">
        <f t="shared" si="98"/>
        <v>0</v>
      </c>
      <c r="AL179" s="43">
        <f t="shared" si="99"/>
        <v>601580.45920325222</v>
      </c>
      <c r="AN179" s="43">
        <f t="shared" si="60"/>
        <v>0</v>
      </c>
      <c r="AO179" s="43">
        <f t="shared" si="61"/>
        <v>0</v>
      </c>
      <c r="AP179" s="43">
        <f t="shared" si="62"/>
        <v>0</v>
      </c>
      <c r="AQ179" s="43">
        <f t="shared" si="63"/>
        <v>0</v>
      </c>
      <c r="AR179" s="43">
        <f t="shared" si="64"/>
        <v>27819543.597643312</v>
      </c>
      <c r="AT179" s="43">
        <f t="shared" si="110"/>
        <v>0</v>
      </c>
      <c r="AU179" s="43">
        <f t="shared" si="110"/>
        <v>0</v>
      </c>
      <c r="AV179" s="43">
        <f t="shared" si="110"/>
        <v>0</v>
      </c>
      <c r="AW179" s="43">
        <f t="shared" si="110"/>
        <v>0</v>
      </c>
      <c r="AX179" s="43">
        <f t="shared" si="110"/>
        <v>284211.24056846561</v>
      </c>
      <c r="AZ179" s="47">
        <f t="shared" si="100"/>
        <v>0</v>
      </c>
      <c r="BA179" s="47">
        <f t="shared" si="101"/>
        <v>0</v>
      </c>
      <c r="BB179" s="47">
        <f t="shared" si="102"/>
        <v>0</v>
      </c>
      <c r="BC179" s="47">
        <f t="shared" si="103"/>
        <v>0</v>
      </c>
      <c r="BD179" s="47">
        <f t="shared" si="104"/>
        <v>1942934.3564821635</v>
      </c>
    </row>
    <row r="180" spans="2:56" ht="13">
      <c r="B180" s="37">
        <f>'3. Input (des)investeringen '!B213</f>
        <v>1648</v>
      </c>
      <c r="C180" s="48"/>
      <c r="D180" s="48"/>
      <c r="E180" s="48"/>
      <c r="F180" s="42">
        <f>'3. Input (des)investeringen '!D213</f>
        <v>40148.872615293018</v>
      </c>
      <c r="G180" s="48"/>
      <c r="H180" s="37">
        <f>'3. Input (des)investeringen '!F213</f>
        <v>2026</v>
      </c>
      <c r="I180" s="42" t="str">
        <f>'3. Input (des)investeringen '!G213</f>
        <v>nvt</v>
      </c>
      <c r="J180" s="42">
        <f>'3. Input (des)investeringen '!H213</f>
        <v>55</v>
      </c>
      <c r="K180" s="42">
        <f>'3. Input (des)investeringen '!I213</f>
        <v>0</v>
      </c>
      <c r="M180" s="43">
        <f t="shared" si="90"/>
        <v>0</v>
      </c>
      <c r="N180" s="43">
        <f t="shared" si="91"/>
        <v>0</v>
      </c>
      <c r="P180" s="136">
        <f t="shared" si="93"/>
        <v>0</v>
      </c>
      <c r="Q180" s="136">
        <f t="shared" si="92"/>
        <v>0</v>
      </c>
      <c r="S180" s="43">
        <f t="shared" si="53"/>
        <v>40148.872615293018</v>
      </c>
      <c r="T180" s="38">
        <f t="shared" si="94"/>
        <v>55</v>
      </c>
      <c r="V180" s="43">
        <f t="shared" si="108"/>
        <v>0</v>
      </c>
      <c r="W180" s="43">
        <f t="shared" si="108"/>
        <v>0</v>
      </c>
      <c r="X180" s="43">
        <f t="shared" si="108"/>
        <v>0</v>
      </c>
      <c r="Y180" s="43">
        <f t="shared" si="108"/>
        <v>0</v>
      </c>
      <c r="Z180" s="43">
        <f t="shared" si="108"/>
        <v>427.03800872629847</v>
      </c>
      <c r="AB180" s="43">
        <f t="shared" si="109"/>
        <v>0</v>
      </c>
      <c r="AC180" s="43">
        <f t="shared" si="109"/>
        <v>0</v>
      </c>
      <c r="AD180" s="43">
        <f t="shared" si="109"/>
        <v>0</v>
      </c>
      <c r="AE180" s="43">
        <f t="shared" si="109"/>
        <v>0</v>
      </c>
      <c r="AF180" s="43">
        <f t="shared" si="109"/>
        <v>36.498975104811841</v>
      </c>
      <c r="AH180" s="43">
        <f t="shared" si="95"/>
        <v>0</v>
      </c>
      <c r="AI180" s="43">
        <f t="shared" si="96"/>
        <v>0</v>
      </c>
      <c r="AJ180" s="43">
        <f t="shared" si="97"/>
        <v>0</v>
      </c>
      <c r="AK180" s="43">
        <f t="shared" si="98"/>
        <v>0</v>
      </c>
      <c r="AL180" s="43">
        <f t="shared" si="99"/>
        <v>463.53698383111032</v>
      </c>
      <c r="AN180" s="43">
        <f t="shared" si="60"/>
        <v>0</v>
      </c>
      <c r="AO180" s="43">
        <f t="shared" si="61"/>
        <v>0</v>
      </c>
      <c r="AP180" s="43">
        <f t="shared" si="62"/>
        <v>0</v>
      </c>
      <c r="AQ180" s="43">
        <f t="shared" si="63"/>
        <v>0</v>
      </c>
      <c r="AR180" s="43">
        <f t="shared" si="64"/>
        <v>39685.335631461909</v>
      </c>
      <c r="AT180" s="43">
        <f t="shared" si="110"/>
        <v>0</v>
      </c>
      <c r="AU180" s="43">
        <f t="shared" si="110"/>
        <v>0</v>
      </c>
      <c r="AV180" s="43">
        <f t="shared" si="110"/>
        <v>0</v>
      </c>
      <c r="AW180" s="43">
        <f t="shared" si="110"/>
        <v>0</v>
      </c>
      <c r="AX180" s="43">
        <f t="shared" si="110"/>
        <v>401.48872615293021</v>
      </c>
      <c r="AZ180" s="47">
        <f t="shared" si="100"/>
        <v>0</v>
      </c>
      <c r="BA180" s="47">
        <f t="shared" si="101"/>
        <v>0</v>
      </c>
      <c r="BB180" s="47">
        <f t="shared" si="102"/>
        <v>0</v>
      </c>
      <c r="BC180" s="47">
        <f t="shared" si="103"/>
        <v>0</v>
      </c>
      <c r="BD180" s="47">
        <f t="shared" si="104"/>
        <v>2373.0684639795927</v>
      </c>
    </row>
    <row r="181" spans="2:56" ht="13">
      <c r="B181" s="37">
        <f>'3. Input (des)investeringen '!B214</f>
        <v>1649</v>
      </c>
      <c r="C181" s="48"/>
      <c r="D181" s="48"/>
      <c r="E181" s="48"/>
      <c r="F181" s="42">
        <f>'3. Input (des)investeringen '!D214</f>
        <v>0</v>
      </c>
      <c r="G181" s="48"/>
      <c r="H181" s="37">
        <f>'3. Input (des)investeringen '!F214</f>
        <v>2026</v>
      </c>
      <c r="I181" s="42" t="str">
        <f>'3. Input (des)investeringen '!G214</f>
        <v>nvt</v>
      </c>
      <c r="J181" s="42">
        <f>'3. Input (des)investeringen '!H214</f>
        <v>0</v>
      </c>
      <c r="K181" s="42">
        <f>'3. Input (des)investeringen '!I214</f>
        <v>0</v>
      </c>
      <c r="M181" s="43">
        <f t="shared" si="90"/>
        <v>0</v>
      </c>
      <c r="N181" s="43">
        <f t="shared" si="91"/>
        <v>0</v>
      </c>
      <c r="P181" s="136">
        <f t="shared" si="93"/>
        <v>0</v>
      </c>
      <c r="Q181" s="136">
        <f t="shared" si="92"/>
        <v>0</v>
      </c>
      <c r="S181" s="43">
        <f t="shared" si="53"/>
        <v>0</v>
      </c>
      <c r="T181" s="38">
        <f t="shared" si="94"/>
        <v>0</v>
      </c>
      <c r="V181" s="43">
        <f t="shared" ref="V181:Z190" si="111">IF($J181=0, 0, IF(OR($H181&gt;V$59,$H181+$J181&lt;V$59),0,
IF(OR($H181=2020,$H181=2021),VDB($S181*(1-$F$28),0,$T181,V$59-2022,MIN($T181,V$59-2021),$F$22,FALSE),
VDB($S181*(1-$F$28),0,$T181,MAX(0,V$59-$H181-0.5),MIN($T181,V$59-$H181+0.5),$F$22,FALSE))))</f>
        <v>0</v>
      </c>
      <c r="W181" s="43">
        <f t="shared" si="111"/>
        <v>0</v>
      </c>
      <c r="X181" s="43">
        <f t="shared" si="111"/>
        <v>0</v>
      </c>
      <c r="Y181" s="43">
        <f t="shared" si="111"/>
        <v>0</v>
      </c>
      <c r="Z181" s="43">
        <f t="shared" si="111"/>
        <v>0</v>
      </c>
      <c r="AB181" s="43">
        <f t="shared" ref="AB181:AF190" si="112">IF($J181=0, 0, IF(OR($H181&gt;AB$59,$H181+$J181&lt;AB$59),0,
IF(OR($H181=2020,$H181=2021),VDB($S181*$F$28,0,$T181,AB$59-2022,MIN($T181,AB$59-2021),1),
VDB($S181*$F$28,0,$T181,MAX(0,AB$59-$H181-0.5),MIN($T181,AB$59-$H181+0.5),1))))</f>
        <v>0</v>
      </c>
      <c r="AC181" s="43">
        <f t="shared" si="112"/>
        <v>0</v>
      </c>
      <c r="AD181" s="43">
        <f t="shared" si="112"/>
        <v>0</v>
      </c>
      <c r="AE181" s="43">
        <f t="shared" si="112"/>
        <v>0</v>
      </c>
      <c r="AF181" s="43">
        <f t="shared" si="112"/>
        <v>0</v>
      </c>
      <c r="AH181" s="43">
        <f t="shared" si="95"/>
        <v>0</v>
      </c>
      <c r="AI181" s="43">
        <f t="shared" si="96"/>
        <v>0</v>
      </c>
      <c r="AJ181" s="43">
        <f t="shared" si="97"/>
        <v>0</v>
      </c>
      <c r="AK181" s="43">
        <f t="shared" si="98"/>
        <v>0</v>
      </c>
      <c r="AL181" s="43">
        <f t="shared" si="99"/>
        <v>0</v>
      </c>
      <c r="AN181" s="43">
        <f t="shared" si="60"/>
        <v>0</v>
      </c>
      <c r="AO181" s="43">
        <f t="shared" si="61"/>
        <v>0</v>
      </c>
      <c r="AP181" s="43">
        <f t="shared" si="62"/>
        <v>0</v>
      </c>
      <c r="AQ181" s="43">
        <f t="shared" si="63"/>
        <v>0</v>
      </c>
      <c r="AR181" s="43">
        <f t="shared" si="64"/>
        <v>0</v>
      </c>
      <c r="AT181" s="43">
        <f t="shared" ref="AT181:AX190" si="113">IF($H181&lt;=AT$59,$F181*INDEX($H$40:$N$46,$H181-2019,AT$59-2019)*INDEX($H$49:$N$55,$H181-2019,AT$59-2019)*$F$19,0)</f>
        <v>0</v>
      </c>
      <c r="AU181" s="43">
        <f t="shared" si="113"/>
        <v>0</v>
      </c>
      <c r="AV181" s="43">
        <f t="shared" si="113"/>
        <v>0</v>
      </c>
      <c r="AW181" s="43">
        <f t="shared" si="113"/>
        <v>0</v>
      </c>
      <c r="AX181" s="43">
        <f t="shared" si="113"/>
        <v>0</v>
      </c>
      <c r="AZ181" s="47">
        <f t="shared" si="100"/>
        <v>0</v>
      </c>
      <c r="BA181" s="47">
        <f t="shared" si="101"/>
        <v>0</v>
      </c>
      <c r="BB181" s="47">
        <f t="shared" si="102"/>
        <v>0</v>
      </c>
      <c r="BC181" s="47">
        <f t="shared" si="103"/>
        <v>0</v>
      </c>
      <c r="BD181" s="47">
        <f t="shared" si="104"/>
        <v>0</v>
      </c>
    </row>
    <row r="182" spans="2:56" ht="13">
      <c r="B182" s="37">
        <f>'3. Input (des)investeringen '!B215</f>
        <v>1650</v>
      </c>
      <c r="C182" s="48"/>
      <c r="D182" s="48"/>
      <c r="E182" s="48"/>
      <c r="F182" s="42">
        <f>'3. Input (des)investeringen '!D215</f>
        <v>668226.79461700725</v>
      </c>
      <c r="G182" s="48"/>
      <c r="H182" s="37">
        <f>'3. Input (des)investeringen '!F215</f>
        <v>2026</v>
      </c>
      <c r="I182" s="42" t="str">
        <f>'3. Input (des)investeringen '!G215</f>
        <v>nvt</v>
      </c>
      <c r="J182" s="42">
        <f>'3. Input (des)investeringen '!H215</f>
        <v>5</v>
      </c>
      <c r="K182" s="42">
        <f>'3. Input (des)investeringen '!I215</f>
        <v>0</v>
      </c>
      <c r="M182" s="43">
        <f t="shared" si="90"/>
        <v>0</v>
      </c>
      <c r="N182" s="43">
        <f t="shared" si="91"/>
        <v>0</v>
      </c>
      <c r="P182" s="136">
        <f t="shared" si="93"/>
        <v>0</v>
      </c>
      <c r="Q182" s="136">
        <f t="shared" si="92"/>
        <v>0</v>
      </c>
      <c r="S182" s="43">
        <f t="shared" si="53"/>
        <v>668226.79461700725</v>
      </c>
      <c r="T182" s="38">
        <f t="shared" si="94"/>
        <v>5</v>
      </c>
      <c r="V182" s="43">
        <f t="shared" si="111"/>
        <v>0</v>
      </c>
      <c r="W182" s="43">
        <f t="shared" si="111"/>
        <v>0</v>
      </c>
      <c r="X182" s="43">
        <f t="shared" si="111"/>
        <v>0</v>
      </c>
      <c r="Y182" s="43">
        <f t="shared" si="111"/>
        <v>0</v>
      </c>
      <c r="Z182" s="43">
        <f t="shared" si="111"/>
        <v>78182.534970189852</v>
      </c>
      <c r="AB182" s="43">
        <f t="shared" si="112"/>
        <v>0</v>
      </c>
      <c r="AC182" s="43">
        <f t="shared" si="112"/>
        <v>0</v>
      </c>
      <c r="AD182" s="43">
        <f t="shared" si="112"/>
        <v>0</v>
      </c>
      <c r="AE182" s="43">
        <f t="shared" si="112"/>
        <v>0</v>
      </c>
      <c r="AF182" s="43">
        <f t="shared" si="112"/>
        <v>6682.2679461700727</v>
      </c>
      <c r="AH182" s="43">
        <f t="shared" si="95"/>
        <v>0</v>
      </c>
      <c r="AI182" s="43">
        <f t="shared" si="96"/>
        <v>0</v>
      </c>
      <c r="AJ182" s="43">
        <f t="shared" si="97"/>
        <v>0</v>
      </c>
      <c r="AK182" s="43">
        <f t="shared" si="98"/>
        <v>0</v>
      </c>
      <c r="AL182" s="43">
        <f t="shared" si="99"/>
        <v>84864.802916359928</v>
      </c>
      <c r="AN182" s="43">
        <f t="shared" si="60"/>
        <v>0</v>
      </c>
      <c r="AO182" s="43">
        <f t="shared" si="61"/>
        <v>0</v>
      </c>
      <c r="AP182" s="43">
        <f t="shared" si="62"/>
        <v>0</v>
      </c>
      <c r="AQ182" s="43">
        <f t="shared" si="63"/>
        <v>0</v>
      </c>
      <c r="AR182" s="43">
        <f t="shared" si="64"/>
        <v>583361.99170064728</v>
      </c>
      <c r="AT182" s="43">
        <f t="shared" si="113"/>
        <v>0</v>
      </c>
      <c r="AU182" s="43">
        <f t="shared" si="113"/>
        <v>0</v>
      </c>
      <c r="AV182" s="43">
        <f t="shared" si="113"/>
        <v>0</v>
      </c>
      <c r="AW182" s="43">
        <f t="shared" si="113"/>
        <v>0</v>
      </c>
      <c r="AX182" s="43">
        <f t="shared" si="113"/>
        <v>6682.2679461700727</v>
      </c>
      <c r="AZ182" s="47">
        <f t="shared" si="100"/>
        <v>0</v>
      </c>
      <c r="BA182" s="47">
        <f t="shared" si="101"/>
        <v>0</v>
      </c>
      <c r="BB182" s="47">
        <f t="shared" si="102"/>
        <v>0</v>
      </c>
      <c r="BC182" s="47">
        <f t="shared" si="103"/>
        <v>0</v>
      </c>
      <c r="BD182" s="47">
        <f t="shared" si="104"/>
        <v>113714.8265471546</v>
      </c>
    </row>
    <row r="183" spans="2:56" ht="13">
      <c r="B183" s="37">
        <f>'3. Input (des)investeringen '!B216</f>
        <v>1651</v>
      </c>
      <c r="C183" s="48"/>
      <c r="D183" s="48"/>
      <c r="E183" s="48"/>
      <c r="F183" s="42">
        <f>'3. Input (des)investeringen '!D216</f>
        <v>4946580.6339102844</v>
      </c>
      <c r="G183" s="48"/>
      <c r="H183" s="37">
        <f>'3. Input (des)investeringen '!F216</f>
        <v>2026</v>
      </c>
      <c r="I183" s="42" t="str">
        <f>'3. Input (des)investeringen '!G216</f>
        <v>nvt</v>
      </c>
      <c r="J183" s="42">
        <f>'3. Input (des)investeringen '!H216</f>
        <v>10</v>
      </c>
      <c r="K183" s="42">
        <f>'3. Input (des)investeringen '!I216</f>
        <v>0</v>
      </c>
      <c r="M183" s="43">
        <f t="shared" si="90"/>
        <v>0</v>
      </c>
      <c r="N183" s="43">
        <f t="shared" si="91"/>
        <v>0</v>
      </c>
      <c r="P183" s="136">
        <f t="shared" si="93"/>
        <v>0</v>
      </c>
      <c r="Q183" s="136">
        <f t="shared" si="92"/>
        <v>0</v>
      </c>
      <c r="S183" s="43">
        <f t="shared" si="53"/>
        <v>4946580.6339102844</v>
      </c>
      <c r="T183" s="38">
        <f t="shared" si="94"/>
        <v>10</v>
      </c>
      <c r="V183" s="43">
        <f t="shared" si="111"/>
        <v>0</v>
      </c>
      <c r="W183" s="43">
        <f t="shared" si="111"/>
        <v>0</v>
      </c>
      <c r="X183" s="43">
        <f t="shared" si="111"/>
        <v>0</v>
      </c>
      <c r="Y183" s="43">
        <f t="shared" si="111"/>
        <v>0</v>
      </c>
      <c r="Z183" s="43">
        <f t="shared" si="111"/>
        <v>289374.96708375169</v>
      </c>
      <c r="AB183" s="43">
        <f t="shared" si="112"/>
        <v>0</v>
      </c>
      <c r="AC183" s="43">
        <f t="shared" si="112"/>
        <v>0</v>
      </c>
      <c r="AD183" s="43">
        <f t="shared" si="112"/>
        <v>0</v>
      </c>
      <c r="AE183" s="43">
        <f t="shared" si="112"/>
        <v>0</v>
      </c>
      <c r="AF183" s="43">
        <f t="shared" si="112"/>
        <v>24732.903169551424</v>
      </c>
      <c r="AH183" s="43">
        <f t="shared" si="95"/>
        <v>0</v>
      </c>
      <c r="AI183" s="43">
        <f t="shared" si="96"/>
        <v>0</v>
      </c>
      <c r="AJ183" s="43">
        <f t="shared" si="97"/>
        <v>0</v>
      </c>
      <c r="AK183" s="43">
        <f t="shared" si="98"/>
        <v>0</v>
      </c>
      <c r="AL183" s="43">
        <f t="shared" si="99"/>
        <v>314107.87025330309</v>
      </c>
      <c r="AN183" s="43">
        <f t="shared" si="60"/>
        <v>0</v>
      </c>
      <c r="AO183" s="43">
        <f t="shared" si="61"/>
        <v>0</v>
      </c>
      <c r="AP183" s="43">
        <f t="shared" si="62"/>
        <v>0</v>
      </c>
      <c r="AQ183" s="43">
        <f t="shared" si="63"/>
        <v>0</v>
      </c>
      <c r="AR183" s="43">
        <f t="shared" si="64"/>
        <v>4632472.7636569813</v>
      </c>
      <c r="AT183" s="43">
        <f t="shared" si="113"/>
        <v>0</v>
      </c>
      <c r="AU183" s="43">
        <f t="shared" si="113"/>
        <v>0</v>
      </c>
      <c r="AV183" s="43">
        <f t="shared" si="113"/>
        <v>0</v>
      </c>
      <c r="AW183" s="43">
        <f t="shared" si="113"/>
        <v>0</v>
      </c>
      <c r="AX183" s="43">
        <f t="shared" si="113"/>
        <v>49465.806339102848</v>
      </c>
      <c r="AZ183" s="47">
        <f t="shared" si="100"/>
        <v>0</v>
      </c>
      <c r="BA183" s="47">
        <f t="shared" si="101"/>
        <v>0</v>
      </c>
      <c r="BB183" s="47">
        <f t="shared" si="102"/>
        <v>0</v>
      </c>
      <c r="BC183" s="47">
        <f t="shared" si="103"/>
        <v>0</v>
      </c>
      <c r="BD183" s="47">
        <f t="shared" si="104"/>
        <v>539607.64161137119</v>
      </c>
    </row>
    <row r="184" spans="2:56" ht="13">
      <c r="B184" s="37">
        <f>'3. Input (des)investeringen '!B217</f>
        <v>1652</v>
      </c>
      <c r="C184" s="48"/>
      <c r="D184" s="48"/>
      <c r="E184" s="48"/>
      <c r="F184" s="42">
        <f>'3. Input (des)investeringen '!D217</f>
        <v>8094567.3314780593</v>
      </c>
      <c r="G184" s="48"/>
      <c r="H184" s="37">
        <f>'3. Input (des)investeringen '!F217</f>
        <v>2026</v>
      </c>
      <c r="I184" s="42" t="str">
        <f>'3. Input (des)investeringen '!G217</f>
        <v>nvt</v>
      </c>
      <c r="J184" s="42">
        <f>'3. Input (des)investeringen '!H217</f>
        <v>15</v>
      </c>
      <c r="K184" s="42">
        <f>'3. Input (des)investeringen '!I217</f>
        <v>0</v>
      </c>
      <c r="M184" s="43">
        <f t="shared" si="90"/>
        <v>0</v>
      </c>
      <c r="N184" s="43">
        <f t="shared" si="91"/>
        <v>0</v>
      </c>
      <c r="P184" s="136">
        <f t="shared" si="93"/>
        <v>0</v>
      </c>
      <c r="Q184" s="136">
        <f t="shared" si="92"/>
        <v>0</v>
      </c>
      <c r="S184" s="43">
        <f t="shared" si="53"/>
        <v>8094567.3314780593</v>
      </c>
      <c r="T184" s="38">
        <f t="shared" si="94"/>
        <v>15</v>
      </c>
      <c r="V184" s="43">
        <f t="shared" si="111"/>
        <v>0</v>
      </c>
      <c r="W184" s="43">
        <f t="shared" si="111"/>
        <v>0</v>
      </c>
      <c r="X184" s="43">
        <f t="shared" si="111"/>
        <v>0</v>
      </c>
      <c r="Y184" s="43">
        <f t="shared" si="111"/>
        <v>0</v>
      </c>
      <c r="Z184" s="43">
        <f t="shared" si="111"/>
        <v>315688.12592764432</v>
      </c>
      <c r="AB184" s="43">
        <f t="shared" si="112"/>
        <v>0</v>
      </c>
      <c r="AC184" s="43">
        <f t="shared" si="112"/>
        <v>0</v>
      </c>
      <c r="AD184" s="43">
        <f t="shared" si="112"/>
        <v>0</v>
      </c>
      <c r="AE184" s="43">
        <f t="shared" si="112"/>
        <v>0</v>
      </c>
      <c r="AF184" s="43">
        <f t="shared" si="112"/>
        <v>26981.891104926868</v>
      </c>
      <c r="AH184" s="43">
        <f t="shared" si="95"/>
        <v>0</v>
      </c>
      <c r="AI184" s="43">
        <f t="shared" si="96"/>
        <v>0</v>
      </c>
      <c r="AJ184" s="43">
        <f t="shared" si="97"/>
        <v>0</v>
      </c>
      <c r="AK184" s="43">
        <f t="shared" si="98"/>
        <v>0</v>
      </c>
      <c r="AL184" s="43">
        <f t="shared" si="99"/>
        <v>342670.0170325712</v>
      </c>
      <c r="AN184" s="43">
        <f t="shared" si="60"/>
        <v>0</v>
      </c>
      <c r="AO184" s="43">
        <f t="shared" si="61"/>
        <v>0</v>
      </c>
      <c r="AP184" s="43">
        <f t="shared" si="62"/>
        <v>0</v>
      </c>
      <c r="AQ184" s="43">
        <f t="shared" si="63"/>
        <v>0</v>
      </c>
      <c r="AR184" s="43">
        <f t="shared" si="64"/>
        <v>7751897.3144454882</v>
      </c>
      <c r="AT184" s="43">
        <f t="shared" si="113"/>
        <v>0</v>
      </c>
      <c r="AU184" s="43">
        <f t="shared" si="113"/>
        <v>0</v>
      </c>
      <c r="AV184" s="43">
        <f t="shared" si="113"/>
        <v>0</v>
      </c>
      <c r="AW184" s="43">
        <f t="shared" si="113"/>
        <v>0</v>
      </c>
      <c r="AX184" s="43">
        <f t="shared" si="113"/>
        <v>80945.673314780594</v>
      </c>
      <c r="AZ184" s="47">
        <f t="shared" si="100"/>
        <v>0</v>
      </c>
      <c r="BA184" s="47">
        <f t="shared" si="101"/>
        <v>0</v>
      </c>
      <c r="BB184" s="47">
        <f t="shared" si="102"/>
        <v>0</v>
      </c>
      <c r="BC184" s="47">
        <f t="shared" si="103"/>
        <v>0</v>
      </c>
      <c r="BD184" s="47">
        <f t="shared" si="104"/>
        <v>718187.78829628031</v>
      </c>
    </row>
    <row r="185" spans="2:56" ht="13">
      <c r="B185" s="37">
        <f>'3. Input (des)investeringen '!B218</f>
        <v>1653</v>
      </c>
      <c r="C185" s="48"/>
      <c r="D185" s="48"/>
      <c r="E185" s="48"/>
      <c r="F185" s="42">
        <f>'3. Input (des)investeringen '!D218</f>
        <v>8031503.8978528045</v>
      </c>
      <c r="G185" s="48"/>
      <c r="H185" s="37">
        <f>'3. Input (des)investeringen '!F218</f>
        <v>2026</v>
      </c>
      <c r="I185" s="42" t="str">
        <f>'3. Input (des)investeringen '!G218</f>
        <v>nvt</v>
      </c>
      <c r="J185" s="42">
        <f>'3. Input (des)investeringen '!H218</f>
        <v>30</v>
      </c>
      <c r="K185" s="42">
        <f>'3. Input (des)investeringen '!I218</f>
        <v>0</v>
      </c>
      <c r="M185" s="43">
        <f t="shared" si="90"/>
        <v>0</v>
      </c>
      <c r="N185" s="43">
        <f t="shared" si="91"/>
        <v>0</v>
      </c>
      <c r="P185" s="136">
        <f t="shared" si="93"/>
        <v>0</v>
      </c>
      <c r="Q185" s="136">
        <f t="shared" si="92"/>
        <v>0</v>
      </c>
      <c r="S185" s="43">
        <f t="shared" si="53"/>
        <v>8031503.8978528045</v>
      </c>
      <c r="T185" s="38">
        <f t="shared" si="94"/>
        <v>30</v>
      </c>
      <c r="V185" s="43">
        <f t="shared" si="111"/>
        <v>0</v>
      </c>
      <c r="W185" s="43">
        <f t="shared" si="111"/>
        <v>0</v>
      </c>
      <c r="X185" s="43">
        <f t="shared" si="111"/>
        <v>0</v>
      </c>
      <c r="Y185" s="43">
        <f t="shared" si="111"/>
        <v>0</v>
      </c>
      <c r="Z185" s="43">
        <f t="shared" si="111"/>
        <v>156614.32600812969</v>
      </c>
      <c r="AB185" s="43">
        <f t="shared" si="112"/>
        <v>0</v>
      </c>
      <c r="AC185" s="43">
        <f t="shared" si="112"/>
        <v>0</v>
      </c>
      <c r="AD185" s="43">
        <f t="shared" si="112"/>
        <v>0</v>
      </c>
      <c r="AE185" s="43">
        <f t="shared" si="112"/>
        <v>0</v>
      </c>
      <c r="AF185" s="43">
        <f t="shared" si="112"/>
        <v>13385.839829754674</v>
      </c>
      <c r="AH185" s="43">
        <f t="shared" si="95"/>
        <v>0</v>
      </c>
      <c r="AI185" s="43">
        <f t="shared" si="96"/>
        <v>0</v>
      </c>
      <c r="AJ185" s="43">
        <f t="shared" si="97"/>
        <v>0</v>
      </c>
      <c r="AK185" s="43">
        <f t="shared" si="98"/>
        <v>0</v>
      </c>
      <c r="AL185" s="43">
        <f t="shared" si="99"/>
        <v>170000.16583788436</v>
      </c>
      <c r="AN185" s="43">
        <f t="shared" si="60"/>
        <v>0</v>
      </c>
      <c r="AO185" s="43">
        <f t="shared" si="61"/>
        <v>0</v>
      </c>
      <c r="AP185" s="43">
        <f t="shared" si="62"/>
        <v>0</v>
      </c>
      <c r="AQ185" s="43">
        <f t="shared" si="63"/>
        <v>0</v>
      </c>
      <c r="AR185" s="43">
        <f t="shared" si="64"/>
        <v>7861503.7320149206</v>
      </c>
      <c r="AT185" s="43">
        <f t="shared" si="113"/>
        <v>0</v>
      </c>
      <c r="AU185" s="43">
        <f t="shared" si="113"/>
        <v>0</v>
      </c>
      <c r="AV185" s="43">
        <f t="shared" si="113"/>
        <v>0</v>
      </c>
      <c r="AW185" s="43">
        <f t="shared" si="113"/>
        <v>0</v>
      </c>
      <c r="AX185" s="43">
        <f t="shared" si="113"/>
        <v>80315.038978528042</v>
      </c>
      <c r="AZ185" s="47">
        <f t="shared" si="100"/>
        <v>0</v>
      </c>
      <c r="BA185" s="47">
        <f t="shared" si="101"/>
        <v>0</v>
      </c>
      <c r="BB185" s="47">
        <f t="shared" si="102"/>
        <v>0</v>
      </c>
      <c r="BC185" s="47">
        <f t="shared" si="103"/>
        <v>0</v>
      </c>
      <c r="BD185" s="47">
        <f t="shared" si="104"/>
        <v>549052.34663297934</v>
      </c>
    </row>
    <row r="186" spans="2:56" ht="13">
      <c r="B186" s="37">
        <f>'3. Input (des)investeringen '!B219</f>
        <v>1654</v>
      </c>
      <c r="C186" s="48"/>
      <c r="D186" s="48"/>
      <c r="E186" s="48"/>
      <c r="F186" s="42">
        <f>'3. Input (des)investeringen '!D219</f>
        <v>0</v>
      </c>
      <c r="G186" s="48"/>
      <c r="H186" s="37">
        <f>'3. Input (des)investeringen '!F219</f>
        <v>2026</v>
      </c>
      <c r="I186" s="42" t="str">
        <f>'3. Input (des)investeringen '!G219</f>
        <v>nvt</v>
      </c>
      <c r="J186" s="42">
        <f>'3. Input (des)investeringen '!H219</f>
        <v>55</v>
      </c>
      <c r="K186" s="42">
        <f>'3. Input (des)investeringen '!I219</f>
        <v>0</v>
      </c>
      <c r="M186" s="43">
        <f t="shared" si="90"/>
        <v>0</v>
      </c>
      <c r="N186" s="43">
        <f t="shared" si="91"/>
        <v>0</v>
      </c>
      <c r="P186" s="136">
        <f t="shared" si="93"/>
        <v>0</v>
      </c>
      <c r="Q186" s="136">
        <f t="shared" si="92"/>
        <v>0</v>
      </c>
      <c r="S186" s="43">
        <f t="shared" si="53"/>
        <v>0</v>
      </c>
      <c r="T186" s="38">
        <f t="shared" si="94"/>
        <v>55</v>
      </c>
      <c r="V186" s="43">
        <f t="shared" si="111"/>
        <v>0</v>
      </c>
      <c r="W186" s="43">
        <f t="shared" si="111"/>
        <v>0</v>
      </c>
      <c r="X186" s="43">
        <f t="shared" si="111"/>
        <v>0</v>
      </c>
      <c r="Y186" s="43">
        <f t="shared" si="111"/>
        <v>0</v>
      </c>
      <c r="Z186" s="43">
        <f t="shared" si="111"/>
        <v>0</v>
      </c>
      <c r="AB186" s="43">
        <f t="shared" si="112"/>
        <v>0</v>
      </c>
      <c r="AC186" s="43">
        <f t="shared" si="112"/>
        <v>0</v>
      </c>
      <c r="AD186" s="43">
        <f t="shared" si="112"/>
        <v>0</v>
      </c>
      <c r="AE186" s="43">
        <f t="shared" si="112"/>
        <v>0</v>
      </c>
      <c r="AF186" s="43">
        <f t="shared" si="112"/>
        <v>0</v>
      </c>
      <c r="AH186" s="43">
        <f t="shared" si="95"/>
        <v>0</v>
      </c>
      <c r="AI186" s="43">
        <f t="shared" si="96"/>
        <v>0</v>
      </c>
      <c r="AJ186" s="43">
        <f t="shared" si="97"/>
        <v>0</v>
      </c>
      <c r="AK186" s="43">
        <f t="shared" si="98"/>
        <v>0</v>
      </c>
      <c r="AL186" s="43">
        <f t="shared" si="99"/>
        <v>0</v>
      </c>
      <c r="AN186" s="43">
        <f t="shared" si="60"/>
        <v>0</v>
      </c>
      <c r="AO186" s="43">
        <f t="shared" si="61"/>
        <v>0</v>
      </c>
      <c r="AP186" s="43">
        <f t="shared" si="62"/>
        <v>0</v>
      </c>
      <c r="AQ186" s="43">
        <f t="shared" si="63"/>
        <v>0</v>
      </c>
      <c r="AR186" s="43">
        <f t="shared" si="64"/>
        <v>0</v>
      </c>
      <c r="AT186" s="43">
        <f t="shared" si="113"/>
        <v>0</v>
      </c>
      <c r="AU186" s="43">
        <f t="shared" si="113"/>
        <v>0</v>
      </c>
      <c r="AV186" s="43">
        <f t="shared" si="113"/>
        <v>0</v>
      </c>
      <c r="AW186" s="43">
        <f t="shared" si="113"/>
        <v>0</v>
      </c>
      <c r="AX186" s="43">
        <f t="shared" si="113"/>
        <v>0</v>
      </c>
      <c r="AZ186" s="47">
        <f t="shared" si="100"/>
        <v>0</v>
      </c>
      <c r="BA186" s="47">
        <f t="shared" si="101"/>
        <v>0</v>
      </c>
      <c r="BB186" s="47">
        <f t="shared" si="102"/>
        <v>0</v>
      </c>
      <c r="BC186" s="47">
        <f t="shared" si="103"/>
        <v>0</v>
      </c>
      <c r="BD186" s="47">
        <f t="shared" si="104"/>
        <v>0</v>
      </c>
    </row>
    <row r="187" spans="2:56" ht="13">
      <c r="B187" s="37">
        <f>'3. Input (des)investeringen '!B220</f>
        <v>1655</v>
      </c>
      <c r="C187" s="48"/>
      <c r="D187" s="48"/>
      <c r="E187" s="48"/>
      <c r="F187" s="42">
        <f>'3. Input (des)investeringen '!D220</f>
        <v>1823110</v>
      </c>
      <c r="G187" s="48"/>
      <c r="H187" s="37">
        <f>'3. Input (des)investeringen '!F220</f>
        <v>2020</v>
      </c>
      <c r="I187" s="42" t="str">
        <f>'3. Input (des)investeringen '!G220</f>
        <v>01 Regionale leidingen</v>
      </c>
      <c r="J187" s="42">
        <f>'3. Input (des)investeringen '!H220</f>
        <v>55</v>
      </c>
      <c r="K187" s="42">
        <f>'3. Input (des)investeringen '!I220</f>
        <v>1</v>
      </c>
      <c r="M187" s="43">
        <f t="shared" si="90"/>
        <v>16573.727272727272</v>
      </c>
      <c r="N187" s="43">
        <f t="shared" si="91"/>
        <v>33677.813818181814</v>
      </c>
      <c r="P187" s="136">
        <f t="shared" si="93"/>
        <v>1806536.2727272727</v>
      </c>
      <c r="Q187" s="136">
        <f t="shared" si="92"/>
        <v>1801763.0392727272</v>
      </c>
      <c r="S187" s="43">
        <f t="shared" si="53"/>
        <v>1801763.0392727272</v>
      </c>
      <c r="T187" s="38">
        <f t="shared" si="94"/>
        <v>53.5</v>
      </c>
      <c r="V187" s="43">
        <f t="shared" si="111"/>
        <v>39403.042167272724</v>
      </c>
      <c r="W187" s="43">
        <f t="shared" si="111"/>
        <v>38445.585067881053</v>
      </c>
      <c r="X187" s="43">
        <f t="shared" si="111"/>
        <v>37511.393281184879</v>
      </c>
      <c r="Y187" s="43">
        <f t="shared" si="111"/>
        <v>36599.901481828987</v>
      </c>
      <c r="Z187" s="43">
        <f t="shared" si="111"/>
        <v>35710.558081335948</v>
      </c>
      <c r="AB187" s="43">
        <f t="shared" si="112"/>
        <v>3367.7813818181821</v>
      </c>
      <c r="AC187" s="43">
        <f t="shared" si="112"/>
        <v>3367.7813818181821</v>
      </c>
      <c r="AD187" s="43">
        <f t="shared" si="112"/>
        <v>3367.7813818181821</v>
      </c>
      <c r="AE187" s="43">
        <f t="shared" si="112"/>
        <v>3367.7813818181821</v>
      </c>
      <c r="AF187" s="43">
        <f t="shared" si="112"/>
        <v>3367.7813818181821</v>
      </c>
      <c r="AH187" s="43">
        <f t="shared" si="95"/>
        <v>42770.823549090906</v>
      </c>
      <c r="AI187" s="43">
        <f t="shared" si="96"/>
        <v>41813.366449699235</v>
      </c>
      <c r="AJ187" s="43">
        <f t="shared" si="97"/>
        <v>40879.174663003061</v>
      </c>
      <c r="AK187" s="43">
        <f t="shared" si="98"/>
        <v>39967.682863647169</v>
      </c>
      <c r="AL187" s="43">
        <f t="shared" si="99"/>
        <v>39078.33946315413</v>
      </c>
      <c r="AN187" s="43">
        <f t="shared" si="60"/>
        <v>1758992.2157236363</v>
      </c>
      <c r="AO187" s="43">
        <f t="shared" si="61"/>
        <v>1717178.8492739371</v>
      </c>
      <c r="AP187" s="43">
        <f t="shared" si="62"/>
        <v>1676299.674610934</v>
      </c>
      <c r="AQ187" s="43">
        <f t="shared" si="63"/>
        <v>1636331.9917472869</v>
      </c>
      <c r="AR187" s="43">
        <f t="shared" si="64"/>
        <v>1597253.6522841328</v>
      </c>
      <c r="AT187" s="43">
        <f t="shared" si="113"/>
        <v>18762.00234184783</v>
      </c>
      <c r="AU187" s="43">
        <f t="shared" si="113"/>
        <v>19845.545501094224</v>
      </c>
      <c r="AV187" s="43">
        <f t="shared" si="113"/>
        <v>21347.456384617039</v>
      </c>
      <c r="AW187" s="43">
        <f t="shared" si="113"/>
        <v>21857.404422732769</v>
      </c>
      <c r="AX187" s="43">
        <f t="shared" si="113"/>
        <v>22597.233847633433</v>
      </c>
      <c r="AZ187" s="47">
        <f t="shared" si="100"/>
        <v>121338.56122554239</v>
      </c>
      <c r="BA187" s="47">
        <f t="shared" si="101"/>
        <v>118325.81397683339</v>
      </c>
      <c r="BB187" s="47">
        <f t="shared" si="102"/>
        <v>125926.01868283558</v>
      </c>
      <c r="BC187" s="47">
        <f t="shared" si="103"/>
        <v>124005.70297277684</v>
      </c>
      <c r="BD187" s="47">
        <f t="shared" si="104"/>
        <v>122371.21209758462</v>
      </c>
    </row>
    <row r="188" spans="2:56" ht="13">
      <c r="B188" s="37">
        <f>'3. Input (des)investeringen '!B221</f>
        <v>1656</v>
      </c>
      <c r="C188" s="48"/>
      <c r="D188" s="48"/>
      <c r="E188" s="48"/>
      <c r="F188" s="42">
        <f>'3. Input (des)investeringen '!D221</f>
        <v>1850427.4802399999</v>
      </c>
      <c r="G188" s="48"/>
      <c r="H188" s="37">
        <f>'3. Input (des)investeringen '!F221</f>
        <v>2021</v>
      </c>
      <c r="I188" s="42" t="str">
        <f>'3. Input (des)investeringen '!G221</f>
        <v>01 Regionale leidingen</v>
      </c>
      <c r="J188" s="42">
        <f>'3. Input (des)investeringen '!H221</f>
        <v>55</v>
      </c>
      <c r="K188" s="42">
        <f>'3. Input (des)investeringen '!I221</f>
        <v>1</v>
      </c>
      <c r="M188" s="43">
        <f t="shared" si="90"/>
        <v>0</v>
      </c>
      <c r="N188" s="43">
        <f t="shared" si="91"/>
        <v>16822.068002181819</v>
      </c>
      <c r="P188" s="136">
        <f t="shared" si="93"/>
        <v>0</v>
      </c>
      <c r="Q188" s="136">
        <f t="shared" si="92"/>
        <v>1833605.4122378181</v>
      </c>
      <c r="S188" s="43">
        <f t="shared" si="53"/>
        <v>1833605.4122378181</v>
      </c>
      <c r="T188" s="38">
        <f t="shared" si="94"/>
        <v>54.5</v>
      </c>
      <c r="V188" s="43">
        <f t="shared" si="111"/>
        <v>39363.639125105452</v>
      </c>
      <c r="W188" s="43">
        <f t="shared" si="111"/>
        <v>38424.689934965325</v>
      </c>
      <c r="X188" s="43">
        <f t="shared" si="111"/>
        <v>37508.137697984501</v>
      </c>
      <c r="Y188" s="43">
        <f t="shared" si="111"/>
        <v>36613.448174913312</v>
      </c>
      <c r="Z188" s="43">
        <f t="shared" si="111"/>
        <v>35740.099869823636</v>
      </c>
      <c r="AB188" s="43">
        <f t="shared" si="112"/>
        <v>3364.413600436364</v>
      </c>
      <c r="AC188" s="43">
        <f t="shared" si="112"/>
        <v>3364.413600436364</v>
      </c>
      <c r="AD188" s="43">
        <f t="shared" si="112"/>
        <v>3364.413600436364</v>
      </c>
      <c r="AE188" s="43">
        <f t="shared" si="112"/>
        <v>3364.413600436364</v>
      </c>
      <c r="AF188" s="43">
        <f t="shared" si="112"/>
        <v>3364.413600436364</v>
      </c>
      <c r="AH188" s="43">
        <f t="shared" si="95"/>
        <v>42728.052725541813</v>
      </c>
      <c r="AI188" s="43">
        <f t="shared" si="96"/>
        <v>41789.103535401686</v>
      </c>
      <c r="AJ188" s="43">
        <f t="shared" si="97"/>
        <v>40872.551298420862</v>
      </c>
      <c r="AK188" s="43">
        <f t="shared" si="98"/>
        <v>39977.861775349673</v>
      </c>
      <c r="AL188" s="43">
        <f t="shared" si="99"/>
        <v>39104.513470259997</v>
      </c>
      <c r="AN188" s="43">
        <f t="shared" si="60"/>
        <v>1790877.3595122762</v>
      </c>
      <c r="AO188" s="43">
        <f t="shared" si="61"/>
        <v>1749088.2559768746</v>
      </c>
      <c r="AP188" s="43">
        <f t="shared" si="62"/>
        <v>1708215.7046784537</v>
      </c>
      <c r="AQ188" s="43">
        <f t="shared" si="63"/>
        <v>1668237.8429031041</v>
      </c>
      <c r="AR188" s="43">
        <f t="shared" si="64"/>
        <v>1629133.3294328442</v>
      </c>
      <c r="AT188" s="43">
        <f t="shared" si="113"/>
        <v>18762.002341847827</v>
      </c>
      <c r="AU188" s="43">
        <f t="shared" si="113"/>
        <v>19845.545501094221</v>
      </c>
      <c r="AV188" s="43">
        <f t="shared" si="113"/>
        <v>21347.456384617035</v>
      </c>
      <c r="AW188" s="43">
        <f t="shared" si="113"/>
        <v>21857.404422732765</v>
      </c>
      <c r="AX188" s="43">
        <f t="shared" si="113"/>
        <v>22597.233847633423</v>
      </c>
      <c r="AZ188" s="47">
        <f t="shared" si="100"/>
        <v>122379.88529080704</v>
      </c>
      <c r="BA188" s="47">
        <f t="shared" si="101"/>
        <v>119354.56148373277</v>
      </c>
      <c r="BB188" s="47">
        <f t="shared" si="102"/>
        <v>127132.20446081914</v>
      </c>
      <c r="BC188" s="47">
        <f t="shared" si="103"/>
        <v>125228.3042284004</v>
      </c>
      <c r="BD188" s="47">
        <f t="shared" si="104"/>
        <v>123608.81383634151</v>
      </c>
    </row>
    <row r="189" spans="2:56" ht="13">
      <c r="B189" s="37">
        <f>'3. Input (des)investeringen '!B222</f>
        <v>1657</v>
      </c>
      <c r="C189" s="48"/>
      <c r="D189" s="48"/>
      <c r="E189" s="48"/>
      <c r="F189" s="42">
        <f>'3. Input (des)investeringen '!D222</f>
        <v>1874357.2084144636</v>
      </c>
      <c r="G189" s="48"/>
      <c r="H189" s="37">
        <f>'3. Input (des)investeringen '!F222</f>
        <v>2022</v>
      </c>
      <c r="I189" s="42" t="str">
        <f>'3. Input (des)investeringen '!G222</f>
        <v>01 Regionale leidingen</v>
      </c>
      <c r="J189" s="42">
        <f>'3. Input (des)investeringen '!H222</f>
        <v>55</v>
      </c>
      <c r="K189" s="42">
        <f>'3. Input (des)investeringen '!I222</f>
        <v>1</v>
      </c>
      <c r="M189" s="43">
        <f t="shared" ref="M189:M200" si="114">IF($J189=0, 0, IF($H189&lt;=M$59,
VDB($F189,0,$J189,MAX(0,M$59-$H189-0.5),MIN($J189,M$59-$H189+0.5),1)*INDEX(H$40:H$46,$H189-2019,1),
0))</f>
        <v>0</v>
      </c>
      <c r="N189" s="43">
        <f t="shared" ref="N189:N200" si="115">IF($J189=0, 0, IF($H189&lt;=N$59,
VDB($F189,0,$J189,MAX(0,N$59-$H189-0.5),MIN($J189,N$59-$H189+0.5),1)*INDEX(I$40:I$46,$H189-2019,1),
0))</f>
        <v>0</v>
      </c>
      <c r="P189" s="136">
        <f t="shared" si="93"/>
        <v>0</v>
      </c>
      <c r="Q189" s="136">
        <f t="shared" ref="Q189:Q200" si="116">IF($J189=0,IF($H189=N$59,$F189,$P189*I$40),IF(OR($H189&gt;Q$59,$H189+$J189&lt;=Q$59),0,
IF($H189=Q$59,F189-N189,P189*I$40-N189)))</f>
        <v>0</v>
      </c>
      <c r="S189" s="43">
        <f t="shared" si="53"/>
        <v>1874357.2084144636</v>
      </c>
      <c r="T189" s="38">
        <f t="shared" si="94"/>
        <v>55</v>
      </c>
      <c r="V189" s="43">
        <f t="shared" si="111"/>
        <v>19936.344853135655</v>
      </c>
      <c r="W189" s="43">
        <f t="shared" si="111"/>
        <v>39401.46700974265</v>
      </c>
      <c r="X189" s="43">
        <f t="shared" si="111"/>
        <v>38470.159607694186</v>
      </c>
      <c r="Y189" s="43">
        <f t="shared" si="111"/>
        <v>37560.864926057773</v>
      </c>
      <c r="Z189" s="43">
        <f t="shared" si="111"/>
        <v>36673.062664169134</v>
      </c>
      <c r="AB189" s="43">
        <f t="shared" si="112"/>
        <v>1703.9610985586035</v>
      </c>
      <c r="AC189" s="43">
        <f t="shared" si="112"/>
        <v>3407.9221971172069</v>
      </c>
      <c r="AD189" s="43">
        <f t="shared" si="112"/>
        <v>3407.9221971172069</v>
      </c>
      <c r="AE189" s="43">
        <f t="shared" si="112"/>
        <v>3407.9221971172069</v>
      </c>
      <c r="AF189" s="43">
        <f t="shared" si="112"/>
        <v>3407.9221971172069</v>
      </c>
      <c r="AH189" s="43">
        <f t="shared" si="95"/>
        <v>21640.305951694259</v>
      </c>
      <c r="AI189" s="43">
        <f t="shared" si="96"/>
        <v>42809.389206859858</v>
      </c>
      <c r="AJ189" s="43">
        <f t="shared" si="97"/>
        <v>41878.081804811394</v>
      </c>
      <c r="AK189" s="43">
        <f t="shared" si="98"/>
        <v>40968.787123174981</v>
      </c>
      <c r="AL189" s="43">
        <f t="shared" si="99"/>
        <v>40080.984861286342</v>
      </c>
      <c r="AN189" s="43">
        <f t="shared" si="60"/>
        <v>1852716.9024627693</v>
      </c>
      <c r="AO189" s="43">
        <f t="shared" si="61"/>
        <v>1809907.5132559096</v>
      </c>
      <c r="AP189" s="43">
        <f t="shared" si="62"/>
        <v>1768029.4314510981</v>
      </c>
      <c r="AQ189" s="43">
        <f t="shared" si="63"/>
        <v>1727060.6443279232</v>
      </c>
      <c r="AR189" s="43">
        <f t="shared" si="64"/>
        <v>1686979.6594666368</v>
      </c>
      <c r="AT189" s="43">
        <f t="shared" si="113"/>
        <v>18743.572084144635</v>
      </c>
      <c r="AU189" s="43">
        <f t="shared" si="113"/>
        <v>19826.050859148159</v>
      </c>
      <c r="AV189" s="43">
        <f t="shared" si="113"/>
        <v>21326.486388168494</v>
      </c>
      <c r="AW189" s="43">
        <f t="shared" si="113"/>
        <v>21835.933495009063</v>
      </c>
      <c r="AX189" s="43">
        <f t="shared" si="113"/>
        <v>22575.036171948126</v>
      </c>
      <c r="AZ189" s="47">
        <f t="shared" si="100"/>
        <v>103376.25271957305</v>
      </c>
      <c r="BA189" s="47">
        <f t="shared" si="101"/>
        <v>122362.38800345304</v>
      </c>
      <c r="BB189" s="47">
        <f t="shared" si="102"/>
        <v>130389.68658812161</v>
      </c>
      <c r="BC189" s="47">
        <f t="shared" si="103"/>
        <v>128433.02510264513</v>
      </c>
      <c r="BD189" s="47">
        <f t="shared" si="104"/>
        <v>126761.24809296668</v>
      </c>
    </row>
    <row r="190" spans="2:56" ht="13">
      <c r="B190" s="37">
        <f>'3. Input (des)investeringen '!B223</f>
        <v>1658</v>
      </c>
      <c r="C190" s="48"/>
      <c r="D190" s="48"/>
      <c r="E190" s="48"/>
      <c r="F190" s="42">
        <f>'3. Input (des)investeringen '!D223</f>
        <v>1898596.3958336795</v>
      </c>
      <c r="G190" s="48"/>
      <c r="H190" s="37">
        <f>'3. Input (des)investeringen '!F223</f>
        <v>2023</v>
      </c>
      <c r="I190" s="42" t="str">
        <f>'3. Input (des)investeringen '!G223</f>
        <v>01 Regionale leidingen</v>
      </c>
      <c r="J190" s="42">
        <f>'3. Input (des)investeringen '!H223</f>
        <v>55</v>
      </c>
      <c r="K190" s="42">
        <f>'3. Input (des)investeringen '!I223</f>
        <v>1</v>
      </c>
      <c r="M190" s="43">
        <f t="shared" si="114"/>
        <v>0</v>
      </c>
      <c r="N190" s="43">
        <f t="shared" si="115"/>
        <v>0</v>
      </c>
      <c r="P190" s="136">
        <f t="shared" si="93"/>
        <v>0</v>
      </c>
      <c r="Q190" s="136">
        <f t="shared" si="116"/>
        <v>0</v>
      </c>
      <c r="S190" s="43">
        <f t="shared" ref="S190:S200" si="117">IF($P190=0, IF(H190&lt;=2021, $Q190, IF(H190&gt;=2022, $F190,0)), IF(H190&lt;=2021,Q190,F190))</f>
        <v>1898596.3958336795</v>
      </c>
      <c r="T190" s="38">
        <f t="shared" si="94"/>
        <v>55</v>
      </c>
      <c r="V190" s="43">
        <f t="shared" si="111"/>
        <v>0</v>
      </c>
      <c r="W190" s="43">
        <f t="shared" si="111"/>
        <v>20194.161664776409</v>
      </c>
      <c r="X190" s="43">
        <f t="shared" si="111"/>
        <v>39911.00678111265</v>
      </c>
      <c r="Y190" s="43">
        <f t="shared" si="111"/>
        <v>38967.655711740896</v>
      </c>
      <c r="Z190" s="43">
        <f t="shared" si="111"/>
        <v>38046.60203128156</v>
      </c>
      <c r="AB190" s="43">
        <f t="shared" si="112"/>
        <v>0</v>
      </c>
      <c r="AC190" s="43">
        <f t="shared" si="112"/>
        <v>1725.9967234851633</v>
      </c>
      <c r="AD190" s="43">
        <f t="shared" si="112"/>
        <v>3451.9934469703271</v>
      </c>
      <c r="AE190" s="43">
        <f t="shared" si="112"/>
        <v>3451.9934469703271</v>
      </c>
      <c r="AF190" s="43">
        <f t="shared" si="112"/>
        <v>3451.9934469703271</v>
      </c>
      <c r="AH190" s="43">
        <f t="shared" si="95"/>
        <v>0</v>
      </c>
      <c r="AI190" s="43">
        <f t="shared" si="96"/>
        <v>21920.158388261574</v>
      </c>
      <c r="AJ190" s="43">
        <f t="shared" si="97"/>
        <v>43363.000228082979</v>
      </c>
      <c r="AK190" s="43">
        <f t="shared" si="98"/>
        <v>42419.649158711225</v>
      </c>
      <c r="AL190" s="43">
        <f t="shared" si="99"/>
        <v>41498.595478251889</v>
      </c>
      <c r="AN190" s="43">
        <f t="shared" ref="AN190:AN200" si="118">IF($J190=0, IF($H190&gt;AN$59,0, $S190), IF(OR($H190&gt;AN$59,$H190+$J190&lt;=AN$59),0,
IF($H190=AN$59,$S190-AH190,
S190-AH190)))</f>
        <v>0</v>
      </c>
      <c r="AO190" s="43">
        <f t="shared" ref="AO190:AO200" si="119">IF($J190=0, IF($H190 &gt; AO$59, 0, IF($H190=AO$59, $F190, AN190)), IF(OR($H190&gt;AO$59,$H190+$J190&lt;=AO$59),0,
IF($H190=AO$59,$S190-AI190,
AN190-AI190)))</f>
        <v>1876676.2374454178</v>
      </c>
      <c r="AP190" s="43">
        <f t="shared" ref="AP190:AP200" si="120">IF($J190=0, IF($H190 &gt; AP$59, 0, IF($H190=AP$59, $F190, AO190)), IF(OR($H190&gt;AP$59,$H190+$J190&lt;=AP$59),0,
IF($H190=AP$59,$S190-AJ190,
AO190-AJ190)))</f>
        <v>1833313.2372173348</v>
      </c>
      <c r="AQ190" s="43">
        <f t="shared" ref="AQ190:AQ200" si="121">IF($J190=0, IF($H190 &gt; AQ$59, 0, IF($H190=AQ$59, $F190, AP190)), IF(OR($H190&gt;AQ$59,$H190+$J190&lt;=AQ$59),0,
IF($H190=AQ$59,$S190-AK190,
AP190-AK190)))</f>
        <v>1790893.5880586235</v>
      </c>
      <c r="AR190" s="43">
        <f t="shared" ref="AR190:AR200" si="122">IF($J190=0, IF($H190 &gt; AR$59, 0, IF($H190=AR$59, $F190, AQ190)), IF(OR($H190&gt;AR$59,$H190+$J190&lt;=AR$59),0,
IF($H190=AR$59,$S190-AL190,
AQ190-AL190)))</f>
        <v>1749394.9925803717</v>
      </c>
      <c r="AT190" s="43">
        <f t="shared" si="113"/>
        <v>0</v>
      </c>
      <c r="AU190" s="43">
        <f t="shared" si="113"/>
        <v>18985.963958336793</v>
      </c>
      <c r="AV190" s="43">
        <f t="shared" si="113"/>
        <v>20422.821710703724</v>
      </c>
      <c r="AW190" s="43">
        <f t="shared" si="113"/>
        <v>20910.682075729015</v>
      </c>
      <c r="AX190" s="43">
        <f t="shared" si="113"/>
        <v>21618.466842628288</v>
      </c>
      <c r="AZ190" s="47">
        <f t="shared" si="100"/>
        <v>0</v>
      </c>
      <c r="BA190" s="47">
        <f t="shared" si="101"/>
        <v>102836.43818229716</v>
      </c>
      <c r="BB190" s="47">
        <f t="shared" si="102"/>
        <v>133451.72495304543</v>
      </c>
      <c r="BC190" s="47">
        <f t="shared" si="103"/>
        <v>131384.28758066794</v>
      </c>
      <c r="BD190" s="47">
        <f t="shared" si="104"/>
        <v>129594.0720389343</v>
      </c>
    </row>
    <row r="191" spans="2:56" ht="13">
      <c r="B191" s="37">
        <f>'3. Input (des)investeringen '!B224</f>
        <v>1659</v>
      </c>
      <c r="C191" s="48"/>
      <c r="D191" s="48"/>
      <c r="E191" s="48"/>
      <c r="F191" s="42">
        <f>'3. Input (des)investeringen '!D224</f>
        <v>1923149.0444246007</v>
      </c>
      <c r="G191" s="48"/>
      <c r="H191" s="37">
        <f>'3. Input (des)investeringen '!F224</f>
        <v>2024</v>
      </c>
      <c r="I191" s="42" t="str">
        <f>'3. Input (des)investeringen '!G224</f>
        <v>01 Regionale leidingen</v>
      </c>
      <c r="J191" s="42">
        <f>'3. Input (des)investeringen '!H224</f>
        <v>55</v>
      </c>
      <c r="K191" s="42">
        <f>'3. Input (des)investeringen '!I224</f>
        <v>1</v>
      </c>
      <c r="M191" s="43">
        <f t="shared" si="114"/>
        <v>0</v>
      </c>
      <c r="N191" s="43">
        <f t="shared" si="115"/>
        <v>0</v>
      </c>
      <c r="P191" s="136">
        <f t="shared" si="93"/>
        <v>0</v>
      </c>
      <c r="Q191" s="136">
        <f t="shared" si="116"/>
        <v>0</v>
      </c>
      <c r="S191" s="43">
        <f t="shared" si="117"/>
        <v>1923149.0444246007</v>
      </c>
      <c r="T191" s="38">
        <f t="shared" si="94"/>
        <v>55</v>
      </c>
      <c r="V191" s="43">
        <f t="shared" ref="V191:Z200" si="123">IF($J191=0, 0, IF(OR($H191&gt;V$59,$H191+$J191&lt;V$59),0,
IF(OR($H191=2020,$H191=2021),VDB($S191*(1-$F$28),0,$T191,V$59-2022,MIN($T191,V$59-2021),$F$22,FALSE),
VDB($S191*(1-$F$28),0,$T191,MAX(0,V$59-$H191-0.5),MIN($T191,V$59-$H191+0.5),$F$22,FALSE))))</f>
        <v>0</v>
      </c>
      <c r="W191" s="43">
        <f t="shared" si="123"/>
        <v>0</v>
      </c>
      <c r="X191" s="43">
        <f t="shared" si="123"/>
        <v>20455.312563425297</v>
      </c>
      <c r="Y191" s="43">
        <f t="shared" si="123"/>
        <v>40427.135920805995</v>
      </c>
      <c r="Z191" s="43">
        <f t="shared" si="123"/>
        <v>39471.585435405126</v>
      </c>
      <c r="AB191" s="43">
        <f t="shared" ref="AB191:AF200" si="124">IF($J191=0, 0, IF(OR($H191&gt;AB$59,$H191+$J191&lt;AB$59),0,
IF(OR($H191=2020,$H191=2021),VDB($S191*$F$28,0,$T191,AB$59-2022,MIN($T191,AB$59-2021),1),
VDB($S191*$F$28,0,$T191,MAX(0,AB$59-$H191-0.5),MIN($T191,AB$59-$H191+0.5),1))))</f>
        <v>0</v>
      </c>
      <c r="AC191" s="43">
        <f t="shared" si="124"/>
        <v>0</v>
      </c>
      <c r="AD191" s="43">
        <f t="shared" si="124"/>
        <v>1748.3173131132735</v>
      </c>
      <c r="AE191" s="43">
        <f t="shared" si="124"/>
        <v>3496.634626226547</v>
      </c>
      <c r="AF191" s="43">
        <f t="shared" si="124"/>
        <v>3496.634626226547</v>
      </c>
      <c r="AH191" s="43">
        <f t="shared" si="95"/>
        <v>0</v>
      </c>
      <c r="AI191" s="43">
        <f t="shared" si="96"/>
        <v>0</v>
      </c>
      <c r="AJ191" s="43">
        <f t="shared" si="97"/>
        <v>22203.629876538573</v>
      </c>
      <c r="AK191" s="43">
        <f t="shared" si="98"/>
        <v>43923.770547032545</v>
      </c>
      <c r="AL191" s="43">
        <f t="shared" si="99"/>
        <v>42968.22006163167</v>
      </c>
      <c r="AN191" s="43">
        <f t="shared" si="118"/>
        <v>0</v>
      </c>
      <c r="AO191" s="43">
        <f t="shared" si="119"/>
        <v>0</v>
      </c>
      <c r="AP191" s="43">
        <f t="shared" si="120"/>
        <v>1900945.414548062</v>
      </c>
      <c r="AQ191" s="43">
        <f t="shared" si="121"/>
        <v>1857021.6440010294</v>
      </c>
      <c r="AR191" s="43">
        <f t="shared" si="122"/>
        <v>1814053.4239393978</v>
      </c>
      <c r="AT191" s="43">
        <f t="shared" ref="AT191:AX200" si="125">IF($H191&lt;=AT$59,$F191*INDEX($H$40:$N$46,$H191-2019,AT$59-2019)*INDEX($H$49:$N$55,$H191-2019,AT$59-2019)*$F$19,0)</f>
        <v>0</v>
      </c>
      <c r="AU191" s="43">
        <f t="shared" si="125"/>
        <v>0</v>
      </c>
      <c r="AV191" s="43">
        <f t="shared" si="125"/>
        <v>19231.490444246007</v>
      </c>
      <c r="AW191" s="43">
        <f t="shared" si="125"/>
        <v>19690.892287978157</v>
      </c>
      <c r="AX191" s="43">
        <f t="shared" si="125"/>
        <v>20357.389610141643</v>
      </c>
      <c r="AZ191" s="47">
        <f t="shared" si="100"/>
        <v>0</v>
      </c>
      <c r="BA191" s="47">
        <f t="shared" si="101"/>
        <v>0</v>
      </c>
      <c r="BB191" s="47">
        <f t="shared" si="102"/>
        <v>113671.04607361094</v>
      </c>
      <c r="BC191" s="47">
        <f t="shared" si="103"/>
        <v>134181.48530704982</v>
      </c>
      <c r="BD191" s="47">
        <f t="shared" si="104"/>
        <v>132259.63978147041</v>
      </c>
    </row>
    <row r="192" spans="2:56" ht="13">
      <c r="B192" s="37">
        <f>'3. Input (des)investeringen '!B225</f>
        <v>1660</v>
      </c>
      <c r="C192" s="48"/>
      <c r="D192" s="48"/>
      <c r="E192" s="48"/>
      <c r="F192" s="42">
        <f>'3. Input (des)investeringen '!D225</f>
        <v>1948019.2078670992</v>
      </c>
      <c r="G192" s="48"/>
      <c r="H192" s="37">
        <f>'3. Input (des)investeringen '!F225</f>
        <v>2025</v>
      </c>
      <c r="I192" s="42" t="str">
        <f>'3. Input (des)investeringen '!G225</f>
        <v>01 Regionale leidingen</v>
      </c>
      <c r="J192" s="42">
        <f>'3. Input (des)investeringen '!H225</f>
        <v>55</v>
      </c>
      <c r="K192" s="42">
        <f>'3. Input (des)investeringen '!I225</f>
        <v>1</v>
      </c>
      <c r="M192" s="43">
        <f t="shared" si="114"/>
        <v>0</v>
      </c>
      <c r="N192" s="43">
        <f t="shared" si="115"/>
        <v>0</v>
      </c>
      <c r="P192" s="136">
        <f t="shared" si="93"/>
        <v>0</v>
      </c>
      <c r="Q192" s="136">
        <f t="shared" si="116"/>
        <v>0</v>
      </c>
      <c r="S192" s="43">
        <f t="shared" si="117"/>
        <v>1948019.2078670992</v>
      </c>
      <c r="T192" s="38">
        <f t="shared" si="94"/>
        <v>55</v>
      </c>
      <c r="V192" s="43">
        <f t="shared" si="123"/>
        <v>0</v>
      </c>
      <c r="W192" s="43">
        <f t="shared" si="123"/>
        <v>0</v>
      </c>
      <c r="X192" s="43">
        <f t="shared" si="123"/>
        <v>0</v>
      </c>
      <c r="Y192" s="43">
        <f t="shared" si="123"/>
        <v>20719.840665495507</v>
      </c>
      <c r="Z192" s="43">
        <f t="shared" si="123"/>
        <v>40949.939642533849</v>
      </c>
      <c r="AB192" s="43">
        <f t="shared" si="124"/>
        <v>0</v>
      </c>
      <c r="AC192" s="43">
        <f t="shared" si="124"/>
        <v>0</v>
      </c>
      <c r="AD192" s="43">
        <f t="shared" si="124"/>
        <v>0</v>
      </c>
      <c r="AE192" s="43">
        <f t="shared" si="124"/>
        <v>1770.9265526064539</v>
      </c>
      <c r="AF192" s="43">
        <f t="shared" si="124"/>
        <v>3541.8531052129078</v>
      </c>
      <c r="AH192" s="43">
        <f t="shared" si="95"/>
        <v>0</v>
      </c>
      <c r="AI192" s="43">
        <f t="shared" si="96"/>
        <v>0</v>
      </c>
      <c r="AJ192" s="43">
        <f t="shared" si="97"/>
        <v>0</v>
      </c>
      <c r="AK192" s="43">
        <f t="shared" si="98"/>
        <v>22490.767218101962</v>
      </c>
      <c r="AL192" s="43">
        <f t="shared" si="99"/>
        <v>44491.79274774676</v>
      </c>
      <c r="AN192" s="43">
        <f t="shared" si="118"/>
        <v>0</v>
      </c>
      <c r="AO192" s="43">
        <f t="shared" si="119"/>
        <v>0</v>
      </c>
      <c r="AP192" s="43">
        <f t="shared" si="120"/>
        <v>0</v>
      </c>
      <c r="AQ192" s="43">
        <f t="shared" si="121"/>
        <v>1925528.4406489972</v>
      </c>
      <c r="AR192" s="43">
        <f t="shared" si="122"/>
        <v>1881036.6479012505</v>
      </c>
      <c r="AT192" s="43">
        <f t="shared" si="125"/>
        <v>0</v>
      </c>
      <c r="AU192" s="43">
        <f t="shared" si="125"/>
        <v>0</v>
      </c>
      <c r="AV192" s="43">
        <f t="shared" si="125"/>
        <v>0</v>
      </c>
      <c r="AW192" s="43">
        <f t="shared" si="125"/>
        <v>19480.192078670992</v>
      </c>
      <c r="AX192" s="43">
        <f t="shared" si="125"/>
        <v>20139.557620149848</v>
      </c>
      <c r="AZ192" s="47">
        <f t="shared" si="100"/>
        <v>0</v>
      </c>
      <c r="BA192" s="47">
        <f t="shared" si="101"/>
        <v>0</v>
      </c>
      <c r="BB192" s="47">
        <f t="shared" si="102"/>
        <v>0</v>
      </c>
      <c r="BC192" s="47">
        <f t="shared" si="103"/>
        <v>115141.04004143484</v>
      </c>
      <c r="BD192" s="47">
        <f t="shared" si="104"/>
        <v>136110.74298814411</v>
      </c>
    </row>
    <row r="193" spans="1:56" ht="13">
      <c r="B193" s="37">
        <f>'3. Input (des)investeringen '!B226</f>
        <v>1661</v>
      </c>
      <c r="C193" s="48"/>
      <c r="D193" s="48"/>
      <c r="E193" s="48"/>
      <c r="F193" s="42">
        <f>'3. Input (des)investeringen '!D226</f>
        <v>1973210.9922632365</v>
      </c>
      <c r="G193" s="48"/>
      <c r="H193" s="37">
        <f>'3. Input (des)investeringen '!F226</f>
        <v>2026</v>
      </c>
      <c r="I193" s="42" t="str">
        <f>'3. Input (des)investeringen '!G226</f>
        <v>01 Regionale leidingen</v>
      </c>
      <c r="J193" s="42">
        <f>'3. Input (des)investeringen '!H226</f>
        <v>55</v>
      </c>
      <c r="K193" s="42">
        <f>'3. Input (des)investeringen '!I226</f>
        <v>1</v>
      </c>
      <c r="M193" s="43">
        <f t="shared" si="114"/>
        <v>0</v>
      </c>
      <c r="N193" s="43">
        <f t="shared" si="115"/>
        <v>0</v>
      </c>
      <c r="P193" s="136">
        <f t="shared" si="93"/>
        <v>0</v>
      </c>
      <c r="Q193" s="136">
        <f t="shared" si="116"/>
        <v>0</v>
      </c>
      <c r="S193" s="43">
        <f t="shared" si="117"/>
        <v>1973210.9922632365</v>
      </c>
      <c r="T193" s="38">
        <f t="shared" si="94"/>
        <v>55</v>
      </c>
      <c r="V193" s="43">
        <f t="shared" si="123"/>
        <v>0</v>
      </c>
      <c r="W193" s="43">
        <f t="shared" si="123"/>
        <v>0</v>
      </c>
      <c r="X193" s="43">
        <f t="shared" si="123"/>
        <v>0</v>
      </c>
      <c r="Y193" s="43">
        <f t="shared" si="123"/>
        <v>0</v>
      </c>
      <c r="Z193" s="43">
        <f t="shared" si="123"/>
        <v>20987.789644981698</v>
      </c>
      <c r="AB193" s="43">
        <f t="shared" si="124"/>
        <v>0</v>
      </c>
      <c r="AC193" s="43">
        <f t="shared" si="124"/>
        <v>0</v>
      </c>
      <c r="AD193" s="43">
        <f t="shared" si="124"/>
        <v>0</v>
      </c>
      <c r="AE193" s="43">
        <f t="shared" si="124"/>
        <v>0</v>
      </c>
      <c r="AF193" s="43">
        <f t="shared" si="124"/>
        <v>1793.8281747847604</v>
      </c>
      <c r="AH193" s="43">
        <f t="shared" si="95"/>
        <v>0</v>
      </c>
      <c r="AI193" s="43">
        <f t="shared" si="96"/>
        <v>0</v>
      </c>
      <c r="AJ193" s="43">
        <f t="shared" si="97"/>
        <v>0</v>
      </c>
      <c r="AK193" s="43">
        <f t="shared" si="98"/>
        <v>0</v>
      </c>
      <c r="AL193" s="43">
        <f t="shared" si="99"/>
        <v>22781.617819766459</v>
      </c>
      <c r="AN193" s="43">
        <f t="shared" si="118"/>
        <v>0</v>
      </c>
      <c r="AO193" s="43">
        <f t="shared" si="119"/>
        <v>0</v>
      </c>
      <c r="AP193" s="43">
        <f t="shared" si="120"/>
        <v>0</v>
      </c>
      <c r="AQ193" s="43">
        <f t="shared" si="121"/>
        <v>0</v>
      </c>
      <c r="AR193" s="43">
        <f t="shared" si="122"/>
        <v>1950429.37444347</v>
      </c>
      <c r="AT193" s="43">
        <f t="shared" si="125"/>
        <v>0</v>
      </c>
      <c r="AU193" s="43">
        <f t="shared" si="125"/>
        <v>0</v>
      </c>
      <c r="AV193" s="43">
        <f t="shared" si="125"/>
        <v>0</v>
      </c>
      <c r="AW193" s="43">
        <f t="shared" si="125"/>
        <v>0</v>
      </c>
      <c r="AX193" s="43">
        <f t="shared" si="125"/>
        <v>19732.109922632368</v>
      </c>
      <c r="AZ193" s="47">
        <f t="shared" si="100"/>
        <v>0</v>
      </c>
      <c r="BA193" s="47">
        <f t="shared" si="101"/>
        <v>0</v>
      </c>
      <c r="BB193" s="47">
        <f t="shared" si="102"/>
        <v>0</v>
      </c>
      <c r="BC193" s="47">
        <f t="shared" si="103"/>
        <v>0</v>
      </c>
      <c r="BD193" s="47">
        <f t="shared" si="104"/>
        <v>116630.04397125069</v>
      </c>
    </row>
    <row r="194" spans="1:56" ht="13">
      <c r="B194" s="37">
        <f>'3. Input (des)investeringen '!B227</f>
        <v>1662</v>
      </c>
      <c r="C194" s="48"/>
      <c r="D194" s="48"/>
      <c r="E194" s="48"/>
      <c r="F194" s="42">
        <f>'3. Input (des)investeringen '!D227</f>
        <v>463333.33333333337</v>
      </c>
      <c r="G194" s="48"/>
      <c r="H194" s="37">
        <f>'3. Input (des)investeringen '!F227</f>
        <v>2020</v>
      </c>
      <c r="I194" s="42" t="str">
        <f>'3. Input (des)investeringen '!G227</f>
        <v>02 Gasontvangststations</v>
      </c>
      <c r="J194" s="42">
        <f>'3. Input (des)investeringen '!H227</f>
        <v>30</v>
      </c>
      <c r="K194" s="42">
        <f>'3. Input (des)investeringen '!I227</f>
        <v>0</v>
      </c>
      <c r="M194" s="43">
        <f t="shared" si="114"/>
        <v>7722.2222222222226</v>
      </c>
      <c r="N194" s="43">
        <f t="shared" si="115"/>
        <v>15691.555555555557</v>
      </c>
      <c r="P194" s="136">
        <f t="shared" si="93"/>
        <v>455611.11111111112</v>
      </c>
      <c r="Q194" s="136">
        <f t="shared" si="116"/>
        <v>447209.33333333337</v>
      </c>
      <c r="S194" s="43">
        <f t="shared" si="117"/>
        <v>447209.33333333337</v>
      </c>
      <c r="T194" s="38">
        <f t="shared" si="94"/>
        <v>28.5</v>
      </c>
      <c r="V194" s="43">
        <f t="shared" si="123"/>
        <v>18359.120000000003</v>
      </c>
      <c r="W194" s="43">
        <f t="shared" si="123"/>
        <v>17521.686456140353</v>
      </c>
      <c r="X194" s="43">
        <f t="shared" si="123"/>
        <v>16722.45163533395</v>
      </c>
      <c r="Y194" s="43">
        <f t="shared" si="123"/>
        <v>15959.67313968714</v>
      </c>
      <c r="Z194" s="43">
        <f t="shared" si="123"/>
        <v>15231.688049104918</v>
      </c>
      <c r="AB194" s="43">
        <f t="shared" si="124"/>
        <v>1569.1555555555558</v>
      </c>
      <c r="AC194" s="43">
        <f t="shared" si="124"/>
        <v>1569.155555555556</v>
      </c>
      <c r="AD194" s="43">
        <f t="shared" si="124"/>
        <v>1569.155555555556</v>
      </c>
      <c r="AE194" s="43">
        <f t="shared" si="124"/>
        <v>1569.155555555556</v>
      </c>
      <c r="AF194" s="43">
        <f t="shared" si="124"/>
        <v>1569.155555555556</v>
      </c>
      <c r="AH194" s="43">
        <f t="shared" si="95"/>
        <v>19928.27555555556</v>
      </c>
      <c r="AI194" s="43">
        <f t="shared" si="96"/>
        <v>19090.84201169591</v>
      </c>
      <c r="AJ194" s="43">
        <f t="shared" si="97"/>
        <v>18291.607190889506</v>
      </c>
      <c r="AK194" s="43">
        <f t="shared" si="98"/>
        <v>17528.828695242697</v>
      </c>
      <c r="AL194" s="43">
        <f t="shared" si="99"/>
        <v>16800.843604660473</v>
      </c>
      <c r="AN194" s="43">
        <f t="shared" si="118"/>
        <v>427281.05777777784</v>
      </c>
      <c r="AO194" s="43">
        <f t="shared" si="119"/>
        <v>408190.21576608194</v>
      </c>
      <c r="AP194" s="43">
        <f t="shared" si="120"/>
        <v>389898.60857519245</v>
      </c>
      <c r="AQ194" s="43">
        <f t="shared" si="121"/>
        <v>372369.77987994975</v>
      </c>
      <c r="AR194" s="43">
        <f t="shared" si="122"/>
        <v>355568.93627528928</v>
      </c>
      <c r="AT194" s="43">
        <f t="shared" si="125"/>
        <v>4768.2592301376008</v>
      </c>
      <c r="AU194" s="43">
        <f t="shared" si="125"/>
        <v>5043.6357371965078</v>
      </c>
      <c r="AV194" s="43">
        <f t="shared" si="125"/>
        <v>5425.3380897875395</v>
      </c>
      <c r="AW194" s="43">
        <f t="shared" si="125"/>
        <v>5554.9385660763855</v>
      </c>
      <c r="AX194" s="43">
        <f t="shared" si="125"/>
        <v>5742.9621266609383</v>
      </c>
      <c r="AZ194" s="47">
        <f t="shared" si="100"/>
        <v>39224.090750137606</v>
      </c>
      <c r="BA194" s="47">
        <f t="shared" si="101"/>
        <v>37604.754869173121</v>
      </c>
      <c r="BB194" s="47">
        <f t="shared" si="102"/>
        <v>38533.092406534357</v>
      </c>
      <c r="BC194" s="47">
        <f t="shared" si="103"/>
        <v>37233.818896757177</v>
      </c>
      <c r="BD194" s="47">
        <f t="shared" si="104"/>
        <v>36055.425309782404</v>
      </c>
    </row>
    <row r="195" spans="1:56" ht="13">
      <c r="B195" s="37">
        <f>'3. Input (des)investeringen '!B228</f>
        <v>1663</v>
      </c>
      <c r="C195" s="48"/>
      <c r="D195" s="48"/>
      <c r="E195" s="48"/>
      <c r="F195" s="42">
        <f>'3. Input (des)investeringen '!D228</f>
        <v>470275.92000000004</v>
      </c>
      <c r="G195" s="48"/>
      <c r="H195" s="37">
        <f>'3. Input (des)investeringen '!F228</f>
        <v>2021</v>
      </c>
      <c r="I195" s="42" t="str">
        <f>'3. Input (des)investeringen '!G228</f>
        <v>02 Gasontvangststations</v>
      </c>
      <c r="J195" s="42">
        <f>'3. Input (des)investeringen '!H228</f>
        <v>30</v>
      </c>
      <c r="K195" s="42">
        <f>'3. Input (des)investeringen '!I228</f>
        <v>0</v>
      </c>
      <c r="M195" s="43">
        <f t="shared" si="114"/>
        <v>0</v>
      </c>
      <c r="N195" s="43">
        <f t="shared" si="115"/>
        <v>7837.9320000000007</v>
      </c>
      <c r="P195" s="136">
        <f t="shared" si="93"/>
        <v>0</v>
      </c>
      <c r="Q195" s="136">
        <f t="shared" si="116"/>
        <v>462437.98800000001</v>
      </c>
      <c r="S195" s="43">
        <f t="shared" si="117"/>
        <v>462437.98800000001</v>
      </c>
      <c r="T195" s="38">
        <f t="shared" si="94"/>
        <v>29.5</v>
      </c>
      <c r="V195" s="43">
        <f t="shared" si="123"/>
        <v>18340.760880000002</v>
      </c>
      <c r="W195" s="43">
        <f t="shared" si="123"/>
        <v>17532.523959864408</v>
      </c>
      <c r="X195" s="43">
        <f t="shared" si="123"/>
        <v>16759.904259938179</v>
      </c>
      <c r="Y195" s="43">
        <f t="shared" si="123"/>
        <v>16021.332207805312</v>
      </c>
      <c r="Z195" s="43">
        <f t="shared" si="123"/>
        <v>15315.307398647788</v>
      </c>
      <c r="AB195" s="43">
        <f t="shared" si="124"/>
        <v>1567.5864000000001</v>
      </c>
      <c r="AC195" s="43">
        <f t="shared" si="124"/>
        <v>1567.5864000000001</v>
      </c>
      <c r="AD195" s="43">
        <f t="shared" si="124"/>
        <v>1567.5864000000001</v>
      </c>
      <c r="AE195" s="43">
        <f t="shared" si="124"/>
        <v>1567.5864000000001</v>
      </c>
      <c r="AF195" s="43">
        <f t="shared" si="124"/>
        <v>1567.5864000000001</v>
      </c>
      <c r="AH195" s="43">
        <f t="shared" si="95"/>
        <v>19908.347280000002</v>
      </c>
      <c r="AI195" s="43">
        <f t="shared" si="96"/>
        <v>19100.110359864408</v>
      </c>
      <c r="AJ195" s="43">
        <f t="shared" si="97"/>
        <v>18327.490659938179</v>
      </c>
      <c r="AK195" s="43">
        <f t="shared" si="98"/>
        <v>17588.91860780531</v>
      </c>
      <c r="AL195" s="43">
        <f t="shared" si="99"/>
        <v>16882.89379864779</v>
      </c>
      <c r="AN195" s="43">
        <f t="shared" si="118"/>
        <v>442529.64072000002</v>
      </c>
      <c r="AO195" s="43">
        <f t="shared" si="119"/>
        <v>423429.5303601356</v>
      </c>
      <c r="AP195" s="43">
        <f t="shared" si="120"/>
        <v>405102.03970019741</v>
      </c>
      <c r="AQ195" s="43">
        <f t="shared" si="121"/>
        <v>387513.12109239207</v>
      </c>
      <c r="AR195" s="43">
        <f t="shared" si="122"/>
        <v>370630.22729374428</v>
      </c>
      <c r="AT195" s="43">
        <f t="shared" si="125"/>
        <v>4768.2592301376008</v>
      </c>
      <c r="AU195" s="43">
        <f t="shared" si="125"/>
        <v>5043.6357371965069</v>
      </c>
      <c r="AV195" s="43">
        <f t="shared" si="125"/>
        <v>5425.3380897875386</v>
      </c>
      <c r="AW195" s="43">
        <f t="shared" si="125"/>
        <v>5554.9385660763828</v>
      </c>
      <c r="AX195" s="43">
        <f t="shared" si="125"/>
        <v>5742.9621266609374</v>
      </c>
      <c r="AZ195" s="47">
        <f t="shared" si="100"/>
        <v>39722.614294617604</v>
      </c>
      <c r="BA195" s="47">
        <f t="shared" si="101"/>
        <v>38116.920598945391</v>
      </c>
      <c r="BB195" s="47">
        <f t="shared" si="102"/>
        <v>39146.706258333223</v>
      </c>
      <c r="BC195" s="47">
        <f t="shared" si="103"/>
        <v>37869.355775392592</v>
      </c>
      <c r="BD195" s="47">
        <f t="shared" si="104"/>
        <v>36709.804562471014</v>
      </c>
    </row>
    <row r="196" spans="1:56" ht="13">
      <c r="B196" s="37">
        <f>'3. Input (des)investeringen '!B229</f>
        <v>1664</v>
      </c>
      <c r="C196" s="48"/>
      <c r="D196" s="48"/>
      <c r="E196" s="48"/>
      <c r="F196" s="42">
        <f>'3. Input (des)investeringen '!D229</f>
        <v>476357.52819743997</v>
      </c>
      <c r="G196" s="48"/>
      <c r="H196" s="37">
        <f>'3. Input (des)investeringen '!F229</f>
        <v>2022</v>
      </c>
      <c r="I196" s="42" t="str">
        <f>'3. Input (des)investeringen '!G229</f>
        <v>02 Gasontvangststations</v>
      </c>
      <c r="J196" s="42">
        <f>'3. Input (des)investeringen '!H229</f>
        <v>30</v>
      </c>
      <c r="K196" s="42">
        <f>'3. Input (des)investeringen '!I229</f>
        <v>0</v>
      </c>
      <c r="M196" s="43">
        <f t="shared" si="114"/>
        <v>0</v>
      </c>
      <c r="N196" s="43">
        <f t="shared" si="115"/>
        <v>0</v>
      </c>
      <c r="P196" s="136">
        <f t="shared" si="93"/>
        <v>0</v>
      </c>
      <c r="Q196" s="136">
        <f t="shared" si="116"/>
        <v>0</v>
      </c>
      <c r="S196" s="43">
        <f t="shared" si="117"/>
        <v>476357.52819743997</v>
      </c>
      <c r="T196" s="38">
        <f t="shared" si="94"/>
        <v>30</v>
      </c>
      <c r="V196" s="43">
        <f t="shared" si="123"/>
        <v>9288.9717998500801</v>
      </c>
      <c r="W196" s="43">
        <f t="shared" si="123"/>
        <v>18175.421488373322</v>
      </c>
      <c r="X196" s="43">
        <f t="shared" si="123"/>
        <v>17387.819890543815</v>
      </c>
      <c r="Y196" s="43">
        <f t="shared" si="123"/>
        <v>16634.347695286913</v>
      </c>
      <c r="Z196" s="43">
        <f t="shared" si="123"/>
        <v>15913.525961824482</v>
      </c>
      <c r="AB196" s="43">
        <f t="shared" si="124"/>
        <v>793.9292136624</v>
      </c>
      <c r="AC196" s="43">
        <f t="shared" si="124"/>
        <v>1587.8584273248</v>
      </c>
      <c r="AD196" s="43">
        <f t="shared" si="124"/>
        <v>1587.8584273248</v>
      </c>
      <c r="AE196" s="43">
        <f t="shared" si="124"/>
        <v>1587.8584273248</v>
      </c>
      <c r="AF196" s="43">
        <f t="shared" si="124"/>
        <v>1587.8584273248</v>
      </c>
      <c r="AH196" s="43">
        <f t="shared" si="95"/>
        <v>10082.901013512481</v>
      </c>
      <c r="AI196" s="43">
        <f t="shared" si="96"/>
        <v>19763.279915698124</v>
      </c>
      <c r="AJ196" s="43">
        <f t="shared" si="97"/>
        <v>18975.678317868616</v>
      </c>
      <c r="AK196" s="43">
        <f t="shared" si="98"/>
        <v>18222.206122611715</v>
      </c>
      <c r="AL196" s="43">
        <f t="shared" si="99"/>
        <v>17501.384389149283</v>
      </c>
      <c r="AN196" s="43">
        <f t="shared" si="118"/>
        <v>466274.62718392751</v>
      </c>
      <c r="AO196" s="43">
        <f t="shared" si="119"/>
        <v>446511.34726822941</v>
      </c>
      <c r="AP196" s="43">
        <f t="shared" si="120"/>
        <v>427535.66895036079</v>
      </c>
      <c r="AQ196" s="43">
        <f t="shared" si="121"/>
        <v>409313.46282774908</v>
      </c>
      <c r="AR196" s="43">
        <f t="shared" si="122"/>
        <v>391812.07843859983</v>
      </c>
      <c r="AT196" s="43">
        <f t="shared" si="125"/>
        <v>4763.5752819744002</v>
      </c>
      <c r="AU196" s="43">
        <f t="shared" si="125"/>
        <v>5038.6812816589854</v>
      </c>
      <c r="AV196" s="43">
        <f t="shared" si="125"/>
        <v>5420.0086810549383</v>
      </c>
      <c r="AW196" s="43">
        <f t="shared" si="125"/>
        <v>5549.4818484279785</v>
      </c>
      <c r="AX196" s="43">
        <f t="shared" si="125"/>
        <v>5737.3207100335685</v>
      </c>
      <c r="AZ196" s="47">
        <f t="shared" si="100"/>
        <v>30699.813619740416</v>
      </c>
      <c r="BA196" s="47">
        <f t="shared" si="101"/>
        <v>39536.835657208685</v>
      </c>
      <c r="BB196" s="47">
        <f t="shared" si="102"/>
        <v>40642.042419037265</v>
      </c>
      <c r="BC196" s="47">
        <f t="shared" si="103"/>
        <v>39325.599558494156</v>
      </c>
      <c r="BD196" s="47">
        <f t="shared" si="104"/>
        <v>38127.564079849646</v>
      </c>
    </row>
    <row r="197" spans="1:56" ht="13">
      <c r="B197" s="37">
        <f>'3. Input (des)investeringen '!B230</f>
        <v>1665</v>
      </c>
      <c r="C197" s="48"/>
      <c r="D197" s="48"/>
      <c r="E197" s="48"/>
      <c r="F197" s="42">
        <f>'3. Input (des)investeringen '!D230</f>
        <v>482517.78375208931</v>
      </c>
      <c r="G197" s="48"/>
      <c r="H197" s="37">
        <f>'3. Input (des)investeringen '!F230</f>
        <v>2023</v>
      </c>
      <c r="I197" s="42" t="str">
        <f>'3. Input (des)investeringen '!G230</f>
        <v>02 Gasontvangststations</v>
      </c>
      <c r="J197" s="42">
        <f>'3. Input (des)investeringen '!H230</f>
        <v>30</v>
      </c>
      <c r="K197" s="42">
        <f>'3. Input (des)investeringen '!I230</f>
        <v>0</v>
      </c>
      <c r="M197" s="43">
        <f t="shared" si="114"/>
        <v>0</v>
      </c>
      <c r="N197" s="43">
        <f t="shared" si="115"/>
        <v>0</v>
      </c>
      <c r="P197" s="136">
        <f t="shared" si="93"/>
        <v>0</v>
      </c>
      <c r="Q197" s="136">
        <f t="shared" si="116"/>
        <v>0</v>
      </c>
      <c r="S197" s="43">
        <f t="shared" si="117"/>
        <v>482517.78375208931</v>
      </c>
      <c r="T197" s="38">
        <f t="shared" si="94"/>
        <v>30</v>
      </c>
      <c r="V197" s="43">
        <f t="shared" si="123"/>
        <v>0</v>
      </c>
      <c r="W197" s="43">
        <f t="shared" si="123"/>
        <v>9409.0967831657417</v>
      </c>
      <c r="X197" s="43">
        <f t="shared" si="123"/>
        <v>18410.466039060968</v>
      </c>
      <c r="Y197" s="43">
        <f t="shared" si="123"/>
        <v>17612.679177368325</v>
      </c>
      <c r="Z197" s="43">
        <f t="shared" si="123"/>
        <v>16849.463079682366</v>
      </c>
      <c r="AB197" s="43">
        <f t="shared" si="124"/>
        <v>0</v>
      </c>
      <c r="AC197" s="43">
        <f t="shared" si="124"/>
        <v>804.19630625348213</v>
      </c>
      <c r="AD197" s="43">
        <f t="shared" si="124"/>
        <v>1608.3926125069643</v>
      </c>
      <c r="AE197" s="43">
        <f t="shared" si="124"/>
        <v>1608.3926125069643</v>
      </c>
      <c r="AF197" s="43">
        <f t="shared" si="124"/>
        <v>1608.3926125069643</v>
      </c>
      <c r="AH197" s="43">
        <f t="shared" si="95"/>
        <v>0</v>
      </c>
      <c r="AI197" s="43">
        <f t="shared" si="96"/>
        <v>10213.293089419223</v>
      </c>
      <c r="AJ197" s="43">
        <f t="shared" si="97"/>
        <v>20018.858651567931</v>
      </c>
      <c r="AK197" s="43">
        <f t="shared" si="98"/>
        <v>19221.071789875288</v>
      </c>
      <c r="AL197" s="43">
        <f t="shared" si="99"/>
        <v>18457.855692189329</v>
      </c>
      <c r="AN197" s="43">
        <f t="shared" si="118"/>
        <v>0</v>
      </c>
      <c r="AO197" s="43">
        <f t="shared" si="119"/>
        <v>472304.49066267011</v>
      </c>
      <c r="AP197" s="43">
        <f t="shared" si="120"/>
        <v>452285.63201110216</v>
      </c>
      <c r="AQ197" s="43">
        <f t="shared" si="121"/>
        <v>433064.56022122689</v>
      </c>
      <c r="AR197" s="43">
        <f t="shared" si="122"/>
        <v>414606.70452903758</v>
      </c>
      <c r="AT197" s="43">
        <f t="shared" si="125"/>
        <v>0</v>
      </c>
      <c r="AU197" s="43">
        <f t="shared" si="125"/>
        <v>4825.1778375208933</v>
      </c>
      <c r="AV197" s="43">
        <f t="shared" si="125"/>
        <v>5190.3472962644746</v>
      </c>
      <c r="AW197" s="43">
        <f t="shared" si="125"/>
        <v>5314.3343124776402</v>
      </c>
      <c r="AX197" s="43">
        <f t="shared" si="125"/>
        <v>5494.2139002863833</v>
      </c>
      <c r="AZ197" s="47">
        <f t="shared" si="100"/>
        <v>0</v>
      </c>
      <c r="BA197" s="47">
        <f t="shared" si="101"/>
        <v>30624.519118808228</v>
      </c>
      <c r="BB197" s="47">
        <f t="shared" si="102"/>
        <v>42396.059964254287</v>
      </c>
      <c r="BC197" s="47">
        <f t="shared" si="103"/>
        <v>40991.85939075955</v>
      </c>
      <c r="BD197" s="47">
        <f t="shared" si="104"/>
        <v>39707.12436457914</v>
      </c>
    </row>
    <row r="198" spans="1:56" ht="13">
      <c r="B198" s="37">
        <f>'3. Input (des)investeringen '!B231</f>
        <v>1666</v>
      </c>
      <c r="C198" s="48"/>
      <c r="D198" s="48"/>
      <c r="E198" s="48"/>
      <c r="F198" s="42">
        <f>'3. Input (des)investeringen '!D231</f>
        <v>488757.70373157132</v>
      </c>
      <c r="G198" s="48"/>
      <c r="H198" s="37">
        <f>'3. Input (des)investeringen '!F231</f>
        <v>2024</v>
      </c>
      <c r="I198" s="42" t="str">
        <f>'3. Input (des)investeringen '!G231</f>
        <v>02 Gasontvangststations</v>
      </c>
      <c r="J198" s="42">
        <f>'3. Input (des)investeringen '!H231</f>
        <v>30</v>
      </c>
      <c r="K198" s="42">
        <f>'3. Input (des)investeringen '!I231</f>
        <v>0</v>
      </c>
      <c r="M198" s="43">
        <f t="shared" si="114"/>
        <v>0</v>
      </c>
      <c r="N198" s="43">
        <f t="shared" si="115"/>
        <v>0</v>
      </c>
      <c r="P198" s="136">
        <f t="shared" si="93"/>
        <v>0</v>
      </c>
      <c r="Q198" s="136">
        <f t="shared" si="116"/>
        <v>0</v>
      </c>
      <c r="S198" s="43">
        <f t="shared" si="117"/>
        <v>488757.70373157132</v>
      </c>
      <c r="T198" s="38">
        <f t="shared" si="94"/>
        <v>30</v>
      </c>
      <c r="V198" s="43">
        <f t="shared" si="123"/>
        <v>0</v>
      </c>
      <c r="W198" s="43">
        <f t="shared" si="123"/>
        <v>0</v>
      </c>
      <c r="X198" s="43">
        <f t="shared" si="123"/>
        <v>9530.775222765642</v>
      </c>
      <c r="Y198" s="43">
        <f t="shared" si="123"/>
        <v>18648.550185878106</v>
      </c>
      <c r="Z198" s="43">
        <f t="shared" si="123"/>
        <v>17840.446344490054</v>
      </c>
      <c r="AB198" s="43">
        <f t="shared" si="124"/>
        <v>0</v>
      </c>
      <c r="AC198" s="43">
        <f t="shared" si="124"/>
        <v>0</v>
      </c>
      <c r="AD198" s="43">
        <f t="shared" si="124"/>
        <v>814.59617288595234</v>
      </c>
      <c r="AE198" s="43">
        <f t="shared" si="124"/>
        <v>1629.1923457719045</v>
      </c>
      <c r="AF198" s="43">
        <f t="shared" si="124"/>
        <v>1629.1923457719045</v>
      </c>
      <c r="AH198" s="43">
        <f t="shared" si="95"/>
        <v>0</v>
      </c>
      <c r="AI198" s="43">
        <f t="shared" si="96"/>
        <v>0</v>
      </c>
      <c r="AJ198" s="43">
        <f t="shared" si="97"/>
        <v>10345.371395651595</v>
      </c>
      <c r="AK198" s="43">
        <f t="shared" si="98"/>
        <v>20277.742531650012</v>
      </c>
      <c r="AL198" s="43">
        <f t="shared" si="99"/>
        <v>19469.63869026196</v>
      </c>
      <c r="AN198" s="43">
        <f t="shared" si="118"/>
        <v>0</v>
      </c>
      <c r="AO198" s="43">
        <f t="shared" si="119"/>
        <v>0</v>
      </c>
      <c r="AP198" s="43">
        <f t="shared" si="120"/>
        <v>478412.33233591972</v>
      </c>
      <c r="AQ198" s="43">
        <f t="shared" si="121"/>
        <v>458134.58980426972</v>
      </c>
      <c r="AR198" s="43">
        <f t="shared" si="122"/>
        <v>438664.95111400774</v>
      </c>
      <c r="AT198" s="43">
        <f t="shared" si="125"/>
        <v>0</v>
      </c>
      <c r="AU198" s="43">
        <f t="shared" si="125"/>
        <v>0</v>
      </c>
      <c r="AV198" s="43">
        <f t="shared" si="125"/>
        <v>4887.5770373157129</v>
      </c>
      <c r="AW198" s="43">
        <f t="shared" si="125"/>
        <v>5004.3314775831113</v>
      </c>
      <c r="AX198" s="43">
        <f t="shared" si="125"/>
        <v>5173.7180894363446</v>
      </c>
      <c r="AZ198" s="47">
        <f t="shared" si="100"/>
        <v>0</v>
      </c>
      <c r="BA198" s="47">
        <f t="shared" si="101"/>
        <v>0</v>
      </c>
      <c r="BB198" s="47">
        <f t="shared" si="102"/>
        <v>33412.617061732257</v>
      </c>
      <c r="BC198" s="47">
        <f t="shared" si="103"/>
        <v>42691.18842179537</v>
      </c>
      <c r="BD198" s="47">
        <f t="shared" si="104"/>
        <v>41312.624922030591</v>
      </c>
    </row>
    <row r="199" spans="1:56" ht="13">
      <c r="B199" s="37">
        <f>'3. Input (des)investeringen '!B232</f>
        <v>1667</v>
      </c>
      <c r="C199" s="48"/>
      <c r="D199" s="48"/>
      <c r="E199" s="48"/>
      <c r="F199" s="42">
        <f>'3. Input (des)investeringen '!D232</f>
        <v>495078.31835622794</v>
      </c>
      <c r="G199" s="48"/>
      <c r="H199" s="37">
        <f>'3. Input (des)investeringen '!F232</f>
        <v>2025</v>
      </c>
      <c r="I199" s="42" t="str">
        <f>'3. Input (des)investeringen '!G232</f>
        <v>02 Gasontvangststations</v>
      </c>
      <c r="J199" s="42">
        <f>'3. Input (des)investeringen '!H232</f>
        <v>30</v>
      </c>
      <c r="K199" s="42">
        <f>'3. Input (des)investeringen '!I232</f>
        <v>0</v>
      </c>
      <c r="M199" s="43">
        <f t="shared" si="114"/>
        <v>0</v>
      </c>
      <c r="N199" s="43">
        <f t="shared" si="115"/>
        <v>0</v>
      </c>
      <c r="P199" s="136">
        <f t="shared" si="93"/>
        <v>0</v>
      </c>
      <c r="Q199" s="136">
        <f t="shared" si="116"/>
        <v>0</v>
      </c>
      <c r="S199" s="43">
        <f t="shared" si="117"/>
        <v>495078.31835622794</v>
      </c>
      <c r="T199" s="38">
        <f t="shared" si="94"/>
        <v>30</v>
      </c>
      <c r="V199" s="43">
        <f t="shared" si="123"/>
        <v>0</v>
      </c>
      <c r="W199" s="43">
        <f t="shared" si="123"/>
        <v>0</v>
      </c>
      <c r="X199" s="43">
        <f t="shared" si="123"/>
        <v>0</v>
      </c>
      <c r="Y199" s="43">
        <f t="shared" si="123"/>
        <v>9654.0272079464448</v>
      </c>
      <c r="Z199" s="43">
        <f t="shared" si="123"/>
        <v>18889.713236881878</v>
      </c>
      <c r="AB199" s="43">
        <f t="shared" si="124"/>
        <v>0</v>
      </c>
      <c r="AC199" s="43">
        <f t="shared" si="124"/>
        <v>0</v>
      </c>
      <c r="AD199" s="43">
        <f t="shared" si="124"/>
        <v>0</v>
      </c>
      <c r="AE199" s="43">
        <f t="shared" si="124"/>
        <v>825.13053059371327</v>
      </c>
      <c r="AF199" s="43">
        <f t="shared" si="124"/>
        <v>1650.2610611874265</v>
      </c>
      <c r="AH199" s="43">
        <f t="shared" si="95"/>
        <v>0</v>
      </c>
      <c r="AI199" s="43">
        <f t="shared" si="96"/>
        <v>0</v>
      </c>
      <c r="AJ199" s="43">
        <f t="shared" si="97"/>
        <v>0</v>
      </c>
      <c r="AK199" s="43">
        <f t="shared" si="98"/>
        <v>10479.157738540158</v>
      </c>
      <c r="AL199" s="43">
        <f t="shared" si="99"/>
        <v>20539.974298069304</v>
      </c>
      <c r="AN199" s="43">
        <f t="shared" si="118"/>
        <v>0</v>
      </c>
      <c r="AO199" s="43">
        <f t="shared" si="119"/>
        <v>0</v>
      </c>
      <c r="AP199" s="43">
        <f t="shared" si="120"/>
        <v>0</v>
      </c>
      <c r="AQ199" s="43">
        <f t="shared" si="121"/>
        <v>484599.1606176878</v>
      </c>
      <c r="AR199" s="43">
        <f t="shared" si="122"/>
        <v>464059.18631961849</v>
      </c>
      <c r="AT199" s="43">
        <f t="shared" si="125"/>
        <v>0</v>
      </c>
      <c r="AU199" s="43">
        <f t="shared" si="125"/>
        <v>0</v>
      </c>
      <c r="AV199" s="43">
        <f t="shared" si="125"/>
        <v>0</v>
      </c>
      <c r="AW199" s="43">
        <f t="shared" si="125"/>
        <v>4950.7831835622792</v>
      </c>
      <c r="AX199" s="43">
        <f t="shared" si="125"/>
        <v>5118.357292759496</v>
      </c>
      <c r="AZ199" s="47">
        <f t="shared" si="100"/>
        <v>0</v>
      </c>
      <c r="BA199" s="47">
        <f t="shared" si="101"/>
        <v>0</v>
      </c>
      <c r="BB199" s="47">
        <f t="shared" si="102"/>
        <v>0</v>
      </c>
      <c r="BC199" s="47">
        <f t="shared" si="103"/>
        <v>33844.709025574572</v>
      </c>
      <c r="BD199" s="47">
        <f t="shared" si="104"/>
        <v>43292.580670974305</v>
      </c>
    </row>
    <row r="200" spans="1:56" ht="13">
      <c r="B200" s="37">
        <f>'3. Input (des)investeringen '!B233</f>
        <v>1668</v>
      </c>
      <c r="C200" s="48"/>
      <c r="D200" s="48"/>
      <c r="E200" s="48"/>
      <c r="F200" s="42">
        <f>'3. Input (des)investeringen '!D233</f>
        <v>501480.67116921069</v>
      </c>
      <c r="G200" s="48"/>
      <c r="H200" s="37">
        <f>'3. Input (des)investeringen '!F233</f>
        <v>2026</v>
      </c>
      <c r="I200" s="42" t="str">
        <f>'3. Input (des)investeringen '!G233</f>
        <v>02 Gasontvangststations</v>
      </c>
      <c r="J200" s="42">
        <f>'3. Input (des)investeringen '!H233</f>
        <v>30</v>
      </c>
      <c r="K200" s="42">
        <f>'3. Input (des)investeringen '!I233</f>
        <v>0</v>
      </c>
      <c r="M200" s="43">
        <f t="shared" si="114"/>
        <v>0</v>
      </c>
      <c r="N200" s="43">
        <f t="shared" si="115"/>
        <v>0</v>
      </c>
      <c r="P200" s="136">
        <f t="shared" si="93"/>
        <v>0</v>
      </c>
      <c r="Q200" s="136">
        <f t="shared" si="116"/>
        <v>0</v>
      </c>
      <c r="S200" s="43">
        <f t="shared" si="117"/>
        <v>501480.67116921069</v>
      </c>
      <c r="T200" s="38">
        <f t="shared" si="94"/>
        <v>30</v>
      </c>
      <c r="V200" s="43">
        <f t="shared" si="123"/>
        <v>0</v>
      </c>
      <c r="W200" s="43">
        <f t="shared" si="123"/>
        <v>0</v>
      </c>
      <c r="X200" s="43">
        <f t="shared" si="123"/>
        <v>0</v>
      </c>
      <c r="Y200" s="43">
        <f t="shared" si="123"/>
        <v>0</v>
      </c>
      <c r="Z200" s="43">
        <f t="shared" si="123"/>
        <v>9778.8730877996095</v>
      </c>
      <c r="AB200" s="43">
        <f t="shared" si="124"/>
        <v>0</v>
      </c>
      <c r="AC200" s="43">
        <f t="shared" si="124"/>
        <v>0</v>
      </c>
      <c r="AD200" s="43">
        <f t="shared" si="124"/>
        <v>0</v>
      </c>
      <c r="AE200" s="43">
        <f t="shared" si="124"/>
        <v>0</v>
      </c>
      <c r="AF200" s="43">
        <f t="shared" si="124"/>
        <v>835.80111861535113</v>
      </c>
      <c r="AH200" s="43">
        <f t="shared" si="95"/>
        <v>0</v>
      </c>
      <c r="AI200" s="43">
        <f t="shared" si="96"/>
        <v>0</v>
      </c>
      <c r="AJ200" s="43">
        <f t="shared" si="97"/>
        <v>0</v>
      </c>
      <c r="AK200" s="43">
        <f t="shared" si="98"/>
        <v>0</v>
      </c>
      <c r="AL200" s="43">
        <f t="shared" si="99"/>
        <v>10614.67420641496</v>
      </c>
      <c r="AN200" s="43">
        <f t="shared" si="118"/>
        <v>0</v>
      </c>
      <c r="AO200" s="43">
        <f t="shared" si="119"/>
        <v>0</v>
      </c>
      <c r="AP200" s="43">
        <f t="shared" si="120"/>
        <v>0</v>
      </c>
      <c r="AQ200" s="43">
        <f t="shared" si="121"/>
        <v>0</v>
      </c>
      <c r="AR200" s="43">
        <f t="shared" si="122"/>
        <v>490865.99696279573</v>
      </c>
      <c r="AT200" s="43">
        <f t="shared" si="125"/>
        <v>0</v>
      </c>
      <c r="AU200" s="43">
        <f t="shared" si="125"/>
        <v>0</v>
      </c>
      <c r="AV200" s="43">
        <f t="shared" si="125"/>
        <v>0</v>
      </c>
      <c r="AW200" s="43">
        <f t="shared" si="125"/>
        <v>0</v>
      </c>
      <c r="AX200" s="43">
        <f t="shared" si="125"/>
        <v>5014.8067116921075</v>
      </c>
      <c r="AZ200" s="47">
        <f t="shared" si="100"/>
        <v>0</v>
      </c>
      <c r="BA200" s="47">
        <f t="shared" si="101"/>
        <v>0</v>
      </c>
      <c r="BB200" s="47">
        <f t="shared" si="102"/>
        <v>0</v>
      </c>
      <c r="BC200" s="47">
        <f t="shared" si="103"/>
        <v>0</v>
      </c>
      <c r="BD200" s="47">
        <f t="shared" si="104"/>
        <v>34282.388802693305</v>
      </c>
    </row>
    <row r="201" spans="1:56" ht="13">
      <c r="C201" s="48"/>
      <c r="E201" s="48"/>
      <c r="F201" s="88"/>
      <c r="AR201" s="88"/>
    </row>
    <row r="202" spans="1:56" s="33" customFormat="1" ht="13">
      <c r="A202" s="96"/>
      <c r="B202" s="33" t="s">
        <v>877</v>
      </c>
      <c r="J202" s="33" t="s">
        <v>878</v>
      </c>
    </row>
    <row r="203" spans="1:56" s="34" customFormat="1" ht="13">
      <c r="A203" s="97"/>
      <c r="D203" s="35" t="s">
        <v>879</v>
      </c>
      <c r="J203" s="99">
        <v>2022</v>
      </c>
      <c r="K203" s="99">
        <v>2023</v>
      </c>
      <c r="L203" s="99">
        <v>2024</v>
      </c>
      <c r="M203" s="99">
        <v>2025</v>
      </c>
      <c r="N203" s="99">
        <v>2026</v>
      </c>
    </row>
    <row r="204" spans="1:56" ht="13">
      <c r="C204" s="48"/>
      <c r="E204" s="48"/>
      <c r="AR204" s="88"/>
    </row>
    <row r="205" spans="1:56" ht="13">
      <c r="B205" s="3" t="s">
        <v>880</v>
      </c>
      <c r="C205" s="48"/>
      <c r="D205" s="3">
        <v>2020</v>
      </c>
      <c r="E205" s="48"/>
      <c r="J205" s="47">
        <f>SUMIFS(AZ$61:AZ$200, $H$61:$H$200, $D205)</f>
        <v>21990120.139256205</v>
      </c>
      <c r="K205" s="47">
        <f>SUMIFS(BA$61:BA$200, $H$61:$H$200, $D205)</f>
        <v>19574368.053275164</v>
      </c>
      <c r="L205" s="47">
        <f t="shared" ref="K205:N208" si="126">SUMIFS(BB$61:BB$200, $H$61:$H$200, $D205)</f>
        <v>19617691.262175359</v>
      </c>
      <c r="M205" s="47">
        <f t="shared" si="126"/>
        <v>17378152.410195991</v>
      </c>
      <c r="N205" s="47">
        <f>SUMIFS(BD$61:BD$200, $H$61:$H$200, $D205)</f>
        <v>15433761.295532579</v>
      </c>
      <c r="AR205" s="88"/>
    </row>
    <row r="206" spans="1:56" ht="13">
      <c r="B206" s="3" t="s">
        <v>880</v>
      </c>
      <c r="C206" s="48"/>
      <c r="D206" s="3">
        <v>2021</v>
      </c>
      <c r="E206" s="48"/>
      <c r="J206" s="47">
        <f t="shared" ref="J206:J207" si="127">SUMIFS(AZ$61:AZ$200, $H$61:$H$200, $D206)</f>
        <v>22334903.307706617</v>
      </c>
      <c r="K206" s="47">
        <f t="shared" si="126"/>
        <v>20091289.146433253</v>
      </c>
      <c r="L206" s="47">
        <f t="shared" si="126"/>
        <v>20164533.816520229</v>
      </c>
      <c r="M206" s="47">
        <f t="shared" si="126"/>
        <v>19430467.548645984</v>
      </c>
      <c r="N206" s="47">
        <f t="shared" si="126"/>
        <v>17335883.818620697</v>
      </c>
      <c r="AR206" s="88"/>
    </row>
    <row r="207" spans="1:56" ht="13">
      <c r="B207" s="3" t="s">
        <v>880</v>
      </c>
      <c r="C207" s="48"/>
      <c r="D207" s="3">
        <v>2022</v>
      </c>
      <c r="E207" s="48"/>
      <c r="J207" s="47">
        <f t="shared" si="127"/>
        <v>16115081.204780744</v>
      </c>
      <c r="K207" s="47">
        <f>SUMIFS(BA$61:BA$200, $H$61:$H$200, $D207)</f>
        <v>21668465.173387919</v>
      </c>
      <c r="L207" s="47">
        <f t="shared" si="126"/>
        <v>21138189.715652924</v>
      </c>
      <c r="M207" s="47">
        <f t="shared" si="126"/>
        <v>20292445.650625445</v>
      </c>
      <c r="N207" s="47">
        <f t="shared" si="126"/>
        <v>19633514.136990339</v>
      </c>
      <c r="AR207" s="88"/>
    </row>
    <row r="208" spans="1:56" ht="13">
      <c r="B208" s="3" t="s">
        <v>880</v>
      </c>
      <c r="C208" s="48"/>
      <c r="D208" s="3">
        <v>2023</v>
      </c>
      <c r="E208" s="48"/>
      <c r="J208" s="95"/>
      <c r="K208" s="47">
        <f t="shared" si="126"/>
        <v>16112879.875548553</v>
      </c>
      <c r="L208" s="47">
        <f t="shared" si="126"/>
        <v>22975045.909280386</v>
      </c>
      <c r="M208" s="47">
        <f t="shared" si="126"/>
        <v>21332288.124319293</v>
      </c>
      <c r="N208" s="47">
        <f>SUMIFS(BD$61:BD$200, $H$61:$H$200, $D208)</f>
        <v>20497582.353496894</v>
      </c>
      <c r="AR208" s="88"/>
    </row>
    <row r="209" spans="2:56" ht="13">
      <c r="B209" s="3" t="s">
        <v>880</v>
      </c>
      <c r="C209" s="48"/>
      <c r="D209" s="3">
        <v>2024</v>
      </c>
      <c r="E209" s="48"/>
      <c r="J209" s="95"/>
      <c r="K209" s="95"/>
      <c r="L209" s="47">
        <f t="shared" ref="L209" si="128">SUMIFS(BB$61:BB$200, $H$61:$H$200, $D209)</f>
        <v>17387876.931790221</v>
      </c>
      <c r="M209" s="47">
        <f t="shared" ref="M209:M210" si="129">SUMIFS(BC$61:BC$200, $H$61:$H$200, $D209)</f>
        <v>23158008.310212679</v>
      </c>
      <c r="N209" s="47">
        <f>SUMIFS(BD$61:BD$200, $H$61:$H$200, $D209)</f>
        <v>21513756.031452548</v>
      </c>
      <c r="AR209" s="88"/>
    </row>
    <row r="210" spans="2:56" ht="13">
      <c r="B210" s="3" t="s">
        <v>880</v>
      </c>
      <c r="C210" s="48"/>
      <c r="D210" s="3">
        <v>2025</v>
      </c>
      <c r="E210" s="48"/>
      <c r="J210" s="95"/>
      <c r="K210" s="95"/>
      <c r="L210" s="95"/>
      <c r="M210" s="47">
        <f t="shared" si="129"/>
        <v>17612736.956272129</v>
      </c>
      <c r="N210" s="47">
        <f>SUMIFS(BD$61:BD$200, $H$61:$H$200, $D210)</f>
        <v>23479723.652932618</v>
      </c>
      <c r="AR210" s="88"/>
    </row>
    <row r="211" spans="2:56" ht="13">
      <c r="B211" s="3" t="s">
        <v>880</v>
      </c>
      <c r="C211" s="48"/>
      <c r="D211" s="3">
        <v>2026</v>
      </c>
      <c r="E211" s="48"/>
      <c r="J211" s="95"/>
      <c r="K211" s="95"/>
      <c r="L211" s="95"/>
      <c r="M211" s="95"/>
      <c r="N211" s="95"/>
      <c r="AR211" s="88"/>
    </row>
    <row r="212" spans="2:56" ht="13">
      <c r="C212" s="48"/>
      <c r="E212" s="48"/>
      <c r="AR212" s="88"/>
    </row>
    <row r="213" spans="2:56" s="33" customFormat="1" ht="13">
      <c r="B213" s="33" t="s">
        <v>881</v>
      </c>
    </row>
    <row r="214" spans="2:56" s="36" customFormat="1" ht="13">
      <c r="M214" s="36" t="s">
        <v>852</v>
      </c>
      <c r="P214" s="36" t="s">
        <v>853</v>
      </c>
      <c r="S214" s="36" t="s">
        <v>854</v>
      </c>
      <c r="V214" s="36" t="s">
        <v>855</v>
      </c>
      <c r="AB214" s="36" t="s">
        <v>856</v>
      </c>
      <c r="AH214" s="36" t="s">
        <v>857</v>
      </c>
      <c r="AN214" s="36" t="s">
        <v>858</v>
      </c>
      <c r="AT214" s="36" t="s">
        <v>875</v>
      </c>
      <c r="AZ214" s="36" t="s">
        <v>876</v>
      </c>
    </row>
    <row r="215" spans="2:56" s="39" customFormat="1" ht="13">
      <c r="B215" s="39" t="s">
        <v>862</v>
      </c>
      <c r="F215" s="39" t="s">
        <v>352</v>
      </c>
      <c r="H215" s="40" t="s">
        <v>353</v>
      </c>
      <c r="I215" s="39" t="s">
        <v>274</v>
      </c>
      <c r="J215" s="40" t="s">
        <v>275</v>
      </c>
      <c r="K215" s="41"/>
      <c r="M215" s="45">
        <v>2020</v>
      </c>
      <c r="N215" s="45">
        <v>2021</v>
      </c>
      <c r="P215" s="45">
        <v>2020</v>
      </c>
      <c r="Q215" s="45">
        <v>2021</v>
      </c>
      <c r="S215" s="39" t="s">
        <v>867</v>
      </c>
      <c r="T215" s="39" t="s">
        <v>868</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ht="13">
      <c r="C216" s="48"/>
      <c r="E216" s="48"/>
      <c r="AR216" s="88"/>
      <c r="AT216" s="48"/>
      <c r="AU216" s="48"/>
      <c r="AV216" s="48"/>
      <c r="AW216" s="48"/>
      <c r="AX216" s="48"/>
    </row>
    <row r="217" spans="2:56" ht="13">
      <c r="B217" s="37">
        <f>'12. Investeringen (bijschatten)'!B20</f>
        <v>1</v>
      </c>
      <c r="C217" s="48"/>
      <c r="E217" s="48"/>
      <c r="F217" s="167">
        <f>'12. Investeringen (bijschatten)'!C20</f>
        <v>31360107.14852399</v>
      </c>
      <c r="H217" s="37">
        <f>'12. Investeringen (bijschatten)'!D20</f>
        <v>2020</v>
      </c>
      <c r="I217" s="37" t="str">
        <f>'12. Investeringen (bijschatten)'!E20</f>
        <v>01 Regionale leidingen</v>
      </c>
      <c r="J217" s="167">
        <f>_xlfn.XLOOKUP(I217,'3. Input (des)investeringen '!$B$11:$B$89,'3. Input (des)investeringen '!$D$11:$D$89)</f>
        <v>55</v>
      </c>
      <c r="K217" s="153"/>
      <c r="L217" s="153"/>
      <c r="M217" s="43">
        <f t="shared" ref="M217:M248" si="130">IF($J217 = 0, 0, IF($H217&lt;=M$215,
VDB(ABS($F217),0,$J217,MAX(0,M$59-$H217-0.5),MIN($J217,M$59-$H217+0.5),1)*IF($F217&lt;0,-1,1)*INDEX(H$40:H$46,$H217-2019,1),
0))</f>
        <v>285091.88316839992</v>
      </c>
      <c r="N217" s="43">
        <f t="shared" ref="N217:N248" si="131">IF($J217 = 0, 0, IF($H217&lt;=N$215,
VDB(ABS($F217),0,$J217,MAX(0,N$59-$H217-0.5),MIN($J217,N$59-$H217+0.5),1)*IF($F217&lt;0,-1,1)*INDEX(I$40:I$46,$H217-2019,1),
0))</f>
        <v>579306.70659818861</v>
      </c>
      <c r="P217" s="136">
        <f t="shared" ref="P217:P248" si="132">IF($J217=0, IF($H217 = M$215, $F217, 0), IF(OR($H217&gt;P$59,$H217+$J217&lt;=P$59),0,
F217-M217))</f>
        <v>31075015.265355591</v>
      </c>
      <c r="Q217" s="136">
        <f t="shared" ref="Q217:Q248" si="133">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 t="shared" ref="V217:Z226" si="134">IF($J217=0, 0, IF(OR($H217&gt;V$59,$H217+$J217&lt;V$59),0,
IF(OR($H217=2020,$H217=2021),VDB(ABS($S217)*(1-$F$28),0,$T217,V$59-2022,MIN($T217,V$59-2021),$F$22),
VDB(ABS($S217)*(1-$F$28),0,$T217,MAX(0,V$59-$H217-0.5),MIN($T217,V$59-$H217+0.5),$F$22,FALSE))))*IF($F217&lt;0,-1,1)</f>
        <v>677788.8467198807</v>
      </c>
      <c r="W217" s="43">
        <f t="shared" si="134"/>
        <v>661319.21119210788</v>
      </c>
      <c r="X217" s="43">
        <f t="shared" si="134"/>
        <v>645249.7724154772</v>
      </c>
      <c r="Y217" s="43">
        <f t="shared" si="134"/>
        <v>629570.80598295154</v>
      </c>
      <c r="Z217" s="43">
        <f t="shared" si="134"/>
        <v>614272.82378149673</v>
      </c>
      <c r="AB217" s="43">
        <f t="shared" ref="AB217:AF226" si="135">IF($J217 = 0, 0, IF(OR($H217&gt;AB$59,$H217+$J217&lt;AB$59),0,
IF(OR($H217=2020,$H217=2021),VDB(ABS($S217)*$F$28,0,$T217,AB$59-2022,MIN($T217,AB$59-2021),1),
VDB(ABS($S217)*$F$28,0,$T217,MAX(0,AB$59-$H217-0.5),MIN($T217,AB$59-$H217+0.5),1))))*IF($F217&lt;0,-1,1)</f>
        <v>57930.670659818868</v>
      </c>
      <c r="AC217" s="43">
        <f t="shared" si="135"/>
        <v>57930.670659818876</v>
      </c>
      <c r="AD217" s="43">
        <f t="shared" si="135"/>
        <v>57930.670659818876</v>
      </c>
      <c r="AE217" s="43">
        <f t="shared" si="135"/>
        <v>57930.670659818876</v>
      </c>
      <c r="AF217" s="43">
        <f t="shared" si="135"/>
        <v>57930.670659818876</v>
      </c>
      <c r="AH217" s="43">
        <f>V217+AB217</f>
        <v>735719.51737969962</v>
      </c>
      <c r="AI217" s="43">
        <f t="shared" ref="AI217:AL217" si="136">W217+AC217</f>
        <v>719249.8818519268</v>
      </c>
      <c r="AJ217" s="43">
        <f t="shared" si="136"/>
        <v>703180.44307529612</v>
      </c>
      <c r="AK217" s="43">
        <f t="shared" si="136"/>
        <v>687501.47664277046</v>
      </c>
      <c r="AL217" s="43">
        <f t="shared" si="136"/>
        <v>672203.49444131565</v>
      </c>
      <c r="AN217" s="43">
        <f t="shared" ref="AN217:AN248" si="137">IF($J217=0,IF($H217 &gt; AN$215, 0,$S217),IF(OR($H217&gt;AN$59,$H217+$J217&lt;=AN$59),0,
IF($H217=AN$59,$S217-AH217,
S217-AH217)))</f>
        <v>30257189.28562339</v>
      </c>
      <c r="AO217" s="43">
        <f t="shared" ref="AO217:AO248" si="138">IF($J217 = 0, IF($H217 &gt; AO$215, 0, IF($H217=AO$215, $F217, AN217)), IF(OR($H217&gt;AO$59,$H217+$J217&lt;=AO$59),0,
IF($H217=AO$59,$S217-AI217,
AN217-AI217)))</f>
        <v>29537939.403771464</v>
      </c>
      <c r="AP217" s="43">
        <f t="shared" ref="AP217:AP248" si="139">IF($J217 = 0, IF($H217 &gt; AP$215, 0, IF($H217=AP$215, $F217, AO217)), IF(OR($H217&gt;AP$59,$H217+$J217&lt;=AP$59),0,
IF($H217=AP$59,$S217-AJ217,
AO217-AJ217)))</f>
        <v>28834758.960696168</v>
      </c>
      <c r="AQ217" s="43">
        <f t="shared" ref="AQ217:AQ248" si="140">IF($J217 = 0, IF($H217 &gt; AQ$215, 0, IF($H217=AQ$215, $F217, AP217)), IF(OR($H217&gt;AQ$59,$H217+$J217&lt;=AQ$59),0,
IF($H217=AQ$59,$S217-AK217,
AP217-AK217)))</f>
        <v>28147257.484053399</v>
      </c>
      <c r="AR217" s="43">
        <f t="shared" ref="AR217:AR248" si="141">IF($J217 = 0, IF($H217 &gt; AR$215, 0, IF($H217=AR$215, $F217, AQ217)), IF(OR($H217&gt;AR$59,$H217+$J217&lt;=AR$59),0,
IF($H217=AR$59,$S217-AL217,
AQ217-AL217)))</f>
        <v>27475053.989612084</v>
      </c>
      <c r="AT217" s="43">
        <f t="shared" ref="AT217:AX226" si="142">IF($H217&lt;=AT$215,$F217*INDEX($H$40:$N$46,$H217-2019,AT$215-2019)*INDEX($H$49:$N$55,$H217-2019,AT$215-2019)*$F$19,0)</f>
        <v>322733.35331450432</v>
      </c>
      <c r="AU217" s="43">
        <f t="shared" si="142"/>
        <v>341371.84993512358</v>
      </c>
      <c r="AV217" s="43">
        <f t="shared" si="142"/>
        <v>367206.8715382138</v>
      </c>
      <c r="AW217" s="43">
        <f t="shared" si="142"/>
        <v>375978.70928551862</v>
      </c>
      <c r="AX217" s="43">
        <f t="shared" si="142"/>
        <v>388704.83663741493</v>
      </c>
      <c r="AZ217" s="47">
        <f>AH217+AN217*J$16+AT217</f>
        <v>2087197.3064053992</v>
      </c>
      <c r="BA217" s="47">
        <f t="shared" ref="BA217:BD217" si="143">AI217+AO217*K$16+AU217</f>
        <v>2035373.732111509</v>
      </c>
      <c r="BB217" s="47">
        <f t="shared" si="143"/>
        <v>2166108.1551199644</v>
      </c>
      <c r="BC217" s="47">
        <f t="shared" si="143"/>
        <v>2133075.9703223184</v>
      </c>
      <c r="BD217" s="47">
        <f t="shared" si="143"/>
        <v>2104960.3826839896</v>
      </c>
    </row>
    <row r="218" spans="2:56" ht="13">
      <c r="B218" s="37">
        <f>'12. Investeringen (bijschatten)'!B21</f>
        <v>2</v>
      </c>
      <c r="C218" s="48"/>
      <c r="E218" s="48"/>
      <c r="F218" s="167">
        <f>'12. Investeringen (bijschatten)'!C21</f>
        <v>4529775.5276718521</v>
      </c>
      <c r="H218" s="37">
        <f>'12. Investeringen (bijschatten)'!D21</f>
        <v>2020</v>
      </c>
      <c r="I218" s="37" t="str">
        <f>'12. Investeringen (bijschatten)'!E21</f>
        <v>02 Gasontvangststations</v>
      </c>
      <c r="J218" s="167">
        <f>_xlfn.XLOOKUP(I218,'3. Input (des)investeringen '!$B$11:$B$89,'3. Input (des)investeringen '!$D$11:$D$89)</f>
        <v>30</v>
      </c>
      <c r="K218" s="153"/>
      <c r="L218" s="153"/>
      <c r="M218" s="43">
        <f t="shared" si="130"/>
        <v>75496.258794530862</v>
      </c>
      <c r="N218" s="43">
        <f t="shared" si="131"/>
        <v>153408.39787048672</v>
      </c>
      <c r="P218" s="136">
        <f t="shared" si="132"/>
        <v>4454279.2688773209</v>
      </c>
      <c r="Q218" s="136">
        <f t="shared" si="133"/>
        <v>4372139.3393088719</v>
      </c>
      <c r="S218" s="43">
        <f t="shared" ref="S218:S281" si="144">IF($J218=0, IF(H218&lt;=2021, $Q218, IF(H218&gt;=2022, $F218,0)), IF(H218&lt;=2021,Q218,F218))</f>
        <v>4372139.3393088719</v>
      </c>
      <c r="T218" s="38">
        <f t="shared" ref="T218:T281" si="145">IF($J218=0, 0, IF(H218&lt;2022,J218-2021+H218-0.5,J218))</f>
        <v>28.5</v>
      </c>
      <c r="V218" s="43">
        <f t="shared" si="134"/>
        <v>179487.82550846951</v>
      </c>
      <c r="W218" s="43">
        <f t="shared" si="134"/>
        <v>171300.66153790773</v>
      </c>
      <c r="X218" s="43">
        <f t="shared" si="134"/>
        <v>163486.94715196808</v>
      </c>
      <c r="Y218" s="43">
        <f t="shared" si="134"/>
        <v>156029.6478081941</v>
      </c>
      <c r="Z218" s="43">
        <f t="shared" si="134"/>
        <v>148912.50597834663</v>
      </c>
      <c r="AB218" s="43">
        <f t="shared" si="135"/>
        <v>15340.839787048673</v>
      </c>
      <c r="AC218" s="43">
        <f t="shared" si="135"/>
        <v>15340.839787048673</v>
      </c>
      <c r="AD218" s="43">
        <f t="shared" si="135"/>
        <v>15340.839787048673</v>
      </c>
      <c r="AE218" s="43">
        <f t="shared" si="135"/>
        <v>15340.839787048673</v>
      </c>
      <c r="AF218" s="43">
        <f t="shared" si="135"/>
        <v>15340.839787048673</v>
      </c>
      <c r="AH218" s="43">
        <f t="shared" ref="AH218:AH281" si="146">V218+AB218</f>
        <v>194828.66529551818</v>
      </c>
      <c r="AI218" s="43">
        <f t="shared" ref="AI218:AI281" si="147">W218+AC218</f>
        <v>186641.50132495639</v>
      </c>
      <c r="AJ218" s="43">
        <f t="shared" ref="AJ218:AJ281" si="148">X218+AD218</f>
        <v>178827.78693901675</v>
      </c>
      <c r="AK218" s="43">
        <f t="shared" ref="AK218:AK281" si="149">Y218+AE218</f>
        <v>171370.48759524277</v>
      </c>
      <c r="AL218" s="43">
        <f t="shared" ref="AL218:AL281" si="150">Z218+AF218</f>
        <v>164253.34576539529</v>
      </c>
      <c r="AN218" s="43">
        <f t="shared" si="137"/>
        <v>4177310.6740133539</v>
      </c>
      <c r="AO218" s="43">
        <f t="shared" si="138"/>
        <v>3990669.1726883976</v>
      </c>
      <c r="AP218" s="43">
        <f t="shared" si="139"/>
        <v>3811841.385749381</v>
      </c>
      <c r="AQ218" s="43">
        <f t="shared" si="140"/>
        <v>3640470.8981541381</v>
      </c>
      <c r="AR218" s="43">
        <f t="shared" si="141"/>
        <v>3476217.552388743</v>
      </c>
      <c r="AT218" s="43">
        <f t="shared" si="142"/>
        <v>46616.85748979725</v>
      </c>
      <c r="AU218" s="43">
        <f t="shared" si="142"/>
        <v>49309.074243548028</v>
      </c>
      <c r="AV218" s="43">
        <f t="shared" si="142"/>
        <v>53040.784982299752</v>
      </c>
      <c r="AW218" s="43">
        <f t="shared" si="142"/>
        <v>54307.823253956922</v>
      </c>
      <c r="AX218" s="43">
        <f t="shared" si="142"/>
        <v>56146.034455456866</v>
      </c>
      <c r="AZ218" s="47">
        <f t="shared" ref="AZ218:AZ281" si="151">AH218+AN218*J$16+AT218</f>
        <v>383474.08570176945</v>
      </c>
      <c r="BA218" s="47">
        <f t="shared" ref="BA218:BA281" si="152">AI218+AO218*K$16+AU218</f>
        <v>367642.65826722159</v>
      </c>
      <c r="BB218" s="47">
        <f t="shared" ref="BB218:BB281" si="153">AJ218+AP218*L$16+AV218</f>
        <v>376718.544579793</v>
      </c>
      <c r="BC218" s="47">
        <f t="shared" ref="BC218:BC281" si="154">AK218+AQ218*M$16+AW218</f>
        <v>364016.2049790569</v>
      </c>
      <c r="BD218" s="47">
        <f t="shared" ref="BD218:BD281" si="155">AL218+AR218*N$16+AX218</f>
        <v>352495.64721162443</v>
      </c>
    </row>
    <row r="219" spans="2:56" ht="13">
      <c r="B219" s="37">
        <f>'12. Investeringen (bijschatten)'!B22</f>
        <v>3</v>
      </c>
      <c r="C219" s="48"/>
      <c r="E219" s="48"/>
      <c r="F219" s="167">
        <f>'12. Investeringen (bijschatten)'!C22</f>
        <v>1155721.8280173452</v>
      </c>
      <c r="H219" s="37">
        <f>'12. Investeringen (bijschatten)'!D22</f>
        <v>2020</v>
      </c>
      <c r="I219" s="37" t="str">
        <f>'12. Investeringen (bijschatten)'!E22</f>
        <v>04 Terreinen</v>
      </c>
      <c r="J219" s="167">
        <f>_xlfn.XLOOKUP(I219,'3. Input (des)investeringen '!$B$11:$B$89,'3. Input (des)investeringen '!$D$11:$D$89)</f>
        <v>0</v>
      </c>
      <c r="K219" s="153"/>
      <c r="L219" s="153"/>
      <c r="M219" s="43">
        <f t="shared" si="130"/>
        <v>0</v>
      </c>
      <c r="N219" s="43">
        <f t="shared" si="131"/>
        <v>0</v>
      </c>
      <c r="P219" s="136">
        <f t="shared" si="132"/>
        <v>1155721.8280173452</v>
      </c>
      <c r="Q219" s="136">
        <f t="shared" si="133"/>
        <v>1174213.3772656226</v>
      </c>
      <c r="S219" s="43">
        <f t="shared" si="144"/>
        <v>1174213.3772656226</v>
      </c>
      <c r="T219" s="38">
        <f t="shared" si="145"/>
        <v>0</v>
      </c>
      <c r="V219" s="43">
        <f t="shared" si="134"/>
        <v>0</v>
      </c>
      <c r="W219" s="43">
        <f t="shared" si="134"/>
        <v>0</v>
      </c>
      <c r="X219" s="43">
        <f t="shared" si="134"/>
        <v>0</v>
      </c>
      <c r="Y219" s="43">
        <f t="shared" si="134"/>
        <v>0</v>
      </c>
      <c r="Z219" s="43">
        <f t="shared" si="134"/>
        <v>0</v>
      </c>
      <c r="AB219" s="43">
        <f t="shared" si="135"/>
        <v>0</v>
      </c>
      <c r="AC219" s="43">
        <f t="shared" si="135"/>
        <v>0</v>
      </c>
      <c r="AD219" s="43">
        <f t="shared" si="135"/>
        <v>0</v>
      </c>
      <c r="AE219" s="43">
        <f t="shared" si="135"/>
        <v>0</v>
      </c>
      <c r="AF219" s="43">
        <f t="shared" si="135"/>
        <v>0</v>
      </c>
      <c r="AH219" s="43">
        <f t="shared" si="146"/>
        <v>0</v>
      </c>
      <c r="AI219" s="43">
        <f t="shared" si="147"/>
        <v>0</v>
      </c>
      <c r="AJ219" s="43">
        <f t="shared" si="148"/>
        <v>0</v>
      </c>
      <c r="AK219" s="43">
        <f t="shared" si="149"/>
        <v>0</v>
      </c>
      <c r="AL219" s="43">
        <f t="shared" si="150"/>
        <v>0</v>
      </c>
      <c r="AN219" s="43">
        <f t="shared" si="137"/>
        <v>1174213.3772656226</v>
      </c>
      <c r="AO219" s="43">
        <f t="shared" si="138"/>
        <v>1174213.3772656226</v>
      </c>
      <c r="AP219" s="43">
        <f t="shared" si="139"/>
        <v>1174213.3772656226</v>
      </c>
      <c r="AQ219" s="43">
        <f t="shared" si="140"/>
        <v>1174213.3772656226</v>
      </c>
      <c r="AR219" s="43">
        <f t="shared" si="141"/>
        <v>1174213.3772656226</v>
      </c>
      <c r="AT219" s="43">
        <f t="shared" si="142"/>
        <v>11893.772533629943</v>
      </c>
      <c r="AU219" s="43">
        <f t="shared" si="142"/>
        <v>12580.661684992139</v>
      </c>
      <c r="AV219" s="43">
        <f t="shared" si="142"/>
        <v>13532.766161312346</v>
      </c>
      <c r="AW219" s="43">
        <f t="shared" si="142"/>
        <v>13856.036879373774</v>
      </c>
      <c r="AX219" s="43">
        <f t="shared" si="142"/>
        <v>14325.036015666819</v>
      </c>
      <c r="AZ219" s="47">
        <f t="shared" si="151"/>
        <v>51817.027360661115</v>
      </c>
      <c r="BA219" s="47">
        <f t="shared" si="152"/>
        <v>51329.703134757692</v>
      </c>
      <c r="BB219" s="47">
        <f t="shared" si="153"/>
        <v>58152.87449740601</v>
      </c>
      <c r="BC219" s="47">
        <f t="shared" si="154"/>
        <v>58476.145215467433</v>
      </c>
      <c r="BD219" s="47">
        <f t="shared" si="155"/>
        <v>58945.144351760478</v>
      </c>
    </row>
    <row r="220" spans="2:56" ht="13">
      <c r="B220" s="37">
        <f>'12. Investeringen (bijschatten)'!B23</f>
        <v>4</v>
      </c>
      <c r="C220" s="48"/>
      <c r="E220" s="48"/>
      <c r="F220" s="167">
        <f>'12. Investeringen (bijschatten)'!C23</f>
        <v>320593.27893508447</v>
      </c>
      <c r="H220" s="37">
        <f>'12. Investeringen (bijschatten)'!D23</f>
        <v>2020</v>
      </c>
      <c r="I220" s="37" t="str">
        <f>'12. Investeringen (bijschatten)'!E23</f>
        <v>05 Wegen en terreinvoorzieningen</v>
      </c>
      <c r="J220" s="167">
        <f>_xlfn.XLOOKUP(I220,'3. Input (des)investeringen '!$B$11:$B$89,'3. Input (des)investeringen '!$D$11:$D$89)</f>
        <v>10</v>
      </c>
      <c r="K220" s="153"/>
      <c r="L220" s="153"/>
      <c r="M220" s="43">
        <f t="shared" si="130"/>
        <v>16029.663946754225</v>
      </c>
      <c r="N220" s="43">
        <f t="shared" si="131"/>
        <v>32572.277139804581</v>
      </c>
      <c r="P220" s="136">
        <f t="shared" si="132"/>
        <v>304563.61498833023</v>
      </c>
      <c r="Q220" s="136">
        <f t="shared" si="133"/>
        <v>276864.35568833898</v>
      </c>
      <c r="S220" s="43">
        <f t="shared" si="144"/>
        <v>276864.35568833898</v>
      </c>
      <c r="T220" s="38">
        <f t="shared" si="145"/>
        <v>8.5</v>
      </c>
      <c r="V220" s="43">
        <f t="shared" si="134"/>
        <v>38109.564253571371</v>
      </c>
      <c r="W220" s="43">
        <f t="shared" si="134"/>
        <v>32281.042661848685</v>
      </c>
      <c r="X220" s="43">
        <f t="shared" si="134"/>
        <v>27505.740492936158</v>
      </c>
      <c r="Y220" s="43">
        <f t="shared" si="134"/>
        <v>27505.740492936158</v>
      </c>
      <c r="Z220" s="43">
        <f t="shared" si="134"/>
        <v>27505.740492936158</v>
      </c>
      <c r="AB220" s="43">
        <f t="shared" si="135"/>
        <v>3257.2277139804587</v>
      </c>
      <c r="AC220" s="43">
        <f t="shared" si="135"/>
        <v>3257.2277139804587</v>
      </c>
      <c r="AD220" s="43">
        <f t="shared" si="135"/>
        <v>3257.2277139804587</v>
      </c>
      <c r="AE220" s="43">
        <f t="shared" si="135"/>
        <v>3257.2277139804587</v>
      </c>
      <c r="AF220" s="43">
        <f t="shared" si="135"/>
        <v>3257.2277139804587</v>
      </c>
      <c r="AH220" s="43">
        <f t="shared" si="146"/>
        <v>41366.791967551828</v>
      </c>
      <c r="AI220" s="43">
        <f t="shared" si="147"/>
        <v>35538.270375829146</v>
      </c>
      <c r="AJ220" s="43">
        <f t="shared" si="148"/>
        <v>30762.968206916616</v>
      </c>
      <c r="AK220" s="43">
        <f t="shared" si="149"/>
        <v>30762.968206916616</v>
      </c>
      <c r="AL220" s="43">
        <f t="shared" si="150"/>
        <v>30762.968206916616</v>
      </c>
      <c r="AN220" s="43">
        <f t="shared" si="137"/>
        <v>235497.56372078715</v>
      </c>
      <c r="AO220" s="43">
        <f t="shared" si="138"/>
        <v>199959.29334495799</v>
      </c>
      <c r="AP220" s="43">
        <f t="shared" si="139"/>
        <v>169196.32513804137</v>
      </c>
      <c r="AQ220" s="43">
        <f t="shared" si="140"/>
        <v>138433.35693112476</v>
      </c>
      <c r="AR220" s="43">
        <f t="shared" si="141"/>
        <v>107670.38872420814</v>
      </c>
      <c r="AT220" s="43">
        <f t="shared" si="142"/>
        <v>3299.2917871991976</v>
      </c>
      <c r="AU220" s="43">
        <f t="shared" si="142"/>
        <v>3489.8324864935257</v>
      </c>
      <c r="AV220" s="43">
        <f t="shared" si="142"/>
        <v>3753.9430090713558</v>
      </c>
      <c r="AW220" s="43">
        <f t="shared" si="142"/>
        <v>3843.6171996720532</v>
      </c>
      <c r="AX220" s="43">
        <f t="shared" si="142"/>
        <v>3973.7159546465527</v>
      </c>
      <c r="AZ220" s="47">
        <f t="shared" si="151"/>
        <v>52673.000921257786</v>
      </c>
      <c r="BA220" s="47">
        <f t="shared" si="152"/>
        <v>45626.759542706292</v>
      </c>
      <c r="BB220" s="47">
        <f t="shared" si="153"/>
        <v>40946.371571233547</v>
      </c>
      <c r="BC220" s="47">
        <f t="shared" si="154"/>
        <v>39867.05296997141</v>
      </c>
      <c r="BD220" s="47">
        <f t="shared" si="155"/>
        <v>38828.158933083083</v>
      </c>
    </row>
    <row r="221" spans="2:56" ht="13">
      <c r="B221" s="37">
        <f>'12. Investeringen (bijschatten)'!B24</f>
        <v>5</v>
      </c>
      <c r="C221" s="48"/>
      <c r="E221" s="48"/>
      <c r="F221" s="167">
        <f>'12. Investeringen (bijschatten)'!C24</f>
        <v>1555027.7495395842</v>
      </c>
      <c r="H221" s="37">
        <f>'12. Investeringen (bijschatten)'!D24</f>
        <v>2020</v>
      </c>
      <c r="I221" s="37" t="str">
        <f>'12. Investeringen (bijschatten)'!E24</f>
        <v>06 Utiliteitsgebouwen</v>
      </c>
      <c r="J221" s="167">
        <f>_xlfn.XLOOKUP(I221,'3. Input (des)investeringen '!$B$11:$B$89,'3. Input (des)investeringen '!$D$11:$D$89)</f>
        <v>30</v>
      </c>
      <c r="K221" s="153"/>
      <c r="L221" s="153"/>
      <c r="M221" s="43">
        <f t="shared" si="130"/>
        <v>25917.12915899307</v>
      </c>
      <c r="N221" s="43">
        <f t="shared" si="131"/>
        <v>52663.606451073916</v>
      </c>
      <c r="P221" s="136">
        <f t="shared" si="132"/>
        <v>1529110.6203805911</v>
      </c>
      <c r="Q221" s="136">
        <f t="shared" si="133"/>
        <v>1500912.7838556068</v>
      </c>
      <c r="S221" s="43">
        <f t="shared" si="144"/>
        <v>1500912.7838556068</v>
      </c>
      <c r="T221" s="38">
        <f t="shared" si="145"/>
        <v>28.5</v>
      </c>
      <c r="V221" s="43">
        <f t="shared" si="134"/>
        <v>61616.419547756494</v>
      </c>
      <c r="W221" s="43">
        <f t="shared" si="134"/>
        <v>58805.846024525497</v>
      </c>
      <c r="X221" s="43">
        <f t="shared" si="134"/>
        <v>56123.474100599771</v>
      </c>
      <c r="Y221" s="43">
        <f t="shared" si="134"/>
        <v>53563.455983730302</v>
      </c>
      <c r="Z221" s="43">
        <f t="shared" si="134"/>
        <v>51120.210623068924</v>
      </c>
      <c r="AB221" s="43">
        <f t="shared" si="135"/>
        <v>5266.3606451073929</v>
      </c>
      <c r="AC221" s="43">
        <f t="shared" si="135"/>
        <v>5266.3606451073929</v>
      </c>
      <c r="AD221" s="43">
        <f t="shared" si="135"/>
        <v>5266.3606451073929</v>
      </c>
      <c r="AE221" s="43">
        <f t="shared" si="135"/>
        <v>5266.3606451073929</v>
      </c>
      <c r="AF221" s="43">
        <f t="shared" si="135"/>
        <v>5266.3606451073929</v>
      </c>
      <c r="AH221" s="43">
        <f t="shared" si="146"/>
        <v>66882.78019286388</v>
      </c>
      <c r="AI221" s="43">
        <f t="shared" si="147"/>
        <v>64072.206669632891</v>
      </c>
      <c r="AJ221" s="43">
        <f t="shared" si="148"/>
        <v>61389.834745707165</v>
      </c>
      <c r="AK221" s="43">
        <f t="shared" si="149"/>
        <v>58829.816628837696</v>
      </c>
      <c r="AL221" s="43">
        <f t="shared" si="150"/>
        <v>56386.571268176318</v>
      </c>
      <c r="AN221" s="43">
        <f t="shared" si="137"/>
        <v>1434030.0036627429</v>
      </c>
      <c r="AO221" s="43">
        <f t="shared" si="138"/>
        <v>1369957.7969931101</v>
      </c>
      <c r="AP221" s="43">
        <f t="shared" si="139"/>
        <v>1308567.9622474029</v>
      </c>
      <c r="AQ221" s="43">
        <f t="shared" si="140"/>
        <v>1249738.1456185651</v>
      </c>
      <c r="AR221" s="43">
        <f t="shared" si="141"/>
        <v>1193351.5743503887</v>
      </c>
      <c r="AT221" s="43">
        <f t="shared" si="142"/>
        <v>16003.112416968826</v>
      </c>
      <c r="AU221" s="43">
        <f t="shared" si="142"/>
        <v>16927.324165273611</v>
      </c>
      <c r="AV221" s="43">
        <f t="shared" si="142"/>
        <v>18208.384058101521</v>
      </c>
      <c r="AW221" s="43">
        <f t="shared" si="142"/>
        <v>18643.345936481452</v>
      </c>
      <c r="AX221" s="43">
        <f t="shared" si="142"/>
        <v>19274.385909739474</v>
      </c>
      <c r="AZ221" s="47">
        <f t="shared" si="151"/>
        <v>131642.91273436596</v>
      </c>
      <c r="BA221" s="47">
        <f t="shared" si="152"/>
        <v>126208.13813567912</v>
      </c>
      <c r="BB221" s="47">
        <f t="shared" si="153"/>
        <v>129323.80136920999</v>
      </c>
      <c r="BC221" s="47">
        <f t="shared" si="154"/>
        <v>124963.21209882462</v>
      </c>
      <c r="BD221" s="47">
        <f t="shared" si="155"/>
        <v>121008.31700323056</v>
      </c>
    </row>
    <row r="222" spans="2:56" ht="13">
      <c r="B222" s="37">
        <f>'12. Investeringen (bijschatten)'!B25</f>
        <v>6</v>
      </c>
      <c r="C222" s="48"/>
      <c r="E222" s="48"/>
      <c r="F222" s="167">
        <f>'12. Investeringen (bijschatten)'!C25</f>
        <v>227358.20364143242</v>
      </c>
      <c r="H222" s="37">
        <f>'12. Investeringen (bijschatten)'!D25</f>
        <v>2020</v>
      </c>
      <c r="I222" s="37" t="str">
        <f>'12. Investeringen (bijschatten)'!E25</f>
        <v>08 Inrichting gebouwen</v>
      </c>
      <c r="J222" s="167">
        <f>_xlfn.XLOOKUP(I222,'3. Input (des)investeringen '!$B$11:$B$89,'3. Input (des)investeringen '!$D$11:$D$89)</f>
        <v>10</v>
      </c>
      <c r="K222" s="153"/>
      <c r="L222" s="153"/>
      <c r="M222" s="43">
        <f t="shared" si="130"/>
        <v>11367.910182071622</v>
      </c>
      <c r="N222" s="43">
        <f t="shared" si="131"/>
        <v>23099.593489969538</v>
      </c>
      <c r="P222" s="136">
        <f t="shared" si="132"/>
        <v>215990.29345936081</v>
      </c>
      <c r="Q222" s="136">
        <f t="shared" si="133"/>
        <v>196346.54466474106</v>
      </c>
      <c r="S222" s="43">
        <f t="shared" si="144"/>
        <v>196346.54466474106</v>
      </c>
      <c r="T222" s="38">
        <f t="shared" si="145"/>
        <v>8.5</v>
      </c>
      <c r="V222" s="43">
        <f t="shared" si="134"/>
        <v>27026.524383264357</v>
      </c>
      <c r="W222" s="43">
        <f t="shared" si="134"/>
        <v>22893.055948176869</v>
      </c>
      <c r="X222" s="43">
        <f t="shared" si="134"/>
        <v>19506.509210280878</v>
      </c>
      <c r="Y222" s="43">
        <f t="shared" si="134"/>
        <v>19506.509210280878</v>
      </c>
      <c r="Z222" s="43">
        <f t="shared" si="134"/>
        <v>19506.509210280878</v>
      </c>
      <c r="AB222" s="43">
        <f t="shared" si="135"/>
        <v>2309.9593489969534</v>
      </c>
      <c r="AC222" s="43">
        <f t="shared" si="135"/>
        <v>2309.9593489969538</v>
      </c>
      <c r="AD222" s="43">
        <f t="shared" si="135"/>
        <v>2309.9593489969538</v>
      </c>
      <c r="AE222" s="43">
        <f t="shared" si="135"/>
        <v>2309.9593489969538</v>
      </c>
      <c r="AF222" s="43">
        <f t="shared" si="135"/>
        <v>2309.9593489969538</v>
      </c>
      <c r="AH222" s="43">
        <f t="shared" si="146"/>
        <v>29336.483732261309</v>
      </c>
      <c r="AI222" s="43">
        <f t="shared" si="147"/>
        <v>25203.015297173821</v>
      </c>
      <c r="AJ222" s="43">
        <f t="shared" si="148"/>
        <v>21816.468559277833</v>
      </c>
      <c r="AK222" s="43">
        <f t="shared" si="149"/>
        <v>21816.468559277833</v>
      </c>
      <c r="AL222" s="43">
        <f t="shared" si="150"/>
        <v>21816.468559277833</v>
      </c>
      <c r="AN222" s="43">
        <f t="shared" si="137"/>
        <v>167010.06093247974</v>
      </c>
      <c r="AO222" s="43">
        <f t="shared" si="138"/>
        <v>141807.04563530593</v>
      </c>
      <c r="AP222" s="43">
        <f t="shared" si="139"/>
        <v>119990.5770760281</v>
      </c>
      <c r="AQ222" s="43">
        <f t="shared" si="140"/>
        <v>98174.108516750275</v>
      </c>
      <c r="AR222" s="43">
        <f t="shared" si="141"/>
        <v>76357.639957472449</v>
      </c>
      <c r="AT222" s="43">
        <f t="shared" si="142"/>
        <v>2339.7903303469734</v>
      </c>
      <c r="AU222" s="43">
        <f t="shared" si="142"/>
        <v>2474.9179015051718</v>
      </c>
      <c r="AV222" s="43">
        <f t="shared" si="142"/>
        <v>2662.2196882910835</v>
      </c>
      <c r="AW222" s="43">
        <f t="shared" si="142"/>
        <v>2725.8147922049811</v>
      </c>
      <c r="AX222" s="43">
        <f t="shared" si="142"/>
        <v>2818.0781712915355</v>
      </c>
      <c r="AZ222" s="47">
        <f t="shared" si="151"/>
        <v>37354.616134312593</v>
      </c>
      <c r="BA222" s="47">
        <f t="shared" si="152"/>
        <v>32357.565704644087</v>
      </c>
      <c r="BB222" s="47">
        <f t="shared" si="153"/>
        <v>29038.330176457985</v>
      </c>
      <c r="BC222" s="47">
        <f t="shared" si="154"/>
        <v>28272.899475119324</v>
      </c>
      <c r="BD222" s="47">
        <f t="shared" si="155"/>
        <v>27536.137048953322</v>
      </c>
    </row>
    <row r="223" spans="2:56" ht="13">
      <c r="B223" s="37">
        <f>'12. Investeringen (bijschatten)'!B26</f>
        <v>7</v>
      </c>
      <c r="C223" s="48"/>
      <c r="E223" s="48"/>
      <c r="F223" s="167">
        <f>'12. Investeringen (bijschatten)'!C26</f>
        <v>-2031.2069601401199</v>
      </c>
      <c r="H223" s="37">
        <f>'12. Investeringen (bijschatten)'!D26</f>
        <v>2020</v>
      </c>
      <c r="I223" s="37" t="str">
        <f>'12. Investeringen (bijschatten)'!E26</f>
        <v>09 Bedrijfsinventaris</v>
      </c>
      <c r="J223" s="167">
        <f>_xlfn.XLOOKUP(I223,'3. Input (des)investeringen '!$B$11:$B$89,'3. Input (des)investeringen '!$D$11:$D$89)</f>
        <v>10</v>
      </c>
      <c r="K223" s="153"/>
      <c r="L223" s="153"/>
      <c r="M223" s="43">
        <f t="shared" si="130"/>
        <v>-101.560348007006</v>
      </c>
      <c r="N223" s="43">
        <f t="shared" si="131"/>
        <v>-206.3706271502362</v>
      </c>
      <c r="P223" s="136">
        <f t="shared" si="132"/>
        <v>-1929.6466121331139</v>
      </c>
      <c r="Q223" s="136">
        <f t="shared" si="133"/>
        <v>-1754.1503307770074</v>
      </c>
      <c r="S223" s="43">
        <f t="shared" si="144"/>
        <v>-1754.1503307770074</v>
      </c>
      <c r="T223" s="38">
        <f t="shared" si="145"/>
        <v>8.5</v>
      </c>
      <c r="V223" s="43">
        <f t="shared" si="134"/>
        <v>-241.45363376577635</v>
      </c>
      <c r="W223" s="43">
        <f t="shared" si="134"/>
        <v>-204.52543095453996</v>
      </c>
      <c r="X223" s="43">
        <f t="shared" si="134"/>
        <v>-174.27018968907544</v>
      </c>
      <c r="Y223" s="43">
        <f t="shared" si="134"/>
        <v>-174.27018968907544</v>
      </c>
      <c r="Z223" s="43">
        <f t="shared" si="134"/>
        <v>-174.27018968907544</v>
      </c>
      <c r="AB223" s="43">
        <f t="shared" si="135"/>
        <v>-20.637062715023617</v>
      </c>
      <c r="AC223" s="43">
        <f t="shared" si="135"/>
        <v>-20.637062715023617</v>
      </c>
      <c r="AD223" s="43">
        <f t="shared" si="135"/>
        <v>-20.637062715023617</v>
      </c>
      <c r="AE223" s="43">
        <f t="shared" si="135"/>
        <v>-20.637062715023617</v>
      </c>
      <c r="AF223" s="43">
        <f t="shared" si="135"/>
        <v>-20.637062715023617</v>
      </c>
      <c r="AH223" s="43">
        <f t="shared" si="146"/>
        <v>-262.09069648079998</v>
      </c>
      <c r="AI223" s="43">
        <f t="shared" si="147"/>
        <v>-225.16249366956356</v>
      </c>
      <c r="AJ223" s="43">
        <f t="shared" si="148"/>
        <v>-194.90725240409904</v>
      </c>
      <c r="AK223" s="43">
        <f t="shared" si="149"/>
        <v>-194.90725240409904</v>
      </c>
      <c r="AL223" s="43">
        <f t="shared" si="150"/>
        <v>-194.90725240409904</v>
      </c>
      <c r="AN223" s="43">
        <f t="shared" si="137"/>
        <v>-1492.0596342962074</v>
      </c>
      <c r="AO223" s="43">
        <f t="shared" si="138"/>
        <v>-1266.8971406266437</v>
      </c>
      <c r="AP223" s="43">
        <f t="shared" si="139"/>
        <v>-1071.9898882225448</v>
      </c>
      <c r="AQ223" s="43">
        <f t="shared" si="140"/>
        <v>-877.08263581844574</v>
      </c>
      <c r="AR223" s="43">
        <f t="shared" si="141"/>
        <v>-682.1753834143467</v>
      </c>
      <c r="AT223" s="43">
        <f t="shared" si="142"/>
        <v>-20.90357122879395</v>
      </c>
      <c r="AU223" s="43">
        <f t="shared" si="142"/>
        <v>-22.110794274399261</v>
      </c>
      <c r="AV223" s="43">
        <f t="shared" si="142"/>
        <v>-23.784139185085802</v>
      </c>
      <c r="AW223" s="43">
        <f t="shared" si="142"/>
        <v>-24.352294701939133</v>
      </c>
      <c r="AX223" s="43">
        <f t="shared" si="142"/>
        <v>-25.176571173010366</v>
      </c>
      <c r="AZ223" s="47">
        <f t="shared" si="151"/>
        <v>-333.72429527566499</v>
      </c>
      <c r="BA223" s="47">
        <f t="shared" si="152"/>
        <v>-289.08089358464207</v>
      </c>
      <c r="BB223" s="47">
        <f t="shared" si="153"/>
        <v>-259.42700734164157</v>
      </c>
      <c r="BC223" s="47">
        <f t="shared" si="154"/>
        <v>-252.58868726713914</v>
      </c>
      <c r="BD223" s="47">
        <f t="shared" si="155"/>
        <v>-246.00648814685457</v>
      </c>
    </row>
    <row r="224" spans="2:56" ht="13">
      <c r="B224" s="37">
        <f>'12. Investeringen (bijschatten)'!B27</f>
        <v>8</v>
      </c>
      <c r="C224" s="48"/>
      <c r="E224" s="48"/>
      <c r="F224" s="167">
        <f>'12. Investeringen (bijschatten)'!C27</f>
        <v>971.16619787636887</v>
      </c>
      <c r="H224" s="37">
        <f>'12. Investeringen (bijschatten)'!D27</f>
        <v>2020</v>
      </c>
      <c r="I224" s="37" t="str">
        <f>'12. Investeringen (bijschatten)'!E27</f>
        <v>10 Gereedschap</v>
      </c>
      <c r="J224" s="167">
        <f>_xlfn.XLOOKUP(I224,'3. Input (des)investeringen '!$B$11:$B$89,'3. Input (des)investeringen '!$D$11:$D$89)</f>
        <v>10</v>
      </c>
      <c r="K224" s="153"/>
      <c r="L224" s="153"/>
      <c r="M224" s="43">
        <f t="shared" si="130"/>
        <v>48.558309893818446</v>
      </c>
      <c r="N224" s="43">
        <f t="shared" si="131"/>
        <v>98.670485704239084</v>
      </c>
      <c r="P224" s="136">
        <f t="shared" si="132"/>
        <v>922.60788798255044</v>
      </c>
      <c r="Q224" s="136">
        <f t="shared" si="133"/>
        <v>838.69912848603212</v>
      </c>
      <c r="S224" s="43">
        <f t="shared" si="144"/>
        <v>838.69912848603212</v>
      </c>
      <c r="T224" s="38">
        <f t="shared" si="145"/>
        <v>8.5</v>
      </c>
      <c r="V224" s="43">
        <f t="shared" si="134"/>
        <v>115.44446827395971</v>
      </c>
      <c r="W224" s="43">
        <f t="shared" si="134"/>
        <v>97.788255479118817</v>
      </c>
      <c r="X224" s="43">
        <f t="shared" si="134"/>
        <v>83.322537212976982</v>
      </c>
      <c r="Y224" s="43">
        <f t="shared" si="134"/>
        <v>83.322537212976982</v>
      </c>
      <c r="Z224" s="43">
        <f t="shared" si="134"/>
        <v>83.322537212976982</v>
      </c>
      <c r="AB224" s="43">
        <f t="shared" si="135"/>
        <v>9.8670485704239077</v>
      </c>
      <c r="AC224" s="43">
        <f t="shared" si="135"/>
        <v>9.8670485704239095</v>
      </c>
      <c r="AD224" s="43">
        <f t="shared" si="135"/>
        <v>9.8670485704239095</v>
      </c>
      <c r="AE224" s="43">
        <f t="shared" si="135"/>
        <v>9.8670485704239095</v>
      </c>
      <c r="AF224" s="43">
        <f t="shared" si="135"/>
        <v>9.8670485704239095</v>
      </c>
      <c r="AH224" s="43">
        <f t="shared" si="146"/>
        <v>125.31151684438362</v>
      </c>
      <c r="AI224" s="43">
        <f t="shared" si="147"/>
        <v>107.65530404954272</v>
      </c>
      <c r="AJ224" s="43">
        <f t="shared" si="148"/>
        <v>93.189585783400886</v>
      </c>
      <c r="AK224" s="43">
        <f t="shared" si="149"/>
        <v>93.189585783400886</v>
      </c>
      <c r="AL224" s="43">
        <f t="shared" si="150"/>
        <v>93.189585783400886</v>
      </c>
      <c r="AN224" s="43">
        <f t="shared" si="137"/>
        <v>713.3876116416485</v>
      </c>
      <c r="AO224" s="43">
        <f t="shared" si="138"/>
        <v>605.73230759210583</v>
      </c>
      <c r="AP224" s="43">
        <f t="shared" si="139"/>
        <v>512.54272180870498</v>
      </c>
      <c r="AQ224" s="43">
        <f t="shared" si="140"/>
        <v>419.35313602530408</v>
      </c>
      <c r="AR224" s="43">
        <f t="shared" si="141"/>
        <v>326.16355024190318</v>
      </c>
      <c r="AT224" s="43">
        <f t="shared" si="142"/>
        <v>9.9944723460898608</v>
      </c>
      <c r="AU224" s="43">
        <f t="shared" si="142"/>
        <v>10.571673113021241</v>
      </c>
      <c r="AV224" s="43">
        <f t="shared" si="142"/>
        <v>11.371737334214693</v>
      </c>
      <c r="AW224" s="43">
        <f t="shared" si="142"/>
        <v>11.643385395654411</v>
      </c>
      <c r="AX224" s="43">
        <f t="shared" si="142"/>
        <v>12.037490704526524</v>
      </c>
      <c r="AZ224" s="47">
        <f t="shared" si="151"/>
        <v>159.56116798628952</v>
      </c>
      <c r="BA224" s="47">
        <f t="shared" si="152"/>
        <v>138.21614331310346</v>
      </c>
      <c r="BB224" s="47">
        <f t="shared" si="153"/>
        <v>124.03794654634638</v>
      </c>
      <c r="BC224" s="47">
        <f t="shared" si="154"/>
        <v>120.76839034801685</v>
      </c>
      <c r="BD224" s="47">
        <f t="shared" si="155"/>
        <v>117.62129139711972</v>
      </c>
    </row>
    <row r="225" spans="2:56" ht="13">
      <c r="B225" s="37">
        <f>'12. Investeringen (bijschatten)'!B28</f>
        <v>9</v>
      </c>
      <c r="C225" s="48"/>
      <c r="E225" s="48"/>
      <c r="F225" s="167">
        <f>'12. Investeringen (bijschatten)'!C28</f>
        <v>897693.90315601986</v>
      </c>
      <c r="H225" s="37">
        <f>'12. Investeringen (bijschatten)'!D28</f>
        <v>2020</v>
      </c>
      <c r="I225" s="37" t="str">
        <f>'12. Investeringen (bijschatten)'!E28</f>
        <v>11 Werktuigen</v>
      </c>
      <c r="J225" s="167">
        <f>_xlfn.XLOOKUP(I225,'3. Input (des)investeringen '!$B$11:$B$89,'3. Input (des)investeringen '!$D$11:$D$89)</f>
        <v>10</v>
      </c>
      <c r="K225" s="153"/>
      <c r="L225" s="153"/>
      <c r="M225" s="43">
        <f t="shared" si="130"/>
        <v>44884.695157800998</v>
      </c>
      <c r="N225" s="43">
        <f t="shared" si="131"/>
        <v>91205.700560651618</v>
      </c>
      <c r="P225" s="136">
        <f t="shared" si="132"/>
        <v>852809.20799821883</v>
      </c>
      <c r="Q225" s="136">
        <f t="shared" si="133"/>
        <v>775248.45476553869</v>
      </c>
      <c r="S225" s="43">
        <f t="shared" si="144"/>
        <v>775248.45476553869</v>
      </c>
      <c r="T225" s="38">
        <f t="shared" si="145"/>
        <v>8.5</v>
      </c>
      <c r="V225" s="43">
        <f t="shared" si="134"/>
        <v>106710.66965596238</v>
      </c>
      <c r="W225" s="43">
        <f t="shared" si="134"/>
        <v>90390.214296815204</v>
      </c>
      <c r="X225" s="43">
        <f t="shared" si="134"/>
        <v>77018.880820954946</v>
      </c>
      <c r="Y225" s="43">
        <f t="shared" si="134"/>
        <v>77018.880820954946</v>
      </c>
      <c r="Z225" s="43">
        <f t="shared" si="134"/>
        <v>77018.880820954946</v>
      </c>
      <c r="AB225" s="43">
        <f t="shared" si="135"/>
        <v>9120.5700560651621</v>
      </c>
      <c r="AC225" s="43">
        <f t="shared" si="135"/>
        <v>9120.5700560651621</v>
      </c>
      <c r="AD225" s="43">
        <f t="shared" si="135"/>
        <v>9120.5700560651621</v>
      </c>
      <c r="AE225" s="43">
        <f t="shared" si="135"/>
        <v>9120.5700560651621</v>
      </c>
      <c r="AF225" s="43">
        <f t="shared" si="135"/>
        <v>9120.5700560651621</v>
      </c>
      <c r="AH225" s="43">
        <f t="shared" si="146"/>
        <v>115831.23971202754</v>
      </c>
      <c r="AI225" s="43">
        <f t="shared" si="147"/>
        <v>99510.784352880364</v>
      </c>
      <c r="AJ225" s="43">
        <f t="shared" si="148"/>
        <v>86139.450877020106</v>
      </c>
      <c r="AK225" s="43">
        <f t="shared" si="149"/>
        <v>86139.450877020106</v>
      </c>
      <c r="AL225" s="43">
        <f t="shared" si="150"/>
        <v>86139.450877020106</v>
      </c>
      <c r="AN225" s="43">
        <f t="shared" si="137"/>
        <v>659417.21505351108</v>
      </c>
      <c r="AO225" s="43">
        <f t="shared" si="138"/>
        <v>559906.43070063076</v>
      </c>
      <c r="AP225" s="43">
        <f t="shared" si="139"/>
        <v>473766.97982361063</v>
      </c>
      <c r="AQ225" s="43">
        <f t="shared" si="140"/>
        <v>387627.52894659049</v>
      </c>
      <c r="AR225" s="43">
        <f t="shared" si="141"/>
        <v>301488.07806957036</v>
      </c>
      <c r="AT225" s="43">
        <f t="shared" si="142"/>
        <v>9238.3537544502324</v>
      </c>
      <c r="AU225" s="43">
        <f t="shared" si="142"/>
        <v>9771.8871604772412</v>
      </c>
      <c r="AV225" s="43">
        <f t="shared" si="142"/>
        <v>10511.423580782162</v>
      </c>
      <c r="AW225" s="43">
        <f t="shared" si="142"/>
        <v>10762.520467279886</v>
      </c>
      <c r="AX225" s="43">
        <f t="shared" si="142"/>
        <v>11126.810260056376</v>
      </c>
      <c r="AZ225" s="47">
        <f t="shared" si="151"/>
        <v>147489.77877829713</v>
      </c>
      <c r="BA225" s="47">
        <f>AI225+AO225*K$16+AU225</f>
        <v>127759.58372647842</v>
      </c>
      <c r="BB225" s="47">
        <f t="shared" si="153"/>
        <v>114654.01969109947</v>
      </c>
      <c r="BC225" s="47">
        <f t="shared" si="154"/>
        <v>111631.81744427043</v>
      </c>
      <c r="BD225" s="47">
        <f t="shared" si="155"/>
        <v>108722.80810372015</v>
      </c>
    </row>
    <row r="226" spans="2:56" ht="13">
      <c r="B226" s="37">
        <f>'12. Investeringen (bijschatten)'!B29</f>
        <v>10</v>
      </c>
      <c r="C226" s="48"/>
      <c r="E226" s="48"/>
      <c r="F226" s="167">
        <f>'12. Investeringen (bijschatten)'!C29</f>
        <v>119157.79156970895</v>
      </c>
      <c r="H226" s="37">
        <f>'12. Investeringen (bijschatten)'!D29</f>
        <v>2020</v>
      </c>
      <c r="I226" s="37" t="str">
        <f>'12. Investeringen (bijschatten)'!E29</f>
        <v>14 Overig rollend materieel</v>
      </c>
      <c r="J226" s="167">
        <f>_xlfn.XLOOKUP(I226,'3. Input (des)investeringen '!$B$11:$B$89,'3. Input (des)investeringen '!$D$11:$D$89)</f>
        <v>10</v>
      </c>
      <c r="K226" s="153"/>
      <c r="L226" s="153"/>
      <c r="M226" s="43">
        <f t="shared" si="130"/>
        <v>5957.8895784854476</v>
      </c>
      <c r="N226" s="43">
        <f t="shared" si="131"/>
        <v>12106.431623482427</v>
      </c>
      <c r="P226" s="136">
        <f t="shared" si="132"/>
        <v>113199.90199122349</v>
      </c>
      <c r="Q226" s="136">
        <f t="shared" si="133"/>
        <v>102904.66879960065</v>
      </c>
      <c r="S226" s="43">
        <f t="shared" si="144"/>
        <v>102904.66879960065</v>
      </c>
      <c r="T226" s="38">
        <f t="shared" si="145"/>
        <v>8.5</v>
      </c>
      <c r="V226" s="43">
        <f t="shared" si="134"/>
        <v>14164.524999474444</v>
      </c>
      <c r="W226" s="43">
        <f t="shared" si="134"/>
        <v>11998.185881907766</v>
      </c>
      <c r="X226" s="43">
        <f t="shared" si="134"/>
        <v>10223.306313578214</v>
      </c>
      <c r="Y226" s="43">
        <f t="shared" si="134"/>
        <v>10223.306313578214</v>
      </c>
      <c r="Z226" s="43">
        <f t="shared" si="134"/>
        <v>10223.306313578214</v>
      </c>
      <c r="AB226" s="43">
        <f t="shared" si="135"/>
        <v>1210.6431623482431</v>
      </c>
      <c r="AC226" s="43">
        <f t="shared" si="135"/>
        <v>1210.6431623482431</v>
      </c>
      <c r="AD226" s="43">
        <f t="shared" si="135"/>
        <v>1210.6431623482431</v>
      </c>
      <c r="AE226" s="43">
        <f t="shared" si="135"/>
        <v>1210.6431623482431</v>
      </c>
      <c r="AF226" s="43">
        <f t="shared" si="135"/>
        <v>1210.6431623482431</v>
      </c>
      <c r="AH226" s="43">
        <f t="shared" si="146"/>
        <v>15375.168161822687</v>
      </c>
      <c r="AI226" s="43">
        <f t="shared" si="147"/>
        <v>13208.82904425601</v>
      </c>
      <c r="AJ226" s="43">
        <f t="shared" si="148"/>
        <v>11433.949475926456</v>
      </c>
      <c r="AK226" s="43">
        <f t="shared" si="149"/>
        <v>11433.949475926456</v>
      </c>
      <c r="AL226" s="43">
        <f t="shared" si="150"/>
        <v>11433.949475926456</v>
      </c>
      <c r="AN226" s="43">
        <f t="shared" si="137"/>
        <v>87529.500637777965</v>
      </c>
      <c r="AO226" s="43">
        <f t="shared" si="138"/>
        <v>74320.671593521954</v>
      </c>
      <c r="AP226" s="43">
        <f t="shared" si="139"/>
        <v>62886.722117595498</v>
      </c>
      <c r="AQ226" s="43">
        <f t="shared" si="140"/>
        <v>51452.772641669042</v>
      </c>
      <c r="AR226" s="43">
        <f t="shared" si="141"/>
        <v>40018.823165742586</v>
      </c>
      <c r="AT226" s="43">
        <f t="shared" si="142"/>
        <v>1226.2774953131159</v>
      </c>
      <c r="AU226" s="43">
        <f t="shared" si="142"/>
        <v>1297.097473222439</v>
      </c>
      <c r="AV226" s="43">
        <f t="shared" si="142"/>
        <v>1395.2618099959134</v>
      </c>
      <c r="AW226" s="43">
        <f t="shared" si="142"/>
        <v>1428.591824113096</v>
      </c>
      <c r="AX226" s="43">
        <f t="shared" si="142"/>
        <v>1476.9468001756759</v>
      </c>
      <c r="AZ226" s="47">
        <f t="shared" si="151"/>
        <v>19577.448678820252</v>
      </c>
      <c r="BA226" s="47">
        <f t="shared" si="152"/>
        <v>16958.508680064675</v>
      </c>
      <c r="BB226" s="47">
        <f t="shared" si="153"/>
        <v>15218.906726390998</v>
      </c>
      <c r="BC226" s="47">
        <f t="shared" si="154"/>
        <v>14817.746660422976</v>
      </c>
      <c r="BD226" s="47">
        <f t="shared" si="155"/>
        <v>14431.61155640035</v>
      </c>
    </row>
    <row r="227" spans="2:56" ht="13">
      <c r="B227" s="37">
        <f>'12. Investeringen (bijschatten)'!B30</f>
        <v>11</v>
      </c>
      <c r="C227" s="48"/>
      <c r="E227" s="48"/>
      <c r="F227" s="167">
        <f>'12. Investeringen (bijschatten)'!C30</f>
        <v>847435.58289065212</v>
      </c>
      <c r="H227" s="37">
        <f>'12. Investeringen (bijschatten)'!D30</f>
        <v>2020</v>
      </c>
      <c r="I227" s="37" t="str">
        <f>'12. Investeringen (bijschatten)'!E30</f>
        <v>15 Compressorstations (KC)</v>
      </c>
      <c r="J227" s="167">
        <f>_xlfn.XLOOKUP(I227,'3. Input (des)investeringen '!$B$11:$B$89,'3. Input (des)investeringen '!$D$11:$D$89)</f>
        <v>30</v>
      </c>
      <c r="K227" s="153"/>
      <c r="L227" s="153"/>
      <c r="M227" s="43">
        <f t="shared" si="130"/>
        <v>14123.926381510868</v>
      </c>
      <c r="N227" s="43">
        <f t="shared" si="131"/>
        <v>28699.818407230083</v>
      </c>
      <c r="P227" s="136">
        <f t="shared" si="132"/>
        <v>833311.6565091412</v>
      </c>
      <c r="Q227" s="136">
        <f t="shared" si="133"/>
        <v>817944.82460605737</v>
      </c>
      <c r="S227" s="43">
        <f t="shared" si="144"/>
        <v>817944.82460605737</v>
      </c>
      <c r="T227" s="38">
        <f t="shared" si="145"/>
        <v>28.5</v>
      </c>
      <c r="V227" s="43">
        <f t="shared" ref="V227:Z236" si="156">IF($J227=0, 0, IF(OR($H227&gt;V$59,$H227+$J227&lt;V$59),0,
IF(OR($H227=2020,$H227=2021),VDB(ABS($S227)*(1-$F$28),0,$T227,V$59-2022,MIN($T227,V$59-2021),$F$22),
VDB(ABS($S227)*(1-$F$28),0,$T227,MAX(0,V$59-$H227-0.5),MIN($T227,V$59-$H227+0.5),$F$22,FALSE))))*IF($F227&lt;0,-1,1)</f>
        <v>33578.787536459204</v>
      </c>
      <c r="W227" s="43">
        <f t="shared" si="156"/>
        <v>32047.123543568083</v>
      </c>
      <c r="X227" s="43">
        <f t="shared" si="156"/>
        <v>30585.324925791294</v>
      </c>
      <c r="Y227" s="43">
        <f t="shared" si="156"/>
        <v>29190.204841456954</v>
      </c>
      <c r="Z227" s="43">
        <f t="shared" si="156"/>
        <v>27858.721813601023</v>
      </c>
      <c r="AB227" s="43">
        <f t="shared" ref="AB227:AF236" si="157">IF($J227 = 0, 0, IF(OR($H227&gt;AB$59,$H227+$J227&lt;AB$59),0,
IF(OR($H227=2020,$H227=2021),VDB(ABS($S227)*$F$28,0,$T227,AB$59-2022,MIN($T227,AB$59-2021),1),
VDB(ABS($S227)*$F$28,0,$T227,MAX(0,AB$59-$H227-0.5),MIN($T227,AB$59-$H227+0.5),1))))*IF($F227&lt;0,-1,1)</f>
        <v>2869.9818407230082</v>
      </c>
      <c r="AC227" s="43">
        <f t="shared" si="157"/>
        <v>2869.9818407230086</v>
      </c>
      <c r="AD227" s="43">
        <f t="shared" si="157"/>
        <v>2869.9818407230086</v>
      </c>
      <c r="AE227" s="43">
        <f t="shared" si="157"/>
        <v>2869.9818407230086</v>
      </c>
      <c r="AF227" s="43">
        <f t="shared" si="157"/>
        <v>2869.9818407230086</v>
      </c>
      <c r="AH227" s="43">
        <f t="shared" si="146"/>
        <v>36448.769377182209</v>
      </c>
      <c r="AI227" s="43">
        <f t="shared" si="147"/>
        <v>34917.105384291091</v>
      </c>
      <c r="AJ227" s="43">
        <f t="shared" si="148"/>
        <v>33455.306766514303</v>
      </c>
      <c r="AK227" s="43">
        <f t="shared" si="149"/>
        <v>32060.186682179963</v>
      </c>
      <c r="AL227" s="43">
        <f t="shared" si="150"/>
        <v>30728.703654324032</v>
      </c>
      <c r="AN227" s="43">
        <f t="shared" si="137"/>
        <v>781496.05522887514</v>
      </c>
      <c r="AO227" s="43">
        <f t="shared" si="138"/>
        <v>746578.9498445841</v>
      </c>
      <c r="AP227" s="43">
        <f t="shared" si="139"/>
        <v>713123.64307806978</v>
      </c>
      <c r="AQ227" s="43">
        <f t="shared" si="140"/>
        <v>681063.45639588987</v>
      </c>
      <c r="AR227" s="43">
        <f t="shared" si="141"/>
        <v>650334.75274156581</v>
      </c>
      <c r="AT227" s="43">
        <f t="shared" ref="AT227:AX236" si="158">IF($H227&lt;=AT$215,$F227*INDEX($H$40:$N$46,$H227-2019,AT$215-2019)*INDEX($H$49:$N$55,$H227-2019,AT$215-2019)*$F$19,0)</f>
        <v>8721.1349785583952</v>
      </c>
      <c r="AU227" s="43">
        <f t="shared" si="158"/>
        <v>9224.7979658401</v>
      </c>
      <c r="AV227" s="43">
        <f t="shared" si="158"/>
        <v>9922.9306758948787</v>
      </c>
      <c r="AW227" s="43">
        <f t="shared" si="158"/>
        <v>10159.969643880657</v>
      </c>
      <c r="AX227" s="43">
        <f t="shared" si="158"/>
        <v>10503.864296386731</v>
      </c>
      <c r="AZ227" s="47">
        <f t="shared" si="151"/>
        <v>71740.770233522373</v>
      </c>
      <c r="BA227" s="47">
        <f t="shared" si="152"/>
        <v>68779.008695002471</v>
      </c>
      <c r="BB227" s="47">
        <f t="shared" si="153"/>
        <v>70476.935879375829</v>
      </c>
      <c r="BC227" s="47">
        <f t="shared" si="154"/>
        <v>68100.567669104435</v>
      </c>
      <c r="BD227" s="47">
        <f t="shared" si="155"/>
        <v>65945.288554890256</v>
      </c>
    </row>
    <row r="228" spans="2:56" ht="13">
      <c r="B228" s="37">
        <f>'12. Investeringen (bijschatten)'!B31</f>
        <v>12</v>
      </c>
      <c r="C228" s="48"/>
      <c r="E228" s="48"/>
      <c r="F228" s="167">
        <f>'12. Investeringen (bijschatten)'!C31</f>
        <v>9057966.2936882433</v>
      </c>
      <c r="H228" s="37">
        <f>'12. Investeringen (bijschatten)'!D31</f>
        <v>2020</v>
      </c>
      <c r="I228" s="37" t="str">
        <f>'12. Investeringen (bijschatten)'!E31</f>
        <v>15 Compressorstations (TT-BT-AT)</v>
      </c>
      <c r="J228" s="167">
        <f>_xlfn.XLOOKUP(I228,'3. Input (des)investeringen '!$B$11:$B$89,'3. Input (des)investeringen '!$D$11:$D$89)</f>
        <v>30</v>
      </c>
      <c r="K228" s="153"/>
      <c r="L228" s="153"/>
      <c r="M228" s="43">
        <f t="shared" si="130"/>
        <v>150966.10489480404</v>
      </c>
      <c r="N228" s="43">
        <f t="shared" si="131"/>
        <v>306763.12514624186</v>
      </c>
      <c r="P228" s="136">
        <f t="shared" si="132"/>
        <v>8907000.1887934394</v>
      </c>
      <c r="Q228" s="136">
        <f t="shared" si="133"/>
        <v>8742749.066667892</v>
      </c>
      <c r="S228" s="43">
        <f t="shared" si="144"/>
        <v>8742749.066667892</v>
      </c>
      <c r="T228" s="38">
        <f t="shared" si="145"/>
        <v>28.5</v>
      </c>
      <c r="V228" s="43">
        <f t="shared" si="156"/>
        <v>358912.85642110294</v>
      </c>
      <c r="W228" s="43">
        <f t="shared" si="156"/>
        <v>342541.39279487723</v>
      </c>
      <c r="X228" s="43">
        <f t="shared" si="156"/>
        <v>326916.69768493547</v>
      </c>
      <c r="Y228" s="43">
        <f t="shared" si="156"/>
        <v>312004.70796597347</v>
      </c>
      <c r="Z228" s="43">
        <f t="shared" si="156"/>
        <v>297772.91426927992</v>
      </c>
      <c r="AB228" s="43">
        <f t="shared" si="157"/>
        <v>30676.312514624184</v>
      </c>
      <c r="AC228" s="43">
        <f t="shared" si="157"/>
        <v>30676.312514624184</v>
      </c>
      <c r="AD228" s="43">
        <f t="shared" si="157"/>
        <v>30676.312514624184</v>
      </c>
      <c r="AE228" s="43">
        <f t="shared" si="157"/>
        <v>30676.312514624184</v>
      </c>
      <c r="AF228" s="43">
        <f t="shared" si="157"/>
        <v>30676.312514624184</v>
      </c>
      <c r="AH228" s="43">
        <f t="shared" si="146"/>
        <v>389589.16893572715</v>
      </c>
      <c r="AI228" s="43">
        <f t="shared" si="147"/>
        <v>373217.70530950144</v>
      </c>
      <c r="AJ228" s="43">
        <f t="shared" si="148"/>
        <v>357593.01019955968</v>
      </c>
      <c r="AK228" s="43">
        <f t="shared" si="149"/>
        <v>342681.02048059768</v>
      </c>
      <c r="AL228" s="43">
        <f t="shared" si="150"/>
        <v>328449.22678390413</v>
      </c>
      <c r="AN228" s="43">
        <f t="shared" si="137"/>
        <v>8353159.8977321647</v>
      </c>
      <c r="AO228" s="43">
        <f t="shared" si="138"/>
        <v>7979942.1924226629</v>
      </c>
      <c r="AP228" s="43">
        <f t="shared" si="139"/>
        <v>7622349.182223103</v>
      </c>
      <c r="AQ228" s="43">
        <f t="shared" si="140"/>
        <v>7279668.1617425056</v>
      </c>
      <c r="AR228" s="43">
        <f t="shared" si="141"/>
        <v>6951218.9349586014</v>
      </c>
      <c r="AT228" s="43">
        <f t="shared" si="158"/>
        <v>93217.40586939764</v>
      </c>
      <c r="AU228" s="43">
        <f t="shared" si="158"/>
        <v>98600.897493167082</v>
      </c>
      <c r="AV228" s="43">
        <f t="shared" si="158"/>
        <v>106063.01341545</v>
      </c>
      <c r="AW228" s="43">
        <f t="shared" si="158"/>
        <v>108596.64667991827</v>
      </c>
      <c r="AX228" s="43">
        <f t="shared" si="158"/>
        <v>112272.42597674012</v>
      </c>
      <c r="AZ228" s="47">
        <f t="shared" si="151"/>
        <v>766814.01132801839</v>
      </c>
      <c r="BA228" s="47">
        <f t="shared" si="152"/>
        <v>735156.69515261636</v>
      </c>
      <c r="BB228" s="47">
        <f t="shared" si="153"/>
        <v>753305.29253948759</v>
      </c>
      <c r="BC228" s="47">
        <f t="shared" si="154"/>
        <v>727905.05730673112</v>
      </c>
      <c r="BD228" s="47">
        <f t="shared" si="155"/>
        <v>704867.97228907107</v>
      </c>
    </row>
    <row r="229" spans="2:56" ht="13">
      <c r="B229" s="37">
        <f>'12. Investeringen (bijschatten)'!B32</f>
        <v>13</v>
      </c>
      <c r="C229" s="48"/>
      <c r="E229" s="48"/>
      <c r="F229" s="167">
        <f>'12. Investeringen (bijschatten)'!C32</f>
        <v>505581.67726689682</v>
      </c>
      <c r="H229" s="37">
        <f>'12. Investeringen (bijschatten)'!D32</f>
        <v>2020</v>
      </c>
      <c r="I229" s="37" t="str">
        <f>'12. Investeringen (bijschatten)'!E32</f>
        <v>16 LNG installaties</v>
      </c>
      <c r="J229" s="167">
        <f>_xlfn.XLOOKUP(I229,'3. Input (des)investeringen '!$B$11:$B$89,'3. Input (des)investeringen '!$D$11:$D$89)</f>
        <v>30</v>
      </c>
      <c r="K229" s="153"/>
      <c r="L229" s="153"/>
      <c r="M229" s="43">
        <f t="shared" si="130"/>
        <v>8426.361287781614</v>
      </c>
      <c r="N229" s="43">
        <f t="shared" si="131"/>
        <v>17122.366136772242</v>
      </c>
      <c r="P229" s="136">
        <f t="shared" si="132"/>
        <v>497155.3159791152</v>
      </c>
      <c r="Q229" s="136">
        <f t="shared" si="133"/>
        <v>487987.43489800877</v>
      </c>
      <c r="S229" s="43">
        <f t="shared" si="144"/>
        <v>487987.43489800877</v>
      </c>
      <c r="T229" s="38">
        <f t="shared" si="145"/>
        <v>28.5</v>
      </c>
      <c r="V229" s="43">
        <f t="shared" si="156"/>
        <v>20033.168380023519</v>
      </c>
      <c r="W229" s="43">
        <f t="shared" si="156"/>
        <v>19119.374734618938</v>
      </c>
      <c r="X229" s="43">
        <f t="shared" si="156"/>
        <v>18247.262904618776</v>
      </c>
      <c r="Y229" s="43">
        <f t="shared" si="156"/>
        <v>17414.931614232657</v>
      </c>
      <c r="Z229" s="43">
        <f t="shared" si="156"/>
        <v>16620.566312530817</v>
      </c>
      <c r="AB229" s="43">
        <f t="shared" si="157"/>
        <v>1712.2366136772239</v>
      </c>
      <c r="AC229" s="43">
        <f t="shared" si="157"/>
        <v>1712.2366136772239</v>
      </c>
      <c r="AD229" s="43">
        <f t="shared" si="157"/>
        <v>1712.2366136772239</v>
      </c>
      <c r="AE229" s="43">
        <f t="shared" si="157"/>
        <v>1712.2366136772239</v>
      </c>
      <c r="AF229" s="43">
        <f t="shared" si="157"/>
        <v>1712.2366136772239</v>
      </c>
      <c r="AH229" s="43">
        <f t="shared" si="146"/>
        <v>21745.404993700744</v>
      </c>
      <c r="AI229" s="43">
        <f t="shared" si="147"/>
        <v>20831.611348296163</v>
      </c>
      <c r="AJ229" s="43">
        <f t="shared" si="148"/>
        <v>19959.499518296001</v>
      </c>
      <c r="AK229" s="43">
        <f t="shared" si="149"/>
        <v>19127.168227909882</v>
      </c>
      <c r="AL229" s="43">
        <f t="shared" si="150"/>
        <v>18332.802926208042</v>
      </c>
      <c r="AN229" s="43">
        <f t="shared" si="137"/>
        <v>466242.02990430803</v>
      </c>
      <c r="AO229" s="43">
        <f t="shared" si="138"/>
        <v>445410.41855601186</v>
      </c>
      <c r="AP229" s="43">
        <f t="shared" si="139"/>
        <v>425450.91903771588</v>
      </c>
      <c r="AQ229" s="43">
        <f t="shared" si="140"/>
        <v>406323.75080980599</v>
      </c>
      <c r="AR229" s="43">
        <f t="shared" si="141"/>
        <v>387990.94788359792</v>
      </c>
      <c r="AT229" s="43">
        <f t="shared" si="158"/>
        <v>5203.0456817618642</v>
      </c>
      <c r="AU229" s="43">
        <f t="shared" si="158"/>
        <v>5503.5319759749755</v>
      </c>
      <c r="AV229" s="43">
        <f t="shared" si="158"/>
        <v>5920.0392759167617</v>
      </c>
      <c r="AW229" s="43">
        <f t="shared" si="158"/>
        <v>6061.4571741398622</v>
      </c>
      <c r="AX229" s="43">
        <f t="shared" si="158"/>
        <v>6266.6253765701476</v>
      </c>
      <c r="AZ229" s="47">
        <f t="shared" si="151"/>
        <v>42800.67969220908</v>
      </c>
      <c r="BA229" s="47">
        <f t="shared" si="152"/>
        <v>41033.687136619534</v>
      </c>
      <c r="BB229" s="47">
        <f t="shared" si="153"/>
        <v>42046.673717645965</v>
      </c>
      <c r="BC229" s="47">
        <f t="shared" si="154"/>
        <v>40628.927932822371</v>
      </c>
      <c r="BD229" s="47">
        <f t="shared" si="155"/>
        <v>39343.084322354909</v>
      </c>
    </row>
    <row r="230" spans="2:56" ht="13">
      <c r="B230" s="37">
        <f>'12. Investeringen (bijschatten)'!B33</f>
        <v>14</v>
      </c>
      <c r="C230" s="48"/>
      <c r="E230" s="48"/>
      <c r="F230" s="167">
        <f>'12. Investeringen (bijschatten)'!C33</f>
        <v>26405484.075497396</v>
      </c>
      <c r="H230" s="37">
        <f>'12. Investeringen (bijschatten)'!D33</f>
        <v>2020</v>
      </c>
      <c r="I230" s="37" t="str">
        <f>'12. Investeringen (bijschatten)'!E33</f>
        <v>17 Mengstations</v>
      </c>
      <c r="J230" s="167">
        <f>_xlfn.XLOOKUP(I230,'3. Input (des)investeringen '!$B$11:$B$89,'3. Input (des)investeringen '!$D$11:$D$89)</f>
        <v>30</v>
      </c>
      <c r="K230" s="153"/>
      <c r="L230" s="153"/>
      <c r="M230" s="43">
        <f t="shared" si="130"/>
        <v>440091.40125828993</v>
      </c>
      <c r="N230" s="43">
        <f t="shared" si="131"/>
        <v>894265.72735684516</v>
      </c>
      <c r="P230" s="136">
        <f t="shared" si="132"/>
        <v>25965392.674239106</v>
      </c>
      <c r="Q230" s="136">
        <f t="shared" si="133"/>
        <v>25486573.229670089</v>
      </c>
      <c r="S230" s="43">
        <f t="shared" si="144"/>
        <v>25486573.229670089</v>
      </c>
      <c r="T230" s="38">
        <f t="shared" si="145"/>
        <v>28.5</v>
      </c>
      <c r="V230" s="43">
        <f t="shared" si="156"/>
        <v>1046290.901007509</v>
      </c>
      <c r="W230" s="43">
        <f t="shared" si="156"/>
        <v>998565.35113699094</v>
      </c>
      <c r="X230" s="43">
        <f t="shared" si="156"/>
        <v>953016.75617284758</v>
      </c>
      <c r="Y230" s="43">
        <f t="shared" si="156"/>
        <v>909545.81641759491</v>
      </c>
      <c r="Z230" s="43">
        <f t="shared" si="156"/>
        <v>868057.76163363445</v>
      </c>
      <c r="AB230" s="43">
        <f t="shared" si="157"/>
        <v>89426.572735684531</v>
      </c>
      <c r="AC230" s="43">
        <f t="shared" si="157"/>
        <v>89426.572735684531</v>
      </c>
      <c r="AD230" s="43">
        <f t="shared" si="157"/>
        <v>89426.572735684531</v>
      </c>
      <c r="AE230" s="43">
        <f t="shared" si="157"/>
        <v>89426.572735684531</v>
      </c>
      <c r="AF230" s="43">
        <f t="shared" si="157"/>
        <v>89426.572735684531</v>
      </c>
      <c r="AH230" s="43">
        <f t="shared" si="146"/>
        <v>1135717.4737431936</v>
      </c>
      <c r="AI230" s="43">
        <f t="shared" si="147"/>
        <v>1087991.9238726755</v>
      </c>
      <c r="AJ230" s="43">
        <f t="shared" si="148"/>
        <v>1042443.3289085322</v>
      </c>
      <c r="AK230" s="43">
        <f t="shared" si="149"/>
        <v>998972.38915327948</v>
      </c>
      <c r="AL230" s="43">
        <f t="shared" si="150"/>
        <v>957484.33436931903</v>
      </c>
      <c r="AN230" s="43">
        <f t="shared" si="137"/>
        <v>24350855.755926896</v>
      </c>
      <c r="AO230" s="43">
        <f t="shared" si="138"/>
        <v>23262863.83205422</v>
      </c>
      <c r="AP230" s="43">
        <f t="shared" si="139"/>
        <v>22220420.503145687</v>
      </c>
      <c r="AQ230" s="43">
        <f t="shared" si="140"/>
        <v>21221448.113992408</v>
      </c>
      <c r="AR230" s="43">
        <f t="shared" si="141"/>
        <v>20263963.779623087</v>
      </c>
      <c r="AT230" s="43">
        <f t="shared" si="158"/>
        <v>271744.30180411914</v>
      </c>
      <c r="AU230" s="43">
        <f t="shared" si="158"/>
        <v>287438.07872191066</v>
      </c>
      <c r="AV230" s="43">
        <f t="shared" si="158"/>
        <v>309191.39251958492</v>
      </c>
      <c r="AW230" s="43">
        <f t="shared" si="158"/>
        <v>316577.35650409281</v>
      </c>
      <c r="AX230" s="43">
        <f t="shared" si="158"/>
        <v>327292.86686704331</v>
      </c>
      <c r="AZ230" s="47">
        <f t="shared" si="151"/>
        <v>2235390.8712488273</v>
      </c>
      <c r="BA230" s="47">
        <f t="shared" si="152"/>
        <v>2143104.5090523753</v>
      </c>
      <c r="BB230" s="47">
        <f t="shared" si="153"/>
        <v>2196010.7005476533</v>
      </c>
      <c r="BC230" s="47">
        <f t="shared" si="154"/>
        <v>2121964.7739890837</v>
      </c>
      <c r="BD230" s="47">
        <f t="shared" si="155"/>
        <v>2054807.8248620396</v>
      </c>
    </row>
    <row r="231" spans="2:56" ht="13">
      <c r="B231" s="37">
        <f>'12. Investeringen (bijschatten)'!B34</f>
        <v>15</v>
      </c>
      <c r="C231" s="48"/>
      <c r="E231" s="48"/>
      <c r="F231" s="167">
        <f>'12. Investeringen (bijschatten)'!C34</f>
        <v>756400.94229177735</v>
      </c>
      <c r="H231" s="37">
        <f>'12. Investeringen (bijschatten)'!D34</f>
        <v>2020</v>
      </c>
      <c r="I231" s="37" t="str">
        <f>'12. Investeringen (bijschatten)'!E34</f>
        <v>20 Kantoorgebouwen</v>
      </c>
      <c r="J231" s="167">
        <f>_xlfn.XLOOKUP(I231,'3. Input (des)investeringen '!$B$11:$B$89,'3. Input (des)investeringen '!$D$11:$D$89)</f>
        <v>30</v>
      </c>
      <c r="K231" s="153"/>
      <c r="L231" s="153"/>
      <c r="M231" s="43">
        <f t="shared" si="130"/>
        <v>12606.682371529623</v>
      </c>
      <c r="N231" s="43">
        <f t="shared" si="131"/>
        <v>25616.77857894819</v>
      </c>
      <c r="P231" s="136">
        <f t="shared" si="132"/>
        <v>743794.25992024771</v>
      </c>
      <c r="Q231" s="136">
        <f t="shared" si="133"/>
        <v>730078.18950002349</v>
      </c>
      <c r="S231" s="43">
        <f t="shared" si="144"/>
        <v>730078.18950002349</v>
      </c>
      <c r="T231" s="38">
        <f t="shared" si="145"/>
        <v>28.5</v>
      </c>
      <c r="V231" s="43">
        <f t="shared" si="156"/>
        <v>29971.630937369388</v>
      </c>
      <c r="W231" s="43">
        <f t="shared" si="156"/>
        <v>28604.503912156048</v>
      </c>
      <c r="X231" s="43">
        <f t="shared" si="156"/>
        <v>27299.737067040154</v>
      </c>
      <c r="Y231" s="43">
        <f t="shared" si="156"/>
        <v>26054.485902578672</v>
      </c>
      <c r="Z231" s="43">
        <f t="shared" si="156"/>
        <v>24866.03566842596</v>
      </c>
      <c r="AB231" s="43">
        <f t="shared" si="157"/>
        <v>2561.6778578948197</v>
      </c>
      <c r="AC231" s="43">
        <f t="shared" si="157"/>
        <v>2561.6778578948197</v>
      </c>
      <c r="AD231" s="43">
        <f t="shared" si="157"/>
        <v>2561.6778578948197</v>
      </c>
      <c r="AE231" s="43">
        <f t="shared" si="157"/>
        <v>2561.6778578948197</v>
      </c>
      <c r="AF231" s="43">
        <f t="shared" si="157"/>
        <v>2561.6778578948197</v>
      </c>
      <c r="AH231" s="43">
        <f t="shared" si="146"/>
        <v>32533.308795264209</v>
      </c>
      <c r="AI231" s="43">
        <f t="shared" si="147"/>
        <v>31166.181770050869</v>
      </c>
      <c r="AJ231" s="43">
        <f t="shared" si="148"/>
        <v>29861.414924934972</v>
      </c>
      <c r="AK231" s="43">
        <f t="shared" si="149"/>
        <v>28616.163760473493</v>
      </c>
      <c r="AL231" s="43">
        <f t="shared" si="150"/>
        <v>27427.713526320782</v>
      </c>
      <c r="AN231" s="43">
        <f t="shared" si="137"/>
        <v>697544.88070475927</v>
      </c>
      <c r="AO231" s="43">
        <f t="shared" si="138"/>
        <v>666378.69893470837</v>
      </c>
      <c r="AP231" s="43">
        <f t="shared" si="139"/>
        <v>636517.2840097734</v>
      </c>
      <c r="AQ231" s="43">
        <f t="shared" si="140"/>
        <v>607901.12024929991</v>
      </c>
      <c r="AR231" s="43">
        <f t="shared" si="141"/>
        <v>580473.40672297915</v>
      </c>
      <c r="AT231" s="43">
        <f t="shared" si="158"/>
        <v>7784.2786505774366</v>
      </c>
      <c r="AU231" s="43">
        <f t="shared" si="158"/>
        <v>8233.8363112055868</v>
      </c>
      <c r="AV231" s="43">
        <f t="shared" si="158"/>
        <v>8856.9730432376236</v>
      </c>
      <c r="AW231" s="43">
        <f t="shared" si="158"/>
        <v>9068.5484152944846</v>
      </c>
      <c r="AX231" s="43">
        <f t="shared" si="158"/>
        <v>9375.5006420553727</v>
      </c>
      <c r="AZ231" s="47">
        <f t="shared" si="151"/>
        <v>64034.11338980346</v>
      </c>
      <c r="BA231" s="47">
        <f t="shared" si="152"/>
        <v>61390.515146101832</v>
      </c>
      <c r="BB231" s="47">
        <f t="shared" si="153"/>
        <v>62906.044760543984</v>
      </c>
      <c r="BC231" s="47">
        <f t="shared" si="154"/>
        <v>60784.954745241375</v>
      </c>
      <c r="BD231" s="47">
        <f t="shared" si="155"/>
        <v>58861.20362384936</v>
      </c>
    </row>
    <row r="232" spans="2:56" ht="13">
      <c r="B232" s="37">
        <f>'12. Investeringen (bijschatten)'!B35</f>
        <v>16</v>
      </c>
      <c r="C232" s="48"/>
      <c r="E232" s="48"/>
      <c r="F232" s="167">
        <f>'12. Investeringen (bijschatten)'!C35</f>
        <v>12922329.119819744</v>
      </c>
      <c r="H232" s="37">
        <f>'12. Investeringen (bijschatten)'!D35</f>
        <v>2020</v>
      </c>
      <c r="I232" s="37" t="str">
        <f>'12. Investeringen (bijschatten)'!E35</f>
        <v>21 Hoofdtransportleiding</v>
      </c>
      <c r="J232" s="167">
        <f>_xlfn.XLOOKUP(I232,'3. Input (des)investeringen '!$B$11:$B$89,'3. Input (des)investeringen '!$D$11:$D$89)</f>
        <v>55</v>
      </c>
      <c r="K232" s="153"/>
      <c r="L232" s="153"/>
      <c r="M232" s="43">
        <f t="shared" si="130"/>
        <v>117475.71927108857</v>
      </c>
      <c r="N232" s="43">
        <f t="shared" si="131"/>
        <v>238710.66155885201</v>
      </c>
      <c r="P232" s="136">
        <f t="shared" si="132"/>
        <v>12804853.400548656</v>
      </c>
      <c r="Q232" s="136">
        <f t="shared" si="133"/>
        <v>12771020.393398583</v>
      </c>
      <c r="S232" s="43">
        <f t="shared" si="144"/>
        <v>12771020.393398583</v>
      </c>
      <c r="T232" s="38">
        <f t="shared" si="145"/>
        <v>53.5</v>
      </c>
      <c r="V232" s="43">
        <f t="shared" si="156"/>
        <v>279291.47402385686</v>
      </c>
      <c r="W232" s="43">
        <f t="shared" si="156"/>
        <v>272504.95222514635</v>
      </c>
      <c r="X232" s="43">
        <f t="shared" si="156"/>
        <v>265883.33656360075</v>
      </c>
      <c r="Y232" s="43">
        <f t="shared" si="156"/>
        <v>259422.61997420483</v>
      </c>
      <c r="Z232" s="43">
        <f t="shared" si="156"/>
        <v>253118.89275987836</v>
      </c>
      <c r="AB232" s="43">
        <f t="shared" si="157"/>
        <v>23871.066155885204</v>
      </c>
      <c r="AC232" s="43">
        <f t="shared" si="157"/>
        <v>23871.066155885204</v>
      </c>
      <c r="AD232" s="43">
        <f t="shared" si="157"/>
        <v>23871.066155885204</v>
      </c>
      <c r="AE232" s="43">
        <f t="shared" si="157"/>
        <v>23871.066155885204</v>
      </c>
      <c r="AF232" s="43">
        <f t="shared" si="157"/>
        <v>23871.066155885204</v>
      </c>
      <c r="AH232" s="43">
        <f t="shared" si="146"/>
        <v>303162.54017974209</v>
      </c>
      <c r="AI232" s="43">
        <f t="shared" si="147"/>
        <v>296376.01838103158</v>
      </c>
      <c r="AJ232" s="43">
        <f t="shared" si="148"/>
        <v>289754.40271948598</v>
      </c>
      <c r="AK232" s="43">
        <f t="shared" si="149"/>
        <v>283293.68613009003</v>
      </c>
      <c r="AL232" s="43">
        <f t="shared" si="150"/>
        <v>276989.95891576359</v>
      </c>
      <c r="AN232" s="43">
        <f t="shared" si="137"/>
        <v>12467857.85321884</v>
      </c>
      <c r="AO232" s="43">
        <f t="shared" si="138"/>
        <v>12171481.834837809</v>
      </c>
      <c r="AP232" s="43">
        <f t="shared" si="139"/>
        <v>11881727.432118323</v>
      </c>
      <c r="AQ232" s="43">
        <f t="shared" si="140"/>
        <v>11598433.745988233</v>
      </c>
      <c r="AR232" s="43">
        <f t="shared" si="141"/>
        <v>11321443.787072469</v>
      </c>
      <c r="AT232" s="43">
        <f t="shared" si="158"/>
        <v>132986.36352616485</v>
      </c>
      <c r="AU232" s="43">
        <f t="shared" si="158"/>
        <v>140666.59199252794</v>
      </c>
      <c r="AV232" s="43">
        <f t="shared" si="158"/>
        <v>151312.23967452248</v>
      </c>
      <c r="AW232" s="43">
        <f t="shared" si="158"/>
        <v>154926.78645586746</v>
      </c>
      <c r="AX232" s="43">
        <f t="shared" si="158"/>
        <v>160170.74832382568</v>
      </c>
      <c r="AZ232" s="47">
        <f t="shared" si="151"/>
        <v>860056.07071534754</v>
      </c>
      <c r="BA232" s="47">
        <f t="shared" si="152"/>
        <v>838701.51092320727</v>
      </c>
      <c r="BB232" s="47">
        <f t="shared" si="153"/>
        <v>892572.28481450467</v>
      </c>
      <c r="BC232" s="47">
        <f t="shared" si="154"/>
        <v>878960.95493351028</v>
      </c>
      <c r="BD232" s="47">
        <f t="shared" si="155"/>
        <v>867375.57114834304</v>
      </c>
    </row>
    <row r="233" spans="2:56" ht="13">
      <c r="B233" s="37">
        <f>'12. Investeringen (bijschatten)'!B36</f>
        <v>17</v>
      </c>
      <c r="C233" s="48"/>
      <c r="E233" s="48"/>
      <c r="F233" s="167">
        <f>'12. Investeringen (bijschatten)'!C36</f>
        <v>686952.98173478153</v>
      </c>
      <c r="H233" s="37">
        <f>'12. Investeringen (bijschatten)'!D36</f>
        <v>2020</v>
      </c>
      <c r="I233" s="37" t="str">
        <f>'12. Investeringen (bijschatten)'!E36</f>
        <v>32 M&amp;R stations</v>
      </c>
      <c r="J233" s="167">
        <f>_xlfn.XLOOKUP(I233,'3. Input (des)investeringen '!$B$11:$B$89,'3. Input (des)investeringen '!$D$11:$D$89)</f>
        <v>30</v>
      </c>
      <c r="K233" s="153"/>
      <c r="L233" s="153"/>
      <c r="M233" s="43">
        <f t="shared" si="130"/>
        <v>11449.216362246359</v>
      </c>
      <c r="N233" s="43">
        <f t="shared" si="131"/>
        <v>23264.807648084603</v>
      </c>
      <c r="P233" s="136">
        <f t="shared" si="132"/>
        <v>675503.76537253521</v>
      </c>
      <c r="Q233" s="136">
        <f t="shared" si="133"/>
        <v>663047.01797041122</v>
      </c>
      <c r="S233" s="43">
        <f t="shared" si="144"/>
        <v>663047.01797041122</v>
      </c>
      <c r="T233" s="38">
        <f t="shared" si="145"/>
        <v>28.5</v>
      </c>
      <c r="V233" s="43">
        <f t="shared" si="156"/>
        <v>27219.824948258989</v>
      </c>
      <c r="W233" s="43">
        <f t="shared" si="156"/>
        <v>25978.218897987525</v>
      </c>
      <c r="X233" s="43">
        <f t="shared" si="156"/>
        <v>24793.247509658268</v>
      </c>
      <c r="Y233" s="43">
        <f t="shared" si="156"/>
        <v>23662.327447814208</v>
      </c>
      <c r="Z233" s="43">
        <f t="shared" si="156"/>
        <v>22582.993213352507</v>
      </c>
      <c r="AB233" s="43">
        <f t="shared" si="157"/>
        <v>2326.4807648084607</v>
      </c>
      <c r="AC233" s="43">
        <f t="shared" si="157"/>
        <v>2326.4807648084607</v>
      </c>
      <c r="AD233" s="43">
        <f t="shared" si="157"/>
        <v>2326.4807648084607</v>
      </c>
      <c r="AE233" s="43">
        <f t="shared" si="157"/>
        <v>2326.4807648084607</v>
      </c>
      <c r="AF233" s="43">
        <f t="shared" si="157"/>
        <v>2326.4807648084607</v>
      </c>
      <c r="AH233" s="43">
        <f t="shared" si="146"/>
        <v>29546.30571306745</v>
      </c>
      <c r="AI233" s="43">
        <f t="shared" si="147"/>
        <v>28304.699662795985</v>
      </c>
      <c r="AJ233" s="43">
        <f t="shared" si="148"/>
        <v>27119.728274466728</v>
      </c>
      <c r="AK233" s="43">
        <f t="shared" si="149"/>
        <v>25988.808212622669</v>
      </c>
      <c r="AL233" s="43">
        <f t="shared" si="150"/>
        <v>24909.473978160968</v>
      </c>
      <c r="AN233" s="43">
        <f t="shared" si="137"/>
        <v>633500.71225734381</v>
      </c>
      <c r="AO233" s="43">
        <f t="shared" si="138"/>
        <v>605196.01259454782</v>
      </c>
      <c r="AP233" s="43">
        <f t="shared" si="139"/>
        <v>578076.28432008112</v>
      </c>
      <c r="AQ233" s="43">
        <f t="shared" si="140"/>
        <v>552087.47610745847</v>
      </c>
      <c r="AR233" s="43">
        <f t="shared" si="141"/>
        <v>527178.00212929747</v>
      </c>
      <c r="AT233" s="43">
        <f t="shared" si="158"/>
        <v>7069.5753147354353</v>
      </c>
      <c r="AU233" s="43">
        <f t="shared" si="158"/>
        <v>7477.8574283120361</v>
      </c>
      <c r="AV233" s="43">
        <f t="shared" si="158"/>
        <v>8043.7816784866936</v>
      </c>
      <c r="AW233" s="43">
        <f t="shared" si="158"/>
        <v>8235.9315352223821</v>
      </c>
      <c r="AX233" s="43">
        <f t="shared" si="158"/>
        <v>8514.7013458265919</v>
      </c>
      <c r="AZ233" s="47">
        <f t="shared" si="151"/>
        <v>58154.905244552574</v>
      </c>
      <c r="BA233" s="47">
        <f t="shared" si="152"/>
        <v>55754.025506728096</v>
      </c>
      <c r="BB233" s="47">
        <f t="shared" si="153"/>
        <v>57130.408757116507</v>
      </c>
      <c r="BC233" s="47">
        <f t="shared" si="154"/>
        <v>55204.063839928465</v>
      </c>
      <c r="BD233" s="47">
        <f t="shared" si="155"/>
        <v>53456.939404900862</v>
      </c>
    </row>
    <row r="234" spans="2:56" ht="13">
      <c r="B234" s="37">
        <f>'12. Investeringen (bijschatten)'!B37</f>
        <v>18</v>
      </c>
      <c r="C234" s="48"/>
      <c r="E234" s="48"/>
      <c r="F234" s="167">
        <f>'12. Investeringen (bijschatten)'!C37</f>
        <v>975839.82625029294</v>
      </c>
      <c r="H234" s="37">
        <f>'12. Investeringen (bijschatten)'!D37</f>
        <v>2020</v>
      </c>
      <c r="I234" s="37" t="str">
        <f>'12. Investeringen (bijschatten)'!E37</f>
        <v>33 Exportstations</v>
      </c>
      <c r="J234" s="167">
        <f>_xlfn.XLOOKUP(I234,'3. Input (des)investeringen '!$B$11:$B$89,'3. Input (des)investeringen '!$D$11:$D$89)</f>
        <v>30</v>
      </c>
      <c r="K234" s="153"/>
      <c r="L234" s="153"/>
      <c r="M234" s="43">
        <f t="shared" si="130"/>
        <v>16263.997104171549</v>
      </c>
      <c r="N234" s="43">
        <f t="shared" si="131"/>
        <v>33048.442115676589</v>
      </c>
      <c r="P234" s="136">
        <f t="shared" si="132"/>
        <v>959575.8291461214</v>
      </c>
      <c r="Q234" s="136">
        <f t="shared" si="133"/>
        <v>941880.6002967828</v>
      </c>
      <c r="S234" s="43">
        <f t="shared" si="144"/>
        <v>941880.6002967828</v>
      </c>
      <c r="T234" s="38">
        <f t="shared" si="145"/>
        <v>28.5</v>
      </c>
      <c r="V234" s="43">
        <f t="shared" si="156"/>
        <v>38666.677275341615</v>
      </c>
      <c r="W234" s="43">
        <f t="shared" si="156"/>
        <v>36902.934101378662</v>
      </c>
      <c r="X234" s="43">
        <f t="shared" si="156"/>
        <v>35219.642370438582</v>
      </c>
      <c r="Y234" s="43">
        <f t="shared" si="156"/>
        <v>33613.132367576472</v>
      </c>
      <c r="Z234" s="43">
        <f t="shared" si="156"/>
        <v>32079.901768353688</v>
      </c>
      <c r="AB234" s="43">
        <f t="shared" si="157"/>
        <v>3304.8442115676589</v>
      </c>
      <c r="AC234" s="43">
        <f t="shared" si="157"/>
        <v>3304.8442115676589</v>
      </c>
      <c r="AD234" s="43">
        <f t="shared" si="157"/>
        <v>3304.8442115676589</v>
      </c>
      <c r="AE234" s="43">
        <f t="shared" si="157"/>
        <v>3304.8442115676589</v>
      </c>
      <c r="AF234" s="43">
        <f t="shared" si="157"/>
        <v>3304.8442115676589</v>
      </c>
      <c r="AH234" s="43">
        <f t="shared" si="146"/>
        <v>41971.521486909274</v>
      </c>
      <c r="AI234" s="43">
        <f t="shared" si="147"/>
        <v>40207.778312946321</v>
      </c>
      <c r="AJ234" s="43">
        <f t="shared" si="148"/>
        <v>38524.48658200624</v>
      </c>
      <c r="AK234" s="43">
        <f t="shared" si="149"/>
        <v>36917.976579144131</v>
      </c>
      <c r="AL234" s="43">
        <f t="shared" si="150"/>
        <v>35384.745979921347</v>
      </c>
      <c r="AN234" s="43">
        <f t="shared" si="137"/>
        <v>899909.07880987355</v>
      </c>
      <c r="AO234" s="43">
        <f t="shared" si="138"/>
        <v>859701.30049692723</v>
      </c>
      <c r="AP234" s="43">
        <f t="shared" si="139"/>
        <v>821176.81391492102</v>
      </c>
      <c r="AQ234" s="43">
        <f t="shared" si="140"/>
        <v>784258.83733577689</v>
      </c>
      <c r="AR234" s="43">
        <f t="shared" si="141"/>
        <v>748874.09135585558</v>
      </c>
      <c r="AT234" s="43">
        <f t="shared" si="158"/>
        <v>10042.569622993882</v>
      </c>
      <c r="AU234" s="43">
        <f t="shared" si="158"/>
        <v>10622.548103861025</v>
      </c>
      <c r="AV234" s="43">
        <f t="shared" si="158"/>
        <v>11426.462544361228</v>
      </c>
      <c r="AW234" s="43">
        <f t="shared" si="158"/>
        <v>11699.41788162093</v>
      </c>
      <c r="AX234" s="43">
        <f t="shared" si="158"/>
        <v>12095.419778078036</v>
      </c>
      <c r="AZ234" s="47">
        <f t="shared" si="151"/>
        <v>82610.999789438851</v>
      </c>
      <c r="BA234" s="47">
        <f t="shared" si="152"/>
        <v>79200.469333205954</v>
      </c>
      <c r="BB234" s="47">
        <f t="shared" si="153"/>
        <v>81155.668055134462</v>
      </c>
      <c r="BC234" s="47">
        <f t="shared" si="154"/>
        <v>78419.230279524578</v>
      </c>
      <c r="BD234" s="47">
        <f t="shared" si="155"/>
        <v>75937.381229521896</v>
      </c>
    </row>
    <row r="235" spans="2:56" ht="13">
      <c r="B235" s="37">
        <f>'12. Investeringen (bijschatten)'!B38</f>
        <v>19</v>
      </c>
      <c r="C235" s="48"/>
      <c r="E235" s="48"/>
      <c r="F235" s="167">
        <f>'12. Investeringen (bijschatten)'!C38</f>
        <v>31012.676750044764</v>
      </c>
      <c r="H235" s="37">
        <f>'12. Investeringen (bijschatten)'!D38</f>
        <v>2020</v>
      </c>
      <c r="I235" s="37" t="str">
        <f>'12. Investeringen (bijschatten)'!E38</f>
        <v>34 Reduceerstations</v>
      </c>
      <c r="J235" s="167">
        <f>_xlfn.XLOOKUP(I235,'3. Input (des)investeringen '!$B$11:$B$89,'3. Input (des)investeringen '!$D$11:$D$89)</f>
        <v>30</v>
      </c>
      <c r="K235" s="153"/>
      <c r="L235" s="153"/>
      <c r="M235" s="43">
        <f t="shared" si="130"/>
        <v>516.87794583407936</v>
      </c>
      <c r="N235" s="43">
        <f t="shared" si="131"/>
        <v>1050.2959859348493</v>
      </c>
      <c r="P235" s="136">
        <f t="shared" si="132"/>
        <v>30495.798804210684</v>
      </c>
      <c r="Q235" s="136">
        <f t="shared" si="133"/>
        <v>29933.435599143206</v>
      </c>
      <c r="S235" s="43">
        <f t="shared" si="144"/>
        <v>29933.435599143206</v>
      </c>
      <c r="T235" s="38">
        <f t="shared" si="145"/>
        <v>28.5</v>
      </c>
      <c r="V235" s="43">
        <f t="shared" si="156"/>
        <v>1228.8463035437737</v>
      </c>
      <c r="W235" s="43">
        <f t="shared" si="156"/>
        <v>1172.7936651365139</v>
      </c>
      <c r="X235" s="43">
        <f t="shared" si="156"/>
        <v>1119.2978137443222</v>
      </c>
      <c r="Y235" s="43">
        <f t="shared" si="156"/>
        <v>1068.2421239945811</v>
      </c>
      <c r="Z235" s="43">
        <f t="shared" si="156"/>
        <v>1019.5152902685127</v>
      </c>
      <c r="AB235" s="43">
        <f t="shared" si="157"/>
        <v>105.02959859348495</v>
      </c>
      <c r="AC235" s="43">
        <f t="shared" si="157"/>
        <v>105.02959859348495</v>
      </c>
      <c r="AD235" s="43">
        <f t="shared" si="157"/>
        <v>105.02959859348495</v>
      </c>
      <c r="AE235" s="43">
        <f t="shared" si="157"/>
        <v>105.02959859348495</v>
      </c>
      <c r="AF235" s="43">
        <f t="shared" si="157"/>
        <v>105.02959859348495</v>
      </c>
      <c r="AH235" s="43">
        <f t="shared" si="146"/>
        <v>1333.8759021372587</v>
      </c>
      <c r="AI235" s="43">
        <f t="shared" si="147"/>
        <v>1277.8232637299989</v>
      </c>
      <c r="AJ235" s="43">
        <f t="shared" si="148"/>
        <v>1224.3274123378071</v>
      </c>
      <c r="AK235" s="43">
        <f t="shared" si="149"/>
        <v>1173.271722588066</v>
      </c>
      <c r="AL235" s="43">
        <f t="shared" si="150"/>
        <v>1124.5448888619976</v>
      </c>
      <c r="AN235" s="43">
        <f t="shared" si="137"/>
        <v>28599.559697005949</v>
      </c>
      <c r="AO235" s="43">
        <f t="shared" si="138"/>
        <v>27321.73643327595</v>
      </c>
      <c r="AP235" s="43">
        <f t="shared" si="139"/>
        <v>26097.409020938143</v>
      </c>
      <c r="AQ235" s="43">
        <f t="shared" si="140"/>
        <v>24924.137298350077</v>
      </c>
      <c r="AR235" s="43">
        <f t="shared" si="141"/>
        <v>23799.592409488079</v>
      </c>
      <c r="AT235" s="43">
        <f t="shared" si="158"/>
        <v>319.15787517555697</v>
      </c>
      <c r="AU235" s="43">
        <f t="shared" si="158"/>
        <v>337.58988078269567</v>
      </c>
      <c r="AV235" s="43">
        <f t="shared" si="158"/>
        <v>363.13868296033019</v>
      </c>
      <c r="AW235" s="43">
        <f t="shared" si="158"/>
        <v>371.8133398188865</v>
      </c>
      <c r="AX235" s="43">
        <f t="shared" si="158"/>
        <v>384.39847774507626</v>
      </c>
      <c r="AZ235" s="47">
        <f t="shared" si="151"/>
        <v>2625.4188070110176</v>
      </c>
      <c r="BA235" s="47">
        <f t="shared" si="152"/>
        <v>2517.0304468108011</v>
      </c>
      <c r="BB235" s="47">
        <f t="shared" si="153"/>
        <v>2579.1676380937865</v>
      </c>
      <c r="BC235" s="47">
        <f t="shared" si="154"/>
        <v>2492.2022797442555</v>
      </c>
      <c r="BD235" s="47">
        <f t="shared" si="155"/>
        <v>2413.3278781676208</v>
      </c>
    </row>
    <row r="236" spans="2:56" ht="13">
      <c r="B236" s="37">
        <f>'12. Investeringen (bijschatten)'!B39</f>
        <v>20</v>
      </c>
      <c r="C236" s="48"/>
      <c r="E236" s="48"/>
      <c r="F236" s="167">
        <f>'12. Investeringen (bijschatten)'!C39</f>
        <v>12132.747993912169</v>
      </c>
      <c r="H236" s="37">
        <f>'12. Investeringen (bijschatten)'!D39</f>
        <v>2020</v>
      </c>
      <c r="I236" s="37" t="str">
        <f>'12. Investeringen (bijschatten)'!E39</f>
        <v>35 Injectiestations</v>
      </c>
      <c r="J236" s="167">
        <f>_xlfn.XLOOKUP(I236,'3. Input (des)investeringen '!$B$11:$B$89,'3. Input (des)investeringen '!$D$11:$D$89)</f>
        <v>30</v>
      </c>
      <c r="K236" s="153"/>
      <c r="L236" s="153"/>
      <c r="M236" s="43">
        <f t="shared" si="130"/>
        <v>202.21246656520282</v>
      </c>
      <c r="N236" s="43">
        <f t="shared" si="131"/>
        <v>410.89573206049215</v>
      </c>
      <c r="P236" s="136">
        <f t="shared" si="132"/>
        <v>11930.535527346967</v>
      </c>
      <c r="Q236" s="136">
        <f t="shared" si="133"/>
        <v>11710.528363724026</v>
      </c>
      <c r="S236" s="43">
        <f t="shared" si="144"/>
        <v>11710.528363724026</v>
      </c>
      <c r="T236" s="38">
        <f t="shared" si="145"/>
        <v>28.5</v>
      </c>
      <c r="V236" s="43">
        <f t="shared" si="156"/>
        <v>480.74800651077584</v>
      </c>
      <c r="W236" s="43">
        <f t="shared" si="156"/>
        <v>458.81915007344224</v>
      </c>
      <c r="X236" s="43">
        <f t="shared" si="156"/>
        <v>437.89055726307464</v>
      </c>
      <c r="Y236" s="43">
        <f t="shared" si="156"/>
        <v>417.91660201949583</v>
      </c>
      <c r="Z236" s="43">
        <f t="shared" si="156"/>
        <v>398.85373947123816</v>
      </c>
      <c r="AB236" s="43">
        <f t="shared" si="157"/>
        <v>41.089573206049216</v>
      </c>
      <c r="AC236" s="43">
        <f t="shared" si="157"/>
        <v>41.089573206049216</v>
      </c>
      <c r="AD236" s="43">
        <f t="shared" si="157"/>
        <v>41.089573206049216</v>
      </c>
      <c r="AE236" s="43">
        <f t="shared" si="157"/>
        <v>41.089573206049216</v>
      </c>
      <c r="AF236" s="43">
        <f t="shared" si="157"/>
        <v>41.089573206049216</v>
      </c>
      <c r="AH236" s="43">
        <f t="shared" si="146"/>
        <v>521.83757971682508</v>
      </c>
      <c r="AI236" s="43">
        <f t="shared" si="147"/>
        <v>499.90872327949148</v>
      </c>
      <c r="AJ236" s="43">
        <f t="shared" si="148"/>
        <v>478.98013046912388</v>
      </c>
      <c r="AK236" s="43">
        <f t="shared" si="149"/>
        <v>459.00617522554506</v>
      </c>
      <c r="AL236" s="43">
        <f t="shared" si="150"/>
        <v>439.94331267728739</v>
      </c>
      <c r="AN236" s="43">
        <f t="shared" si="137"/>
        <v>11188.690784007202</v>
      </c>
      <c r="AO236" s="43">
        <f t="shared" si="138"/>
        <v>10688.78206072771</v>
      </c>
      <c r="AP236" s="43">
        <f t="shared" si="139"/>
        <v>10209.801930258585</v>
      </c>
      <c r="AQ236" s="43">
        <f t="shared" si="140"/>
        <v>9750.7957550330411</v>
      </c>
      <c r="AR236" s="43">
        <f t="shared" si="141"/>
        <v>9310.8524423557537</v>
      </c>
      <c r="AT236" s="43">
        <f t="shared" si="158"/>
        <v>124.86062073864423</v>
      </c>
      <c r="AU236" s="43">
        <f t="shared" si="158"/>
        <v>132.07157130754243</v>
      </c>
      <c r="AV236" s="43">
        <f t="shared" si="158"/>
        <v>142.06674782409723</v>
      </c>
      <c r="AW236" s="43">
        <f t="shared" si="158"/>
        <v>145.46043829611929</v>
      </c>
      <c r="AX236" s="43">
        <f t="shared" si="158"/>
        <v>150.38398321156632</v>
      </c>
      <c r="AZ236" s="47">
        <f t="shared" si="151"/>
        <v>1027.1136871117142</v>
      </c>
      <c r="BA236" s="47">
        <f t="shared" si="152"/>
        <v>984.71010259104833</v>
      </c>
      <c r="BB236" s="47">
        <f t="shared" si="153"/>
        <v>1009.0193516430473</v>
      </c>
      <c r="BC236" s="47">
        <f t="shared" si="154"/>
        <v>974.99685221291986</v>
      </c>
      <c r="BD236" s="47">
        <f t="shared" si="155"/>
        <v>944.13968869837231</v>
      </c>
    </row>
    <row r="237" spans="2:56" ht="13">
      <c r="B237" s="37">
        <f>'12. Investeringen (bijschatten)'!B40</f>
        <v>21</v>
      </c>
      <c r="C237" s="48"/>
      <c r="E237" s="48"/>
      <c r="F237" s="167">
        <f>'12. Investeringen (bijschatten)'!C40</f>
        <v>6654019.8779814392</v>
      </c>
      <c r="H237" s="37">
        <f>'12. Investeringen (bijschatten)'!D40</f>
        <v>2020</v>
      </c>
      <c r="I237" s="37" t="str">
        <f>'12. Investeringen (bijschatten)'!E40</f>
        <v>36 Luchtscheidingsunit</v>
      </c>
      <c r="J237" s="167">
        <f>_xlfn.XLOOKUP(I237,'3. Input (des)investeringen '!$B$11:$B$89,'3. Input (des)investeringen '!$D$11:$D$89)</f>
        <v>30</v>
      </c>
      <c r="K237" s="153"/>
      <c r="L237" s="153"/>
      <c r="M237" s="43">
        <f t="shared" si="130"/>
        <v>110900.33129969066</v>
      </c>
      <c r="N237" s="43">
        <f t="shared" si="131"/>
        <v>225349.47320097144</v>
      </c>
      <c r="P237" s="136">
        <f t="shared" si="132"/>
        <v>6543119.5466817487</v>
      </c>
      <c r="Q237" s="136">
        <f t="shared" si="133"/>
        <v>6422459.9862276856</v>
      </c>
      <c r="S237" s="43">
        <f t="shared" si="144"/>
        <v>6422459.9862276856</v>
      </c>
      <c r="T237" s="38">
        <f t="shared" si="145"/>
        <v>28.5</v>
      </c>
      <c r="V237" s="43">
        <f t="shared" ref="V237:Z246" si="159">IF($J237=0, 0, IF(OR($H237&gt;V$59,$H237+$J237&lt;V$59),0,
IF(OR($H237=2020,$H237=2021),VDB(ABS($S237)*(1-$F$28),0,$T237,V$59-2022,MIN($T237,V$59-2021),$F$22),
VDB(ABS($S237)*(1-$F$28),0,$T237,MAX(0,V$59-$H237-0.5),MIN($T237,V$59-$H237+0.5),$F$22,FALSE))))*IF($F237&lt;0,-1,1)</f>
        <v>263658.88364513661</v>
      </c>
      <c r="W237" s="43">
        <f t="shared" si="159"/>
        <v>251632.33807535842</v>
      </c>
      <c r="X237" s="43">
        <f t="shared" si="159"/>
        <v>240154.37177718416</v>
      </c>
      <c r="Y237" s="43">
        <f t="shared" si="159"/>
        <v>229199.96183647049</v>
      </c>
      <c r="Z237" s="43">
        <f t="shared" si="159"/>
        <v>218745.2267351578</v>
      </c>
      <c r="AB237" s="43">
        <f t="shared" ref="AB237:AF246" si="160">IF($J237 = 0, 0, IF(OR($H237&gt;AB$59,$H237+$J237&lt;AB$59),0,
IF(OR($H237=2020,$H237=2021),VDB(ABS($S237)*$F$28,0,$T237,AB$59-2022,MIN($T237,AB$59-2021),1),
VDB(ABS($S237)*$F$28,0,$T237,MAX(0,AB$59-$H237-0.5),MIN($T237,AB$59-$H237+0.5),1))))*IF($F237&lt;0,-1,1)</f>
        <v>22534.947320097141</v>
      </c>
      <c r="AC237" s="43">
        <f t="shared" si="160"/>
        <v>22534.947320097144</v>
      </c>
      <c r="AD237" s="43">
        <f t="shared" si="160"/>
        <v>22534.947320097144</v>
      </c>
      <c r="AE237" s="43">
        <f t="shared" si="160"/>
        <v>22534.947320097144</v>
      </c>
      <c r="AF237" s="43">
        <f t="shared" si="160"/>
        <v>22534.947320097144</v>
      </c>
      <c r="AH237" s="43">
        <f t="shared" si="146"/>
        <v>286193.83096523373</v>
      </c>
      <c r="AI237" s="43">
        <f t="shared" si="147"/>
        <v>274167.28539545555</v>
      </c>
      <c r="AJ237" s="43">
        <f t="shared" si="148"/>
        <v>262689.31909728132</v>
      </c>
      <c r="AK237" s="43">
        <f t="shared" si="149"/>
        <v>251734.90915656765</v>
      </c>
      <c r="AL237" s="43">
        <f t="shared" si="150"/>
        <v>241280.17405525496</v>
      </c>
      <c r="AN237" s="43">
        <f t="shared" si="137"/>
        <v>6136266.1552624516</v>
      </c>
      <c r="AO237" s="43">
        <f t="shared" si="138"/>
        <v>5862098.8698669961</v>
      </c>
      <c r="AP237" s="43">
        <f t="shared" si="139"/>
        <v>5599409.5507697146</v>
      </c>
      <c r="AQ237" s="43">
        <f t="shared" si="140"/>
        <v>5347674.6416131472</v>
      </c>
      <c r="AR237" s="43">
        <f t="shared" si="141"/>
        <v>5106394.4675578922</v>
      </c>
      <c r="AT237" s="43">
        <f t="shared" ref="AT237:AX246" si="161">IF($H237&lt;=AT$215,$F237*INDEX($H$40:$N$46,$H237-2019,AT$215-2019)*INDEX($H$49:$N$55,$H237-2019,AT$215-2019)*$F$19,0)</f>
        <v>68477.895756915255</v>
      </c>
      <c r="AU237" s="43">
        <f t="shared" si="161"/>
        <v>72432.631192668618</v>
      </c>
      <c r="AV237" s="43">
        <f t="shared" si="161"/>
        <v>77914.332721329803</v>
      </c>
      <c r="AW237" s="43">
        <f t="shared" si="161"/>
        <v>79775.550301376934</v>
      </c>
      <c r="AX237" s="43">
        <f t="shared" si="161"/>
        <v>82475.793127977944</v>
      </c>
      <c r="AZ237" s="47">
        <f t="shared" si="151"/>
        <v>563304.77600107237</v>
      </c>
      <c r="BA237" s="47">
        <f t="shared" si="152"/>
        <v>540049.17929373507</v>
      </c>
      <c r="BB237" s="47">
        <f t="shared" si="153"/>
        <v>553381.21474786021</v>
      </c>
      <c r="BC237" s="47">
        <f t="shared" si="154"/>
        <v>534722.0958392442</v>
      </c>
      <c r="BD237" s="47">
        <f t="shared" si="155"/>
        <v>517798.9569504328</v>
      </c>
    </row>
    <row r="238" spans="2:56" ht="13">
      <c r="B238" s="37">
        <f>'12. Investeringen (bijschatten)'!B41</f>
        <v>22</v>
      </c>
      <c r="C238" s="48"/>
      <c r="E238" s="48"/>
      <c r="F238" s="167">
        <f>'12. Investeringen (bijschatten)'!C41</f>
        <v>4047998.6160165961</v>
      </c>
      <c r="H238" s="37">
        <f>'12. Investeringen (bijschatten)'!D41</f>
        <v>2020</v>
      </c>
      <c r="I238" s="37" t="str">
        <f>'12. Investeringen (bijschatten)'!E41</f>
        <v>37 ICT middelen 1</v>
      </c>
      <c r="J238" s="167">
        <f>_xlfn.XLOOKUP(I238,'3. Input (des)investeringen '!$B$11:$B$89,'3. Input (des)investeringen '!$D$11:$D$89)</f>
        <v>5</v>
      </c>
      <c r="K238" s="153"/>
      <c r="L238" s="153"/>
      <c r="M238" s="43">
        <f t="shared" si="130"/>
        <v>404799.86160165962</v>
      </c>
      <c r="N238" s="43">
        <f t="shared" si="131"/>
        <v>822553.31877457234</v>
      </c>
      <c r="P238" s="136">
        <f t="shared" si="132"/>
        <v>3643198.7544149365</v>
      </c>
      <c r="Q238" s="136">
        <f t="shared" si="133"/>
        <v>2878936.6157110035</v>
      </c>
      <c r="S238" s="43">
        <f t="shared" si="144"/>
        <v>2878936.6157110035</v>
      </c>
      <c r="T238" s="38">
        <f t="shared" si="145"/>
        <v>3.5</v>
      </c>
      <c r="V238" s="43">
        <f t="shared" si="159"/>
        <v>962387.38296624983</v>
      </c>
      <c r="W238" s="43">
        <f t="shared" si="159"/>
        <v>651462.22846946144</v>
      </c>
      <c r="X238" s="43">
        <f t="shared" si="159"/>
        <v>651462.22846946144</v>
      </c>
      <c r="Y238" s="43">
        <f t="shared" si="159"/>
        <v>325731.11423473072</v>
      </c>
      <c r="Z238" s="43">
        <f t="shared" si="159"/>
        <v>0</v>
      </c>
      <c r="AB238" s="43">
        <f t="shared" si="160"/>
        <v>82255.33187745724</v>
      </c>
      <c r="AC238" s="43">
        <f t="shared" si="160"/>
        <v>82255.33187745724</v>
      </c>
      <c r="AD238" s="43">
        <f t="shared" si="160"/>
        <v>82255.33187745724</v>
      </c>
      <c r="AE238" s="43">
        <f t="shared" si="160"/>
        <v>41127.66593872862</v>
      </c>
      <c r="AF238" s="43">
        <f t="shared" si="160"/>
        <v>0</v>
      </c>
      <c r="AH238" s="43">
        <f t="shared" si="146"/>
        <v>1044642.714843707</v>
      </c>
      <c r="AI238" s="43">
        <f t="shared" si="147"/>
        <v>733717.56034691865</v>
      </c>
      <c r="AJ238" s="43">
        <f t="shared" si="148"/>
        <v>733717.56034691865</v>
      </c>
      <c r="AK238" s="43">
        <f t="shared" si="149"/>
        <v>366858.78017345932</v>
      </c>
      <c r="AL238" s="43">
        <f t="shared" si="150"/>
        <v>0</v>
      </c>
      <c r="AN238" s="43">
        <f t="shared" si="137"/>
        <v>1834293.9008672964</v>
      </c>
      <c r="AO238" s="43">
        <f t="shared" si="138"/>
        <v>1100576.3405203777</v>
      </c>
      <c r="AP238" s="43">
        <f t="shared" si="139"/>
        <v>366858.78017345909</v>
      </c>
      <c r="AQ238" s="43">
        <f t="shared" si="140"/>
        <v>0</v>
      </c>
      <c r="AR238" s="43">
        <f t="shared" si="141"/>
        <v>0</v>
      </c>
      <c r="AT238" s="43">
        <f t="shared" si="161"/>
        <v>41658.791577853313</v>
      </c>
      <c r="AU238" s="43">
        <f t="shared" si="161"/>
        <v>44064.670109057501</v>
      </c>
      <c r="AV238" s="43">
        <f t="shared" si="161"/>
        <v>47399.484342910975</v>
      </c>
      <c r="AW238" s="43">
        <f t="shared" si="161"/>
        <v>48531.763224894436</v>
      </c>
      <c r="AX238" s="43">
        <f t="shared" si="161"/>
        <v>50174.466346530666</v>
      </c>
      <c r="AZ238" s="47">
        <f t="shared" si="151"/>
        <v>1148667.4990510484</v>
      </c>
      <c r="BA238" s="47">
        <f t="shared" si="152"/>
        <v>814101.24969314854</v>
      </c>
      <c r="BB238" s="47">
        <f t="shared" si="153"/>
        <v>795057.67833642103</v>
      </c>
      <c r="BC238" s="47">
        <f t="shared" si="154"/>
        <v>415390.54339835374</v>
      </c>
      <c r="BD238" s="47">
        <f t="shared" si="155"/>
        <v>50174.466346530666</v>
      </c>
    </row>
    <row r="239" spans="2:56" ht="13">
      <c r="B239" s="37">
        <f>'12. Investeringen (bijschatten)'!B42</f>
        <v>23</v>
      </c>
      <c r="C239" s="48"/>
      <c r="E239" s="48"/>
      <c r="F239" s="167">
        <f>'12. Investeringen (bijschatten)'!C42</f>
        <v>2403625.2498371834</v>
      </c>
      <c r="H239" s="37">
        <f>'12. Investeringen (bijschatten)'!D42</f>
        <v>2020</v>
      </c>
      <c r="I239" s="37" t="str">
        <f>'12. Investeringen (bijschatten)'!E42</f>
        <v>38 ICT middelen 2</v>
      </c>
      <c r="J239" s="167">
        <f>_xlfn.XLOOKUP(I239,'3. Input (des)investeringen '!$B$11:$B$89,'3. Input (des)investeringen '!$D$11:$D$89)</f>
        <v>10</v>
      </c>
      <c r="K239" s="153"/>
      <c r="L239" s="153"/>
      <c r="M239" s="43">
        <f t="shared" si="130"/>
        <v>120181.26249185918</v>
      </c>
      <c r="N239" s="43">
        <f t="shared" si="131"/>
        <v>244208.32538345785</v>
      </c>
      <c r="P239" s="136">
        <f t="shared" si="132"/>
        <v>2283443.9873453244</v>
      </c>
      <c r="Q239" s="136">
        <f t="shared" si="133"/>
        <v>2075770.7657593917</v>
      </c>
      <c r="S239" s="43">
        <f t="shared" si="144"/>
        <v>2075770.7657593917</v>
      </c>
      <c r="T239" s="38">
        <f t="shared" si="145"/>
        <v>8.5</v>
      </c>
      <c r="V239" s="43">
        <f t="shared" si="159"/>
        <v>285723.74069864571</v>
      </c>
      <c r="W239" s="43">
        <f t="shared" si="159"/>
        <v>242024.81565061753</v>
      </c>
      <c r="X239" s="43">
        <f t="shared" si="159"/>
        <v>206222.32812833681</v>
      </c>
      <c r="Y239" s="43">
        <f t="shared" si="159"/>
        <v>206222.32812833681</v>
      </c>
      <c r="Z239" s="43">
        <f t="shared" si="159"/>
        <v>206222.32812833681</v>
      </c>
      <c r="AB239" s="43">
        <f t="shared" si="160"/>
        <v>24420.832538345789</v>
      </c>
      <c r="AC239" s="43">
        <f t="shared" si="160"/>
        <v>24420.832538345785</v>
      </c>
      <c r="AD239" s="43">
        <f t="shared" si="160"/>
        <v>24420.832538345785</v>
      </c>
      <c r="AE239" s="43">
        <f t="shared" si="160"/>
        <v>24420.832538345785</v>
      </c>
      <c r="AF239" s="43">
        <f t="shared" si="160"/>
        <v>24420.832538345785</v>
      </c>
      <c r="AH239" s="43">
        <f t="shared" si="146"/>
        <v>310144.57323699148</v>
      </c>
      <c r="AI239" s="43">
        <f t="shared" si="147"/>
        <v>266445.6481889633</v>
      </c>
      <c r="AJ239" s="43">
        <f t="shared" si="148"/>
        <v>230643.16066668258</v>
      </c>
      <c r="AK239" s="43">
        <f t="shared" si="149"/>
        <v>230643.16066668258</v>
      </c>
      <c r="AL239" s="43">
        <f t="shared" si="150"/>
        <v>230643.16066668258</v>
      </c>
      <c r="AN239" s="43">
        <f t="shared" si="137"/>
        <v>1765626.1925224003</v>
      </c>
      <c r="AO239" s="43">
        <f t="shared" si="138"/>
        <v>1499180.544333437</v>
      </c>
      <c r="AP239" s="43">
        <f t="shared" si="139"/>
        <v>1268537.3836667545</v>
      </c>
      <c r="AQ239" s="43">
        <f t="shared" si="140"/>
        <v>1037894.2230000719</v>
      </c>
      <c r="AR239" s="43">
        <f t="shared" si="141"/>
        <v>807251.06233338942</v>
      </c>
      <c r="AT239" s="43">
        <f t="shared" si="161"/>
        <v>24736.204928045925</v>
      </c>
      <c r="AU239" s="43">
        <f t="shared" si="161"/>
        <v>26164.770235050433</v>
      </c>
      <c r="AV239" s="43">
        <f t="shared" si="161"/>
        <v>28144.920046439056</v>
      </c>
      <c r="AW239" s="43">
        <f t="shared" si="161"/>
        <v>28817.245896508393</v>
      </c>
      <c r="AX239" s="43">
        <f t="shared" si="161"/>
        <v>29792.65203561341</v>
      </c>
      <c r="AZ239" s="47">
        <f t="shared" si="151"/>
        <v>394912.06871079904</v>
      </c>
      <c r="BA239" s="47">
        <f t="shared" si="152"/>
        <v>342083.37638701714</v>
      </c>
      <c r="BB239" s="47">
        <f t="shared" si="153"/>
        <v>306992.50129245827</v>
      </c>
      <c r="BC239" s="47">
        <f t="shared" si="154"/>
        <v>298900.38703719369</v>
      </c>
      <c r="BD239" s="47">
        <f t="shared" si="155"/>
        <v>291111.3530709648</v>
      </c>
    </row>
    <row r="240" spans="2:56" ht="13">
      <c r="B240" s="37">
        <f>'12. Investeringen (bijschatten)'!B43</f>
        <v>24</v>
      </c>
      <c r="C240" s="48"/>
      <c r="E240" s="48"/>
      <c r="F240" s="167">
        <f>'12. Investeringen (bijschatten)'!C43</f>
        <v>437.7361508808076</v>
      </c>
      <c r="H240" s="37">
        <f>'12. Investeringen (bijschatten)'!D43</f>
        <v>2020</v>
      </c>
      <c r="I240" s="37" t="str">
        <f>'12. Investeringen (bijschatten)'!E43</f>
        <v>39 ICT middelen 3</v>
      </c>
      <c r="J240" s="167">
        <f>_xlfn.XLOOKUP(I240,'3. Input (des)investeringen '!$B$11:$B$89,'3. Input (des)investeringen '!$D$11:$D$89)</f>
        <v>15</v>
      </c>
      <c r="K240" s="153"/>
      <c r="L240" s="153"/>
      <c r="M240" s="43">
        <f t="shared" si="130"/>
        <v>14.591205029360253</v>
      </c>
      <c r="N240" s="43">
        <f t="shared" si="131"/>
        <v>29.649328619660036</v>
      </c>
      <c r="P240" s="136">
        <f t="shared" si="132"/>
        <v>423.14494585144735</v>
      </c>
      <c r="Q240" s="136">
        <f t="shared" si="133"/>
        <v>400.26593636541048</v>
      </c>
      <c r="S240" s="43">
        <f t="shared" si="144"/>
        <v>400.26593636541048</v>
      </c>
      <c r="T240" s="38">
        <f t="shared" si="145"/>
        <v>13.5</v>
      </c>
      <c r="V240" s="43">
        <f t="shared" si="159"/>
        <v>34.689714485002241</v>
      </c>
      <c r="W240" s="43">
        <f t="shared" si="159"/>
        <v>31.349223460520545</v>
      </c>
      <c r="X240" s="43">
        <f t="shared" si="159"/>
        <v>28.330409349507455</v>
      </c>
      <c r="Y240" s="43">
        <f t="shared" si="159"/>
        <v>25.602295856591919</v>
      </c>
      <c r="Z240" s="43">
        <f t="shared" si="159"/>
        <v>25.291336797604973</v>
      </c>
      <c r="AB240" s="43">
        <f t="shared" si="160"/>
        <v>2.9649328619660036</v>
      </c>
      <c r="AC240" s="43">
        <f t="shared" si="160"/>
        <v>2.9649328619660036</v>
      </c>
      <c r="AD240" s="43">
        <f t="shared" si="160"/>
        <v>2.9649328619660036</v>
      </c>
      <c r="AE240" s="43">
        <f t="shared" si="160"/>
        <v>2.9649328619660036</v>
      </c>
      <c r="AF240" s="43">
        <f t="shared" si="160"/>
        <v>2.9649328619660036</v>
      </c>
      <c r="AH240" s="43">
        <f t="shared" si="146"/>
        <v>37.654647346968247</v>
      </c>
      <c r="AI240" s="43">
        <f t="shared" si="147"/>
        <v>34.314156322486546</v>
      </c>
      <c r="AJ240" s="43">
        <f t="shared" si="148"/>
        <v>31.295342211473461</v>
      </c>
      <c r="AK240" s="43">
        <f t="shared" si="149"/>
        <v>28.567228718557921</v>
      </c>
      <c r="AL240" s="43">
        <f t="shared" si="150"/>
        <v>28.256269659570975</v>
      </c>
      <c r="AN240" s="43">
        <f t="shared" si="137"/>
        <v>362.61128901844222</v>
      </c>
      <c r="AO240" s="43">
        <f t="shared" si="138"/>
        <v>328.29713269595567</v>
      </c>
      <c r="AP240" s="43">
        <f t="shared" si="139"/>
        <v>297.00179048448223</v>
      </c>
      <c r="AQ240" s="43">
        <f t="shared" si="140"/>
        <v>268.43456176592429</v>
      </c>
      <c r="AR240" s="43">
        <f t="shared" si="141"/>
        <v>240.1782921063533</v>
      </c>
      <c r="AT240" s="43">
        <f t="shared" si="161"/>
        <v>4.5048333276308981</v>
      </c>
      <c r="AU240" s="43">
        <f t="shared" si="161"/>
        <v>4.7649964619682379</v>
      </c>
      <c r="AV240" s="43">
        <f t="shared" si="161"/>
        <v>5.1256113942099946</v>
      </c>
      <c r="AW240" s="43">
        <f t="shared" si="161"/>
        <v>5.2480519991948835</v>
      </c>
      <c r="AX240" s="43">
        <f t="shared" si="161"/>
        <v>5.4256880632636317</v>
      </c>
      <c r="AZ240" s="47">
        <f t="shared" si="151"/>
        <v>54.488264501226183</v>
      </c>
      <c r="BA240" s="47">
        <f t="shared" si="152"/>
        <v>49.912958163421322</v>
      </c>
      <c r="BB240" s="47">
        <f t="shared" si="153"/>
        <v>47.707021644093786</v>
      </c>
      <c r="BC240" s="47">
        <f t="shared" si="154"/>
        <v>44.015794064857928</v>
      </c>
      <c r="BD240" s="47">
        <f t="shared" si="155"/>
        <v>42.808732822876038</v>
      </c>
    </row>
    <row r="241" spans="2:56" ht="13">
      <c r="B241" s="37">
        <f>'12. Investeringen (bijschatten)'!B44</f>
        <v>25</v>
      </c>
      <c r="C241" s="48"/>
      <c r="E241" s="48"/>
      <c r="F241" s="167">
        <f>'12. Investeringen (bijschatten)'!C44</f>
        <v>11388.804547887481</v>
      </c>
      <c r="H241" s="37">
        <f>'12. Investeringen (bijschatten)'!D44</f>
        <v>2020</v>
      </c>
      <c r="I241" s="37" t="str">
        <f>'12. Investeringen (bijschatten)'!E44</f>
        <v>41 Stikstofbuffer</v>
      </c>
      <c r="J241" s="167">
        <f>_xlfn.XLOOKUP(I241,'3. Input (des)investeringen '!$B$11:$B$89,'3. Input (des)investeringen '!$D$11:$D$89)</f>
        <v>30</v>
      </c>
      <c r="K241" s="153"/>
      <c r="L241" s="153"/>
      <c r="M241" s="43">
        <f t="shared" si="130"/>
        <v>189.81340913145803</v>
      </c>
      <c r="N241" s="43">
        <f t="shared" si="131"/>
        <v>385.70084735512273</v>
      </c>
      <c r="P241" s="136">
        <f t="shared" si="132"/>
        <v>11198.991138756022</v>
      </c>
      <c r="Q241" s="136">
        <f t="shared" si="133"/>
        <v>10992.474149620995</v>
      </c>
      <c r="S241" s="43">
        <f t="shared" si="144"/>
        <v>10992.474149620995</v>
      </c>
      <c r="T241" s="38">
        <f t="shared" si="145"/>
        <v>28.5</v>
      </c>
      <c r="V241" s="43">
        <f t="shared" si="159"/>
        <v>451.26999140549356</v>
      </c>
      <c r="W241" s="43">
        <f t="shared" si="159"/>
        <v>430.68574618348856</v>
      </c>
      <c r="X241" s="43">
        <f t="shared" si="159"/>
        <v>411.04043144529436</v>
      </c>
      <c r="Y241" s="43">
        <f t="shared" si="159"/>
        <v>392.29121878287748</v>
      </c>
      <c r="Z241" s="43">
        <f t="shared" si="159"/>
        <v>374.39723336471116</v>
      </c>
      <c r="AB241" s="43">
        <f t="shared" si="160"/>
        <v>38.570084735512268</v>
      </c>
      <c r="AC241" s="43">
        <f t="shared" si="160"/>
        <v>38.570084735512268</v>
      </c>
      <c r="AD241" s="43">
        <f t="shared" si="160"/>
        <v>38.570084735512268</v>
      </c>
      <c r="AE241" s="43">
        <f t="shared" si="160"/>
        <v>38.570084735512268</v>
      </c>
      <c r="AF241" s="43">
        <f t="shared" si="160"/>
        <v>38.570084735512268</v>
      </c>
      <c r="AH241" s="43">
        <f t="shared" si="146"/>
        <v>489.84007614100585</v>
      </c>
      <c r="AI241" s="43">
        <f t="shared" si="147"/>
        <v>469.2558309190008</v>
      </c>
      <c r="AJ241" s="43">
        <f t="shared" si="148"/>
        <v>449.6105161808066</v>
      </c>
      <c r="AK241" s="43">
        <f t="shared" si="149"/>
        <v>430.86130351838972</v>
      </c>
      <c r="AL241" s="43">
        <f t="shared" si="150"/>
        <v>412.96731810022345</v>
      </c>
      <c r="AN241" s="43">
        <f t="shared" si="137"/>
        <v>10502.634073479989</v>
      </c>
      <c r="AO241" s="43">
        <f t="shared" si="138"/>
        <v>10033.378242560988</v>
      </c>
      <c r="AP241" s="43">
        <f t="shared" si="139"/>
        <v>9583.7677263801816</v>
      </c>
      <c r="AQ241" s="43">
        <f t="shared" si="140"/>
        <v>9152.9064228617917</v>
      </c>
      <c r="AR241" s="43">
        <f t="shared" si="141"/>
        <v>8739.9391047615682</v>
      </c>
      <c r="AT241" s="43">
        <f t="shared" si="161"/>
        <v>117.20454476049834</v>
      </c>
      <c r="AU241" s="43">
        <f t="shared" si="161"/>
        <v>123.97334162950663</v>
      </c>
      <c r="AV241" s="43">
        <f t="shared" si="161"/>
        <v>133.35564412402772</v>
      </c>
      <c r="AW241" s="43">
        <f t="shared" si="161"/>
        <v>136.54124375086252</v>
      </c>
      <c r="AX241" s="43">
        <f t="shared" si="161"/>
        <v>141.16289176934171</v>
      </c>
      <c r="AZ241" s="47">
        <f t="shared" si="151"/>
        <v>964.13417939982389</v>
      </c>
      <c r="BA241" s="47">
        <f t="shared" si="152"/>
        <v>924.33065455302005</v>
      </c>
      <c r="BB241" s="47">
        <f t="shared" si="153"/>
        <v>947.14933390728129</v>
      </c>
      <c r="BC241" s="47">
        <f t="shared" si="154"/>
        <v>915.21299133800039</v>
      </c>
      <c r="BD241" s="47">
        <f t="shared" si="155"/>
        <v>886.24789585050485</v>
      </c>
    </row>
    <row r="242" spans="2:56" ht="13">
      <c r="B242" s="37">
        <f>'12. Investeringen (bijschatten)'!B45</f>
        <v>26</v>
      </c>
      <c r="C242" s="48"/>
      <c r="E242" s="48"/>
      <c r="F242" s="167">
        <f>'12. Investeringen (bijschatten)'!C45</f>
        <v>629346.76893527061</v>
      </c>
      <c r="H242" s="37">
        <f>'12. Investeringen (bijschatten)'!D45</f>
        <v>2020</v>
      </c>
      <c r="I242" s="37" t="str">
        <f>'12. Investeringen (bijschatten)'!E45</f>
        <v>42 Vulgas</v>
      </c>
      <c r="J242" s="167">
        <f>_xlfn.XLOOKUP(I242,'3. Input (des)investeringen '!$B$11:$B$89,'3. Input (des)investeringen '!$D$11:$D$89)</f>
        <v>0</v>
      </c>
      <c r="K242" s="153"/>
      <c r="L242" s="153"/>
      <c r="M242" s="43">
        <f t="shared" si="130"/>
        <v>0</v>
      </c>
      <c r="N242" s="43">
        <f t="shared" si="131"/>
        <v>0</v>
      </c>
      <c r="P242" s="136">
        <f t="shared" si="132"/>
        <v>629346.76893527061</v>
      </c>
      <c r="Q242" s="136">
        <f t="shared" si="133"/>
        <v>639416.31723823491</v>
      </c>
      <c r="S242" s="43">
        <f t="shared" si="144"/>
        <v>639416.31723823491</v>
      </c>
      <c r="T242" s="38">
        <f t="shared" si="145"/>
        <v>0</v>
      </c>
      <c r="V242" s="43">
        <f t="shared" si="159"/>
        <v>0</v>
      </c>
      <c r="W242" s="43">
        <f t="shared" si="159"/>
        <v>0</v>
      </c>
      <c r="X242" s="43">
        <f t="shared" si="159"/>
        <v>0</v>
      </c>
      <c r="Y242" s="43">
        <f t="shared" si="159"/>
        <v>0</v>
      </c>
      <c r="Z242" s="43">
        <f t="shared" si="159"/>
        <v>0</v>
      </c>
      <c r="AB242" s="43">
        <f t="shared" si="160"/>
        <v>0</v>
      </c>
      <c r="AC242" s="43">
        <f t="shared" si="160"/>
        <v>0</v>
      </c>
      <c r="AD242" s="43">
        <f t="shared" si="160"/>
        <v>0</v>
      </c>
      <c r="AE242" s="43">
        <f t="shared" si="160"/>
        <v>0</v>
      </c>
      <c r="AF242" s="43">
        <f t="shared" si="160"/>
        <v>0</v>
      </c>
      <c r="AH242" s="43">
        <f t="shared" si="146"/>
        <v>0</v>
      </c>
      <c r="AI242" s="43">
        <f t="shared" si="147"/>
        <v>0</v>
      </c>
      <c r="AJ242" s="43">
        <f t="shared" si="148"/>
        <v>0</v>
      </c>
      <c r="AK242" s="43">
        <f t="shared" si="149"/>
        <v>0</v>
      </c>
      <c r="AL242" s="43">
        <f t="shared" si="150"/>
        <v>0</v>
      </c>
      <c r="AN242" s="43">
        <f t="shared" si="137"/>
        <v>639416.31723823491</v>
      </c>
      <c r="AO242" s="43">
        <f t="shared" si="138"/>
        <v>639416.31723823491</v>
      </c>
      <c r="AP242" s="43">
        <f t="shared" si="139"/>
        <v>639416.31723823491</v>
      </c>
      <c r="AQ242" s="43">
        <f t="shared" si="140"/>
        <v>639416.31723823491</v>
      </c>
      <c r="AR242" s="43">
        <f t="shared" si="141"/>
        <v>639416.31723823491</v>
      </c>
      <c r="AT242" s="43">
        <f t="shared" si="161"/>
        <v>6476.7378559702438</v>
      </c>
      <c r="AU242" s="43">
        <f t="shared" si="161"/>
        <v>6850.7824206282376</v>
      </c>
      <c r="AV242" s="43">
        <f t="shared" si="161"/>
        <v>7369.2496342213835</v>
      </c>
      <c r="AW242" s="43">
        <f t="shared" si="161"/>
        <v>7545.2862694836658</v>
      </c>
      <c r="AX242" s="43">
        <f t="shared" si="161"/>
        <v>7800.6791191331486</v>
      </c>
      <c r="AZ242" s="47">
        <f t="shared" si="151"/>
        <v>28216.892642070234</v>
      </c>
      <c r="BA242" s="47">
        <f t="shared" si="152"/>
        <v>27951.520889489992</v>
      </c>
      <c r="BB242" s="47">
        <f t="shared" si="153"/>
        <v>31667.069689274307</v>
      </c>
      <c r="BC242" s="47">
        <f t="shared" si="154"/>
        <v>31843.106324536591</v>
      </c>
      <c r="BD242" s="47">
        <f t="shared" si="155"/>
        <v>32098.499174186072</v>
      </c>
    </row>
    <row r="243" spans="2:56" ht="13">
      <c r="B243" s="37">
        <f>'12. Investeringen (bijschatten)'!B46</f>
        <v>27</v>
      </c>
      <c r="C243" s="48"/>
      <c r="E243" s="48"/>
      <c r="F243" s="167">
        <f>'12. Investeringen (bijschatten)'!C46</f>
        <v>17036.436079166462</v>
      </c>
      <c r="H243" s="37">
        <f>'12. Investeringen (bijschatten)'!D46</f>
        <v>2020</v>
      </c>
      <c r="I243" s="37" t="str">
        <f>'12. Investeringen (bijschatten)'!E46</f>
        <v>44 Stikstofleiding</v>
      </c>
      <c r="J243" s="167">
        <f>_xlfn.XLOOKUP(I243,'3. Input (des)investeringen '!$B$11:$B$89,'3. Input (des)investeringen '!$D$11:$D$89)</f>
        <v>55</v>
      </c>
      <c r="K243" s="153"/>
      <c r="L243" s="153"/>
      <c r="M243" s="43">
        <f t="shared" si="130"/>
        <v>154.87669162878601</v>
      </c>
      <c r="N243" s="43">
        <f t="shared" si="131"/>
        <v>314.70943738969322</v>
      </c>
      <c r="P243" s="136">
        <f t="shared" si="132"/>
        <v>16881.559387537676</v>
      </c>
      <c r="Q243" s="136">
        <f t="shared" si="133"/>
        <v>16836.954900348584</v>
      </c>
      <c r="S243" s="43">
        <f t="shared" si="144"/>
        <v>16836.954900348584</v>
      </c>
      <c r="T243" s="38">
        <f t="shared" si="145"/>
        <v>53.5</v>
      </c>
      <c r="V243" s="43">
        <f t="shared" si="159"/>
        <v>368.21004174594106</v>
      </c>
      <c r="W243" s="43">
        <f t="shared" si="159"/>
        <v>359.26288185304901</v>
      </c>
      <c r="X243" s="43">
        <f t="shared" si="159"/>
        <v>350.5331295837226</v>
      </c>
      <c r="Y243" s="43">
        <f t="shared" si="159"/>
        <v>342.01550213589383</v>
      </c>
      <c r="Z243" s="43">
        <f t="shared" si="159"/>
        <v>333.70484507464784</v>
      </c>
      <c r="AB243" s="43">
        <f t="shared" si="160"/>
        <v>31.470943738969318</v>
      </c>
      <c r="AC243" s="43">
        <f t="shared" si="160"/>
        <v>31.470943738969318</v>
      </c>
      <c r="AD243" s="43">
        <f t="shared" si="160"/>
        <v>31.470943738969318</v>
      </c>
      <c r="AE243" s="43">
        <f t="shared" si="160"/>
        <v>31.470943738969318</v>
      </c>
      <c r="AF243" s="43">
        <f t="shared" si="160"/>
        <v>31.470943738969318</v>
      </c>
      <c r="AH243" s="43">
        <f t="shared" si="146"/>
        <v>399.68098548491037</v>
      </c>
      <c r="AI243" s="43">
        <f t="shared" si="147"/>
        <v>390.73382559201832</v>
      </c>
      <c r="AJ243" s="43">
        <f t="shared" si="148"/>
        <v>382.00407332269191</v>
      </c>
      <c r="AK243" s="43">
        <f t="shared" si="149"/>
        <v>373.48644587486314</v>
      </c>
      <c r="AL243" s="43">
        <f t="shared" si="150"/>
        <v>365.17578881361715</v>
      </c>
      <c r="AN243" s="43">
        <f t="shared" si="137"/>
        <v>16437.273914863676</v>
      </c>
      <c r="AO243" s="43">
        <f t="shared" si="138"/>
        <v>16046.540089271657</v>
      </c>
      <c r="AP243" s="43">
        <f t="shared" si="139"/>
        <v>15664.536015948965</v>
      </c>
      <c r="AQ243" s="43">
        <f t="shared" si="140"/>
        <v>15291.049570074101</v>
      </c>
      <c r="AR243" s="43">
        <f t="shared" si="141"/>
        <v>14925.873781260485</v>
      </c>
      <c r="AT243" s="43">
        <f t="shared" si="161"/>
        <v>175.32548974777274</v>
      </c>
      <c r="AU243" s="43">
        <f t="shared" si="161"/>
        <v>185.45088743168614</v>
      </c>
      <c r="AV243" s="43">
        <f t="shared" si="161"/>
        <v>199.4858105925162</v>
      </c>
      <c r="AW243" s="43">
        <f t="shared" si="161"/>
        <v>204.25112763595021</v>
      </c>
      <c r="AX243" s="43">
        <f t="shared" si="161"/>
        <v>211.16461980417185</v>
      </c>
      <c r="AZ243" s="47">
        <f t="shared" si="151"/>
        <v>1133.8737883380481</v>
      </c>
      <c r="BA243" s="47">
        <f t="shared" si="152"/>
        <v>1105.7205359696691</v>
      </c>
      <c r="BB243" s="47">
        <f t="shared" si="153"/>
        <v>1176.7422525212687</v>
      </c>
      <c r="BC243" s="47">
        <f t="shared" si="154"/>
        <v>1158.7974571736293</v>
      </c>
      <c r="BD243" s="47">
        <f t="shared" si="155"/>
        <v>1143.5236123056875</v>
      </c>
    </row>
    <row r="244" spans="2:56" ht="13">
      <c r="B244" s="37">
        <f>'12. Investeringen (bijschatten)'!B47</f>
        <v>28</v>
      </c>
      <c r="C244" s="48"/>
      <c r="E244" s="48"/>
      <c r="F244" s="167">
        <f>'12. Investeringen (bijschatten)'!C47</f>
        <v>25706134.090591587</v>
      </c>
      <c r="H244" s="37">
        <f>'12. Investeringen (bijschatten)'!D47</f>
        <v>2021</v>
      </c>
      <c r="I244" s="37" t="str">
        <f>'12. Investeringen (bijschatten)'!E47</f>
        <v>01 Regionale leidingen</v>
      </c>
      <c r="J244" s="167">
        <f>_xlfn.XLOOKUP(I244,'3. Input (des)investeringen '!$B$11:$B$89,'3. Input (des)investeringen '!$D$11:$D$89)</f>
        <v>55</v>
      </c>
      <c r="K244" s="153"/>
      <c r="L244" s="153"/>
      <c r="M244" s="43">
        <f t="shared" si="130"/>
        <v>0</v>
      </c>
      <c r="N244" s="43">
        <f t="shared" si="131"/>
        <v>233692.12809628717</v>
      </c>
      <c r="P244" s="136">
        <f t="shared" si="132"/>
        <v>0</v>
      </c>
      <c r="Q244" s="136">
        <f t="shared" si="133"/>
        <v>25472441.962495301</v>
      </c>
      <c r="S244" s="43">
        <f t="shared" si="144"/>
        <v>25472441.962495301</v>
      </c>
      <c r="T244" s="38">
        <f t="shared" si="145"/>
        <v>54.5</v>
      </c>
      <c r="V244" s="43">
        <f t="shared" si="159"/>
        <v>546839.57974531199</v>
      </c>
      <c r="W244" s="43">
        <f t="shared" si="159"/>
        <v>533795.69986147888</v>
      </c>
      <c r="X244" s="43">
        <f t="shared" si="159"/>
        <v>521062.95839689317</v>
      </c>
      <c r="Y244" s="43">
        <f t="shared" si="159"/>
        <v>508633.93370118749</v>
      </c>
      <c r="Z244" s="43">
        <f t="shared" si="159"/>
        <v>496501.38115418667</v>
      </c>
      <c r="AB244" s="43">
        <f t="shared" si="160"/>
        <v>46738.425619257439</v>
      </c>
      <c r="AC244" s="43">
        <f t="shared" si="160"/>
        <v>46738.425619257432</v>
      </c>
      <c r="AD244" s="43">
        <f t="shared" si="160"/>
        <v>46738.425619257432</v>
      </c>
      <c r="AE244" s="43">
        <f t="shared" si="160"/>
        <v>46738.425619257432</v>
      </c>
      <c r="AF244" s="43">
        <f t="shared" si="160"/>
        <v>46738.425619257432</v>
      </c>
      <c r="AH244" s="43">
        <f t="shared" si="146"/>
        <v>593578.00536456937</v>
      </c>
      <c r="AI244" s="43">
        <f t="shared" si="147"/>
        <v>580534.12548073626</v>
      </c>
      <c r="AJ244" s="43">
        <f t="shared" si="148"/>
        <v>567801.38401615061</v>
      </c>
      <c r="AK244" s="43">
        <f t="shared" si="149"/>
        <v>555372.35932044487</v>
      </c>
      <c r="AL244" s="43">
        <f t="shared" si="150"/>
        <v>543239.80677344406</v>
      </c>
      <c r="AN244" s="43">
        <f t="shared" si="137"/>
        <v>24878863.95713073</v>
      </c>
      <c r="AO244" s="43">
        <f t="shared" si="138"/>
        <v>24298329.831649993</v>
      </c>
      <c r="AP244" s="43">
        <f t="shared" si="139"/>
        <v>23730528.44763384</v>
      </c>
      <c r="AQ244" s="43">
        <f t="shared" si="140"/>
        <v>23175156.088313397</v>
      </c>
      <c r="AR244" s="43">
        <f t="shared" si="141"/>
        <v>22631916.281539954</v>
      </c>
      <c r="AT244" s="43">
        <f t="shared" si="161"/>
        <v>260641.69126205347</v>
      </c>
      <c r="AU244" s="43">
        <f t="shared" si="161"/>
        <v>275694.27021581959</v>
      </c>
      <c r="AV244" s="43">
        <f t="shared" si="161"/>
        <v>296558.81258575281</v>
      </c>
      <c r="AW244" s="43">
        <f t="shared" si="161"/>
        <v>303643.00950080133</v>
      </c>
      <c r="AX244" s="43">
        <f t="shared" si="161"/>
        <v>313920.71808638441</v>
      </c>
      <c r="AZ244" s="47">
        <f t="shared" si="151"/>
        <v>1700101.0711690679</v>
      </c>
      <c r="BA244" s="47">
        <f t="shared" si="152"/>
        <v>1658073.2801410058</v>
      </c>
      <c r="BB244" s="47">
        <f t="shared" si="153"/>
        <v>1766120.2776119895</v>
      </c>
      <c r="BC244" s="47">
        <f t="shared" si="154"/>
        <v>1739671.3001771553</v>
      </c>
      <c r="BD244" s="47">
        <f t="shared" si="155"/>
        <v>1717173.3435583466</v>
      </c>
    </row>
    <row r="245" spans="2:56" ht="13">
      <c r="B245" s="37">
        <f>'12. Investeringen (bijschatten)'!B48</f>
        <v>29</v>
      </c>
      <c r="C245" s="48"/>
      <c r="E245" s="48"/>
      <c r="F245" s="167">
        <f>'12. Investeringen (bijschatten)'!C48</f>
        <v>4851611.3998010792</v>
      </c>
      <c r="H245" s="37">
        <f>'12. Investeringen (bijschatten)'!D48</f>
        <v>2021</v>
      </c>
      <c r="I245" s="37" t="str">
        <f>'12. Investeringen (bijschatten)'!E48</f>
        <v>02 Gasontvangststations</v>
      </c>
      <c r="J245" s="167">
        <f>_xlfn.XLOOKUP(I245,'3. Input (des)investeringen '!$B$11:$B$89,'3. Input (des)investeringen '!$D$11:$D$89)</f>
        <v>30</v>
      </c>
      <c r="K245" s="153"/>
      <c r="L245" s="153"/>
      <c r="M245" s="43">
        <f t="shared" si="130"/>
        <v>0</v>
      </c>
      <c r="N245" s="43">
        <f t="shared" si="131"/>
        <v>80860.189996684654</v>
      </c>
      <c r="P245" s="136">
        <f t="shared" si="132"/>
        <v>0</v>
      </c>
      <c r="Q245" s="136">
        <f t="shared" si="133"/>
        <v>4770751.2098043943</v>
      </c>
      <c r="S245" s="43">
        <f t="shared" si="144"/>
        <v>4770751.2098043943</v>
      </c>
      <c r="T245" s="38">
        <f t="shared" si="145"/>
        <v>29.5</v>
      </c>
      <c r="V245" s="43">
        <f t="shared" si="159"/>
        <v>189212.84459224207</v>
      </c>
      <c r="W245" s="43">
        <f t="shared" si="159"/>
        <v>180874.65144071952</v>
      </c>
      <c r="X245" s="43">
        <f t="shared" si="159"/>
        <v>172903.90408909461</v>
      </c>
      <c r="Y245" s="43">
        <f t="shared" si="159"/>
        <v>165284.41001059214</v>
      </c>
      <c r="Z245" s="43">
        <f t="shared" si="159"/>
        <v>158000.6902474135</v>
      </c>
      <c r="AB245" s="43">
        <f t="shared" si="160"/>
        <v>16172.037999336932</v>
      </c>
      <c r="AC245" s="43">
        <f t="shared" si="160"/>
        <v>16172.03799933693</v>
      </c>
      <c r="AD245" s="43">
        <f t="shared" si="160"/>
        <v>16172.03799933693</v>
      </c>
      <c r="AE245" s="43">
        <f t="shared" si="160"/>
        <v>16172.03799933693</v>
      </c>
      <c r="AF245" s="43">
        <f t="shared" si="160"/>
        <v>16172.03799933693</v>
      </c>
      <c r="AH245" s="43">
        <f t="shared" si="146"/>
        <v>205384.88259157899</v>
      </c>
      <c r="AI245" s="43">
        <f t="shared" si="147"/>
        <v>197046.68944005645</v>
      </c>
      <c r="AJ245" s="43">
        <f t="shared" si="148"/>
        <v>189075.94208843153</v>
      </c>
      <c r="AK245" s="43">
        <f t="shared" si="149"/>
        <v>181456.44800992907</v>
      </c>
      <c r="AL245" s="43">
        <f t="shared" si="150"/>
        <v>174172.72824675043</v>
      </c>
      <c r="AN245" s="43">
        <f t="shared" si="137"/>
        <v>4565366.3272128152</v>
      </c>
      <c r="AO245" s="43">
        <f t="shared" si="138"/>
        <v>4368319.6377727585</v>
      </c>
      <c r="AP245" s="43">
        <f t="shared" si="139"/>
        <v>4179243.6956843268</v>
      </c>
      <c r="AQ245" s="43">
        <f t="shared" si="140"/>
        <v>3997787.2476743977</v>
      </c>
      <c r="AR245" s="43">
        <f t="shared" si="141"/>
        <v>3823614.5194276473</v>
      </c>
      <c r="AT245" s="43">
        <f t="shared" si="161"/>
        <v>49191.846433775092</v>
      </c>
      <c r="AU245" s="43">
        <f t="shared" si="161"/>
        <v>52032.773949018469</v>
      </c>
      <c r="AV245" s="43">
        <f t="shared" si="161"/>
        <v>55970.614281480186</v>
      </c>
      <c r="AW245" s="43">
        <f t="shared" si="161"/>
        <v>57307.640315436183</v>
      </c>
      <c r="AX245" s="43">
        <f t="shared" si="161"/>
        <v>59247.389324833064</v>
      </c>
      <c r="AZ245" s="47">
        <f t="shared" si="151"/>
        <v>409799.1841505898</v>
      </c>
      <c r="BA245" s="47">
        <f t="shared" si="152"/>
        <v>393234.0114355759</v>
      </c>
      <c r="BB245" s="47">
        <f t="shared" si="153"/>
        <v>403857.81680591614</v>
      </c>
      <c r="BC245" s="47">
        <f t="shared" si="154"/>
        <v>390680.00373699237</v>
      </c>
      <c r="BD245" s="47">
        <f t="shared" si="155"/>
        <v>378717.46930983406</v>
      </c>
    </row>
    <row r="246" spans="2:56" ht="13">
      <c r="B246" s="37">
        <f>'12. Investeringen (bijschatten)'!B49</f>
        <v>30</v>
      </c>
      <c r="C246" s="48"/>
      <c r="E246" s="48"/>
      <c r="F246" s="167">
        <f>'12. Investeringen (bijschatten)'!C49</f>
        <v>1383899.1314390239</v>
      </c>
      <c r="H246" s="37">
        <f>'12. Investeringen (bijschatten)'!D49</f>
        <v>2021</v>
      </c>
      <c r="I246" s="37" t="str">
        <f>'12. Investeringen (bijschatten)'!E49</f>
        <v>02 Gasontvangststations (EHD)</v>
      </c>
      <c r="J246" s="167">
        <f>_xlfn.XLOOKUP(I246,'3. Input (des)investeringen '!$B$11:$B$89,'3. Input (des)investeringen '!$D$11:$D$89)</f>
        <v>30</v>
      </c>
      <c r="K246" s="153"/>
      <c r="L246" s="153"/>
      <c r="M246" s="43">
        <f t="shared" si="130"/>
        <v>0</v>
      </c>
      <c r="N246" s="43">
        <f t="shared" si="131"/>
        <v>23064.985523983731</v>
      </c>
      <c r="P246" s="136">
        <f t="shared" si="132"/>
        <v>0</v>
      </c>
      <c r="Q246" s="136">
        <f t="shared" si="133"/>
        <v>1360834.14591504</v>
      </c>
      <c r="S246" s="43">
        <f t="shared" si="144"/>
        <v>1360834.14591504</v>
      </c>
      <c r="T246" s="38">
        <f t="shared" si="145"/>
        <v>29.5</v>
      </c>
      <c r="V246" s="43">
        <f t="shared" si="159"/>
        <v>53972.066126121928</v>
      </c>
      <c r="W246" s="43">
        <f t="shared" si="159"/>
        <v>51593.63609344537</v>
      </c>
      <c r="X246" s="43">
        <f t="shared" si="159"/>
        <v>49320.01823170032</v>
      </c>
      <c r="Y246" s="43">
        <f t="shared" si="159"/>
        <v>47146.593699455894</v>
      </c>
      <c r="Z246" s="43">
        <f t="shared" si="159"/>
        <v>45068.947197445974</v>
      </c>
      <c r="AB246" s="43">
        <f t="shared" si="160"/>
        <v>4612.9971047967456</v>
      </c>
      <c r="AC246" s="43">
        <f t="shared" si="160"/>
        <v>4612.9971047967456</v>
      </c>
      <c r="AD246" s="43">
        <f t="shared" si="160"/>
        <v>4612.9971047967456</v>
      </c>
      <c r="AE246" s="43">
        <f t="shared" si="160"/>
        <v>4612.9971047967456</v>
      </c>
      <c r="AF246" s="43">
        <f t="shared" si="160"/>
        <v>4612.9971047967456</v>
      </c>
      <c r="AH246" s="43">
        <f t="shared" si="146"/>
        <v>58585.063230918677</v>
      </c>
      <c r="AI246" s="43">
        <f t="shared" si="147"/>
        <v>56206.633198242118</v>
      </c>
      <c r="AJ246" s="43">
        <f t="shared" si="148"/>
        <v>53933.015336497068</v>
      </c>
      <c r="AK246" s="43">
        <f t="shared" si="149"/>
        <v>51759.590804252643</v>
      </c>
      <c r="AL246" s="43">
        <f t="shared" si="150"/>
        <v>49681.944302242722</v>
      </c>
      <c r="AN246" s="43">
        <f t="shared" si="137"/>
        <v>1302249.0826841213</v>
      </c>
      <c r="AO246" s="43">
        <f t="shared" si="138"/>
        <v>1246042.4494858792</v>
      </c>
      <c r="AP246" s="43">
        <f t="shared" si="139"/>
        <v>1192109.4341493822</v>
      </c>
      <c r="AQ246" s="43">
        <f t="shared" si="140"/>
        <v>1140349.8433451296</v>
      </c>
      <c r="AR246" s="43">
        <f t="shared" si="141"/>
        <v>1090667.8990428869</v>
      </c>
      <c r="AT246" s="43">
        <f t="shared" si="161"/>
        <v>14031.740785417069</v>
      </c>
      <c r="AU246" s="43">
        <f t="shared" si="161"/>
        <v>14842.10187925647</v>
      </c>
      <c r="AV246" s="43">
        <f t="shared" si="161"/>
        <v>15965.352149478602</v>
      </c>
      <c r="AW246" s="43">
        <f t="shared" si="161"/>
        <v>16346.732481625348</v>
      </c>
      <c r="AX246" s="43">
        <f t="shared" si="161"/>
        <v>16900.036682663402</v>
      </c>
      <c r="AZ246" s="47">
        <f t="shared" si="151"/>
        <v>116893.27282759588</v>
      </c>
      <c r="BA246" s="47">
        <f t="shared" si="152"/>
        <v>112168.1359105326</v>
      </c>
      <c r="BB246" s="47">
        <f t="shared" si="153"/>
        <v>115198.52598365219</v>
      </c>
      <c r="BC246" s="47">
        <f t="shared" si="154"/>
        <v>111439.61733299292</v>
      </c>
      <c r="BD246" s="47">
        <f t="shared" si="155"/>
        <v>108027.36114853583</v>
      </c>
    </row>
    <row r="247" spans="2:56" ht="13">
      <c r="B247" s="37">
        <f>'12. Investeringen (bijschatten)'!B50</f>
        <v>31</v>
      </c>
      <c r="C247" s="48"/>
      <c r="E247" s="48"/>
      <c r="F247" s="167">
        <f>'12. Investeringen (bijschatten)'!C50</f>
        <v>36.126161654819548</v>
      </c>
      <c r="H247" s="37">
        <f>'12. Investeringen (bijschatten)'!D50</f>
        <v>2021</v>
      </c>
      <c r="I247" s="37" t="str">
        <f>'12. Investeringen (bijschatten)'!E50</f>
        <v>04 Terreinen (EHD)</v>
      </c>
      <c r="J247" s="167">
        <f>_xlfn.XLOOKUP(I247,'3. Input (des)investeringen '!$B$11:$B$89,'3. Input (des)investeringen '!$D$11:$D$89)</f>
        <v>0</v>
      </c>
      <c r="K247" s="153"/>
      <c r="L247" s="153"/>
      <c r="M247" s="43">
        <f t="shared" si="130"/>
        <v>0</v>
      </c>
      <c r="N247" s="43">
        <f t="shared" si="131"/>
        <v>0</v>
      </c>
      <c r="P247" s="136">
        <f t="shared" si="132"/>
        <v>0</v>
      </c>
      <c r="Q247" s="136">
        <f t="shared" si="133"/>
        <v>36.126161654819548</v>
      </c>
      <c r="S247" s="43">
        <f t="shared" si="144"/>
        <v>36.126161654819548</v>
      </c>
      <c r="T247" s="38">
        <f t="shared" si="145"/>
        <v>0</v>
      </c>
      <c r="V247" s="43">
        <f t="shared" ref="V247:Z256" si="162">IF($J247=0, 0, IF(OR($H247&gt;V$59,$H247+$J247&lt;V$59),0,
IF(OR($H247=2020,$H247=2021),VDB(ABS($S247)*(1-$F$28),0,$T247,V$59-2022,MIN($T247,V$59-2021),$F$22),
VDB(ABS($S247)*(1-$F$28),0,$T247,MAX(0,V$59-$H247-0.5),MIN($T247,V$59-$H247+0.5),$F$22,FALSE))))*IF($F247&lt;0,-1,1)</f>
        <v>0</v>
      </c>
      <c r="W247" s="43">
        <f t="shared" si="162"/>
        <v>0</v>
      </c>
      <c r="X247" s="43">
        <f t="shared" si="162"/>
        <v>0</v>
      </c>
      <c r="Y247" s="43">
        <f t="shared" si="162"/>
        <v>0</v>
      </c>
      <c r="Z247" s="43">
        <f t="shared" si="162"/>
        <v>0</v>
      </c>
      <c r="AB247" s="43">
        <f t="shared" ref="AB247:AF256" si="163">IF($J247 = 0, 0, IF(OR($H247&gt;AB$59,$H247+$J247&lt;AB$59),0,
IF(OR($H247=2020,$H247=2021),VDB(ABS($S247)*$F$28,0,$T247,AB$59-2022,MIN($T247,AB$59-2021),1),
VDB(ABS($S247)*$F$28,0,$T247,MAX(0,AB$59-$H247-0.5),MIN($T247,AB$59-$H247+0.5),1))))*IF($F247&lt;0,-1,1)</f>
        <v>0</v>
      </c>
      <c r="AC247" s="43">
        <f t="shared" si="163"/>
        <v>0</v>
      </c>
      <c r="AD247" s="43">
        <f t="shared" si="163"/>
        <v>0</v>
      </c>
      <c r="AE247" s="43">
        <f t="shared" si="163"/>
        <v>0</v>
      </c>
      <c r="AF247" s="43">
        <f t="shared" si="163"/>
        <v>0</v>
      </c>
      <c r="AH247" s="43">
        <f t="shared" si="146"/>
        <v>0</v>
      </c>
      <c r="AI247" s="43">
        <f t="shared" si="147"/>
        <v>0</v>
      </c>
      <c r="AJ247" s="43">
        <f t="shared" si="148"/>
        <v>0</v>
      </c>
      <c r="AK247" s="43">
        <f t="shared" si="149"/>
        <v>0</v>
      </c>
      <c r="AL247" s="43">
        <f t="shared" si="150"/>
        <v>0</v>
      </c>
      <c r="AN247" s="43">
        <f t="shared" si="137"/>
        <v>36.126161654819548</v>
      </c>
      <c r="AO247" s="43">
        <f t="shared" si="138"/>
        <v>36.126161654819548</v>
      </c>
      <c r="AP247" s="43">
        <f t="shared" si="139"/>
        <v>36.126161654819548</v>
      </c>
      <c r="AQ247" s="43">
        <f t="shared" si="140"/>
        <v>36.126161654819548</v>
      </c>
      <c r="AR247" s="43">
        <f t="shared" si="141"/>
        <v>36.126161654819548</v>
      </c>
      <c r="AT247" s="43">
        <f t="shared" ref="AT247:AX256" si="164">IF($H247&lt;=AT$215,$F247*INDEX($H$40:$N$46,$H247-2019,AT$215-2019)*INDEX($H$49:$N$55,$H247-2019,AT$215-2019)*$F$19,0)</f>
        <v>0.36629326834347881</v>
      </c>
      <c r="AU247" s="43">
        <f t="shared" si="164"/>
        <v>0.38744743717685132</v>
      </c>
      <c r="AV247" s="43">
        <f t="shared" si="164"/>
        <v>0.4167694592223955</v>
      </c>
      <c r="AW247" s="43">
        <f t="shared" si="164"/>
        <v>0.42672524806430007</v>
      </c>
      <c r="AX247" s="43">
        <f t="shared" si="164"/>
        <v>0.44116904426078046</v>
      </c>
      <c r="AZ247" s="47">
        <f t="shared" si="151"/>
        <v>1.5945827646073434</v>
      </c>
      <c r="BA247" s="47">
        <f t="shared" si="152"/>
        <v>1.5796107717858965</v>
      </c>
      <c r="BB247" s="47">
        <f t="shared" si="153"/>
        <v>1.7895636021055381</v>
      </c>
      <c r="BC247" s="47">
        <f t="shared" si="154"/>
        <v>1.7995193909474427</v>
      </c>
      <c r="BD247" s="47">
        <f t="shared" si="155"/>
        <v>1.8139631871439232</v>
      </c>
    </row>
    <row r="248" spans="2:56" ht="13">
      <c r="B248" s="37">
        <f>'12. Investeringen (bijschatten)'!B51</f>
        <v>32</v>
      </c>
      <c r="C248" s="48"/>
      <c r="E248" s="48"/>
      <c r="F248" s="167">
        <f>'12. Investeringen (bijschatten)'!C51</f>
        <v>1248204.1157067129</v>
      </c>
      <c r="H248" s="37">
        <f>'12. Investeringen (bijschatten)'!D51</f>
        <v>2021</v>
      </c>
      <c r="I248" s="37" t="str">
        <f>'12. Investeringen (bijschatten)'!E51</f>
        <v>05 Wegen en terreinvoorzieningen</v>
      </c>
      <c r="J248" s="167">
        <f>_xlfn.XLOOKUP(I248,'3. Input (des)investeringen '!$B$11:$B$89,'3. Input (des)investeringen '!$D$11:$D$89)</f>
        <v>10</v>
      </c>
      <c r="K248" s="153"/>
      <c r="L248" s="153"/>
      <c r="M248" s="43">
        <f t="shared" si="130"/>
        <v>0</v>
      </c>
      <c r="N248" s="43">
        <f t="shared" si="131"/>
        <v>62410.205785335653</v>
      </c>
      <c r="P248" s="136">
        <f t="shared" si="132"/>
        <v>0</v>
      </c>
      <c r="Q248" s="136">
        <f t="shared" si="133"/>
        <v>1185793.9099213772</v>
      </c>
      <c r="S248" s="43">
        <f t="shared" si="144"/>
        <v>1185793.9099213772</v>
      </c>
      <c r="T248" s="38">
        <f t="shared" si="145"/>
        <v>9.5</v>
      </c>
      <c r="V248" s="43">
        <f t="shared" si="162"/>
        <v>146039.88153768543</v>
      </c>
      <c r="W248" s="43">
        <f t="shared" si="162"/>
        <v>126055.47669568638</v>
      </c>
      <c r="X248" s="43">
        <f t="shared" si="162"/>
        <v>108805.77988469771</v>
      </c>
      <c r="Y248" s="43">
        <f t="shared" si="162"/>
        <v>105586.67397094924</v>
      </c>
      <c r="Z248" s="43">
        <f t="shared" si="162"/>
        <v>105586.67397094924</v>
      </c>
      <c r="AB248" s="43">
        <f t="shared" si="163"/>
        <v>12482.041157067128</v>
      </c>
      <c r="AC248" s="43">
        <f t="shared" si="163"/>
        <v>12482.041157067128</v>
      </c>
      <c r="AD248" s="43">
        <f t="shared" si="163"/>
        <v>12482.041157067128</v>
      </c>
      <c r="AE248" s="43">
        <f t="shared" si="163"/>
        <v>12482.041157067128</v>
      </c>
      <c r="AF248" s="43">
        <f t="shared" si="163"/>
        <v>12482.041157067128</v>
      </c>
      <c r="AH248" s="43">
        <f t="shared" si="146"/>
        <v>158521.92269475257</v>
      </c>
      <c r="AI248" s="43">
        <f t="shared" si="147"/>
        <v>138537.51785275352</v>
      </c>
      <c r="AJ248" s="43">
        <f t="shared" si="148"/>
        <v>121287.82104176484</v>
      </c>
      <c r="AK248" s="43">
        <f t="shared" si="149"/>
        <v>118068.71512801637</v>
      </c>
      <c r="AL248" s="43">
        <f t="shared" si="150"/>
        <v>118068.71512801637</v>
      </c>
      <c r="AN248" s="43">
        <f t="shared" si="137"/>
        <v>1027271.9872266246</v>
      </c>
      <c r="AO248" s="43">
        <f t="shared" si="138"/>
        <v>888734.46937387111</v>
      </c>
      <c r="AP248" s="43">
        <f t="shared" si="139"/>
        <v>767446.6483321063</v>
      </c>
      <c r="AQ248" s="43">
        <f t="shared" si="140"/>
        <v>649377.93320408999</v>
      </c>
      <c r="AR248" s="43">
        <f t="shared" si="141"/>
        <v>531309.21807607356</v>
      </c>
      <c r="AT248" s="43">
        <f t="shared" si="164"/>
        <v>12655.891026302761</v>
      </c>
      <c r="AU248" s="43">
        <f t="shared" si="164"/>
        <v>13386.794044853799</v>
      </c>
      <c r="AV248" s="43">
        <f t="shared" si="164"/>
        <v>14399.906618168334</v>
      </c>
      <c r="AW248" s="43">
        <f t="shared" si="164"/>
        <v>14743.891587463138</v>
      </c>
      <c r="AX248" s="43">
        <f t="shared" si="164"/>
        <v>15242.94282991559</v>
      </c>
      <c r="AZ248" s="47">
        <f t="shared" si="151"/>
        <v>206105.06128676058</v>
      </c>
      <c r="BA248" s="47">
        <f t="shared" si="152"/>
        <v>181252.54938694506</v>
      </c>
      <c r="BB248" s="47">
        <f t="shared" si="153"/>
        <v>164850.70029655323</v>
      </c>
      <c r="BC248" s="47">
        <f t="shared" si="154"/>
        <v>157488.96817723493</v>
      </c>
      <c r="BD248" s="47">
        <f t="shared" si="155"/>
        <v>153501.40824482276</v>
      </c>
    </row>
    <row r="249" spans="2:56" ht="13">
      <c r="B249" s="37">
        <f>'12. Investeringen (bijschatten)'!B52</f>
        <v>33</v>
      </c>
      <c r="C249" s="48"/>
      <c r="E249" s="48"/>
      <c r="F249" s="167">
        <f>'12. Investeringen (bijschatten)'!C52</f>
        <v>23454.576356302689</v>
      </c>
      <c r="H249" s="37">
        <f>'12. Investeringen (bijschatten)'!D52</f>
        <v>2021</v>
      </c>
      <c r="I249" s="37" t="str">
        <f>'12. Investeringen (bijschatten)'!E52</f>
        <v>05 Wegen en terreinvoorzieningen (EHD)</v>
      </c>
      <c r="J249" s="167">
        <f>_xlfn.XLOOKUP(I249,'3. Input (des)investeringen '!$B$11:$B$89,'3. Input (des)investeringen '!$D$11:$D$89)</f>
        <v>10</v>
      </c>
      <c r="K249" s="153"/>
      <c r="L249" s="153"/>
      <c r="M249" s="43">
        <f t="shared" ref="M249:M280" si="165">IF($J249 = 0, 0, IF($H249&lt;=M$215,
VDB(ABS($F249),0,$J249,MAX(0,M$59-$H249-0.5),MIN($J249,M$59-$H249+0.5),1)*IF($F249&lt;0,-1,1)*INDEX(H$40:H$46,$H249-2019,1),
0))</f>
        <v>0</v>
      </c>
      <c r="N249" s="43">
        <f t="shared" ref="N249:N280" si="166">IF($J249 = 0, 0, IF($H249&lt;=N$215,
VDB(ABS($F249),0,$J249,MAX(0,N$59-$H249-0.5),MIN($J249,N$59-$H249+0.5),1)*IF($F249&lt;0,-1,1)*INDEX(I$40:I$46,$H249-2019,1),
0))</f>
        <v>1172.7288178151346</v>
      </c>
      <c r="P249" s="136">
        <f t="shared" ref="P249:P280" si="167">IF($J249=0, IF($H249 = M$215, $F249, 0), IF(OR($H249&gt;P$59,$H249+$J249&lt;=P$59),0,
F249-M249))</f>
        <v>0</v>
      </c>
      <c r="Q249" s="136">
        <f t="shared" ref="Q249:Q280" si="168">IF($J249=0, IF($H249 &gt; N$215, 0, IF($H249=N$215, $F249, $P249*I$40)), IF(OR($H249&gt;Q$59,$H249+$J249&lt;=Q$59),0,
IF($H249=Q$59,F249-N249,P249*I$40-N249)))</f>
        <v>22281.847538487553</v>
      </c>
      <c r="S249" s="43">
        <f t="shared" si="144"/>
        <v>22281.847538487553</v>
      </c>
      <c r="T249" s="38">
        <f t="shared" si="145"/>
        <v>9.5</v>
      </c>
      <c r="V249" s="43">
        <f t="shared" si="162"/>
        <v>2744.1854336874144</v>
      </c>
      <c r="W249" s="43">
        <f t="shared" si="162"/>
        <v>2368.6653217091371</v>
      </c>
      <c r="X249" s="43">
        <f t="shared" si="162"/>
        <v>2044.5321724226233</v>
      </c>
      <c r="Y249" s="43">
        <f t="shared" si="162"/>
        <v>1984.0430548953266</v>
      </c>
      <c r="Z249" s="43">
        <f t="shared" si="162"/>
        <v>1984.0430548953266</v>
      </c>
      <c r="AB249" s="43">
        <f t="shared" si="163"/>
        <v>234.5457635630269</v>
      </c>
      <c r="AC249" s="43">
        <f t="shared" si="163"/>
        <v>234.5457635630269</v>
      </c>
      <c r="AD249" s="43">
        <f t="shared" si="163"/>
        <v>234.5457635630269</v>
      </c>
      <c r="AE249" s="43">
        <f t="shared" si="163"/>
        <v>234.5457635630269</v>
      </c>
      <c r="AF249" s="43">
        <f t="shared" si="163"/>
        <v>234.5457635630269</v>
      </c>
      <c r="AH249" s="43">
        <f t="shared" si="146"/>
        <v>2978.7311972504413</v>
      </c>
      <c r="AI249" s="43">
        <f t="shared" si="147"/>
        <v>2603.2110852721639</v>
      </c>
      <c r="AJ249" s="43">
        <f t="shared" si="148"/>
        <v>2279.0779359856501</v>
      </c>
      <c r="AK249" s="43">
        <f t="shared" si="149"/>
        <v>2218.5888184583537</v>
      </c>
      <c r="AL249" s="43">
        <f t="shared" si="150"/>
        <v>2218.5888184583537</v>
      </c>
      <c r="AN249" s="43">
        <f t="shared" ref="AN249:AN280" si="169">IF($J249=0,IF($H249 &gt; AN$215, 0,$S249),IF(OR($H249&gt;AN$59,$H249+$J249&lt;=AN$59),0,
IF($H249=AN$59,$S249-AH249,
S249-AH249)))</f>
        <v>19303.11634123711</v>
      </c>
      <c r="AO249" s="43">
        <f t="shared" ref="AO249:AO280" si="170">IF($J249 = 0, IF($H249 &gt; AO$215, 0, IF($H249=AO$215, $F249, AN249)), IF(OR($H249&gt;AO$59,$H249+$J249&lt;=AO$59),0,
IF($H249=AO$59,$S249-AI249,
AN249-AI249)))</f>
        <v>16699.905255964946</v>
      </c>
      <c r="AP249" s="43">
        <f t="shared" ref="AP249:AP280" si="171">IF($J249 = 0, IF($H249 &gt; AP$215, 0, IF($H249=AP$215, $F249, AO249)), IF(OR($H249&gt;AP$59,$H249+$J249&lt;=AP$59),0,
IF($H249=AP$59,$S249-AJ249,
AO249-AJ249)))</f>
        <v>14420.827319979297</v>
      </c>
      <c r="AQ249" s="43">
        <f t="shared" ref="AQ249:AQ280" si="172">IF($J249 = 0, IF($H249 &gt; AQ$215, 0, IF($H249=AQ$215, $F249, AP249)), IF(OR($H249&gt;AQ$59,$H249+$J249&lt;=AQ$59),0,
IF($H249=AQ$59,$S249-AK249,
AP249-AK249)))</f>
        <v>12202.238501520944</v>
      </c>
      <c r="AR249" s="43">
        <f t="shared" ref="AR249:AR280" si="173">IF($J249 = 0, IF($H249 &gt; AR$215, 0, IF($H249=AR$215, $F249, AQ249)), IF(OR($H249&gt;AR$59,$H249+$J249&lt;=AR$59),0,
IF($H249=AR$59,$S249-AL249,
AQ249-AL249)))</f>
        <v>9983.6496830625911</v>
      </c>
      <c r="AT249" s="43">
        <f t="shared" si="164"/>
        <v>237.81251695793273</v>
      </c>
      <c r="AU249" s="43">
        <f t="shared" si="164"/>
        <v>251.54666543728726</v>
      </c>
      <c r="AV249" s="43">
        <f t="shared" si="164"/>
        <v>270.58371707758118</v>
      </c>
      <c r="AW249" s="43">
        <f t="shared" si="164"/>
        <v>277.04742091113042</v>
      </c>
      <c r="AX249" s="43">
        <f t="shared" si="164"/>
        <v>286.42492201413035</v>
      </c>
      <c r="AZ249" s="47">
        <f t="shared" si="151"/>
        <v>3872.8496698104354</v>
      </c>
      <c r="BA249" s="47">
        <f t="shared" si="152"/>
        <v>3405.8546241562944</v>
      </c>
      <c r="BB249" s="47">
        <f t="shared" si="153"/>
        <v>3097.6530912224443</v>
      </c>
      <c r="BC249" s="47">
        <f t="shared" si="154"/>
        <v>2959.32130242728</v>
      </c>
      <c r="BD249" s="47">
        <f t="shared" si="155"/>
        <v>2884.3924284288628</v>
      </c>
    </row>
    <row r="250" spans="2:56" ht="13">
      <c r="B250" s="37">
        <f>'12. Investeringen (bijschatten)'!B53</f>
        <v>34</v>
      </c>
      <c r="C250" s="48"/>
      <c r="E250" s="48"/>
      <c r="F250" s="167">
        <f>'12. Investeringen (bijschatten)'!C53</f>
        <v>1097396.6149389972</v>
      </c>
      <c r="H250" s="37">
        <f>'12. Investeringen (bijschatten)'!D53</f>
        <v>2021</v>
      </c>
      <c r="I250" s="37" t="str">
        <f>'12. Investeringen (bijschatten)'!E53</f>
        <v>06 Utiliteitsgebouwen</v>
      </c>
      <c r="J250" s="167">
        <f>_xlfn.XLOOKUP(I250,'3. Input (des)investeringen '!$B$11:$B$89,'3. Input (des)investeringen '!$D$11:$D$89)</f>
        <v>30</v>
      </c>
      <c r="K250" s="153"/>
      <c r="L250" s="153"/>
      <c r="M250" s="43">
        <f t="shared" si="165"/>
        <v>0</v>
      </c>
      <c r="N250" s="43">
        <f t="shared" si="166"/>
        <v>18289.94358231662</v>
      </c>
      <c r="P250" s="136">
        <f t="shared" si="167"/>
        <v>0</v>
      </c>
      <c r="Q250" s="136">
        <f t="shared" si="168"/>
        <v>1079106.6713566806</v>
      </c>
      <c r="S250" s="43">
        <f t="shared" si="144"/>
        <v>1079106.6713566806</v>
      </c>
      <c r="T250" s="38">
        <f t="shared" si="145"/>
        <v>29.5</v>
      </c>
      <c r="V250" s="43">
        <f t="shared" si="162"/>
        <v>42798.467982620896</v>
      </c>
      <c r="W250" s="43">
        <f t="shared" si="162"/>
        <v>40912.433800335901</v>
      </c>
      <c r="X250" s="43">
        <f t="shared" si="162"/>
        <v>39109.512988795679</v>
      </c>
      <c r="Y250" s="43">
        <f t="shared" si="162"/>
        <v>37386.042924882648</v>
      </c>
      <c r="Z250" s="43">
        <f t="shared" si="162"/>
        <v>35738.522389209858</v>
      </c>
      <c r="AB250" s="43">
        <f t="shared" si="163"/>
        <v>3657.9887164633242</v>
      </c>
      <c r="AC250" s="43">
        <f t="shared" si="163"/>
        <v>3657.9887164633242</v>
      </c>
      <c r="AD250" s="43">
        <f t="shared" si="163"/>
        <v>3657.9887164633242</v>
      </c>
      <c r="AE250" s="43">
        <f t="shared" si="163"/>
        <v>3657.9887164633242</v>
      </c>
      <c r="AF250" s="43">
        <f t="shared" si="163"/>
        <v>3657.9887164633242</v>
      </c>
      <c r="AH250" s="43">
        <f t="shared" si="146"/>
        <v>46456.456699084221</v>
      </c>
      <c r="AI250" s="43">
        <f t="shared" si="147"/>
        <v>44570.422516799226</v>
      </c>
      <c r="AJ250" s="43">
        <f t="shared" si="148"/>
        <v>42767.501705259005</v>
      </c>
      <c r="AK250" s="43">
        <f t="shared" si="149"/>
        <v>41044.031641345973</v>
      </c>
      <c r="AL250" s="43">
        <f t="shared" si="150"/>
        <v>39396.511105673184</v>
      </c>
      <c r="AN250" s="43">
        <f t="shared" si="169"/>
        <v>1032650.2146575963</v>
      </c>
      <c r="AO250" s="43">
        <f t="shared" si="170"/>
        <v>988079.79214079713</v>
      </c>
      <c r="AP250" s="43">
        <f t="shared" si="171"/>
        <v>945312.29043553816</v>
      </c>
      <c r="AQ250" s="43">
        <f t="shared" si="172"/>
        <v>904268.25879419222</v>
      </c>
      <c r="AR250" s="43">
        <f t="shared" si="173"/>
        <v>864871.74768851907</v>
      </c>
      <c r="AT250" s="43">
        <f t="shared" si="164"/>
        <v>11126.811549918675</v>
      </c>
      <c r="AU250" s="43">
        <f t="shared" si="164"/>
        <v>11769.407170549581</v>
      </c>
      <c r="AV250" s="43">
        <f t="shared" si="164"/>
        <v>12660.115905216771</v>
      </c>
      <c r="AW250" s="43">
        <f t="shared" si="164"/>
        <v>12962.540753960591</v>
      </c>
      <c r="AX250" s="43">
        <f t="shared" si="164"/>
        <v>13401.296833400647</v>
      </c>
      <c r="AZ250" s="47">
        <f t="shared" si="151"/>
        <v>92693.375547361182</v>
      </c>
      <c r="BA250" s="47">
        <f t="shared" si="152"/>
        <v>88946.462827995128</v>
      </c>
      <c r="BB250" s="47">
        <f t="shared" si="153"/>
        <v>91349.484647026227</v>
      </c>
      <c r="BC250" s="47">
        <f t="shared" si="154"/>
        <v>88368.766229485875</v>
      </c>
      <c r="BD250" s="47">
        <f t="shared" si="155"/>
        <v>85662.934351237549</v>
      </c>
    </row>
    <row r="251" spans="2:56" ht="13">
      <c r="B251" s="37">
        <f>'12. Investeringen (bijschatten)'!B54</f>
        <v>35</v>
      </c>
      <c r="C251" s="48"/>
      <c r="E251" s="48"/>
      <c r="F251" s="167">
        <f>'12. Investeringen (bijschatten)'!C54</f>
        <v>21.673674251477685</v>
      </c>
      <c r="H251" s="37">
        <f>'12. Investeringen (bijschatten)'!D54</f>
        <v>2021</v>
      </c>
      <c r="I251" s="37" t="str">
        <f>'12. Investeringen (bijschatten)'!E54</f>
        <v>06 Utiliteitsgebouwen (EHD)</v>
      </c>
      <c r="J251" s="167">
        <f>_xlfn.XLOOKUP(I251,'3. Input (des)investeringen '!$B$11:$B$89,'3. Input (des)investeringen '!$D$11:$D$89)</f>
        <v>30</v>
      </c>
      <c r="K251" s="153"/>
      <c r="L251" s="153"/>
      <c r="M251" s="43">
        <f t="shared" si="165"/>
        <v>0</v>
      </c>
      <c r="N251" s="43">
        <f t="shared" si="166"/>
        <v>0.36122790419129475</v>
      </c>
      <c r="P251" s="136">
        <f t="shared" si="167"/>
        <v>0</v>
      </c>
      <c r="Q251" s="136">
        <f t="shared" si="168"/>
        <v>21.312446347286389</v>
      </c>
      <c r="S251" s="43">
        <f t="shared" si="144"/>
        <v>21.312446347286389</v>
      </c>
      <c r="T251" s="38">
        <f t="shared" si="145"/>
        <v>29.5</v>
      </c>
      <c r="V251" s="43">
        <f t="shared" si="162"/>
        <v>0.84527329580762967</v>
      </c>
      <c r="W251" s="43">
        <f t="shared" si="162"/>
        <v>0.80802396412797139</v>
      </c>
      <c r="X251" s="43">
        <f t="shared" si="162"/>
        <v>0.77241612842063712</v>
      </c>
      <c r="Y251" s="43">
        <f t="shared" si="162"/>
        <v>0.7383774515749818</v>
      </c>
      <c r="Z251" s="43">
        <f t="shared" si="162"/>
        <v>0.70583878421744017</v>
      </c>
      <c r="AB251" s="43">
        <f t="shared" si="163"/>
        <v>7.2245580838258952E-2</v>
      </c>
      <c r="AC251" s="43">
        <f t="shared" si="163"/>
        <v>7.2245580838258952E-2</v>
      </c>
      <c r="AD251" s="43">
        <f t="shared" si="163"/>
        <v>7.2245580838258952E-2</v>
      </c>
      <c r="AE251" s="43">
        <f t="shared" si="163"/>
        <v>7.2245580838258952E-2</v>
      </c>
      <c r="AF251" s="43">
        <f t="shared" si="163"/>
        <v>7.2245580838258952E-2</v>
      </c>
      <c r="AH251" s="43">
        <f t="shared" si="146"/>
        <v>0.9175188766458886</v>
      </c>
      <c r="AI251" s="43">
        <f t="shared" si="147"/>
        <v>0.88026954496623033</v>
      </c>
      <c r="AJ251" s="43">
        <f t="shared" si="148"/>
        <v>0.84466170925889605</v>
      </c>
      <c r="AK251" s="43">
        <f t="shared" si="149"/>
        <v>0.81062303241324074</v>
      </c>
      <c r="AL251" s="43">
        <f t="shared" si="150"/>
        <v>0.77808436505569911</v>
      </c>
      <c r="AN251" s="43">
        <f t="shared" si="169"/>
        <v>20.3949274706405</v>
      </c>
      <c r="AO251" s="43">
        <f t="shared" si="170"/>
        <v>19.514657925674271</v>
      </c>
      <c r="AP251" s="43">
        <f t="shared" si="171"/>
        <v>18.669996216415374</v>
      </c>
      <c r="AQ251" s="43">
        <f t="shared" si="172"/>
        <v>17.859373184002134</v>
      </c>
      <c r="AR251" s="43">
        <f t="shared" si="173"/>
        <v>17.081288818946437</v>
      </c>
      <c r="AT251" s="43">
        <f t="shared" si="164"/>
        <v>0.21975545186452269</v>
      </c>
      <c r="AU251" s="43">
        <f t="shared" si="164"/>
        <v>0.23244676872060258</v>
      </c>
      <c r="AV251" s="43">
        <f t="shared" si="164"/>
        <v>0.2500383401773778</v>
      </c>
      <c r="AW251" s="43">
        <f t="shared" si="164"/>
        <v>0.256011256047535</v>
      </c>
      <c r="AX251" s="43">
        <f t="shared" si="164"/>
        <v>0.26467672504223194</v>
      </c>
      <c r="AZ251" s="47">
        <f t="shared" si="151"/>
        <v>1.8307018625121882</v>
      </c>
      <c r="BA251" s="47">
        <f t="shared" si="152"/>
        <v>1.7567000252340841</v>
      </c>
      <c r="BB251" s="47">
        <f t="shared" si="153"/>
        <v>1.8041599056600579</v>
      </c>
      <c r="BC251" s="47">
        <f t="shared" si="154"/>
        <v>1.7452904694528566</v>
      </c>
      <c r="BD251" s="47">
        <f t="shared" si="155"/>
        <v>1.6918500652178956</v>
      </c>
    </row>
    <row r="252" spans="2:56" ht="13">
      <c r="B252" s="37">
        <f>'12. Investeringen (bijschatten)'!B55</f>
        <v>36</v>
      </c>
      <c r="C252" s="48"/>
      <c r="E252" s="48"/>
      <c r="F252" s="167">
        <f>'12. Investeringen (bijschatten)'!C55</f>
        <v>396020.07371979632</v>
      </c>
      <c r="H252" s="37">
        <f>'12. Investeringen (bijschatten)'!D55</f>
        <v>2021</v>
      </c>
      <c r="I252" s="37" t="str">
        <f>'12. Investeringen (bijschatten)'!E55</f>
        <v>08 Inrichting gebouwen</v>
      </c>
      <c r="J252" s="167">
        <f>_xlfn.XLOOKUP(I252,'3. Input (des)investeringen '!$B$11:$B$89,'3. Input (des)investeringen '!$D$11:$D$89)</f>
        <v>10</v>
      </c>
      <c r="K252" s="153"/>
      <c r="L252" s="153"/>
      <c r="M252" s="43">
        <f t="shared" si="165"/>
        <v>0</v>
      </c>
      <c r="N252" s="43">
        <f t="shared" si="166"/>
        <v>19801.003685989817</v>
      </c>
      <c r="P252" s="136">
        <f t="shared" si="167"/>
        <v>0</v>
      </c>
      <c r="Q252" s="136">
        <f t="shared" si="168"/>
        <v>376219.07003380649</v>
      </c>
      <c r="S252" s="43">
        <f t="shared" si="144"/>
        <v>376219.07003380649</v>
      </c>
      <c r="T252" s="38">
        <f t="shared" si="145"/>
        <v>9.5</v>
      </c>
      <c r="V252" s="43">
        <f t="shared" si="162"/>
        <v>46334.348625216175</v>
      </c>
      <c r="W252" s="43">
        <f t="shared" si="162"/>
        <v>39993.858813344486</v>
      </c>
      <c r="X252" s="43">
        <f t="shared" si="162"/>
        <v>34521.014975728918</v>
      </c>
      <c r="Y252" s="43">
        <f t="shared" si="162"/>
        <v>33499.683171713266</v>
      </c>
      <c r="Z252" s="43">
        <f t="shared" si="162"/>
        <v>33499.683171713266</v>
      </c>
      <c r="AB252" s="43">
        <f t="shared" si="163"/>
        <v>3960.200737197963</v>
      </c>
      <c r="AC252" s="43">
        <f t="shared" si="163"/>
        <v>3960.200737197963</v>
      </c>
      <c r="AD252" s="43">
        <f t="shared" si="163"/>
        <v>3960.200737197963</v>
      </c>
      <c r="AE252" s="43">
        <f t="shared" si="163"/>
        <v>3960.200737197963</v>
      </c>
      <c r="AF252" s="43">
        <f t="shared" si="163"/>
        <v>3960.200737197963</v>
      </c>
      <c r="AH252" s="43">
        <f t="shared" si="146"/>
        <v>50294.549362414138</v>
      </c>
      <c r="AI252" s="43">
        <f t="shared" si="147"/>
        <v>43954.05955054245</v>
      </c>
      <c r="AJ252" s="43">
        <f t="shared" si="148"/>
        <v>38481.215712926882</v>
      </c>
      <c r="AK252" s="43">
        <f t="shared" si="149"/>
        <v>37459.88390891123</v>
      </c>
      <c r="AL252" s="43">
        <f t="shared" si="150"/>
        <v>37459.88390891123</v>
      </c>
      <c r="AN252" s="43">
        <f t="shared" si="169"/>
        <v>325924.52067139233</v>
      </c>
      <c r="AO252" s="43">
        <f t="shared" si="170"/>
        <v>281970.46112084988</v>
      </c>
      <c r="AP252" s="43">
        <f t="shared" si="171"/>
        <v>243489.24540792301</v>
      </c>
      <c r="AQ252" s="43">
        <f t="shared" si="172"/>
        <v>206029.36149901178</v>
      </c>
      <c r="AR252" s="43">
        <f t="shared" si="173"/>
        <v>168569.47759010055</v>
      </c>
      <c r="AT252" s="43">
        <f t="shared" si="164"/>
        <v>4015.3584130656568</v>
      </c>
      <c r="AU252" s="43">
        <f t="shared" si="164"/>
        <v>4247.2533921370241</v>
      </c>
      <c r="AV252" s="43">
        <f t="shared" si="164"/>
        <v>4568.6855288539546</v>
      </c>
      <c r="AW252" s="43">
        <f t="shared" si="164"/>
        <v>4677.8222887672173</v>
      </c>
      <c r="AX252" s="43">
        <f t="shared" si="164"/>
        <v>4836.1572175974106</v>
      </c>
      <c r="AZ252" s="47">
        <f t="shared" si="151"/>
        <v>65391.341478307142</v>
      </c>
      <c r="BA252" s="47">
        <f t="shared" si="152"/>
        <v>57506.338159667524</v>
      </c>
      <c r="BB252" s="47">
        <f t="shared" si="153"/>
        <v>52302.492567281908</v>
      </c>
      <c r="BC252" s="47">
        <f t="shared" si="154"/>
        <v>49966.821934640895</v>
      </c>
      <c r="BD252" s="47">
        <f t="shared" si="155"/>
        <v>48701.68127493246</v>
      </c>
    </row>
    <row r="253" spans="2:56" ht="13">
      <c r="B253" s="37">
        <f>'12. Investeringen (bijschatten)'!B56</f>
        <v>37</v>
      </c>
      <c r="C253" s="48"/>
      <c r="E253" s="48"/>
      <c r="F253" s="167">
        <f>'12. Investeringen (bijschatten)'!C56</f>
        <v>467492.18719026912</v>
      </c>
      <c r="H253" s="37">
        <f>'12. Investeringen (bijschatten)'!D56</f>
        <v>2021</v>
      </c>
      <c r="I253" s="37" t="str">
        <f>'12. Investeringen (bijschatten)'!E56</f>
        <v>10 Gereedschap</v>
      </c>
      <c r="J253" s="167">
        <f>_xlfn.XLOOKUP(I253,'3. Input (des)investeringen '!$B$11:$B$89,'3. Input (des)investeringen '!$D$11:$D$89)</f>
        <v>10</v>
      </c>
      <c r="K253" s="153"/>
      <c r="L253" s="153"/>
      <c r="M253" s="43">
        <f t="shared" si="165"/>
        <v>0</v>
      </c>
      <c r="N253" s="43">
        <f t="shared" si="166"/>
        <v>23374.609359513459</v>
      </c>
      <c r="P253" s="136">
        <f t="shared" si="167"/>
        <v>0</v>
      </c>
      <c r="Q253" s="136">
        <f t="shared" si="168"/>
        <v>444117.57783075568</v>
      </c>
      <c r="S253" s="43">
        <f t="shared" si="144"/>
        <v>444117.57783075568</v>
      </c>
      <c r="T253" s="38">
        <f t="shared" si="145"/>
        <v>9.5</v>
      </c>
      <c r="V253" s="43">
        <f t="shared" si="162"/>
        <v>54696.585901261496</v>
      </c>
      <c r="W253" s="43">
        <f t="shared" si="162"/>
        <v>47211.789935825713</v>
      </c>
      <c r="X253" s="43">
        <f t="shared" si="162"/>
        <v>40751.229207765347</v>
      </c>
      <c r="Y253" s="43">
        <f t="shared" si="162"/>
        <v>39545.571538896547</v>
      </c>
      <c r="Z253" s="43">
        <f t="shared" si="162"/>
        <v>39545.571538896547</v>
      </c>
      <c r="AB253" s="43">
        <f t="shared" si="163"/>
        <v>4674.9218719026912</v>
      </c>
      <c r="AC253" s="43">
        <f t="shared" si="163"/>
        <v>4674.9218719026912</v>
      </c>
      <c r="AD253" s="43">
        <f t="shared" si="163"/>
        <v>4674.9218719026912</v>
      </c>
      <c r="AE253" s="43">
        <f t="shared" si="163"/>
        <v>4674.9218719026912</v>
      </c>
      <c r="AF253" s="43">
        <f t="shared" si="163"/>
        <v>4674.9218719026912</v>
      </c>
      <c r="AH253" s="43">
        <f t="shared" si="146"/>
        <v>59371.507773164187</v>
      </c>
      <c r="AI253" s="43">
        <f t="shared" si="147"/>
        <v>51886.711807728403</v>
      </c>
      <c r="AJ253" s="43">
        <f t="shared" si="148"/>
        <v>45426.151079668038</v>
      </c>
      <c r="AK253" s="43">
        <f t="shared" si="149"/>
        <v>44220.493410799238</v>
      </c>
      <c r="AL253" s="43">
        <f t="shared" si="150"/>
        <v>44220.493410799238</v>
      </c>
      <c r="AN253" s="43">
        <f t="shared" si="169"/>
        <v>384746.07005759148</v>
      </c>
      <c r="AO253" s="43">
        <f t="shared" si="170"/>
        <v>332859.35824986309</v>
      </c>
      <c r="AP253" s="43">
        <f t="shared" si="171"/>
        <v>287433.20717019506</v>
      </c>
      <c r="AQ253" s="43">
        <f t="shared" si="172"/>
        <v>243212.71375939582</v>
      </c>
      <c r="AR253" s="43">
        <f t="shared" si="173"/>
        <v>198992.22034859657</v>
      </c>
      <c r="AT253" s="43">
        <f t="shared" si="164"/>
        <v>4740.0341837345522</v>
      </c>
      <c r="AU253" s="43">
        <f t="shared" si="164"/>
        <v>5013.78063791359</v>
      </c>
      <c r="AV253" s="43">
        <f t="shared" si="164"/>
        <v>5393.2235565908904</v>
      </c>
      <c r="AW253" s="43">
        <f t="shared" si="164"/>
        <v>5522.0568809107335</v>
      </c>
      <c r="AX253" s="43">
        <f t="shared" si="164"/>
        <v>5708.9674622158009</v>
      </c>
      <c r="AZ253" s="47">
        <f t="shared" si="151"/>
        <v>77192.90833885684</v>
      </c>
      <c r="BA253" s="47">
        <f t="shared" si="152"/>
        <v>67884.851267887469</v>
      </c>
      <c r="BB253" s="47">
        <f t="shared" si="153"/>
        <v>61741.836508726345</v>
      </c>
      <c r="BC253" s="47">
        <f t="shared" si="154"/>
        <v>58984.633414567012</v>
      </c>
      <c r="BD253" s="47">
        <f t="shared" si="155"/>
        <v>57491.165246261706</v>
      </c>
    </row>
    <row r="254" spans="2:56" s="227" customFormat="1" ht="13">
      <c r="B254" s="37">
        <f>'12. Investeringen (bijschatten)'!B57</f>
        <v>38</v>
      </c>
      <c r="C254" s="48"/>
      <c r="D254" s="3"/>
      <c r="E254" s="48"/>
      <c r="F254" s="167">
        <f>'12. Investeringen (bijschatten)'!C57</f>
        <v>2674366.8931494337</v>
      </c>
      <c r="G254" s="3"/>
      <c r="H254" s="37">
        <f>'12. Investeringen (bijschatten)'!D57</f>
        <v>2021</v>
      </c>
      <c r="I254" s="37" t="str">
        <f>'12. Investeringen (bijschatten)'!E57</f>
        <v>11 Werktuigen</v>
      </c>
      <c r="J254" s="167">
        <f>_xlfn.XLOOKUP(I254,'3. Input (des)investeringen '!$B$11:$B$89,'3. Input (des)investeringen '!$D$11:$D$89)</f>
        <v>10</v>
      </c>
      <c r="M254" s="43">
        <f t="shared" si="165"/>
        <v>0</v>
      </c>
      <c r="N254" s="43">
        <f t="shared" si="166"/>
        <v>133718.34465747169</v>
      </c>
      <c r="O254" s="3"/>
      <c r="P254" s="136">
        <f t="shared" si="167"/>
        <v>0</v>
      </c>
      <c r="Q254" s="136">
        <f t="shared" si="168"/>
        <v>2540648.5484919618</v>
      </c>
      <c r="R254" s="3"/>
      <c r="S254" s="43">
        <f t="shared" si="144"/>
        <v>2540648.5484919618</v>
      </c>
      <c r="T254" s="38">
        <f t="shared" si="145"/>
        <v>9.5</v>
      </c>
      <c r="U254" s="3"/>
      <c r="V254" s="43">
        <f t="shared" si="162"/>
        <v>312900.92649848375</v>
      </c>
      <c r="W254" s="43">
        <f t="shared" si="162"/>
        <v>270082.90497763857</v>
      </c>
      <c r="X254" s="43">
        <f t="shared" si="162"/>
        <v>233124.1916649091</v>
      </c>
      <c r="Y254" s="43">
        <f t="shared" si="162"/>
        <v>226227.02623103606</v>
      </c>
      <c r="Z254" s="43">
        <f t="shared" si="162"/>
        <v>226227.02623103606</v>
      </c>
      <c r="AA254" s="3"/>
      <c r="AB254" s="43">
        <f t="shared" si="163"/>
        <v>26743.668931494336</v>
      </c>
      <c r="AC254" s="43">
        <f t="shared" si="163"/>
        <v>26743.668931494336</v>
      </c>
      <c r="AD254" s="43">
        <f t="shared" si="163"/>
        <v>26743.668931494336</v>
      </c>
      <c r="AE254" s="43">
        <f t="shared" si="163"/>
        <v>26743.668931494336</v>
      </c>
      <c r="AF254" s="43">
        <f t="shared" si="163"/>
        <v>26743.668931494336</v>
      </c>
      <c r="AG254" s="3"/>
      <c r="AH254" s="43">
        <f t="shared" si="146"/>
        <v>339644.5954299781</v>
      </c>
      <c r="AI254" s="43">
        <f t="shared" si="147"/>
        <v>296826.57390913292</v>
      </c>
      <c r="AJ254" s="43">
        <f t="shared" si="148"/>
        <v>259867.86059640342</v>
      </c>
      <c r="AK254" s="43">
        <f t="shared" si="149"/>
        <v>252970.69516253041</v>
      </c>
      <c r="AL254" s="43">
        <f t="shared" si="150"/>
        <v>252970.69516253041</v>
      </c>
      <c r="AM254" s="3"/>
      <c r="AN254" s="43">
        <f t="shared" si="169"/>
        <v>2201003.9530619839</v>
      </c>
      <c r="AO254" s="43">
        <f t="shared" si="170"/>
        <v>1904177.3791528509</v>
      </c>
      <c r="AP254" s="43">
        <f t="shared" si="171"/>
        <v>1644309.5185564475</v>
      </c>
      <c r="AQ254" s="43">
        <f t="shared" si="172"/>
        <v>1391338.8233939172</v>
      </c>
      <c r="AR254" s="43">
        <f t="shared" si="173"/>
        <v>1138368.1282313867</v>
      </c>
      <c r="AS254" s="3"/>
      <c r="AT254" s="43">
        <f t="shared" si="164"/>
        <v>27116.154752372193</v>
      </c>
      <c r="AU254" s="43">
        <f t="shared" si="164"/>
        <v>28682.166921631186</v>
      </c>
      <c r="AV254" s="43">
        <f t="shared" si="164"/>
        <v>30852.833314260235</v>
      </c>
      <c r="AW254" s="43">
        <f t="shared" si="164"/>
        <v>31589.845796471287</v>
      </c>
      <c r="AX254" s="43">
        <f t="shared" si="164"/>
        <v>32659.098896990243</v>
      </c>
      <c r="AY254" s="3"/>
      <c r="AZ254" s="47">
        <f t="shared" si="151"/>
        <v>441594.88458645775</v>
      </c>
      <c r="BA254" s="47">
        <f t="shared" si="152"/>
        <v>388346.59434280818</v>
      </c>
      <c r="BB254" s="47">
        <f t="shared" si="153"/>
        <v>353204.45561580866</v>
      </c>
      <c r="BC254" s="47">
        <f t="shared" si="154"/>
        <v>337431.41624797054</v>
      </c>
      <c r="BD254" s="47">
        <f t="shared" si="155"/>
        <v>328887.78293231333</v>
      </c>
    </row>
    <row r="255" spans="2:56" s="227" customFormat="1" ht="13">
      <c r="B255" s="37">
        <f>'12. Investeringen (bijschatten)'!B58</f>
        <v>39</v>
      </c>
      <c r="C255" s="48"/>
      <c r="D255" s="3"/>
      <c r="E255" s="48"/>
      <c r="F255" s="167">
        <f>'12. Investeringen (bijschatten)'!C58</f>
        <v>49.981940341018536</v>
      </c>
      <c r="G255" s="3"/>
      <c r="H255" s="37">
        <f>'12. Investeringen (bijschatten)'!D58</f>
        <v>2021</v>
      </c>
      <c r="I255" s="37" t="str">
        <f>'12. Investeringen (bijschatten)'!E58</f>
        <v>14 Overig rollend materieel</v>
      </c>
      <c r="J255" s="167">
        <f>_xlfn.XLOOKUP(I255,'3. Input (des)investeringen '!$B$11:$B$89,'3. Input (des)investeringen '!$D$11:$D$89)</f>
        <v>10</v>
      </c>
      <c r="M255" s="43">
        <f t="shared" si="165"/>
        <v>0</v>
      </c>
      <c r="N255" s="43">
        <f t="shared" si="166"/>
        <v>2.4990970170509268</v>
      </c>
      <c r="O255" s="3"/>
      <c r="P255" s="136">
        <f t="shared" si="167"/>
        <v>0</v>
      </c>
      <c r="Q255" s="136">
        <f t="shared" si="168"/>
        <v>47.482843323967607</v>
      </c>
      <c r="R255" s="3"/>
      <c r="S255" s="43">
        <f t="shared" si="144"/>
        <v>47.482843323967607</v>
      </c>
      <c r="T255" s="38">
        <f t="shared" si="145"/>
        <v>9.5</v>
      </c>
      <c r="U255" s="3"/>
      <c r="V255" s="43">
        <f t="shared" si="162"/>
        <v>5.8478870198991695</v>
      </c>
      <c r="W255" s="43">
        <f t="shared" si="162"/>
        <v>5.0476498487550723</v>
      </c>
      <c r="X255" s="43">
        <f t="shared" si="162"/>
        <v>4.3569188168201682</v>
      </c>
      <c r="Y255" s="43">
        <f t="shared" si="162"/>
        <v>4.2280158932456064</v>
      </c>
      <c r="Z255" s="43">
        <f t="shared" si="162"/>
        <v>4.2280158932456064</v>
      </c>
      <c r="AA255" s="3"/>
      <c r="AB255" s="43">
        <f t="shared" si="163"/>
        <v>0.49981940341018533</v>
      </c>
      <c r="AC255" s="43">
        <f t="shared" si="163"/>
        <v>0.49981940341018527</v>
      </c>
      <c r="AD255" s="43">
        <f t="shared" si="163"/>
        <v>0.49981940341018527</v>
      </c>
      <c r="AE255" s="43">
        <f t="shared" si="163"/>
        <v>0.49981940341018527</v>
      </c>
      <c r="AF255" s="43">
        <f t="shared" si="163"/>
        <v>0.49981940341018527</v>
      </c>
      <c r="AG255" s="3"/>
      <c r="AH255" s="43">
        <f t="shared" si="146"/>
        <v>6.3477064233093552</v>
      </c>
      <c r="AI255" s="43">
        <f t="shared" si="147"/>
        <v>5.5474692521652571</v>
      </c>
      <c r="AJ255" s="43">
        <f t="shared" si="148"/>
        <v>4.8567382202303531</v>
      </c>
      <c r="AK255" s="43">
        <f t="shared" si="149"/>
        <v>4.7278352966557922</v>
      </c>
      <c r="AL255" s="43">
        <f t="shared" si="150"/>
        <v>4.7278352966557922</v>
      </c>
      <c r="AM255" s="3"/>
      <c r="AN255" s="43">
        <f t="shared" si="169"/>
        <v>41.135136900658253</v>
      </c>
      <c r="AO255" s="43">
        <f t="shared" si="170"/>
        <v>35.587667648492996</v>
      </c>
      <c r="AP255" s="43">
        <f t="shared" si="171"/>
        <v>30.730929428262641</v>
      </c>
      <c r="AQ255" s="43">
        <f t="shared" si="172"/>
        <v>26.003094131606851</v>
      </c>
      <c r="AR255" s="43">
        <f t="shared" si="173"/>
        <v>21.27525883495106</v>
      </c>
      <c r="AS255" s="3"/>
      <c r="AT255" s="43">
        <f t="shared" si="164"/>
        <v>0.5067808880608824</v>
      </c>
      <c r="AU255" s="43">
        <f t="shared" si="164"/>
        <v>0.53604849790817455</v>
      </c>
      <c r="AV255" s="43">
        <f t="shared" si="164"/>
        <v>0.57661664822986514</v>
      </c>
      <c r="AW255" s="43">
        <f t="shared" si="164"/>
        <v>0.59039086672278018</v>
      </c>
      <c r="AX255" s="43">
        <f t="shared" si="164"/>
        <v>0.61037441677961279</v>
      </c>
      <c r="AY255" s="3"/>
      <c r="AZ255" s="47">
        <f t="shared" si="151"/>
        <v>8.2530819659926173</v>
      </c>
      <c r="BA255" s="47">
        <f t="shared" si="152"/>
        <v>7.2579107824737008</v>
      </c>
      <c r="BB255" s="47">
        <f t="shared" si="153"/>
        <v>6.6011301867341983</v>
      </c>
      <c r="BC255" s="47">
        <f t="shared" si="154"/>
        <v>6.3063437403796323</v>
      </c>
      <c r="BD255" s="47">
        <f t="shared" si="155"/>
        <v>6.146669549163545</v>
      </c>
    </row>
    <row r="256" spans="2:56" s="227" customFormat="1" ht="13">
      <c r="B256" s="37">
        <f>'12. Investeringen (bijschatten)'!B59</f>
        <v>40</v>
      </c>
      <c r="C256" s="48"/>
      <c r="D256" s="3"/>
      <c r="E256" s="48"/>
      <c r="F256" s="167">
        <f>'12. Investeringen (bijschatten)'!C59</f>
        <v>503372.15987408569</v>
      </c>
      <c r="G256" s="3"/>
      <c r="H256" s="37">
        <f>'12. Investeringen (bijschatten)'!D59</f>
        <v>2021</v>
      </c>
      <c r="I256" s="37" t="str">
        <f>'12. Investeringen (bijschatten)'!E59</f>
        <v>15 Compressorstations (KC)</v>
      </c>
      <c r="J256" s="167">
        <f>_xlfn.XLOOKUP(I256,'3. Input (des)investeringen '!$B$11:$B$89,'3. Input (des)investeringen '!$D$11:$D$89)</f>
        <v>30</v>
      </c>
      <c r="M256" s="43">
        <f t="shared" si="165"/>
        <v>0</v>
      </c>
      <c r="N256" s="43">
        <f t="shared" si="166"/>
        <v>8389.5359979014283</v>
      </c>
      <c r="O256" s="3"/>
      <c r="P256" s="136">
        <f t="shared" si="167"/>
        <v>0</v>
      </c>
      <c r="Q256" s="136">
        <f t="shared" si="168"/>
        <v>494982.62387618428</v>
      </c>
      <c r="R256" s="3"/>
      <c r="S256" s="43">
        <f t="shared" si="144"/>
        <v>494982.62387618428</v>
      </c>
      <c r="T256" s="38">
        <f t="shared" si="145"/>
        <v>29.5</v>
      </c>
      <c r="U256" s="3"/>
      <c r="V256" s="43">
        <f t="shared" si="162"/>
        <v>19631.514235089344</v>
      </c>
      <c r="W256" s="43">
        <f t="shared" si="162"/>
        <v>18766.396658627778</v>
      </c>
      <c r="X256" s="43">
        <f t="shared" si="162"/>
        <v>17939.402907569605</v>
      </c>
      <c r="Y256" s="43">
        <f t="shared" si="162"/>
        <v>17148.852948930944</v>
      </c>
      <c r="Z256" s="43">
        <f t="shared" si="162"/>
        <v>16393.140785079751</v>
      </c>
      <c r="AA256" s="3"/>
      <c r="AB256" s="43">
        <f t="shared" si="163"/>
        <v>1677.9071995802858</v>
      </c>
      <c r="AC256" s="43">
        <f t="shared" si="163"/>
        <v>1677.9071995802856</v>
      </c>
      <c r="AD256" s="43">
        <f t="shared" si="163"/>
        <v>1677.9071995802856</v>
      </c>
      <c r="AE256" s="43">
        <f t="shared" si="163"/>
        <v>1677.9071995802856</v>
      </c>
      <c r="AF256" s="43">
        <f t="shared" si="163"/>
        <v>1677.9071995802856</v>
      </c>
      <c r="AG256" s="3"/>
      <c r="AH256" s="43">
        <f t="shared" si="146"/>
        <v>21309.421434669628</v>
      </c>
      <c r="AI256" s="43">
        <f t="shared" si="147"/>
        <v>20444.303858208063</v>
      </c>
      <c r="AJ256" s="43">
        <f t="shared" si="148"/>
        <v>19617.31010714989</v>
      </c>
      <c r="AK256" s="43">
        <f t="shared" si="149"/>
        <v>18826.760148511228</v>
      </c>
      <c r="AL256" s="43">
        <f t="shared" si="150"/>
        <v>18071.047984660036</v>
      </c>
      <c r="AM256" s="3"/>
      <c r="AN256" s="43">
        <f t="shared" si="169"/>
        <v>473673.20244151464</v>
      </c>
      <c r="AO256" s="43">
        <f t="shared" si="170"/>
        <v>453228.89858330658</v>
      </c>
      <c r="AP256" s="43">
        <f t="shared" si="171"/>
        <v>433611.5884761567</v>
      </c>
      <c r="AQ256" s="43">
        <f t="shared" si="172"/>
        <v>414784.82832764549</v>
      </c>
      <c r="AR256" s="43">
        <f t="shared" si="173"/>
        <v>396713.78034298547</v>
      </c>
      <c r="AS256" s="3"/>
      <c r="AT256" s="43">
        <f t="shared" si="164"/>
        <v>5103.8312731681199</v>
      </c>
      <c r="AU256" s="43">
        <f t="shared" si="164"/>
        <v>5398.587736856125</v>
      </c>
      <c r="AV256" s="43">
        <f t="shared" si="164"/>
        <v>5807.1528567813966</v>
      </c>
      <c r="AW256" s="43">
        <f t="shared" si="164"/>
        <v>5945.8741242241904</v>
      </c>
      <c r="AX256" s="43">
        <f t="shared" si="164"/>
        <v>6147.1300715809302</v>
      </c>
      <c r="AY256" s="3"/>
      <c r="AZ256" s="47">
        <f t="shared" si="151"/>
        <v>42518.141590849249</v>
      </c>
      <c r="BA256" s="47">
        <f t="shared" si="152"/>
        <v>40799.445248313306</v>
      </c>
      <c r="BB256" s="47">
        <f t="shared" si="153"/>
        <v>41901.703326025236</v>
      </c>
      <c r="BC256" s="47">
        <f t="shared" si="154"/>
        <v>40534.457749185945</v>
      </c>
      <c r="BD256" s="47">
        <f t="shared" si="155"/>
        <v>39293.301709274412</v>
      </c>
    </row>
    <row r="257" spans="2:56" s="227" customFormat="1" ht="13">
      <c r="B257" s="37">
        <f>'12. Investeringen (bijschatten)'!B60</f>
        <v>41</v>
      </c>
      <c r="C257" s="48"/>
      <c r="D257" s="3"/>
      <c r="E257" s="48"/>
      <c r="F257" s="167">
        <f>'12. Investeringen (bijschatten)'!C60</f>
        <v>8924117.8015749045</v>
      </c>
      <c r="G257" s="3"/>
      <c r="H257" s="37">
        <f>'12. Investeringen (bijschatten)'!D60</f>
        <v>2021</v>
      </c>
      <c r="I257" s="37" t="str">
        <f>'12. Investeringen (bijschatten)'!E60</f>
        <v>15 Compressorstations (TT-BT-AT)</v>
      </c>
      <c r="J257" s="167">
        <f>_xlfn.XLOOKUP(I257,'3. Input (des)investeringen '!$B$11:$B$89,'3. Input (des)investeringen '!$D$11:$D$89)</f>
        <v>30</v>
      </c>
      <c r="M257" s="43">
        <f t="shared" si="165"/>
        <v>0</v>
      </c>
      <c r="N257" s="43">
        <f t="shared" si="166"/>
        <v>148735.29669291509</v>
      </c>
      <c r="O257" s="3"/>
      <c r="P257" s="136">
        <f t="shared" si="167"/>
        <v>0</v>
      </c>
      <c r="Q257" s="136">
        <f t="shared" si="168"/>
        <v>8775382.5048819892</v>
      </c>
      <c r="R257" s="3"/>
      <c r="S257" s="43">
        <f t="shared" si="144"/>
        <v>8775382.5048819892</v>
      </c>
      <c r="T257" s="38">
        <f t="shared" si="145"/>
        <v>29.5</v>
      </c>
      <c r="U257" s="3"/>
      <c r="V257" s="43">
        <f t="shared" ref="V257:Z266" si="174">IF($J257=0, 0, IF(OR($H257&gt;V$59,$H257+$J257&lt;V$59),0,
IF(OR($H257=2020,$H257=2021),VDB(ABS($S257)*(1-$F$28),0,$T257,V$59-2022,MIN($T257,V$59-2021),$F$22),
VDB(ABS($S257)*(1-$F$28),0,$T257,MAX(0,V$59-$H257-0.5),MIN($T257,V$59-$H257+0.5),$F$22,FALSE))))*IF($F257&lt;0,-1,1)</f>
        <v>348040.5942614213</v>
      </c>
      <c r="W257" s="43">
        <f t="shared" si="174"/>
        <v>332703.21214142645</v>
      </c>
      <c r="X257" s="43">
        <f t="shared" si="174"/>
        <v>318041.71465722803</v>
      </c>
      <c r="Y257" s="43">
        <f t="shared" si="174"/>
        <v>304026.31706216373</v>
      </c>
      <c r="Z257" s="43">
        <f t="shared" si="174"/>
        <v>290628.54715772939</v>
      </c>
      <c r="AA257" s="3"/>
      <c r="AB257" s="43">
        <f t="shared" ref="AB257:AF266" si="175">IF($J257 = 0, 0, IF(OR($H257&gt;AB$59,$H257+$J257&lt;AB$59),0,
IF(OR($H257=2020,$H257=2021),VDB(ABS($S257)*$F$28,0,$T257,AB$59-2022,MIN($T257,AB$59-2021),1),
VDB(ABS($S257)*$F$28,0,$T257,MAX(0,AB$59-$H257-0.5),MIN($T257,AB$59-$H257+0.5),1))))*IF($F257&lt;0,-1,1)</f>
        <v>29747.059338583014</v>
      </c>
      <c r="AC257" s="43">
        <f t="shared" si="175"/>
        <v>29747.059338583014</v>
      </c>
      <c r="AD257" s="43">
        <f t="shared" si="175"/>
        <v>29747.059338583014</v>
      </c>
      <c r="AE257" s="43">
        <f t="shared" si="175"/>
        <v>29747.059338583014</v>
      </c>
      <c r="AF257" s="43">
        <f t="shared" si="175"/>
        <v>29747.059338583014</v>
      </c>
      <c r="AG257" s="3"/>
      <c r="AH257" s="43">
        <f t="shared" si="146"/>
        <v>377787.65360000433</v>
      </c>
      <c r="AI257" s="43">
        <f t="shared" si="147"/>
        <v>362450.27148000948</v>
      </c>
      <c r="AJ257" s="43">
        <f t="shared" si="148"/>
        <v>347788.77399581106</v>
      </c>
      <c r="AK257" s="43">
        <f t="shared" si="149"/>
        <v>333773.37640074675</v>
      </c>
      <c r="AL257" s="43">
        <f t="shared" si="150"/>
        <v>320375.60649631242</v>
      </c>
      <c r="AM257" s="3"/>
      <c r="AN257" s="43">
        <f t="shared" si="169"/>
        <v>8397594.8512819856</v>
      </c>
      <c r="AO257" s="43">
        <f t="shared" si="170"/>
        <v>8035144.5798019757</v>
      </c>
      <c r="AP257" s="43">
        <f t="shared" si="171"/>
        <v>7687355.8058061646</v>
      </c>
      <c r="AQ257" s="43">
        <f t="shared" si="172"/>
        <v>7353582.4294054182</v>
      </c>
      <c r="AR257" s="43">
        <f t="shared" si="173"/>
        <v>7033206.8229091056</v>
      </c>
      <c r="AS257" s="3"/>
      <c r="AT257" s="43">
        <f t="shared" ref="AT257:AX266" si="176">IF($H257&lt;=AT$215,$F257*INDEX($H$40:$N$46,$H257-2019,AT$215-2019)*INDEX($H$49:$N$55,$H257-2019,AT$215-2019)*$F$19,0)</f>
        <v>90484.129143152386</v>
      </c>
      <c r="AU257" s="43">
        <f t="shared" si="176"/>
        <v>95709.768569427746</v>
      </c>
      <c r="AV257" s="43">
        <f t="shared" si="176"/>
        <v>102953.08385476202</v>
      </c>
      <c r="AW257" s="43">
        <f t="shared" si="176"/>
        <v>105412.42712188458</v>
      </c>
      <c r="AX257" s="43">
        <f t="shared" si="176"/>
        <v>108980.42695510613</v>
      </c>
      <c r="AY257" s="3"/>
      <c r="AZ257" s="47">
        <f t="shared" si="151"/>
        <v>753790.00768674421</v>
      </c>
      <c r="BA257" s="47">
        <f t="shared" si="152"/>
        <v>723319.81118290243</v>
      </c>
      <c r="BB257" s="47">
        <f t="shared" si="153"/>
        <v>742861.37847120734</v>
      </c>
      <c r="BC257" s="47">
        <f t="shared" si="154"/>
        <v>718621.93584003719</v>
      </c>
      <c r="BD257" s="47">
        <f t="shared" si="155"/>
        <v>696617.89272196451</v>
      </c>
    </row>
    <row r="258" spans="2:56" s="227" customFormat="1" ht="13">
      <c r="B258" s="37">
        <f>'12. Investeringen (bijschatten)'!B61</f>
        <v>42</v>
      </c>
      <c r="C258" s="48"/>
      <c r="D258" s="3"/>
      <c r="E258" s="48"/>
      <c r="F258" s="167">
        <f>'12. Investeringen (bijschatten)'!C61</f>
        <v>302473.20248261362</v>
      </c>
      <c r="G258" s="3"/>
      <c r="H258" s="37">
        <f>'12. Investeringen (bijschatten)'!D61</f>
        <v>2021</v>
      </c>
      <c r="I258" s="37" t="str">
        <f>'12. Investeringen (bijschatten)'!E61</f>
        <v>16 LNG installaties</v>
      </c>
      <c r="J258" s="167">
        <f>_xlfn.XLOOKUP(I258,'3. Input (des)investeringen '!$B$11:$B$89,'3. Input (des)investeringen '!$D$11:$D$89)</f>
        <v>30</v>
      </c>
      <c r="M258" s="43">
        <f t="shared" si="165"/>
        <v>0</v>
      </c>
      <c r="N258" s="43">
        <f t="shared" si="166"/>
        <v>5041.2200413768933</v>
      </c>
      <c r="O258" s="3"/>
      <c r="P258" s="136">
        <f t="shared" si="167"/>
        <v>0</v>
      </c>
      <c r="Q258" s="136">
        <f t="shared" si="168"/>
        <v>297431.98244123673</v>
      </c>
      <c r="R258" s="3"/>
      <c r="S258" s="43">
        <f t="shared" si="144"/>
        <v>297431.98244123673</v>
      </c>
      <c r="T258" s="38">
        <f t="shared" si="145"/>
        <v>29.5</v>
      </c>
      <c r="U258" s="3"/>
      <c r="V258" s="43">
        <f t="shared" si="174"/>
        <v>11796.454896821931</v>
      </c>
      <c r="W258" s="43">
        <f t="shared" si="174"/>
        <v>11276.611121707745</v>
      </c>
      <c r="X258" s="43">
        <f t="shared" si="174"/>
        <v>10779.675716344353</v>
      </c>
      <c r="Y258" s="43">
        <f t="shared" si="174"/>
        <v>10304.639159352906</v>
      </c>
      <c r="Z258" s="43">
        <f t="shared" si="174"/>
        <v>9850.5364167373555</v>
      </c>
      <c r="AA258" s="3"/>
      <c r="AB258" s="43">
        <f t="shared" si="175"/>
        <v>1008.2440082753789</v>
      </c>
      <c r="AC258" s="43">
        <f t="shared" si="175"/>
        <v>1008.2440082753789</v>
      </c>
      <c r="AD258" s="43">
        <f t="shared" si="175"/>
        <v>1008.2440082753789</v>
      </c>
      <c r="AE258" s="43">
        <f t="shared" si="175"/>
        <v>1008.2440082753789</v>
      </c>
      <c r="AF258" s="43">
        <f t="shared" si="175"/>
        <v>1008.2440082753789</v>
      </c>
      <c r="AG258" s="3"/>
      <c r="AH258" s="43">
        <f t="shared" si="146"/>
        <v>12804.69890509731</v>
      </c>
      <c r="AI258" s="43">
        <f t="shared" si="147"/>
        <v>12284.855129983123</v>
      </c>
      <c r="AJ258" s="43">
        <f t="shared" si="148"/>
        <v>11787.919724619731</v>
      </c>
      <c r="AK258" s="43">
        <f t="shared" si="149"/>
        <v>11312.883167628284</v>
      </c>
      <c r="AL258" s="43">
        <f t="shared" si="150"/>
        <v>10858.780425012734</v>
      </c>
      <c r="AM258" s="3"/>
      <c r="AN258" s="43">
        <f t="shared" si="169"/>
        <v>284627.28353613941</v>
      </c>
      <c r="AO258" s="43">
        <f t="shared" si="170"/>
        <v>272342.42840615631</v>
      </c>
      <c r="AP258" s="43">
        <f t="shared" si="171"/>
        <v>260554.50868153656</v>
      </c>
      <c r="AQ258" s="43">
        <f t="shared" si="172"/>
        <v>249241.62551390828</v>
      </c>
      <c r="AR258" s="43">
        <f t="shared" si="173"/>
        <v>238382.84508889556</v>
      </c>
      <c r="AS258" s="3"/>
      <c r="AT258" s="43">
        <f t="shared" si="176"/>
        <v>3066.8604924679148</v>
      </c>
      <c r="AU258" s="43">
        <f t="shared" si="176"/>
        <v>3243.9778196289217</v>
      </c>
      <c r="AV258" s="43">
        <f t="shared" si="176"/>
        <v>3489.4820610184379</v>
      </c>
      <c r="AW258" s="43">
        <f t="shared" si="176"/>
        <v>3572.8388084920466</v>
      </c>
      <c r="AX258" s="43">
        <f t="shared" si="176"/>
        <v>3693.7722564818855</v>
      </c>
      <c r="AY258" s="3"/>
      <c r="AZ258" s="47">
        <f t="shared" si="151"/>
        <v>25548.887037793967</v>
      </c>
      <c r="BA258" s="47">
        <f t="shared" si="152"/>
        <v>24516.133087015205</v>
      </c>
      <c r="BB258" s="47">
        <f t="shared" si="153"/>
        <v>25178.473115536559</v>
      </c>
      <c r="BC258" s="47">
        <f t="shared" si="154"/>
        <v>24356.903745648848</v>
      </c>
      <c r="BD258" s="47">
        <f t="shared" si="155"/>
        <v>23611.100794872651</v>
      </c>
    </row>
    <row r="259" spans="2:56" s="227" customFormat="1" ht="13">
      <c r="B259" s="37">
        <f>'12. Investeringen (bijschatten)'!B62</f>
        <v>43</v>
      </c>
      <c r="C259" s="48"/>
      <c r="D259" s="3"/>
      <c r="E259" s="48"/>
      <c r="F259" s="167">
        <f>'12. Investeringen (bijschatten)'!C62</f>
        <v>2052183.8724388792</v>
      </c>
      <c r="G259" s="3"/>
      <c r="H259" s="37">
        <f>'12. Investeringen (bijschatten)'!D62</f>
        <v>2021</v>
      </c>
      <c r="I259" s="37" t="str">
        <f>'12. Investeringen (bijschatten)'!E62</f>
        <v>17 Mengstations</v>
      </c>
      <c r="J259" s="167">
        <f>_xlfn.XLOOKUP(I259,'3. Input (des)investeringen '!$B$11:$B$89,'3. Input (des)investeringen '!$D$11:$D$89)</f>
        <v>30</v>
      </c>
      <c r="M259" s="43">
        <f t="shared" si="165"/>
        <v>0</v>
      </c>
      <c r="N259" s="43">
        <f t="shared" si="166"/>
        <v>34203.064540647989</v>
      </c>
      <c r="O259" s="3"/>
      <c r="P259" s="136">
        <f t="shared" si="167"/>
        <v>0</v>
      </c>
      <c r="Q259" s="136">
        <f t="shared" si="168"/>
        <v>2017980.8078982313</v>
      </c>
      <c r="R259" s="3"/>
      <c r="S259" s="43">
        <f t="shared" si="144"/>
        <v>2017980.8078982313</v>
      </c>
      <c r="T259" s="38">
        <f t="shared" si="145"/>
        <v>29.5</v>
      </c>
      <c r="U259" s="3"/>
      <c r="V259" s="43">
        <f t="shared" si="174"/>
        <v>80035.171025116288</v>
      </c>
      <c r="W259" s="43">
        <f t="shared" si="174"/>
        <v>76508.197386721338</v>
      </c>
      <c r="X259" s="43">
        <f t="shared" si="174"/>
        <v>73136.649705272604</v>
      </c>
      <c r="Y259" s="43">
        <f t="shared" si="174"/>
        <v>69913.678701311437</v>
      </c>
      <c r="Z259" s="43">
        <f t="shared" si="174"/>
        <v>66832.736928033308</v>
      </c>
      <c r="AA259" s="3"/>
      <c r="AB259" s="43">
        <f t="shared" si="175"/>
        <v>6840.6129081295985</v>
      </c>
      <c r="AC259" s="43">
        <f t="shared" si="175"/>
        <v>6840.6129081295985</v>
      </c>
      <c r="AD259" s="43">
        <f t="shared" si="175"/>
        <v>6840.6129081295985</v>
      </c>
      <c r="AE259" s="43">
        <f t="shared" si="175"/>
        <v>6840.6129081295985</v>
      </c>
      <c r="AF259" s="43">
        <f t="shared" si="175"/>
        <v>6840.6129081295985</v>
      </c>
      <c r="AG259" s="3"/>
      <c r="AH259" s="43">
        <f t="shared" si="146"/>
        <v>86875.783933245883</v>
      </c>
      <c r="AI259" s="43">
        <f t="shared" si="147"/>
        <v>83348.810294850933</v>
      </c>
      <c r="AJ259" s="43">
        <f t="shared" si="148"/>
        <v>79977.262613402199</v>
      </c>
      <c r="AK259" s="43">
        <f t="shared" si="149"/>
        <v>76754.291609441032</v>
      </c>
      <c r="AL259" s="43">
        <f t="shared" si="150"/>
        <v>73673.349836162903</v>
      </c>
      <c r="AM259" s="3"/>
      <c r="AN259" s="43">
        <f t="shared" si="169"/>
        <v>1931105.0239649855</v>
      </c>
      <c r="AO259" s="43">
        <f t="shared" si="170"/>
        <v>1847756.2136701345</v>
      </c>
      <c r="AP259" s="43">
        <f t="shared" si="171"/>
        <v>1767778.9510567323</v>
      </c>
      <c r="AQ259" s="43">
        <f t="shared" si="172"/>
        <v>1691024.6594472914</v>
      </c>
      <c r="AR259" s="43">
        <f t="shared" si="173"/>
        <v>1617351.3096111284</v>
      </c>
      <c r="AS259" s="3"/>
      <c r="AT259" s="43">
        <f t="shared" si="176"/>
        <v>20807.666894142079</v>
      </c>
      <c r="AU259" s="43">
        <f t="shared" si="176"/>
        <v>22009.351272612574</v>
      </c>
      <c r="AV259" s="43">
        <f t="shared" si="176"/>
        <v>23675.018976923893</v>
      </c>
      <c r="AW259" s="43">
        <f t="shared" si="176"/>
        <v>24240.567830244654</v>
      </c>
      <c r="AX259" s="43">
        <f t="shared" si="176"/>
        <v>25061.062570162769</v>
      </c>
      <c r="AY259" s="3"/>
      <c r="AZ259" s="47">
        <f t="shared" si="151"/>
        <v>173341.02164219748</v>
      </c>
      <c r="BA259" s="47">
        <f t="shared" si="152"/>
        <v>166334.11661857794</v>
      </c>
      <c r="BB259" s="47">
        <f t="shared" si="153"/>
        <v>170827.88173048192</v>
      </c>
      <c r="BC259" s="47">
        <f t="shared" si="154"/>
        <v>165253.79649868276</v>
      </c>
      <c r="BD259" s="47">
        <f t="shared" si="155"/>
        <v>160193.76217154853</v>
      </c>
    </row>
    <row r="260" spans="2:56" s="227" customFormat="1" ht="13">
      <c r="B260" s="37">
        <f>'12. Investeringen (bijschatten)'!B63</f>
        <v>44</v>
      </c>
      <c r="C260" s="48"/>
      <c r="D260" s="3"/>
      <c r="E260" s="48"/>
      <c r="F260" s="167">
        <f>'12. Investeringen (bijschatten)'!C63</f>
        <v>2389093.2206175276</v>
      </c>
      <c r="G260" s="3"/>
      <c r="H260" s="37">
        <f>'12. Investeringen (bijschatten)'!D63</f>
        <v>2021</v>
      </c>
      <c r="I260" s="37" t="str">
        <f>'12. Investeringen (bijschatten)'!E63</f>
        <v>20 Kantoorgebouwen</v>
      </c>
      <c r="J260" s="167">
        <f>_xlfn.XLOOKUP(I260,'3. Input (des)investeringen '!$B$11:$B$89,'3. Input (des)investeringen '!$D$11:$D$89)</f>
        <v>30</v>
      </c>
      <c r="M260" s="43">
        <f t="shared" si="165"/>
        <v>0</v>
      </c>
      <c r="N260" s="43">
        <f t="shared" si="166"/>
        <v>39818.220343625457</v>
      </c>
      <c r="O260" s="3"/>
      <c r="P260" s="136">
        <f t="shared" si="167"/>
        <v>0</v>
      </c>
      <c r="Q260" s="136">
        <f t="shared" si="168"/>
        <v>2349275.000273902</v>
      </c>
      <c r="R260" s="3"/>
      <c r="S260" s="43">
        <f t="shared" si="144"/>
        <v>2349275.000273902</v>
      </c>
      <c r="T260" s="38">
        <f t="shared" si="145"/>
        <v>29.5</v>
      </c>
      <c r="U260" s="3"/>
      <c r="V260" s="43">
        <f t="shared" si="174"/>
        <v>93174.635604083567</v>
      </c>
      <c r="W260" s="43">
        <f t="shared" si="174"/>
        <v>89068.634713056163</v>
      </c>
      <c r="X260" s="43">
        <f t="shared" si="174"/>
        <v>85143.576234175707</v>
      </c>
      <c r="Y260" s="43">
        <f t="shared" si="174"/>
        <v>81391.486434025603</v>
      </c>
      <c r="Z260" s="43">
        <f t="shared" si="174"/>
        <v>77804.742964051591</v>
      </c>
      <c r="AA260" s="3"/>
      <c r="AB260" s="43">
        <f t="shared" si="175"/>
        <v>7963.6440687250915</v>
      </c>
      <c r="AC260" s="43">
        <f t="shared" si="175"/>
        <v>7963.6440687250915</v>
      </c>
      <c r="AD260" s="43">
        <f t="shared" si="175"/>
        <v>7963.6440687250915</v>
      </c>
      <c r="AE260" s="43">
        <f t="shared" si="175"/>
        <v>7963.6440687250915</v>
      </c>
      <c r="AF260" s="43">
        <f t="shared" si="175"/>
        <v>7963.6440687250915</v>
      </c>
      <c r="AG260" s="3"/>
      <c r="AH260" s="43">
        <f t="shared" si="146"/>
        <v>101138.27967280865</v>
      </c>
      <c r="AI260" s="43">
        <f t="shared" si="147"/>
        <v>97032.27878178125</v>
      </c>
      <c r="AJ260" s="43">
        <f t="shared" si="148"/>
        <v>93107.220302900794</v>
      </c>
      <c r="AK260" s="43">
        <f t="shared" si="149"/>
        <v>89355.13050275069</v>
      </c>
      <c r="AL260" s="43">
        <f t="shared" si="150"/>
        <v>85768.387032776678</v>
      </c>
      <c r="AM260" s="3"/>
      <c r="AN260" s="43">
        <f t="shared" si="169"/>
        <v>2248136.7206010935</v>
      </c>
      <c r="AO260" s="43">
        <f t="shared" si="170"/>
        <v>2151104.4418193121</v>
      </c>
      <c r="AP260" s="43">
        <f t="shared" si="171"/>
        <v>2057997.2215164113</v>
      </c>
      <c r="AQ260" s="43">
        <f t="shared" si="172"/>
        <v>1968642.0910136607</v>
      </c>
      <c r="AR260" s="43">
        <f t="shared" si="173"/>
        <v>1882873.703980884</v>
      </c>
      <c r="AS260" s="3"/>
      <c r="AT260" s="43">
        <f t="shared" si="176"/>
        <v>24223.685109942882</v>
      </c>
      <c r="AU260" s="43">
        <f t="shared" si="176"/>
        <v>25622.651372412307</v>
      </c>
      <c r="AV260" s="43">
        <f t="shared" si="176"/>
        <v>27561.773628276471</v>
      </c>
      <c r="AW260" s="43">
        <f t="shared" si="176"/>
        <v>28220.169276708741</v>
      </c>
      <c r="AX260" s="43">
        <f t="shared" si="176"/>
        <v>29175.365566386776</v>
      </c>
      <c r="AY260" s="3"/>
      <c r="AZ260" s="47">
        <f t="shared" si="151"/>
        <v>201798.61328318872</v>
      </c>
      <c r="BA260" s="47">
        <f t="shared" si="152"/>
        <v>193641.37673423087</v>
      </c>
      <c r="BB260" s="47">
        <f t="shared" si="153"/>
        <v>198872.88834880089</v>
      </c>
      <c r="BC260" s="47">
        <f t="shared" si="154"/>
        <v>192383.69923797852</v>
      </c>
      <c r="BD260" s="47">
        <f t="shared" si="155"/>
        <v>186492.95335043705</v>
      </c>
    </row>
    <row r="261" spans="2:56" s="227" customFormat="1" ht="13">
      <c r="B261" s="37">
        <f>'12. Investeringen (bijschatten)'!B64</f>
        <v>45</v>
      </c>
      <c r="C261" s="48"/>
      <c r="D261" s="3"/>
      <c r="E261" s="48"/>
      <c r="F261" s="167">
        <f>'12. Investeringen (bijschatten)'!C64</f>
        <v>2623152.226809788</v>
      </c>
      <c r="G261" s="3"/>
      <c r="H261" s="37">
        <f>'12. Investeringen (bijschatten)'!D64</f>
        <v>2021</v>
      </c>
      <c r="I261" s="37" t="str">
        <f>'12. Investeringen (bijschatten)'!E64</f>
        <v>21 Hoofdtransportleiding</v>
      </c>
      <c r="J261" s="167">
        <f>_xlfn.XLOOKUP(I261,'3. Input (des)investeringen '!$B$11:$B$89,'3. Input (des)investeringen '!$D$11:$D$89)</f>
        <v>55</v>
      </c>
      <c r="M261" s="43">
        <f t="shared" si="165"/>
        <v>0</v>
      </c>
      <c r="N261" s="43">
        <f t="shared" si="166"/>
        <v>23846.838425543527</v>
      </c>
      <c r="O261" s="3"/>
      <c r="P261" s="136">
        <f t="shared" si="167"/>
        <v>0</v>
      </c>
      <c r="Q261" s="136">
        <f t="shared" si="168"/>
        <v>2599305.3883842444</v>
      </c>
      <c r="R261" s="3"/>
      <c r="S261" s="43">
        <f t="shared" si="144"/>
        <v>2599305.3883842444</v>
      </c>
      <c r="T261" s="38">
        <f t="shared" si="145"/>
        <v>54.5</v>
      </c>
      <c r="U261" s="3"/>
      <c r="V261" s="43">
        <f t="shared" si="174"/>
        <v>55801.601915771862</v>
      </c>
      <c r="W261" s="43">
        <f t="shared" si="174"/>
        <v>54470.554530625006</v>
      </c>
      <c r="X261" s="43">
        <f t="shared" si="174"/>
        <v>53171.256899619264</v>
      </c>
      <c r="Y261" s="43">
        <f t="shared" si="174"/>
        <v>51902.951689169626</v>
      </c>
      <c r="Z261" s="43">
        <f t="shared" si="174"/>
        <v>50664.899630528882</v>
      </c>
      <c r="AA261" s="3"/>
      <c r="AB261" s="43">
        <f t="shared" si="175"/>
        <v>4769.3676851087057</v>
      </c>
      <c r="AC261" s="43">
        <f t="shared" si="175"/>
        <v>4769.3676851087057</v>
      </c>
      <c r="AD261" s="43">
        <f t="shared" si="175"/>
        <v>4769.3676851087057</v>
      </c>
      <c r="AE261" s="43">
        <f t="shared" si="175"/>
        <v>4769.3676851087057</v>
      </c>
      <c r="AF261" s="43">
        <f t="shared" si="175"/>
        <v>4769.3676851087057</v>
      </c>
      <c r="AG261" s="3"/>
      <c r="AH261" s="43">
        <f t="shared" si="146"/>
        <v>60570.969600880569</v>
      </c>
      <c r="AI261" s="43">
        <f t="shared" si="147"/>
        <v>59239.922215733714</v>
      </c>
      <c r="AJ261" s="43">
        <f t="shared" si="148"/>
        <v>57940.624584727972</v>
      </c>
      <c r="AK261" s="43">
        <f t="shared" si="149"/>
        <v>56672.319374278333</v>
      </c>
      <c r="AL261" s="43">
        <f t="shared" si="150"/>
        <v>55434.267315637589</v>
      </c>
      <c r="AM261" s="3"/>
      <c r="AN261" s="43">
        <f t="shared" si="169"/>
        <v>2538734.4187833639</v>
      </c>
      <c r="AO261" s="43">
        <f t="shared" si="170"/>
        <v>2479494.4965676302</v>
      </c>
      <c r="AP261" s="43">
        <f t="shared" si="171"/>
        <v>2421553.8719829023</v>
      </c>
      <c r="AQ261" s="43">
        <f t="shared" si="172"/>
        <v>2364881.5526086241</v>
      </c>
      <c r="AR261" s="43">
        <f t="shared" si="173"/>
        <v>2309447.2852929863</v>
      </c>
      <c r="AS261" s="3"/>
      <c r="AT261" s="43">
        <f t="shared" si="176"/>
        <v>26596.874910247949</v>
      </c>
      <c r="AU261" s="43">
        <f t="shared" si="176"/>
        <v>28132.897630064592</v>
      </c>
      <c r="AV261" s="43">
        <f t="shared" si="176"/>
        <v>30261.995322707877</v>
      </c>
      <c r="AW261" s="43">
        <f t="shared" si="176"/>
        <v>30984.893866976723</v>
      </c>
      <c r="AX261" s="43">
        <f t="shared" si="176"/>
        <v>32033.670554586148</v>
      </c>
      <c r="AY261" s="3"/>
      <c r="AZ261" s="47">
        <f t="shared" si="151"/>
        <v>173484.81474976291</v>
      </c>
      <c r="BA261" s="47">
        <f t="shared" si="152"/>
        <v>169196.13823253012</v>
      </c>
      <c r="BB261" s="47">
        <f t="shared" si="153"/>
        <v>180221.66704278611</v>
      </c>
      <c r="BC261" s="47">
        <f t="shared" si="154"/>
        <v>177522.71224038277</v>
      </c>
      <c r="BD261" s="47">
        <f t="shared" si="155"/>
        <v>175226.93471135723</v>
      </c>
    </row>
    <row r="262" spans="2:56" s="227" customFormat="1" ht="13">
      <c r="B262" s="37">
        <f>'12. Investeringen (bijschatten)'!B65</f>
        <v>46</v>
      </c>
      <c r="C262" s="48"/>
      <c r="D262" s="3"/>
      <c r="E262" s="48"/>
      <c r="F262" s="167">
        <f>'12. Investeringen (bijschatten)'!C65</f>
        <v>1633023.1294499158</v>
      </c>
      <c r="G262" s="3"/>
      <c r="H262" s="37">
        <f>'12. Investeringen (bijschatten)'!D65</f>
        <v>2021</v>
      </c>
      <c r="I262" s="37" t="str">
        <f>'12. Investeringen (bijschatten)'!E65</f>
        <v>21 Hoofdtransportleiding (EHD)</v>
      </c>
      <c r="J262" s="167">
        <f>_xlfn.XLOOKUP(I262,'3. Input (des)investeringen '!$B$11:$B$89,'3. Input (des)investeringen '!$D$11:$D$89)</f>
        <v>55</v>
      </c>
      <c r="M262" s="43">
        <f t="shared" si="165"/>
        <v>0</v>
      </c>
      <c r="N262" s="43">
        <f t="shared" si="166"/>
        <v>14845.664813181053</v>
      </c>
      <c r="O262" s="3"/>
      <c r="P262" s="136">
        <f t="shared" si="167"/>
        <v>0</v>
      </c>
      <c r="Q262" s="136">
        <f t="shared" si="168"/>
        <v>1618177.4646367347</v>
      </c>
      <c r="R262" s="3"/>
      <c r="S262" s="43">
        <f t="shared" si="144"/>
        <v>1618177.4646367347</v>
      </c>
      <c r="T262" s="38">
        <f t="shared" si="145"/>
        <v>54.5</v>
      </c>
      <c r="U262" s="3"/>
      <c r="V262" s="43">
        <f t="shared" si="174"/>
        <v>34738.855662843664</v>
      </c>
      <c r="W262" s="43">
        <f t="shared" si="174"/>
        <v>33910.222408500602</v>
      </c>
      <c r="X262" s="43">
        <f t="shared" si="174"/>
        <v>33101.354718022609</v>
      </c>
      <c r="Y262" s="43">
        <f t="shared" si="174"/>
        <v>32311.781119244093</v>
      </c>
      <c r="Z262" s="43">
        <f t="shared" si="174"/>
        <v>31541.041386124507</v>
      </c>
      <c r="AA262" s="3"/>
      <c r="AB262" s="43">
        <f t="shared" si="175"/>
        <v>2969.1329626362108</v>
      </c>
      <c r="AC262" s="43">
        <f t="shared" si="175"/>
        <v>2969.1329626362108</v>
      </c>
      <c r="AD262" s="43">
        <f t="shared" si="175"/>
        <v>2969.1329626362108</v>
      </c>
      <c r="AE262" s="43">
        <f t="shared" si="175"/>
        <v>2969.1329626362108</v>
      </c>
      <c r="AF262" s="43">
        <f t="shared" si="175"/>
        <v>2969.1329626362108</v>
      </c>
      <c r="AG262" s="3"/>
      <c r="AH262" s="43">
        <f t="shared" si="146"/>
        <v>37707.988625479877</v>
      </c>
      <c r="AI262" s="43">
        <f t="shared" si="147"/>
        <v>36879.355371136815</v>
      </c>
      <c r="AJ262" s="43">
        <f t="shared" si="148"/>
        <v>36070.487680658822</v>
      </c>
      <c r="AK262" s="43">
        <f t="shared" si="149"/>
        <v>35280.914081880306</v>
      </c>
      <c r="AL262" s="43">
        <f t="shared" si="150"/>
        <v>34510.174348760716</v>
      </c>
      <c r="AM262" s="3"/>
      <c r="AN262" s="43">
        <f t="shared" si="169"/>
        <v>1580469.4760112548</v>
      </c>
      <c r="AO262" s="43">
        <f t="shared" si="170"/>
        <v>1543590.1206401179</v>
      </c>
      <c r="AP262" s="43">
        <f t="shared" si="171"/>
        <v>1507519.632959459</v>
      </c>
      <c r="AQ262" s="43">
        <f t="shared" si="172"/>
        <v>1472238.7188775786</v>
      </c>
      <c r="AR262" s="43">
        <f t="shared" si="173"/>
        <v>1437728.544528818</v>
      </c>
      <c r="AS262" s="3"/>
      <c r="AT262" s="43">
        <f t="shared" si="176"/>
        <v>16557.678755968944</v>
      </c>
      <c r="AU262" s="43">
        <f t="shared" si="176"/>
        <v>17513.91781948366</v>
      </c>
      <c r="AV262" s="43">
        <f t="shared" si="176"/>
        <v>18839.371120062184</v>
      </c>
      <c r="AW262" s="43">
        <f t="shared" si="176"/>
        <v>19289.406017378231</v>
      </c>
      <c r="AX262" s="43">
        <f t="shared" si="176"/>
        <v>19942.313832254451</v>
      </c>
      <c r="AY262" s="3"/>
      <c r="AZ262" s="47">
        <f t="shared" si="151"/>
        <v>108001.62956583149</v>
      </c>
      <c r="BA262" s="47">
        <f t="shared" si="152"/>
        <v>105331.74717174437</v>
      </c>
      <c r="BB262" s="47">
        <f t="shared" si="153"/>
        <v>112195.60485318044</v>
      </c>
      <c r="BC262" s="47">
        <f t="shared" si="154"/>
        <v>110515.39141660652</v>
      </c>
      <c r="BD262" s="47">
        <f t="shared" si="155"/>
        <v>109086.17287311026</v>
      </c>
    </row>
    <row r="263" spans="2:56" s="227" customFormat="1" ht="13">
      <c r="B263" s="37">
        <f>'12. Investeringen (bijschatten)'!B66</f>
        <v>47</v>
      </c>
      <c r="C263" s="48"/>
      <c r="D263" s="3"/>
      <c r="E263" s="48"/>
      <c r="F263" s="167">
        <f>'12. Investeringen (bijschatten)'!C66</f>
        <v>1234463.3646877937</v>
      </c>
      <c r="G263" s="3"/>
      <c r="H263" s="37">
        <f>'12. Investeringen (bijschatten)'!D66</f>
        <v>2021</v>
      </c>
      <c r="I263" s="37" t="str">
        <f>'12. Investeringen (bijschatten)'!E66</f>
        <v>32 M&amp;R stations</v>
      </c>
      <c r="J263" s="167">
        <f>_xlfn.XLOOKUP(I263,'3. Input (des)investeringen '!$B$11:$B$89,'3. Input (des)investeringen '!$D$11:$D$89)</f>
        <v>30</v>
      </c>
      <c r="M263" s="43">
        <f t="shared" si="165"/>
        <v>0</v>
      </c>
      <c r="N263" s="43">
        <f t="shared" si="166"/>
        <v>20574.389411463228</v>
      </c>
      <c r="O263" s="3"/>
      <c r="P263" s="136">
        <f t="shared" si="167"/>
        <v>0</v>
      </c>
      <c r="Q263" s="136">
        <f t="shared" si="168"/>
        <v>1213888.9752763305</v>
      </c>
      <c r="R263" s="3"/>
      <c r="S263" s="43">
        <f t="shared" si="144"/>
        <v>1213888.9752763305</v>
      </c>
      <c r="T263" s="38">
        <f t="shared" si="145"/>
        <v>29.5</v>
      </c>
      <c r="U263" s="3"/>
      <c r="V263" s="43">
        <f t="shared" si="174"/>
        <v>48144.071222823957</v>
      </c>
      <c r="W263" s="43">
        <f t="shared" si="174"/>
        <v>46022.468084191038</v>
      </c>
      <c r="X263" s="43">
        <f t="shared" si="174"/>
        <v>43994.359321158889</v>
      </c>
      <c r="Y263" s="43">
        <f t="shared" si="174"/>
        <v>42055.624842599347</v>
      </c>
      <c r="Z263" s="43">
        <f t="shared" si="174"/>
        <v>40202.326120722086</v>
      </c>
      <c r="AA263" s="3"/>
      <c r="AB263" s="43">
        <f t="shared" si="175"/>
        <v>4114.8778822926461</v>
      </c>
      <c r="AC263" s="43">
        <f t="shared" si="175"/>
        <v>4114.8778822926461</v>
      </c>
      <c r="AD263" s="43">
        <f t="shared" si="175"/>
        <v>4114.8778822926461</v>
      </c>
      <c r="AE263" s="43">
        <f t="shared" si="175"/>
        <v>4114.8778822926461</v>
      </c>
      <c r="AF263" s="43">
        <f t="shared" si="175"/>
        <v>4114.8778822926461</v>
      </c>
      <c r="AG263" s="3"/>
      <c r="AH263" s="43">
        <f t="shared" si="146"/>
        <v>52258.949105116604</v>
      </c>
      <c r="AI263" s="43">
        <f t="shared" si="147"/>
        <v>50137.345966483685</v>
      </c>
      <c r="AJ263" s="43">
        <f t="shared" si="148"/>
        <v>48109.237203451536</v>
      </c>
      <c r="AK263" s="43">
        <f t="shared" si="149"/>
        <v>46170.502724891994</v>
      </c>
      <c r="AL263" s="43">
        <f t="shared" si="150"/>
        <v>44317.204003014733</v>
      </c>
      <c r="AM263" s="3"/>
      <c r="AN263" s="43">
        <f t="shared" si="169"/>
        <v>1161630.0261712139</v>
      </c>
      <c r="AO263" s="43">
        <f t="shared" si="170"/>
        <v>1111492.6802047302</v>
      </c>
      <c r="AP263" s="43">
        <f t="shared" si="171"/>
        <v>1063383.4430012787</v>
      </c>
      <c r="AQ263" s="43">
        <f t="shared" si="172"/>
        <v>1017212.9402763867</v>
      </c>
      <c r="AR263" s="43">
        <f t="shared" si="173"/>
        <v>972895.73627337196</v>
      </c>
      <c r="AS263" s="3"/>
      <c r="AT263" s="43">
        <f t="shared" si="176"/>
        <v>12516.569704311652</v>
      </c>
      <c r="AU263" s="43">
        <f t="shared" si="176"/>
        <v>13239.426637875058</v>
      </c>
      <c r="AV263" s="43">
        <f t="shared" si="176"/>
        <v>14241.386445829445</v>
      </c>
      <c r="AW263" s="43">
        <f t="shared" si="176"/>
        <v>14581.584685247421</v>
      </c>
      <c r="AX263" s="43">
        <f t="shared" si="176"/>
        <v>15075.142163673672</v>
      </c>
      <c r="AY263" s="3"/>
      <c r="AZ263" s="47">
        <f t="shared" si="151"/>
        <v>104270.93969924953</v>
      </c>
      <c r="BA263" s="47">
        <f t="shared" si="152"/>
        <v>100056.03105111484</v>
      </c>
      <c r="BB263" s="47">
        <f t="shared" si="153"/>
        <v>102759.19448332957</v>
      </c>
      <c r="BC263" s="47">
        <f t="shared" si="154"/>
        <v>99406.179140642111</v>
      </c>
      <c r="BD263" s="47">
        <f t="shared" si="155"/>
        <v>96362.384145076547</v>
      </c>
    </row>
    <row r="264" spans="2:56" s="227" customFormat="1" ht="13">
      <c r="B264" s="37">
        <f>'12. Investeringen (bijschatten)'!B67</f>
        <v>48</v>
      </c>
      <c r="C264" s="48"/>
      <c r="D264" s="3"/>
      <c r="E264" s="48"/>
      <c r="F264" s="167">
        <f>'12. Investeringen (bijschatten)'!C67</f>
        <v>374278.37821483467</v>
      </c>
      <c r="G264" s="3"/>
      <c r="H264" s="37">
        <f>'12. Investeringen (bijschatten)'!D67</f>
        <v>2021</v>
      </c>
      <c r="I264" s="37" t="str">
        <f>'12. Investeringen (bijschatten)'!E67</f>
        <v>33 Exportstations</v>
      </c>
      <c r="J264" s="167">
        <f>_xlfn.XLOOKUP(I264,'3. Input (des)investeringen '!$B$11:$B$89,'3. Input (des)investeringen '!$D$11:$D$89)</f>
        <v>30</v>
      </c>
      <c r="M264" s="43">
        <f t="shared" si="165"/>
        <v>0</v>
      </c>
      <c r="N264" s="43">
        <f t="shared" si="166"/>
        <v>6237.9729702472441</v>
      </c>
      <c r="O264" s="3"/>
      <c r="P264" s="136">
        <f t="shared" si="167"/>
        <v>0</v>
      </c>
      <c r="Q264" s="136">
        <f t="shared" si="168"/>
        <v>368040.4052445874</v>
      </c>
      <c r="R264" s="3"/>
      <c r="S264" s="43">
        <f t="shared" si="144"/>
        <v>368040.4052445874</v>
      </c>
      <c r="T264" s="38">
        <f t="shared" si="145"/>
        <v>29.5</v>
      </c>
      <c r="U264" s="3"/>
      <c r="V264" s="43">
        <f t="shared" si="174"/>
        <v>14596.856750378551</v>
      </c>
      <c r="W264" s="43">
        <f t="shared" si="174"/>
        <v>13953.605435955089</v>
      </c>
      <c r="X264" s="43">
        <f t="shared" si="174"/>
        <v>13338.700789624863</v>
      </c>
      <c r="Y264" s="43">
        <f t="shared" si="174"/>
        <v>12750.893636183768</v>
      </c>
      <c r="Z264" s="43">
        <f t="shared" si="174"/>
        <v>12188.989848826517</v>
      </c>
      <c r="AA264" s="3"/>
      <c r="AB264" s="43">
        <f t="shared" si="175"/>
        <v>1247.5945940494487</v>
      </c>
      <c r="AC264" s="43">
        <f t="shared" si="175"/>
        <v>1247.5945940494487</v>
      </c>
      <c r="AD264" s="43">
        <f t="shared" si="175"/>
        <v>1247.5945940494487</v>
      </c>
      <c r="AE264" s="43">
        <f t="shared" si="175"/>
        <v>1247.5945940494487</v>
      </c>
      <c r="AF264" s="43">
        <f t="shared" si="175"/>
        <v>1247.5945940494487</v>
      </c>
      <c r="AG264" s="3"/>
      <c r="AH264" s="43">
        <f t="shared" si="146"/>
        <v>15844.451344428</v>
      </c>
      <c r="AI264" s="43">
        <f t="shared" si="147"/>
        <v>15201.200030004538</v>
      </c>
      <c r="AJ264" s="43">
        <f t="shared" si="148"/>
        <v>14586.295383674313</v>
      </c>
      <c r="AK264" s="43">
        <f t="shared" si="149"/>
        <v>13998.488230233217</v>
      </c>
      <c r="AL264" s="43">
        <f t="shared" si="150"/>
        <v>13436.584442875966</v>
      </c>
      <c r="AM264" s="3"/>
      <c r="AN264" s="43">
        <f t="shared" si="169"/>
        <v>352195.95390015939</v>
      </c>
      <c r="AO264" s="43">
        <f t="shared" si="170"/>
        <v>336994.75387015485</v>
      </c>
      <c r="AP264" s="43">
        <f t="shared" si="171"/>
        <v>322408.45848648052</v>
      </c>
      <c r="AQ264" s="43">
        <f t="shared" si="172"/>
        <v>308409.97025624732</v>
      </c>
      <c r="AR264" s="43">
        <f t="shared" si="173"/>
        <v>294973.38581337134</v>
      </c>
      <c r="AS264" s="3"/>
      <c r="AT264" s="43">
        <f t="shared" si="176"/>
        <v>3794.9132746661089</v>
      </c>
      <c r="AU264" s="43">
        <f t="shared" si="176"/>
        <v>4014.0771061046257</v>
      </c>
      <c r="AV264" s="43">
        <f t="shared" si="176"/>
        <v>4317.8624614946239</v>
      </c>
      <c r="AW264" s="43">
        <f t="shared" si="176"/>
        <v>4421.0075599748079</v>
      </c>
      <c r="AX264" s="43">
        <f t="shared" si="176"/>
        <v>4570.6498238648355</v>
      </c>
      <c r="AY264" s="3"/>
      <c r="AZ264" s="47">
        <f t="shared" si="151"/>
        <v>31614.02705169953</v>
      </c>
      <c r="BA264" s="47">
        <f t="shared" si="152"/>
        <v>30336.104013824275</v>
      </c>
      <c r="BB264" s="47">
        <f t="shared" si="153"/>
        <v>31155.679267655196</v>
      </c>
      <c r="BC264" s="47">
        <f t="shared" si="154"/>
        <v>30139.074659945421</v>
      </c>
      <c r="BD264" s="47">
        <f t="shared" si="155"/>
        <v>29216.222927648912</v>
      </c>
    </row>
    <row r="265" spans="2:56" s="227" customFormat="1" ht="13">
      <c r="B265" s="37">
        <f>'12. Investeringen (bijschatten)'!B68</f>
        <v>49</v>
      </c>
      <c r="C265" s="48"/>
      <c r="D265" s="3"/>
      <c r="E265" s="48"/>
      <c r="F265" s="167">
        <f>'12. Investeringen (bijschatten)'!C68</f>
        <v>889564.28597105667</v>
      </c>
      <c r="G265" s="3"/>
      <c r="H265" s="37">
        <f>'12. Investeringen (bijschatten)'!D68</f>
        <v>2021</v>
      </c>
      <c r="I265" s="37" t="str">
        <f>'12. Investeringen (bijschatten)'!E68</f>
        <v>34 Reduceerstations</v>
      </c>
      <c r="J265" s="167">
        <f>_xlfn.XLOOKUP(I265,'3. Input (des)investeringen '!$B$11:$B$89,'3. Input (des)investeringen '!$D$11:$D$89)</f>
        <v>30</v>
      </c>
      <c r="M265" s="43">
        <f t="shared" si="165"/>
        <v>0</v>
      </c>
      <c r="N265" s="43">
        <f t="shared" si="166"/>
        <v>14826.071432850944</v>
      </c>
      <c r="O265" s="3"/>
      <c r="P265" s="136">
        <f t="shared" si="167"/>
        <v>0</v>
      </c>
      <c r="Q265" s="136">
        <f t="shared" si="168"/>
        <v>874738.21453820576</v>
      </c>
      <c r="R265" s="3"/>
      <c r="S265" s="43">
        <f t="shared" si="144"/>
        <v>874738.21453820576</v>
      </c>
      <c r="T265" s="38">
        <f t="shared" si="145"/>
        <v>29.5</v>
      </c>
      <c r="U265" s="3"/>
      <c r="V265" s="43">
        <f t="shared" si="174"/>
        <v>34693.007152871214</v>
      </c>
      <c r="W265" s="43">
        <f t="shared" si="174"/>
        <v>33164.162769863324</v>
      </c>
      <c r="X265" s="43">
        <f t="shared" si="174"/>
        <v>31702.691190174432</v>
      </c>
      <c r="Y265" s="43">
        <f t="shared" si="174"/>
        <v>30305.623442810815</v>
      </c>
      <c r="Z265" s="43">
        <f t="shared" si="174"/>
        <v>28970.121392788642</v>
      </c>
      <c r="AA265" s="3"/>
      <c r="AB265" s="43">
        <f t="shared" si="175"/>
        <v>2965.214286570189</v>
      </c>
      <c r="AC265" s="43">
        <f t="shared" si="175"/>
        <v>2965.214286570189</v>
      </c>
      <c r="AD265" s="43">
        <f t="shared" si="175"/>
        <v>2965.214286570189</v>
      </c>
      <c r="AE265" s="43">
        <f t="shared" si="175"/>
        <v>2965.214286570189</v>
      </c>
      <c r="AF265" s="43">
        <f t="shared" si="175"/>
        <v>2965.214286570189</v>
      </c>
      <c r="AG265" s="3"/>
      <c r="AH265" s="43">
        <f t="shared" si="146"/>
        <v>37658.221439441404</v>
      </c>
      <c r="AI265" s="43">
        <f t="shared" si="147"/>
        <v>36129.377056433514</v>
      </c>
      <c r="AJ265" s="43">
        <f t="shared" si="148"/>
        <v>34667.905476744621</v>
      </c>
      <c r="AK265" s="43">
        <f t="shared" si="149"/>
        <v>33270.837729381004</v>
      </c>
      <c r="AL265" s="43">
        <f t="shared" si="150"/>
        <v>31935.335679358832</v>
      </c>
      <c r="AM265" s="3"/>
      <c r="AN265" s="43">
        <f t="shared" si="169"/>
        <v>837079.99309876433</v>
      </c>
      <c r="AO265" s="43">
        <f t="shared" si="170"/>
        <v>800950.61604233086</v>
      </c>
      <c r="AP265" s="43">
        <f t="shared" si="171"/>
        <v>766282.71056558623</v>
      </c>
      <c r="AQ265" s="43">
        <f t="shared" si="172"/>
        <v>733011.87283620518</v>
      </c>
      <c r="AR265" s="43">
        <f t="shared" si="173"/>
        <v>701076.53715684637</v>
      </c>
      <c r="AS265" s="3"/>
      <c r="AT265" s="43">
        <f t="shared" si="176"/>
        <v>9019.5413734606154</v>
      </c>
      <c r="AU265" s="43">
        <f t="shared" si="176"/>
        <v>9540.4379268607136</v>
      </c>
      <c r="AV265" s="43">
        <f t="shared" si="176"/>
        <v>10262.458269165532</v>
      </c>
      <c r="AW265" s="43">
        <f t="shared" si="176"/>
        <v>10507.607872299359</v>
      </c>
      <c r="AX265" s="43">
        <f t="shared" si="176"/>
        <v>10863.269383560948</v>
      </c>
      <c r="AY265" s="3"/>
      <c r="AZ265" s="47">
        <f t="shared" si="151"/>
        <v>75138.482578260009</v>
      </c>
      <c r="BA265" s="47">
        <f t="shared" si="152"/>
        <v>72101.185312691145</v>
      </c>
      <c r="BB265" s="47">
        <f t="shared" si="153"/>
        <v>74049.106747402431</v>
      </c>
      <c r="BC265" s="47">
        <f t="shared" si="154"/>
        <v>71632.896769456158</v>
      </c>
      <c r="BD265" s="47">
        <f t="shared" si="155"/>
        <v>69439.513474879946</v>
      </c>
    </row>
    <row r="266" spans="2:56" s="227" customFormat="1" ht="13">
      <c r="B266" s="37">
        <f>'12. Investeringen (bijschatten)'!B69</f>
        <v>50</v>
      </c>
      <c r="C266" s="48"/>
      <c r="D266" s="3"/>
      <c r="E266" s="48"/>
      <c r="F266" s="167">
        <f>'12. Investeringen (bijschatten)'!C69</f>
        <v>21.673674251477685</v>
      </c>
      <c r="G266" s="3"/>
      <c r="H266" s="37">
        <f>'12. Investeringen (bijschatten)'!D69</f>
        <v>2021</v>
      </c>
      <c r="I266" s="37" t="str">
        <f>'12. Investeringen (bijschatten)'!E69</f>
        <v>34 Reduceerstations (EHD)</v>
      </c>
      <c r="J266" s="167">
        <f>_xlfn.XLOOKUP(I266,'3. Input (des)investeringen '!$B$11:$B$89,'3. Input (des)investeringen '!$D$11:$D$89)</f>
        <v>30</v>
      </c>
      <c r="M266" s="43">
        <f t="shared" si="165"/>
        <v>0</v>
      </c>
      <c r="N266" s="43">
        <f t="shared" si="166"/>
        <v>0.36122790419129475</v>
      </c>
      <c r="O266" s="3"/>
      <c r="P266" s="136">
        <f t="shared" si="167"/>
        <v>0</v>
      </c>
      <c r="Q266" s="136">
        <f t="shared" si="168"/>
        <v>21.312446347286389</v>
      </c>
      <c r="R266" s="3"/>
      <c r="S266" s="43">
        <f t="shared" si="144"/>
        <v>21.312446347286389</v>
      </c>
      <c r="T266" s="38">
        <f t="shared" si="145"/>
        <v>29.5</v>
      </c>
      <c r="U266" s="3"/>
      <c r="V266" s="43">
        <f t="shared" si="174"/>
        <v>0.84527329580762967</v>
      </c>
      <c r="W266" s="43">
        <f t="shared" si="174"/>
        <v>0.80802396412797139</v>
      </c>
      <c r="X266" s="43">
        <f t="shared" si="174"/>
        <v>0.77241612842063712</v>
      </c>
      <c r="Y266" s="43">
        <f t="shared" si="174"/>
        <v>0.7383774515749818</v>
      </c>
      <c r="Z266" s="43">
        <f t="shared" si="174"/>
        <v>0.70583878421744017</v>
      </c>
      <c r="AA266" s="3"/>
      <c r="AB266" s="43">
        <f t="shared" si="175"/>
        <v>7.2245580838258952E-2</v>
      </c>
      <c r="AC266" s="43">
        <f t="shared" si="175"/>
        <v>7.2245580838258952E-2</v>
      </c>
      <c r="AD266" s="43">
        <f t="shared" si="175"/>
        <v>7.2245580838258952E-2</v>
      </c>
      <c r="AE266" s="43">
        <f t="shared" si="175"/>
        <v>7.2245580838258952E-2</v>
      </c>
      <c r="AF266" s="43">
        <f t="shared" si="175"/>
        <v>7.2245580838258952E-2</v>
      </c>
      <c r="AG266" s="3"/>
      <c r="AH266" s="43">
        <f t="shared" si="146"/>
        <v>0.9175188766458886</v>
      </c>
      <c r="AI266" s="43">
        <f t="shared" si="147"/>
        <v>0.88026954496623033</v>
      </c>
      <c r="AJ266" s="43">
        <f t="shared" si="148"/>
        <v>0.84466170925889605</v>
      </c>
      <c r="AK266" s="43">
        <f t="shared" si="149"/>
        <v>0.81062303241324074</v>
      </c>
      <c r="AL266" s="43">
        <f t="shared" si="150"/>
        <v>0.77808436505569911</v>
      </c>
      <c r="AM266" s="3"/>
      <c r="AN266" s="43">
        <f t="shared" si="169"/>
        <v>20.3949274706405</v>
      </c>
      <c r="AO266" s="43">
        <f t="shared" si="170"/>
        <v>19.514657925674271</v>
      </c>
      <c r="AP266" s="43">
        <f t="shared" si="171"/>
        <v>18.669996216415374</v>
      </c>
      <c r="AQ266" s="43">
        <f t="shared" si="172"/>
        <v>17.859373184002134</v>
      </c>
      <c r="AR266" s="43">
        <f t="shared" si="173"/>
        <v>17.081288818946437</v>
      </c>
      <c r="AS266" s="3"/>
      <c r="AT266" s="43">
        <f t="shared" si="176"/>
        <v>0.21975545186452269</v>
      </c>
      <c r="AU266" s="43">
        <f t="shared" si="176"/>
        <v>0.23244676872060258</v>
      </c>
      <c r="AV266" s="43">
        <f t="shared" si="176"/>
        <v>0.2500383401773778</v>
      </c>
      <c r="AW266" s="43">
        <f t="shared" si="176"/>
        <v>0.256011256047535</v>
      </c>
      <c r="AX266" s="43">
        <f t="shared" si="176"/>
        <v>0.26467672504223194</v>
      </c>
      <c r="AY266" s="3"/>
      <c r="AZ266" s="47">
        <f t="shared" si="151"/>
        <v>1.8307018625121882</v>
      </c>
      <c r="BA266" s="47">
        <f t="shared" si="152"/>
        <v>1.7567000252340841</v>
      </c>
      <c r="BB266" s="47">
        <f t="shared" si="153"/>
        <v>1.8041599056600579</v>
      </c>
      <c r="BC266" s="47">
        <f t="shared" si="154"/>
        <v>1.7452904694528566</v>
      </c>
      <c r="BD266" s="47">
        <f t="shared" si="155"/>
        <v>1.6918500652178956</v>
      </c>
    </row>
    <row r="267" spans="2:56" s="227" customFormat="1" ht="13">
      <c r="B267" s="37">
        <f>'12. Investeringen (bijschatten)'!B70</f>
        <v>51</v>
      </c>
      <c r="C267" s="48"/>
      <c r="D267" s="3"/>
      <c r="E267" s="48"/>
      <c r="F267" s="167">
        <f>'12. Investeringen (bijschatten)'!C70</f>
        <v>66907.138099665128</v>
      </c>
      <c r="G267" s="3"/>
      <c r="H267" s="37">
        <f>'12. Investeringen (bijschatten)'!D70</f>
        <v>2021</v>
      </c>
      <c r="I267" s="37" t="str">
        <f>'12. Investeringen (bijschatten)'!E70</f>
        <v>36 Luchtscheidingsunit</v>
      </c>
      <c r="J267" s="167">
        <f>_xlfn.XLOOKUP(I267,'3. Input (des)investeringen '!$B$11:$B$89,'3. Input (des)investeringen '!$D$11:$D$89)</f>
        <v>30</v>
      </c>
      <c r="M267" s="43">
        <f t="shared" si="165"/>
        <v>0</v>
      </c>
      <c r="N267" s="43">
        <f t="shared" si="166"/>
        <v>1115.1189683277521</v>
      </c>
      <c r="O267" s="3"/>
      <c r="P267" s="136">
        <f t="shared" si="167"/>
        <v>0</v>
      </c>
      <c r="Q267" s="136">
        <f t="shared" si="168"/>
        <v>65792.01913133738</v>
      </c>
      <c r="R267" s="3"/>
      <c r="S267" s="43">
        <f t="shared" si="144"/>
        <v>65792.01913133738</v>
      </c>
      <c r="T267" s="38">
        <f t="shared" si="145"/>
        <v>29.5</v>
      </c>
      <c r="U267" s="3"/>
      <c r="V267" s="43">
        <f t="shared" ref="V267:Z276" si="177">IF($J267=0, 0, IF(OR($H267&gt;V$59,$H267+$J267&lt;V$59),0,
IF(OR($H267=2020,$H267=2021),VDB(ABS($S267)*(1-$F$28),0,$T267,V$59-2022,MIN($T267,V$59-2021),$F$22),
VDB(ABS($S267)*(1-$F$28),0,$T267,MAX(0,V$59-$H267-0.5),MIN($T267,V$59-$H267+0.5),$F$22,FALSE))))*IF($F267&lt;0,-1,1)</f>
        <v>2609.3783858869401</v>
      </c>
      <c r="W267" s="43">
        <f t="shared" si="177"/>
        <v>2494.3888298987022</v>
      </c>
      <c r="X267" s="43">
        <f t="shared" si="177"/>
        <v>2384.4666102760475</v>
      </c>
      <c r="Y267" s="43">
        <f t="shared" si="177"/>
        <v>2279.3884206706625</v>
      </c>
      <c r="Z267" s="43">
        <f t="shared" si="177"/>
        <v>2178.9407953529721</v>
      </c>
      <c r="AA267" s="3"/>
      <c r="AB267" s="43">
        <f t="shared" ref="AB267:AF276" si="178">IF($J267 = 0, 0, IF(OR($H267&gt;AB$59,$H267+$J267&lt;AB$59),0,
IF(OR($H267=2020,$H267=2021),VDB(ABS($S267)*$F$28,0,$T267,AB$59-2022,MIN($T267,AB$59-2021),1),
VDB(ABS($S267)*$F$28,0,$T267,MAX(0,AB$59-$H267-0.5),MIN($T267,AB$59-$H267+0.5),1))))*IF($F267&lt;0,-1,1)</f>
        <v>223.02379366555044</v>
      </c>
      <c r="AC267" s="43">
        <f t="shared" si="178"/>
        <v>223.02379366555044</v>
      </c>
      <c r="AD267" s="43">
        <f t="shared" si="178"/>
        <v>223.02379366555044</v>
      </c>
      <c r="AE267" s="43">
        <f t="shared" si="178"/>
        <v>223.02379366555044</v>
      </c>
      <c r="AF267" s="43">
        <f t="shared" si="178"/>
        <v>223.02379366555044</v>
      </c>
      <c r="AG267" s="3"/>
      <c r="AH267" s="43">
        <f t="shared" si="146"/>
        <v>2832.4021795524905</v>
      </c>
      <c r="AI267" s="43">
        <f t="shared" si="147"/>
        <v>2717.4126235642525</v>
      </c>
      <c r="AJ267" s="43">
        <f t="shared" si="148"/>
        <v>2607.4904039415978</v>
      </c>
      <c r="AK267" s="43">
        <f t="shared" si="149"/>
        <v>2502.4122143362129</v>
      </c>
      <c r="AL267" s="43">
        <f t="shared" si="150"/>
        <v>2401.9645890185225</v>
      </c>
      <c r="AM267" s="3"/>
      <c r="AN267" s="43">
        <f t="shared" si="169"/>
        <v>62959.61695178489</v>
      </c>
      <c r="AO267" s="43">
        <f t="shared" si="170"/>
        <v>60242.204328220636</v>
      </c>
      <c r="AP267" s="43">
        <f t="shared" si="171"/>
        <v>57634.713924279036</v>
      </c>
      <c r="AQ267" s="43">
        <f t="shared" si="172"/>
        <v>55132.301709942825</v>
      </c>
      <c r="AR267" s="43">
        <f t="shared" si="173"/>
        <v>52730.337120924305</v>
      </c>
      <c r="AS267" s="3"/>
      <c r="AT267" s="43">
        <f t="shared" ref="AT267:AX276" si="179">IF($H267&lt;=AT$215,$F267*INDEX($H$40:$N$46,$H267-2019,AT$215-2019)*INDEX($H$49:$N$55,$H267-2019,AT$215-2019)*$F$19,0)</f>
        <v>678.39020719117264</v>
      </c>
      <c r="AU267" s="43">
        <f t="shared" si="179"/>
        <v>717.56859843687721</v>
      </c>
      <c r="AV267" s="43">
        <f t="shared" si="179"/>
        <v>771.87418996658016</v>
      </c>
      <c r="AW267" s="43">
        <f t="shared" si="179"/>
        <v>790.31272061650179</v>
      </c>
      <c r="AX267" s="43">
        <f t="shared" si="179"/>
        <v>817.06322558392912</v>
      </c>
      <c r="AY267" s="3"/>
      <c r="AZ267" s="47">
        <f t="shared" si="151"/>
        <v>5651.419363104349</v>
      </c>
      <c r="BA267" s="47">
        <f t="shared" si="152"/>
        <v>5422.9739648324112</v>
      </c>
      <c r="BB267" s="47">
        <f t="shared" si="153"/>
        <v>5569.4837230307812</v>
      </c>
      <c r="BC267" s="47">
        <f t="shared" si="154"/>
        <v>5387.7523999305422</v>
      </c>
      <c r="BD267" s="47">
        <f t="shared" si="155"/>
        <v>5222.7806251975753</v>
      </c>
    </row>
    <row r="268" spans="2:56" s="227" customFormat="1" ht="13">
      <c r="B268" s="37">
        <f>'12. Investeringen (bijschatten)'!B71</f>
        <v>52</v>
      </c>
      <c r="C268" s="48"/>
      <c r="D268" s="3"/>
      <c r="E268" s="48"/>
      <c r="F268" s="167">
        <f>'12. Investeringen (bijschatten)'!C71</f>
        <v>8176022.9143784875</v>
      </c>
      <c r="G268" s="3"/>
      <c r="H268" s="37">
        <f>'12. Investeringen (bijschatten)'!D71</f>
        <v>2021</v>
      </c>
      <c r="I268" s="37" t="str">
        <f>'12. Investeringen (bijschatten)'!E71</f>
        <v>37 ICT middelen 1</v>
      </c>
      <c r="J268" s="167">
        <f>_xlfn.XLOOKUP(I268,'3. Input (des)investeringen '!$B$11:$B$89,'3. Input (des)investeringen '!$D$11:$D$89)</f>
        <v>5</v>
      </c>
      <c r="M268" s="43">
        <f t="shared" si="165"/>
        <v>0</v>
      </c>
      <c r="N268" s="43">
        <f t="shared" si="166"/>
        <v>817602.29143784882</v>
      </c>
      <c r="O268" s="3"/>
      <c r="P268" s="136">
        <f t="shared" si="167"/>
        <v>0</v>
      </c>
      <c r="Q268" s="136">
        <f t="shared" si="168"/>
        <v>7358420.622940639</v>
      </c>
      <c r="R268" s="3"/>
      <c r="S268" s="43">
        <f t="shared" si="144"/>
        <v>7358420.622940639</v>
      </c>
      <c r="T268" s="38">
        <f t="shared" si="145"/>
        <v>4.5</v>
      </c>
      <c r="U268" s="3"/>
      <c r="V268" s="43">
        <f t="shared" si="177"/>
        <v>1913189.3619645662</v>
      </c>
      <c r="W268" s="43">
        <f t="shared" si="177"/>
        <v>1360490.2129525803</v>
      </c>
      <c r="X268" s="43">
        <f t="shared" si="177"/>
        <v>1339559.5942917713</v>
      </c>
      <c r="Y268" s="43">
        <f t="shared" si="177"/>
        <v>1339559.5942917713</v>
      </c>
      <c r="Z268" s="43">
        <f t="shared" si="177"/>
        <v>669779.79714588565</v>
      </c>
      <c r="AA268" s="3"/>
      <c r="AB268" s="43">
        <f t="shared" si="178"/>
        <v>163520.45828756978</v>
      </c>
      <c r="AC268" s="43">
        <f t="shared" si="178"/>
        <v>163520.45828756978</v>
      </c>
      <c r="AD268" s="43">
        <f t="shared" si="178"/>
        <v>163520.45828756978</v>
      </c>
      <c r="AE268" s="43">
        <f t="shared" si="178"/>
        <v>163520.45828756978</v>
      </c>
      <c r="AF268" s="43">
        <f t="shared" si="178"/>
        <v>81760.229143784891</v>
      </c>
      <c r="AG268" s="3"/>
      <c r="AH268" s="43">
        <f t="shared" si="146"/>
        <v>2076709.8202521359</v>
      </c>
      <c r="AI268" s="43">
        <f t="shared" si="147"/>
        <v>1524010.67124015</v>
      </c>
      <c r="AJ268" s="43">
        <f t="shared" si="148"/>
        <v>1503080.052579341</v>
      </c>
      <c r="AK268" s="43">
        <f t="shared" si="149"/>
        <v>1503080.052579341</v>
      </c>
      <c r="AL268" s="43">
        <f t="shared" si="150"/>
        <v>751540.0262896705</v>
      </c>
      <c r="AM268" s="3"/>
      <c r="AN268" s="43">
        <f t="shared" si="169"/>
        <v>5281710.8026885036</v>
      </c>
      <c r="AO268" s="43">
        <f t="shared" si="170"/>
        <v>3757700.1314483536</v>
      </c>
      <c r="AP268" s="43">
        <f t="shared" si="171"/>
        <v>2254620.0788690127</v>
      </c>
      <c r="AQ268" s="43">
        <f t="shared" si="172"/>
        <v>751540.02628967166</v>
      </c>
      <c r="AR268" s="43">
        <f t="shared" si="173"/>
        <v>0</v>
      </c>
      <c r="AS268" s="3"/>
      <c r="AT268" s="43">
        <f t="shared" si="179"/>
        <v>82898.98561529952</v>
      </c>
      <c r="AU268" s="43">
        <f t="shared" si="179"/>
        <v>87686.567832554283</v>
      </c>
      <c r="AV268" s="43">
        <f t="shared" si="179"/>
        <v>94322.687286121989</v>
      </c>
      <c r="AW268" s="43">
        <f t="shared" si="179"/>
        <v>96575.86764001289</v>
      </c>
      <c r="AX268" s="43">
        <f t="shared" si="179"/>
        <v>99844.767607892049</v>
      </c>
      <c r="AY268" s="3"/>
      <c r="AZ268" s="47">
        <f t="shared" si="151"/>
        <v>2339186.9731588447</v>
      </c>
      <c r="BA268" s="47">
        <f t="shared" si="152"/>
        <v>1735701.3434104999</v>
      </c>
      <c r="BB268" s="47">
        <f t="shared" si="153"/>
        <v>1683078.3028624854</v>
      </c>
      <c r="BC268" s="47">
        <f t="shared" si="154"/>
        <v>1628214.4412183615</v>
      </c>
      <c r="BD268" s="47">
        <f t="shared" si="155"/>
        <v>851384.79389756254</v>
      </c>
    </row>
    <row r="269" spans="2:56" s="227" customFormat="1" ht="13">
      <c r="B269" s="37">
        <f>'12. Investeringen (bijschatten)'!B72</f>
        <v>53</v>
      </c>
      <c r="C269" s="48"/>
      <c r="D269" s="3"/>
      <c r="E269" s="48"/>
      <c r="F269" s="167">
        <f>'12. Investeringen (bijschatten)'!C72</f>
        <v>3432263.071002047</v>
      </c>
      <c r="G269" s="3"/>
      <c r="H269" s="37">
        <f>'12. Investeringen (bijschatten)'!D72</f>
        <v>2021</v>
      </c>
      <c r="I269" s="37" t="str">
        <f>'12. Investeringen (bijschatten)'!E72</f>
        <v>38 ICT middelen 2</v>
      </c>
      <c r="J269" s="167">
        <f>_xlfn.XLOOKUP(I269,'3. Input (des)investeringen '!$B$11:$B$89,'3. Input (des)investeringen '!$D$11:$D$89)</f>
        <v>10</v>
      </c>
      <c r="M269" s="43">
        <f t="shared" si="165"/>
        <v>0</v>
      </c>
      <c r="N269" s="43">
        <f t="shared" si="166"/>
        <v>171613.15355010238</v>
      </c>
      <c r="O269" s="3"/>
      <c r="P269" s="136">
        <f t="shared" si="167"/>
        <v>0</v>
      </c>
      <c r="Q269" s="136">
        <f t="shared" si="168"/>
        <v>3260649.9174519447</v>
      </c>
      <c r="R269" s="3"/>
      <c r="S269" s="43">
        <f t="shared" si="144"/>
        <v>3260649.9174519447</v>
      </c>
      <c r="T269" s="38">
        <f t="shared" si="145"/>
        <v>9.5</v>
      </c>
      <c r="U269" s="3"/>
      <c r="V269" s="43">
        <f t="shared" si="177"/>
        <v>401574.77930723951</v>
      </c>
      <c r="W269" s="43">
        <f t="shared" si="177"/>
        <v>346622.44108624884</v>
      </c>
      <c r="X269" s="43">
        <f t="shared" si="177"/>
        <v>299189.89651655161</v>
      </c>
      <c r="Y269" s="43">
        <f t="shared" si="177"/>
        <v>290338.12443026307</v>
      </c>
      <c r="Z269" s="43">
        <f t="shared" si="177"/>
        <v>290338.12443026307</v>
      </c>
      <c r="AA269" s="3"/>
      <c r="AB269" s="43">
        <f t="shared" si="178"/>
        <v>34322.630710020472</v>
      </c>
      <c r="AC269" s="43">
        <f t="shared" si="178"/>
        <v>34322.630710020472</v>
      </c>
      <c r="AD269" s="43">
        <f t="shared" si="178"/>
        <v>34322.630710020472</v>
      </c>
      <c r="AE269" s="43">
        <f t="shared" si="178"/>
        <v>34322.630710020472</v>
      </c>
      <c r="AF269" s="43">
        <f t="shared" si="178"/>
        <v>34322.630710020472</v>
      </c>
      <c r="AG269" s="3"/>
      <c r="AH269" s="43">
        <f t="shared" si="146"/>
        <v>435897.41001726</v>
      </c>
      <c r="AI269" s="43">
        <f t="shared" si="147"/>
        <v>380945.07179626933</v>
      </c>
      <c r="AJ269" s="43">
        <f t="shared" si="148"/>
        <v>333512.5272265721</v>
      </c>
      <c r="AK269" s="43">
        <f t="shared" si="149"/>
        <v>324660.75514028355</v>
      </c>
      <c r="AL269" s="43">
        <f t="shared" si="150"/>
        <v>324660.75514028355</v>
      </c>
      <c r="AM269" s="3"/>
      <c r="AN269" s="43">
        <f t="shared" si="169"/>
        <v>2824752.5074346848</v>
      </c>
      <c r="AO269" s="43">
        <f t="shared" si="170"/>
        <v>2443807.4356384156</v>
      </c>
      <c r="AP269" s="43">
        <f t="shared" si="171"/>
        <v>2110294.9084118437</v>
      </c>
      <c r="AQ269" s="43">
        <f t="shared" si="172"/>
        <v>1785634.1532715601</v>
      </c>
      <c r="AR269" s="43">
        <f t="shared" si="173"/>
        <v>1460973.3981312765</v>
      </c>
      <c r="AS269" s="3"/>
      <c r="AT269" s="43">
        <f t="shared" si="179"/>
        <v>34800.676310549636</v>
      </c>
      <c r="AU269" s="43">
        <f t="shared" si="179"/>
        <v>36810.484968836499</v>
      </c>
      <c r="AV269" s="43">
        <f t="shared" si="179"/>
        <v>39596.302471278053</v>
      </c>
      <c r="AW269" s="43">
        <f t="shared" si="179"/>
        <v>40542.178944711937</v>
      </c>
      <c r="AX269" s="43">
        <f t="shared" si="179"/>
        <v>41914.450617632545</v>
      </c>
      <c r="AY269" s="3"/>
      <c r="AZ269" s="47">
        <f t="shared" si="151"/>
        <v>566739.67158058891</v>
      </c>
      <c r="BA269" s="47">
        <f t="shared" si="152"/>
        <v>498401.20214117353</v>
      </c>
      <c r="BB269" s="47">
        <f t="shared" si="153"/>
        <v>453300.03621750022</v>
      </c>
      <c r="BC269" s="47">
        <f t="shared" si="154"/>
        <v>433057.03190931474</v>
      </c>
      <c r="BD269" s="47">
        <f t="shared" si="155"/>
        <v>422092.19488690462</v>
      </c>
    </row>
    <row r="270" spans="2:56" s="227" customFormat="1" ht="13">
      <c r="B270" s="37">
        <f>'12. Investeringen (bijschatten)'!B73</f>
        <v>54</v>
      </c>
      <c r="C270" s="48"/>
      <c r="D270" s="3"/>
      <c r="E270" s="48"/>
      <c r="F270" s="167">
        <f>'12. Investeringen (bijschatten)'!C73</f>
        <v>280.60480266320502</v>
      </c>
      <c r="G270" s="3"/>
      <c r="H270" s="37">
        <f>'12. Investeringen (bijschatten)'!D73</f>
        <v>2021</v>
      </c>
      <c r="I270" s="37" t="str">
        <f>'12. Investeringen (bijschatten)'!E73</f>
        <v>41 Stikstofbuffer</v>
      </c>
      <c r="J270" s="167">
        <f>_xlfn.XLOOKUP(I270,'3. Input (des)investeringen '!$B$11:$B$89,'3. Input (des)investeringen '!$D$11:$D$89)</f>
        <v>30</v>
      </c>
      <c r="M270" s="43">
        <f t="shared" si="165"/>
        <v>0</v>
      </c>
      <c r="N270" s="43">
        <f t="shared" si="166"/>
        <v>4.6767467110534167</v>
      </c>
      <c r="O270" s="3"/>
      <c r="P270" s="136">
        <f t="shared" si="167"/>
        <v>0</v>
      </c>
      <c r="Q270" s="136">
        <f t="shared" si="168"/>
        <v>275.92805595215162</v>
      </c>
      <c r="R270" s="3"/>
      <c r="S270" s="43">
        <f t="shared" si="144"/>
        <v>275.92805595215162</v>
      </c>
      <c r="T270" s="38">
        <f t="shared" si="145"/>
        <v>29.5</v>
      </c>
      <c r="U270" s="3"/>
      <c r="V270" s="43">
        <f t="shared" si="177"/>
        <v>10.943587303864996</v>
      </c>
      <c r="W270" s="43">
        <f t="shared" si="177"/>
        <v>10.46132752437264</v>
      </c>
      <c r="X270" s="43">
        <f t="shared" si="177"/>
        <v>10.000319870756218</v>
      </c>
      <c r="Y270" s="43">
        <f t="shared" si="177"/>
        <v>9.5596278086550974</v>
      </c>
      <c r="Z270" s="43">
        <f t="shared" si="177"/>
        <v>9.1383560747143626</v>
      </c>
      <c r="AA270" s="3"/>
      <c r="AB270" s="43">
        <f t="shared" si="178"/>
        <v>0.93534934221068355</v>
      </c>
      <c r="AC270" s="43">
        <f t="shared" si="178"/>
        <v>0.93534934221068344</v>
      </c>
      <c r="AD270" s="43">
        <f t="shared" si="178"/>
        <v>0.93534934221068344</v>
      </c>
      <c r="AE270" s="43">
        <f t="shared" si="178"/>
        <v>0.93534934221068344</v>
      </c>
      <c r="AF270" s="43">
        <f t="shared" si="178"/>
        <v>0.93534934221068344</v>
      </c>
      <c r="AG270" s="3"/>
      <c r="AH270" s="43">
        <f t="shared" si="146"/>
        <v>11.87893664607568</v>
      </c>
      <c r="AI270" s="43">
        <f t="shared" si="147"/>
        <v>11.396676866583324</v>
      </c>
      <c r="AJ270" s="43">
        <f t="shared" si="148"/>
        <v>10.935669212966902</v>
      </c>
      <c r="AK270" s="43">
        <f t="shared" si="149"/>
        <v>10.494977150865781</v>
      </c>
      <c r="AL270" s="43">
        <f t="shared" si="150"/>
        <v>10.073705416925046</v>
      </c>
      <c r="AM270" s="3"/>
      <c r="AN270" s="43">
        <f t="shared" si="169"/>
        <v>264.04911930607597</v>
      </c>
      <c r="AO270" s="43">
        <f t="shared" si="170"/>
        <v>252.65244243949263</v>
      </c>
      <c r="AP270" s="43">
        <f t="shared" si="171"/>
        <v>241.71677322652573</v>
      </c>
      <c r="AQ270" s="43">
        <f t="shared" si="172"/>
        <v>231.22179607565994</v>
      </c>
      <c r="AR270" s="43">
        <f t="shared" si="173"/>
        <v>221.1480906587349</v>
      </c>
      <c r="AS270" s="3"/>
      <c r="AT270" s="43">
        <f t="shared" si="179"/>
        <v>2.8451306635469815</v>
      </c>
      <c r="AU270" s="43">
        <f t="shared" si="179"/>
        <v>3.0094426496281468</v>
      </c>
      <c r="AV270" s="43">
        <f t="shared" si="179"/>
        <v>3.2371972693520048</v>
      </c>
      <c r="AW270" s="43">
        <f t="shared" si="179"/>
        <v>3.3145274377222855</v>
      </c>
      <c r="AX270" s="43">
        <f t="shared" si="179"/>
        <v>3.4267175624343094</v>
      </c>
      <c r="AY270" s="3"/>
      <c r="AZ270" s="47">
        <f t="shared" si="151"/>
        <v>23.701737366029246</v>
      </c>
      <c r="BA270" s="47">
        <f t="shared" si="152"/>
        <v>22.743650116714726</v>
      </c>
      <c r="BB270" s="47">
        <f t="shared" si="153"/>
        <v>23.358103864926886</v>
      </c>
      <c r="BC270" s="47">
        <f t="shared" si="154"/>
        <v>22.595932839463146</v>
      </c>
      <c r="BD270" s="47">
        <f t="shared" si="155"/>
        <v>21.904050424391283</v>
      </c>
    </row>
    <row r="271" spans="2:56" s="227" customFormat="1" ht="13">
      <c r="B271" s="37">
        <f>'12. Investeringen (bijschatten)'!B74</f>
        <v>55</v>
      </c>
      <c r="C271" s="48"/>
      <c r="D271" s="3"/>
      <c r="E271" s="48"/>
      <c r="F271" s="167">
        <f>'12. Investeringen (bijschatten)'!C74</f>
        <v>13637663.667912096</v>
      </c>
      <c r="G271" s="3"/>
      <c r="H271" s="37">
        <f>'12. Investeringen (bijschatten)'!D74</f>
        <v>2021</v>
      </c>
      <c r="I271" s="37" t="str">
        <f>'12. Investeringen (bijschatten)'!E74</f>
        <v>42 Vulgas</v>
      </c>
      <c r="J271" s="167">
        <f>_xlfn.XLOOKUP(I271,'3. Input (des)investeringen '!$B$11:$B$89,'3. Input (des)investeringen '!$D$11:$D$89)</f>
        <v>0</v>
      </c>
      <c r="M271" s="43">
        <f t="shared" si="165"/>
        <v>0</v>
      </c>
      <c r="N271" s="43">
        <f t="shared" si="166"/>
        <v>0</v>
      </c>
      <c r="O271" s="3"/>
      <c r="P271" s="136">
        <f t="shared" si="167"/>
        <v>0</v>
      </c>
      <c r="Q271" s="136">
        <f t="shared" si="168"/>
        <v>13637663.667912096</v>
      </c>
      <c r="R271" s="3"/>
      <c r="S271" s="43">
        <f t="shared" si="144"/>
        <v>13637663.667912096</v>
      </c>
      <c r="T271" s="38">
        <f t="shared" si="145"/>
        <v>0</v>
      </c>
      <c r="U271" s="3"/>
      <c r="V271" s="43">
        <f t="shared" si="177"/>
        <v>0</v>
      </c>
      <c r="W271" s="43">
        <f t="shared" si="177"/>
        <v>0</v>
      </c>
      <c r="X271" s="43">
        <f t="shared" si="177"/>
        <v>0</v>
      </c>
      <c r="Y271" s="43">
        <f t="shared" si="177"/>
        <v>0</v>
      </c>
      <c r="Z271" s="43">
        <f t="shared" si="177"/>
        <v>0</v>
      </c>
      <c r="AA271" s="3"/>
      <c r="AB271" s="43">
        <f t="shared" si="178"/>
        <v>0</v>
      </c>
      <c r="AC271" s="43">
        <f t="shared" si="178"/>
        <v>0</v>
      </c>
      <c r="AD271" s="43">
        <f t="shared" si="178"/>
        <v>0</v>
      </c>
      <c r="AE271" s="43">
        <f t="shared" si="178"/>
        <v>0</v>
      </c>
      <c r="AF271" s="43">
        <f t="shared" si="178"/>
        <v>0</v>
      </c>
      <c r="AG271" s="3"/>
      <c r="AH271" s="43">
        <f t="shared" si="146"/>
        <v>0</v>
      </c>
      <c r="AI271" s="43">
        <f t="shared" si="147"/>
        <v>0</v>
      </c>
      <c r="AJ271" s="43">
        <f t="shared" si="148"/>
        <v>0</v>
      </c>
      <c r="AK271" s="43">
        <f t="shared" si="149"/>
        <v>0</v>
      </c>
      <c r="AL271" s="43">
        <f t="shared" si="150"/>
        <v>0</v>
      </c>
      <c r="AM271" s="3"/>
      <c r="AN271" s="43">
        <f t="shared" si="169"/>
        <v>13637663.667912096</v>
      </c>
      <c r="AO271" s="43">
        <f t="shared" si="170"/>
        <v>13637663.667912096</v>
      </c>
      <c r="AP271" s="43">
        <f t="shared" si="171"/>
        <v>13637663.667912096</v>
      </c>
      <c r="AQ271" s="43">
        <f t="shared" si="172"/>
        <v>13637663.667912096</v>
      </c>
      <c r="AR271" s="43">
        <f t="shared" si="173"/>
        <v>13637663.667912096</v>
      </c>
      <c r="AS271" s="3"/>
      <c r="AT271" s="43">
        <f t="shared" si="179"/>
        <v>138276.09047478775</v>
      </c>
      <c r="AU271" s="43">
        <f t="shared" si="179"/>
        <v>146261.8112518877</v>
      </c>
      <c r="AV271" s="43">
        <f t="shared" si="179"/>
        <v>157330.90512743057</v>
      </c>
      <c r="AW271" s="43">
        <f t="shared" si="179"/>
        <v>161089.22578911463</v>
      </c>
      <c r="AX271" s="43">
        <f t="shared" si="179"/>
        <v>166541.77390362456</v>
      </c>
      <c r="AY271" s="3"/>
      <c r="AZ271" s="47">
        <f t="shared" si="151"/>
        <v>601956.6551837991</v>
      </c>
      <c r="BA271" s="47">
        <f t="shared" si="152"/>
        <v>596304.71229298692</v>
      </c>
      <c r="BB271" s="47">
        <f t="shared" si="153"/>
        <v>675562.1245080902</v>
      </c>
      <c r="BC271" s="47">
        <f t="shared" si="154"/>
        <v>679320.44516977423</v>
      </c>
      <c r="BD271" s="47">
        <f t="shared" si="155"/>
        <v>684772.99328428414</v>
      </c>
    </row>
    <row r="272" spans="2:56" s="227" customFormat="1" ht="13">
      <c r="B272" s="37">
        <f>'12. Investeringen (bijschatten)'!B75</f>
        <v>56</v>
      </c>
      <c r="C272" s="48"/>
      <c r="D272" s="3"/>
      <c r="E272" s="48"/>
      <c r="F272" s="167">
        <f>'12. Investeringen (bijschatten)'!C75</f>
        <v>6068.2242421309429</v>
      </c>
      <c r="G272" s="3"/>
      <c r="H272" s="37">
        <f>'12. Investeringen (bijschatten)'!D75</f>
        <v>2021</v>
      </c>
      <c r="I272" s="37" t="str">
        <f>'12. Investeringen (bijschatten)'!E75</f>
        <v>44 Stikstofleiding</v>
      </c>
      <c r="J272" s="167">
        <f>_xlfn.XLOOKUP(I272,'3. Input (des)investeringen '!$B$11:$B$89,'3. Input (des)investeringen '!$D$11:$D$89)</f>
        <v>55</v>
      </c>
      <c r="M272" s="43">
        <f t="shared" si="165"/>
        <v>0</v>
      </c>
      <c r="N272" s="43">
        <f t="shared" si="166"/>
        <v>55.165674928463119</v>
      </c>
      <c r="O272" s="3"/>
      <c r="P272" s="136">
        <f t="shared" si="167"/>
        <v>0</v>
      </c>
      <c r="Q272" s="136">
        <f t="shared" si="168"/>
        <v>6013.0585672024799</v>
      </c>
      <c r="R272" s="3"/>
      <c r="S272" s="43">
        <f t="shared" si="144"/>
        <v>6013.0585672024799</v>
      </c>
      <c r="T272" s="38">
        <f t="shared" si="145"/>
        <v>54.5</v>
      </c>
      <c r="U272" s="3"/>
      <c r="V272" s="43">
        <f t="shared" si="177"/>
        <v>129.0876793326037</v>
      </c>
      <c r="W272" s="43">
        <f t="shared" si="177"/>
        <v>126.0085236787985</v>
      </c>
      <c r="X272" s="43">
        <f t="shared" si="177"/>
        <v>123.00281577453357</v>
      </c>
      <c r="Y272" s="43">
        <f t="shared" si="177"/>
        <v>120.06880365514104</v>
      </c>
      <c r="Z272" s="43">
        <f t="shared" si="177"/>
        <v>117.20477714593584</v>
      </c>
      <c r="AA272" s="3"/>
      <c r="AB272" s="43">
        <f t="shared" si="178"/>
        <v>11.033134985692625</v>
      </c>
      <c r="AC272" s="43">
        <f t="shared" si="178"/>
        <v>11.033134985692623</v>
      </c>
      <c r="AD272" s="43">
        <f t="shared" si="178"/>
        <v>11.033134985692623</v>
      </c>
      <c r="AE272" s="43">
        <f t="shared" si="178"/>
        <v>11.033134985692623</v>
      </c>
      <c r="AF272" s="43">
        <f t="shared" si="178"/>
        <v>11.033134985692623</v>
      </c>
      <c r="AG272" s="3"/>
      <c r="AH272" s="43">
        <f t="shared" si="146"/>
        <v>140.12081431829631</v>
      </c>
      <c r="AI272" s="43">
        <f t="shared" si="147"/>
        <v>137.04165866449111</v>
      </c>
      <c r="AJ272" s="43">
        <f t="shared" si="148"/>
        <v>134.0359507602262</v>
      </c>
      <c r="AK272" s="43">
        <f t="shared" si="149"/>
        <v>131.10193864083365</v>
      </c>
      <c r="AL272" s="43">
        <f t="shared" si="150"/>
        <v>128.23791213162846</v>
      </c>
      <c r="AM272" s="3"/>
      <c r="AN272" s="43">
        <f t="shared" si="169"/>
        <v>5872.9377528841833</v>
      </c>
      <c r="AO272" s="43">
        <f t="shared" si="170"/>
        <v>5735.8960942196918</v>
      </c>
      <c r="AP272" s="43">
        <f t="shared" si="171"/>
        <v>5601.8601434594657</v>
      </c>
      <c r="AQ272" s="43">
        <f t="shared" si="172"/>
        <v>5470.7582048186323</v>
      </c>
      <c r="AR272" s="43">
        <f t="shared" si="173"/>
        <v>5342.5202926870043</v>
      </c>
      <c r="AS272" s="3"/>
      <c r="AT272" s="43">
        <f t="shared" si="179"/>
        <v>61.527424693753431</v>
      </c>
      <c r="AU272" s="43">
        <f t="shared" si="179"/>
        <v>65.080756524667066</v>
      </c>
      <c r="AV272" s="43">
        <f t="shared" si="179"/>
        <v>70.006068178453887</v>
      </c>
      <c r="AW272" s="43">
        <f t="shared" si="179"/>
        <v>71.678373135100799</v>
      </c>
      <c r="AX272" s="43">
        <f t="shared" si="179"/>
        <v>74.104542708977675</v>
      </c>
      <c r="AY272" s="3"/>
      <c r="AZ272" s="47">
        <f t="shared" si="151"/>
        <v>401.32812261011202</v>
      </c>
      <c r="BA272" s="47">
        <f t="shared" si="152"/>
        <v>391.40698629840801</v>
      </c>
      <c r="BB272" s="47">
        <f t="shared" si="153"/>
        <v>416.91270439013977</v>
      </c>
      <c r="BC272" s="47">
        <f t="shared" si="154"/>
        <v>410.66912355904248</v>
      </c>
      <c r="BD272" s="47">
        <f t="shared" si="155"/>
        <v>405.35822596271225</v>
      </c>
    </row>
    <row r="273" spans="1:56" s="227" customFormat="1" ht="13">
      <c r="A273" s="3"/>
      <c r="B273" s="37">
        <f>'12. Investeringen (bijschatten)'!B76</f>
        <v>57</v>
      </c>
      <c r="C273" s="48"/>
      <c r="D273" s="3"/>
      <c r="E273" s="48"/>
      <c r="F273" s="167">
        <f>'12. Investeringen (bijschatten)'!C76</f>
        <v>2134515.8335881382</v>
      </c>
      <c r="G273" s="3"/>
      <c r="H273" s="37">
        <f>'12. Investeringen (bijschatten)'!D76</f>
        <v>2021</v>
      </c>
      <c r="I273" s="37" t="str">
        <f>'12. Investeringen (bijschatten)'!E76</f>
        <v>45 Groen gas booster</v>
      </c>
      <c r="J273" s="167">
        <f>_xlfn.XLOOKUP(I273,'3. Input (des)investeringen '!$B$11:$B$89,'3. Input (des)investeringen '!$D$11:$D$89)</f>
        <v>30</v>
      </c>
      <c r="M273" s="43">
        <f t="shared" si="165"/>
        <v>0</v>
      </c>
      <c r="N273" s="43">
        <f t="shared" si="166"/>
        <v>35575.263893135634</v>
      </c>
      <c r="O273" s="3"/>
      <c r="P273" s="136">
        <f t="shared" si="167"/>
        <v>0</v>
      </c>
      <c r="Q273" s="136">
        <f t="shared" si="168"/>
        <v>2098940.5696950024</v>
      </c>
      <c r="R273" s="3"/>
      <c r="S273" s="43">
        <f t="shared" si="144"/>
        <v>2098940.5696950024</v>
      </c>
      <c r="T273" s="38">
        <f t="shared" si="145"/>
        <v>29.5</v>
      </c>
      <c r="U273" s="3"/>
      <c r="V273" s="43">
        <f t="shared" si="177"/>
        <v>83246.11750993738</v>
      </c>
      <c r="W273" s="43">
        <f t="shared" si="177"/>
        <v>79577.644534923194</v>
      </c>
      <c r="X273" s="43">
        <f t="shared" si="177"/>
        <v>76070.83308084184</v>
      </c>
      <c r="Y273" s="43">
        <f t="shared" si="177"/>
        <v>72718.559080669147</v>
      </c>
      <c r="Z273" s="43">
        <f t="shared" si="177"/>
        <v>69514.012409317613</v>
      </c>
      <c r="AA273" s="3"/>
      <c r="AB273" s="43">
        <f t="shared" si="178"/>
        <v>7115.0527786271277</v>
      </c>
      <c r="AC273" s="43">
        <f t="shared" si="178"/>
        <v>7115.0527786271268</v>
      </c>
      <c r="AD273" s="43">
        <f t="shared" si="178"/>
        <v>7115.0527786271268</v>
      </c>
      <c r="AE273" s="43">
        <f t="shared" si="178"/>
        <v>7115.0527786271268</v>
      </c>
      <c r="AF273" s="43">
        <f t="shared" si="178"/>
        <v>7115.0527786271268</v>
      </c>
      <c r="AG273" s="3"/>
      <c r="AH273" s="43">
        <f t="shared" si="146"/>
        <v>90361.170288564506</v>
      </c>
      <c r="AI273" s="43">
        <f t="shared" si="147"/>
        <v>86692.697313550321</v>
      </c>
      <c r="AJ273" s="43">
        <f t="shared" si="148"/>
        <v>83185.885859468966</v>
      </c>
      <c r="AK273" s="43">
        <f t="shared" si="149"/>
        <v>79833.611859296274</v>
      </c>
      <c r="AL273" s="43">
        <f t="shared" si="150"/>
        <v>76629.06518794474</v>
      </c>
      <c r="AM273" s="3"/>
      <c r="AN273" s="43">
        <f t="shared" si="169"/>
        <v>2008579.399406438</v>
      </c>
      <c r="AO273" s="43">
        <f t="shared" si="170"/>
        <v>1921886.7020928876</v>
      </c>
      <c r="AP273" s="43">
        <f t="shared" si="171"/>
        <v>1838700.8162334186</v>
      </c>
      <c r="AQ273" s="43">
        <f t="shared" si="172"/>
        <v>1758867.2043741224</v>
      </c>
      <c r="AR273" s="43">
        <f t="shared" si="173"/>
        <v>1682238.1391861776</v>
      </c>
      <c r="AS273" s="3"/>
      <c r="AT273" s="43">
        <f t="shared" si="179"/>
        <v>21642.453701183542</v>
      </c>
      <c r="AU273" s="43">
        <f t="shared" si="179"/>
        <v>22892.348687334288</v>
      </c>
      <c r="AV273" s="43">
        <f t="shared" si="179"/>
        <v>24624.84163599175</v>
      </c>
      <c r="AW273" s="43">
        <f t="shared" si="179"/>
        <v>25213.07985299232</v>
      </c>
      <c r="AX273" s="43">
        <f t="shared" si="179"/>
        <v>26066.492179856403</v>
      </c>
      <c r="AY273" s="3"/>
      <c r="AZ273" s="47">
        <f t="shared" si="151"/>
        <v>180295.32356956694</v>
      </c>
      <c r="BA273" s="47">
        <f t="shared" si="152"/>
        <v>173007.3071699499</v>
      </c>
      <c r="BB273" s="47">
        <f t="shared" si="153"/>
        <v>177681.35851233063</v>
      </c>
      <c r="BC273" s="47">
        <f t="shared" si="154"/>
        <v>171883.64547850523</v>
      </c>
      <c r="BD273" s="47">
        <f t="shared" si="155"/>
        <v>166620.6066568759</v>
      </c>
    </row>
    <row r="274" spans="1:56" s="227" customFormat="1" ht="13">
      <c r="A274" s="3"/>
      <c r="B274" s="37">
        <f>'12. Investeringen (bijschatten)'!B77</f>
        <v>58</v>
      </c>
      <c r="C274" s="48"/>
      <c r="D274" s="3"/>
      <c r="E274" s="48"/>
      <c r="F274" s="167">
        <f>'12. Investeringen (bijschatten)'!C77</f>
        <v>33813410.918106742</v>
      </c>
      <c r="G274" s="3"/>
      <c r="H274" s="37">
        <f>'12. Investeringen (bijschatten)'!D77</f>
        <v>2022</v>
      </c>
      <c r="I274" s="37" t="str">
        <f>'12. Investeringen (bijschatten)'!E77</f>
        <v>01 Regionale leidingen</v>
      </c>
      <c r="J274" s="167">
        <f>_xlfn.XLOOKUP(I274,'3. Input (des)investeringen '!$B$11:$B$89,'3. Input (des)investeringen '!$D$11:$D$89)</f>
        <v>55</v>
      </c>
      <c r="M274" s="43">
        <f t="shared" si="165"/>
        <v>0</v>
      </c>
      <c r="N274" s="43">
        <f t="shared" si="166"/>
        <v>0</v>
      </c>
      <c r="O274" s="3"/>
      <c r="P274" s="136">
        <f t="shared" si="167"/>
        <v>0</v>
      </c>
      <c r="Q274" s="136">
        <f t="shared" si="168"/>
        <v>0</v>
      </c>
      <c r="R274" s="3"/>
      <c r="S274" s="43">
        <f t="shared" si="144"/>
        <v>33813410.918106742</v>
      </c>
      <c r="T274" s="38">
        <f t="shared" si="145"/>
        <v>55</v>
      </c>
      <c r="U274" s="3"/>
      <c r="V274" s="43">
        <f t="shared" si="177"/>
        <v>359651.73431077169</v>
      </c>
      <c r="W274" s="43">
        <f t="shared" si="177"/>
        <v>710802.60944692523</v>
      </c>
      <c r="X274" s="43">
        <f t="shared" si="177"/>
        <v>694001.82049636147</v>
      </c>
      <c r="Y274" s="43">
        <f t="shared" si="177"/>
        <v>677598.14110281109</v>
      </c>
      <c r="Z274" s="43">
        <f t="shared" si="177"/>
        <v>661582.18504038115</v>
      </c>
      <c r="AA274" s="3"/>
      <c r="AB274" s="43">
        <f t="shared" si="178"/>
        <v>30739.464471006129</v>
      </c>
      <c r="AC274" s="43">
        <f t="shared" si="178"/>
        <v>61478.928942012259</v>
      </c>
      <c r="AD274" s="43">
        <f t="shared" si="178"/>
        <v>61478.928942012259</v>
      </c>
      <c r="AE274" s="43">
        <f t="shared" si="178"/>
        <v>61478.928942012259</v>
      </c>
      <c r="AF274" s="43">
        <f t="shared" si="178"/>
        <v>61478.928942012259</v>
      </c>
      <c r="AG274" s="3"/>
      <c r="AH274" s="43">
        <f t="shared" si="146"/>
        <v>390391.19878177781</v>
      </c>
      <c r="AI274" s="43">
        <f t="shared" si="147"/>
        <v>772281.53838893748</v>
      </c>
      <c r="AJ274" s="43">
        <f t="shared" si="148"/>
        <v>755480.74943837372</v>
      </c>
      <c r="AK274" s="43">
        <f t="shared" si="149"/>
        <v>739077.07004482334</v>
      </c>
      <c r="AL274" s="43">
        <f t="shared" si="150"/>
        <v>723061.11398239341</v>
      </c>
      <c r="AM274" s="3"/>
      <c r="AN274" s="43">
        <f t="shared" si="169"/>
        <v>33423019.719324965</v>
      </c>
      <c r="AO274" s="43">
        <f t="shared" si="170"/>
        <v>32650738.180936027</v>
      </c>
      <c r="AP274" s="43">
        <f t="shared" si="171"/>
        <v>31895257.431497652</v>
      </c>
      <c r="AQ274" s="43">
        <f t="shared" si="172"/>
        <v>31156180.361452829</v>
      </c>
      <c r="AR274" s="43">
        <f t="shared" si="173"/>
        <v>30433119.247470435</v>
      </c>
      <c r="AS274" s="3"/>
      <c r="AT274" s="43">
        <f t="shared" si="179"/>
        <v>338134.10918106744</v>
      </c>
      <c r="AU274" s="43">
        <f t="shared" si="179"/>
        <v>357662.03025449242</v>
      </c>
      <c r="AV274" s="43">
        <f t="shared" si="179"/>
        <v>384729.89270415256</v>
      </c>
      <c r="AW274" s="43">
        <f t="shared" si="179"/>
        <v>393920.32038106926</v>
      </c>
      <c r="AX274" s="43">
        <f t="shared" si="179"/>
        <v>407253.73538532772</v>
      </c>
      <c r="AY274" s="3"/>
      <c r="AZ274" s="47">
        <f t="shared" si="151"/>
        <v>1864907.9784198941</v>
      </c>
      <c r="BA274" s="47">
        <f t="shared" si="152"/>
        <v>2207417.9286143188</v>
      </c>
      <c r="BB274" s="47">
        <f t="shared" si="153"/>
        <v>2352230.4245394371</v>
      </c>
      <c r="BC274" s="47">
        <f t="shared" si="154"/>
        <v>2316932.2441611001</v>
      </c>
      <c r="BD274" s="47">
        <f t="shared" si="155"/>
        <v>2286773.3807715978</v>
      </c>
    </row>
    <row r="275" spans="1:56" s="227" customFormat="1" ht="13">
      <c r="A275" s="3"/>
      <c r="B275" s="37">
        <f>'12. Investeringen (bijschatten)'!B78</f>
        <v>59</v>
      </c>
      <c r="C275" s="48"/>
      <c r="D275" s="3"/>
      <c r="E275" s="48"/>
      <c r="F275" s="167">
        <f>'12. Investeringen (bijschatten)'!C78</f>
        <v>6849959.2876701923</v>
      </c>
      <c r="G275" s="3"/>
      <c r="H275" s="37">
        <f>'12. Investeringen (bijschatten)'!D78</f>
        <v>2022</v>
      </c>
      <c r="I275" s="37" t="str">
        <f>'12. Investeringen (bijschatten)'!E78</f>
        <v>02 Gasontvangststations</v>
      </c>
      <c r="J275" s="167">
        <f>_xlfn.XLOOKUP(I275,'3. Input (des)investeringen '!$B$11:$B$89,'3. Input (des)investeringen '!$D$11:$D$89)</f>
        <v>30</v>
      </c>
      <c r="M275" s="43">
        <f t="shared" si="165"/>
        <v>0</v>
      </c>
      <c r="N275" s="43">
        <f t="shared" si="166"/>
        <v>0</v>
      </c>
      <c r="O275" s="3"/>
      <c r="P275" s="136">
        <f t="shared" si="167"/>
        <v>0</v>
      </c>
      <c r="Q275" s="136">
        <f t="shared" si="168"/>
        <v>0</v>
      </c>
      <c r="R275" s="3"/>
      <c r="S275" s="43">
        <f t="shared" si="144"/>
        <v>6849959.2876701923</v>
      </c>
      <c r="T275" s="38">
        <f t="shared" si="145"/>
        <v>30</v>
      </c>
      <c r="U275" s="3"/>
      <c r="V275" s="43">
        <f t="shared" si="177"/>
        <v>133574.20610956877</v>
      </c>
      <c r="W275" s="43">
        <f t="shared" si="177"/>
        <v>261360.19662105621</v>
      </c>
      <c r="X275" s="43">
        <f t="shared" si="177"/>
        <v>250034.58810081042</v>
      </c>
      <c r="Y275" s="43">
        <f t="shared" si="177"/>
        <v>239199.75594977531</v>
      </c>
      <c r="Z275" s="43">
        <f t="shared" si="177"/>
        <v>228834.43319195168</v>
      </c>
      <c r="AA275" s="3"/>
      <c r="AB275" s="43">
        <f t="shared" si="178"/>
        <v>11416.598812783655</v>
      </c>
      <c r="AC275" s="43">
        <f t="shared" si="178"/>
        <v>22833.197625567311</v>
      </c>
      <c r="AD275" s="43">
        <f t="shared" si="178"/>
        <v>22833.197625567311</v>
      </c>
      <c r="AE275" s="43">
        <f t="shared" si="178"/>
        <v>22833.197625567311</v>
      </c>
      <c r="AF275" s="43">
        <f t="shared" si="178"/>
        <v>22833.197625567311</v>
      </c>
      <c r="AG275" s="3"/>
      <c r="AH275" s="43">
        <f t="shared" si="146"/>
        <v>144990.80492235243</v>
      </c>
      <c r="AI275" s="43">
        <f t="shared" si="147"/>
        <v>284193.3942466235</v>
      </c>
      <c r="AJ275" s="43">
        <f t="shared" si="148"/>
        <v>272867.78572637774</v>
      </c>
      <c r="AK275" s="43">
        <f t="shared" si="149"/>
        <v>262032.95357534263</v>
      </c>
      <c r="AL275" s="43">
        <f t="shared" si="150"/>
        <v>251667.63081751901</v>
      </c>
      <c r="AM275" s="3"/>
      <c r="AN275" s="43">
        <f t="shared" si="169"/>
        <v>6704968.4827478398</v>
      </c>
      <c r="AO275" s="43">
        <f t="shared" si="170"/>
        <v>6420775.0885012159</v>
      </c>
      <c r="AP275" s="43">
        <f t="shared" si="171"/>
        <v>6147907.3027748382</v>
      </c>
      <c r="AQ275" s="43">
        <f t="shared" si="172"/>
        <v>5885874.3491994953</v>
      </c>
      <c r="AR275" s="43">
        <f t="shared" si="173"/>
        <v>5634206.7183819767</v>
      </c>
      <c r="AS275" s="3"/>
      <c r="AT275" s="43">
        <f t="shared" si="179"/>
        <v>68499.592876701921</v>
      </c>
      <c r="AU275" s="43">
        <f t="shared" si="179"/>
        <v>72455.581364517217</v>
      </c>
      <c r="AV275" s="43">
        <f t="shared" si="179"/>
        <v>77939.019762183889</v>
      </c>
      <c r="AW275" s="43">
        <f t="shared" si="179"/>
        <v>79800.827066262937</v>
      </c>
      <c r="AX275" s="43">
        <f t="shared" si="179"/>
        <v>82501.925460801809</v>
      </c>
      <c r="AY275" s="3"/>
      <c r="AZ275" s="47">
        <f t="shared" si="151"/>
        <v>441459.3262124809</v>
      </c>
      <c r="BA275" s="47">
        <f t="shared" si="152"/>
        <v>568534.55353168084</v>
      </c>
      <c r="BB275" s="47">
        <f t="shared" si="153"/>
        <v>584427.28299400548</v>
      </c>
      <c r="BC275" s="47">
        <f t="shared" si="154"/>
        <v>565497.00591118634</v>
      </c>
      <c r="BD275" s="47">
        <f t="shared" si="155"/>
        <v>548269.4115768359</v>
      </c>
    </row>
    <row r="276" spans="1:56" s="227" customFormat="1" ht="13">
      <c r="A276" s="3"/>
      <c r="B276" s="37">
        <f>'12. Investeringen (bijschatten)'!B79</f>
        <v>60</v>
      </c>
      <c r="C276" s="48"/>
      <c r="D276" s="3"/>
      <c r="E276" s="48"/>
      <c r="F276" s="167">
        <f>'12. Investeringen (bijschatten)'!C79</f>
        <v>664518.3858161252</v>
      </c>
      <c r="G276" s="3"/>
      <c r="H276" s="37">
        <f>'12. Investeringen (bijschatten)'!D79</f>
        <v>2022</v>
      </c>
      <c r="I276" s="37" t="str">
        <f>'12. Investeringen (bijschatten)'!E79</f>
        <v>05 Wegen en terreinvoorzieningen</v>
      </c>
      <c r="J276" s="167">
        <f>_xlfn.XLOOKUP(I276,'3. Input (des)investeringen '!$B$11:$B$89,'3. Input (des)investeringen '!$D$11:$D$89)</f>
        <v>10</v>
      </c>
      <c r="M276" s="43">
        <f t="shared" si="165"/>
        <v>0</v>
      </c>
      <c r="N276" s="43">
        <f t="shared" si="166"/>
        <v>0</v>
      </c>
      <c r="O276" s="3"/>
      <c r="P276" s="136">
        <f t="shared" si="167"/>
        <v>0</v>
      </c>
      <c r="Q276" s="136">
        <f t="shared" si="168"/>
        <v>0</v>
      </c>
      <c r="R276" s="3"/>
      <c r="S276" s="43">
        <f t="shared" si="144"/>
        <v>664518.3858161252</v>
      </c>
      <c r="T276" s="38">
        <f t="shared" si="145"/>
        <v>10</v>
      </c>
      <c r="U276" s="3"/>
      <c r="V276" s="43">
        <f t="shared" si="177"/>
        <v>38874.325570243331</v>
      </c>
      <c r="W276" s="43">
        <f t="shared" si="177"/>
        <v>72694.988816355035</v>
      </c>
      <c r="X276" s="43">
        <f t="shared" si="177"/>
        <v>63244.640270228883</v>
      </c>
      <c r="Y276" s="43">
        <f t="shared" si="177"/>
        <v>56433.679010358072</v>
      </c>
      <c r="Z276" s="43">
        <f t="shared" si="177"/>
        <v>56433.679010358072</v>
      </c>
      <c r="AA276" s="3"/>
      <c r="AB276" s="43">
        <f t="shared" si="178"/>
        <v>3322.5919290806264</v>
      </c>
      <c r="AC276" s="43">
        <f t="shared" si="178"/>
        <v>6645.1838581612519</v>
      </c>
      <c r="AD276" s="43">
        <f t="shared" si="178"/>
        <v>6645.1838581612519</v>
      </c>
      <c r="AE276" s="43">
        <f t="shared" si="178"/>
        <v>6645.1838581612519</v>
      </c>
      <c r="AF276" s="43">
        <f t="shared" si="178"/>
        <v>6645.1838581612519</v>
      </c>
      <c r="AG276" s="3"/>
      <c r="AH276" s="43">
        <f t="shared" si="146"/>
        <v>42196.917499323958</v>
      </c>
      <c r="AI276" s="43">
        <f t="shared" si="147"/>
        <v>79340.172674516289</v>
      </c>
      <c r="AJ276" s="43">
        <f t="shared" si="148"/>
        <v>69889.82412839013</v>
      </c>
      <c r="AK276" s="43">
        <f t="shared" si="149"/>
        <v>63078.862868519325</v>
      </c>
      <c r="AL276" s="43">
        <f t="shared" si="150"/>
        <v>63078.862868519325</v>
      </c>
      <c r="AM276" s="3"/>
      <c r="AN276" s="43">
        <f t="shared" si="169"/>
        <v>622321.46831680124</v>
      </c>
      <c r="AO276" s="43">
        <f t="shared" si="170"/>
        <v>542981.29564228491</v>
      </c>
      <c r="AP276" s="43">
        <f t="shared" si="171"/>
        <v>473091.47151389479</v>
      </c>
      <c r="AQ276" s="43">
        <f t="shared" si="172"/>
        <v>410012.60864537547</v>
      </c>
      <c r="AR276" s="43">
        <f t="shared" si="173"/>
        <v>346933.74577685614</v>
      </c>
      <c r="AS276" s="3"/>
      <c r="AT276" s="43">
        <f t="shared" si="179"/>
        <v>6645.1838581612519</v>
      </c>
      <c r="AU276" s="43">
        <f t="shared" si="179"/>
        <v>7028.9565163377802</v>
      </c>
      <c r="AV276" s="43">
        <f t="shared" si="179"/>
        <v>7560.9079454942257</v>
      </c>
      <c r="AW276" s="43">
        <f t="shared" si="179"/>
        <v>7741.5229144961913</v>
      </c>
      <c r="AX276" s="43">
        <f t="shared" si="179"/>
        <v>8003.5579821060574</v>
      </c>
      <c r="AY276" s="3"/>
      <c r="AZ276" s="47">
        <f t="shared" si="151"/>
        <v>70001.031280256459</v>
      </c>
      <c r="BA276" s="47">
        <f t="shared" si="152"/>
        <v>104287.51194704947</v>
      </c>
      <c r="BB276" s="47">
        <f t="shared" si="153"/>
        <v>95428.207991412361</v>
      </c>
      <c r="BC276" s="47">
        <f t="shared" si="154"/>
        <v>86400.864911539786</v>
      </c>
      <c r="BD276" s="47">
        <f t="shared" si="155"/>
        <v>84265.903190145909</v>
      </c>
    </row>
    <row r="277" spans="1:56" s="227" customFormat="1" ht="13">
      <c r="A277" s="3"/>
      <c r="B277" s="37">
        <f>'12. Investeringen (bijschatten)'!B80</f>
        <v>61</v>
      </c>
      <c r="C277" s="48"/>
      <c r="D277" s="3"/>
      <c r="E277" s="48"/>
      <c r="F277" s="167">
        <f>'12. Investeringen (bijschatten)'!C80</f>
        <v>906873.84029764659</v>
      </c>
      <c r="G277" s="3"/>
      <c r="H277" s="37">
        <f>'12. Investeringen (bijschatten)'!D80</f>
        <v>2022</v>
      </c>
      <c r="I277" s="37" t="str">
        <f>'12. Investeringen (bijschatten)'!E80</f>
        <v>06 Utiliteitsgebouwen</v>
      </c>
      <c r="J277" s="167">
        <f>_xlfn.XLOOKUP(I277,'3. Input (des)investeringen '!$B$11:$B$89,'3. Input (des)investeringen '!$D$11:$D$89)</f>
        <v>30</v>
      </c>
      <c r="M277" s="43">
        <f t="shared" si="165"/>
        <v>0</v>
      </c>
      <c r="N277" s="43">
        <f t="shared" si="166"/>
        <v>0</v>
      </c>
      <c r="O277" s="3"/>
      <c r="P277" s="136">
        <f t="shared" si="167"/>
        <v>0</v>
      </c>
      <c r="Q277" s="136">
        <f t="shared" si="168"/>
        <v>0</v>
      </c>
      <c r="R277" s="3"/>
      <c r="S277" s="43">
        <f t="shared" si="144"/>
        <v>906873.84029764659</v>
      </c>
      <c r="T277" s="38">
        <f t="shared" si="145"/>
        <v>30</v>
      </c>
      <c r="U277" s="3"/>
      <c r="V277" s="43">
        <f t="shared" ref="V277:Z286" si="180">IF($J277=0, 0, IF(OR($H277&gt;V$59,$H277+$J277&lt;V$59),0,
IF(OR($H277=2020,$H277=2021),VDB(ABS($S277)*(1-$F$28),0,$T277,V$59-2022,MIN($T277,V$59-2021),$F$22),
VDB(ABS($S277)*(1-$F$28),0,$T277,MAX(0,V$59-$H277-0.5),MIN($T277,V$59-$H277+0.5),$F$22,FALSE))))*IF($F277&lt;0,-1,1)</f>
        <v>17684.039885804108</v>
      </c>
      <c r="W277" s="43">
        <f t="shared" si="180"/>
        <v>34601.77137655671</v>
      </c>
      <c r="X277" s="43">
        <f t="shared" si="180"/>
        <v>33102.361283572587</v>
      </c>
      <c r="Y277" s="43">
        <f t="shared" si="180"/>
        <v>31667.925627951103</v>
      </c>
      <c r="Z277" s="43">
        <f t="shared" si="180"/>
        <v>30295.64885073989</v>
      </c>
      <c r="AA277" s="3"/>
      <c r="AB277" s="43">
        <f t="shared" ref="AB277:AF286" si="181">IF($J277 = 0, 0, IF(OR($H277&gt;AB$59,$H277+$J277&lt;AB$59),0,
IF(OR($H277=2020,$H277=2021),VDB(ABS($S277)*$F$28,0,$T277,AB$59-2022,MIN($T277,AB$59-2021),1),
VDB(ABS($S277)*$F$28,0,$T277,MAX(0,AB$59-$H277-0.5),MIN($T277,AB$59-$H277+0.5),1))))*IF($F277&lt;0,-1,1)</f>
        <v>1511.4564004960778</v>
      </c>
      <c r="AC277" s="43">
        <f t="shared" si="181"/>
        <v>3022.9128009921556</v>
      </c>
      <c r="AD277" s="43">
        <f t="shared" si="181"/>
        <v>3022.9128009921556</v>
      </c>
      <c r="AE277" s="43">
        <f t="shared" si="181"/>
        <v>3022.9128009921556</v>
      </c>
      <c r="AF277" s="43">
        <f t="shared" si="181"/>
        <v>3022.9128009921556</v>
      </c>
      <c r="AG277" s="3"/>
      <c r="AH277" s="43">
        <f t="shared" si="146"/>
        <v>19195.496286300186</v>
      </c>
      <c r="AI277" s="43">
        <f t="shared" si="147"/>
        <v>37624.684177548865</v>
      </c>
      <c r="AJ277" s="43">
        <f t="shared" si="148"/>
        <v>36125.274084564742</v>
      </c>
      <c r="AK277" s="43">
        <f t="shared" si="149"/>
        <v>34690.838428943258</v>
      </c>
      <c r="AL277" s="43">
        <f t="shared" si="150"/>
        <v>33318.561651732045</v>
      </c>
      <c r="AM277" s="3"/>
      <c r="AN277" s="43">
        <f t="shared" si="169"/>
        <v>887678.34401134634</v>
      </c>
      <c r="AO277" s="43">
        <f t="shared" si="170"/>
        <v>850053.65983379749</v>
      </c>
      <c r="AP277" s="43">
        <f t="shared" si="171"/>
        <v>813928.38574923272</v>
      </c>
      <c r="AQ277" s="43">
        <f t="shared" si="172"/>
        <v>779237.54732028942</v>
      </c>
      <c r="AR277" s="43">
        <f t="shared" si="173"/>
        <v>745918.98566855735</v>
      </c>
      <c r="AS277" s="3"/>
      <c r="AT277" s="43">
        <f t="shared" ref="AT277:AX286" si="182">IF($H277&lt;=AT$215,$F277*INDEX($H$40:$N$46,$H277-2019,AT$215-2019)*INDEX($H$49:$N$55,$H277-2019,AT$215-2019)*$F$19,0)</f>
        <v>9068.7384029764653</v>
      </c>
      <c r="AU277" s="43">
        <f t="shared" si="182"/>
        <v>9592.4761832251643</v>
      </c>
      <c r="AV277" s="43">
        <f t="shared" si="182"/>
        <v>10318.434780771646</v>
      </c>
      <c r="AW277" s="43">
        <f t="shared" si="182"/>
        <v>10564.921550814717</v>
      </c>
      <c r="AX277" s="43">
        <f t="shared" si="182"/>
        <v>10922.523015466695</v>
      </c>
      <c r="AY277" s="3"/>
      <c r="AZ277" s="47">
        <f t="shared" si="151"/>
        <v>58445.298385662434</v>
      </c>
      <c r="BA277" s="47">
        <f t="shared" si="152"/>
        <v>75268.931135289342</v>
      </c>
      <c r="BB277" s="47">
        <f t="shared" si="153"/>
        <v>77372.987523807227</v>
      </c>
      <c r="BC277" s="47">
        <f t="shared" si="154"/>
        <v>74866.786777928966</v>
      </c>
      <c r="BD277" s="47">
        <f t="shared" si="155"/>
        <v>72586.006122603925</v>
      </c>
    </row>
    <row r="278" spans="1:56" s="227" customFormat="1" ht="13">
      <c r="A278" s="3"/>
      <c r="B278" s="37">
        <f>'12. Investeringen (bijschatten)'!B81</f>
        <v>62</v>
      </c>
      <c r="C278" s="48"/>
      <c r="D278" s="3"/>
      <c r="E278" s="48"/>
      <c r="F278" s="167">
        <f>'12. Investeringen (bijschatten)'!C81</f>
        <v>57338.455544922595</v>
      </c>
      <c r="G278" s="3"/>
      <c r="H278" s="37">
        <f>'12. Investeringen (bijschatten)'!D81</f>
        <v>2022</v>
      </c>
      <c r="I278" s="37" t="str">
        <f>'12. Investeringen (bijschatten)'!E81</f>
        <v>08 Inrichting gebouwen</v>
      </c>
      <c r="J278" s="167">
        <f>_xlfn.XLOOKUP(I278,'3. Input (des)investeringen '!$B$11:$B$89,'3. Input (des)investeringen '!$D$11:$D$89)</f>
        <v>10</v>
      </c>
      <c r="M278" s="43">
        <f t="shared" si="165"/>
        <v>0</v>
      </c>
      <c r="N278" s="43">
        <f t="shared" si="166"/>
        <v>0</v>
      </c>
      <c r="O278" s="3"/>
      <c r="P278" s="136">
        <f t="shared" si="167"/>
        <v>0</v>
      </c>
      <c r="Q278" s="136">
        <f t="shared" si="168"/>
        <v>0</v>
      </c>
      <c r="R278" s="3"/>
      <c r="S278" s="43">
        <f t="shared" si="144"/>
        <v>57338.455544922595</v>
      </c>
      <c r="T278" s="38">
        <f t="shared" si="145"/>
        <v>10</v>
      </c>
      <c r="U278" s="3"/>
      <c r="V278" s="43">
        <f t="shared" si="180"/>
        <v>3354.2996493779719</v>
      </c>
      <c r="W278" s="43">
        <f t="shared" si="180"/>
        <v>6272.5403443368068</v>
      </c>
      <c r="X278" s="43">
        <f t="shared" si="180"/>
        <v>5457.1100995730221</v>
      </c>
      <c r="Y278" s="43">
        <f t="shared" si="180"/>
        <v>4869.4213196190049</v>
      </c>
      <c r="Z278" s="43">
        <f t="shared" si="180"/>
        <v>4869.4213196190049</v>
      </c>
      <c r="AA278" s="3"/>
      <c r="AB278" s="43">
        <f t="shared" si="181"/>
        <v>286.69227772461301</v>
      </c>
      <c r="AC278" s="43">
        <f t="shared" si="181"/>
        <v>573.38455544922601</v>
      </c>
      <c r="AD278" s="43">
        <f t="shared" si="181"/>
        <v>573.38455544922601</v>
      </c>
      <c r="AE278" s="43">
        <f t="shared" si="181"/>
        <v>573.38455544922601</v>
      </c>
      <c r="AF278" s="43">
        <f t="shared" si="181"/>
        <v>573.38455544922601</v>
      </c>
      <c r="AG278" s="3"/>
      <c r="AH278" s="43">
        <f t="shared" si="146"/>
        <v>3640.9919271025851</v>
      </c>
      <c r="AI278" s="43">
        <f t="shared" si="147"/>
        <v>6845.9248997860332</v>
      </c>
      <c r="AJ278" s="43">
        <f t="shared" si="148"/>
        <v>6030.4946550222485</v>
      </c>
      <c r="AK278" s="43">
        <f t="shared" si="149"/>
        <v>5442.8058750682312</v>
      </c>
      <c r="AL278" s="43">
        <f t="shared" si="150"/>
        <v>5442.8058750682312</v>
      </c>
      <c r="AM278" s="3"/>
      <c r="AN278" s="43">
        <f t="shared" si="169"/>
        <v>53697.463617820009</v>
      </c>
      <c r="AO278" s="43">
        <f t="shared" si="170"/>
        <v>46851.538718033975</v>
      </c>
      <c r="AP278" s="43">
        <f t="shared" si="171"/>
        <v>40821.044063011723</v>
      </c>
      <c r="AQ278" s="43">
        <f t="shared" si="172"/>
        <v>35378.238187943491</v>
      </c>
      <c r="AR278" s="43">
        <f t="shared" si="173"/>
        <v>29935.432312875259</v>
      </c>
      <c r="AS278" s="3"/>
      <c r="AT278" s="43">
        <f t="shared" si="182"/>
        <v>573.38455544922601</v>
      </c>
      <c r="AU278" s="43">
        <f t="shared" si="182"/>
        <v>606.4986602955297</v>
      </c>
      <c r="AV278" s="43">
        <f t="shared" si="182"/>
        <v>652.39847890669557</v>
      </c>
      <c r="AW278" s="43">
        <f t="shared" si="182"/>
        <v>667.9829737708186</v>
      </c>
      <c r="AX278" s="43">
        <f t="shared" si="182"/>
        <v>690.59286146701334</v>
      </c>
      <c r="AY278" s="3"/>
      <c r="AZ278" s="47">
        <f t="shared" si="151"/>
        <v>6040.0902455576916</v>
      </c>
      <c r="BA278" s="47">
        <f t="shared" si="152"/>
        <v>8998.5243377766856</v>
      </c>
      <c r="BB278" s="47">
        <f t="shared" si="153"/>
        <v>8234.0928083233903</v>
      </c>
      <c r="BC278" s="47">
        <f t="shared" si="154"/>
        <v>7455.1618999809025</v>
      </c>
      <c r="BD278" s="47">
        <f t="shared" si="155"/>
        <v>7270.9451644245037</v>
      </c>
    </row>
    <row r="279" spans="1:56" s="227" customFormat="1" ht="13">
      <c r="A279" s="3"/>
      <c r="B279" s="37">
        <f>'12. Investeringen (bijschatten)'!B82</f>
        <v>63</v>
      </c>
      <c r="C279" s="48"/>
      <c r="D279" s="3"/>
      <c r="E279" s="48"/>
      <c r="F279" s="167">
        <f>'12. Investeringen (bijschatten)'!C82</f>
        <v>105283.66667709664</v>
      </c>
      <c r="G279" s="3"/>
      <c r="H279" s="37">
        <f>'12. Investeringen (bijschatten)'!D82</f>
        <v>2022</v>
      </c>
      <c r="I279" s="37" t="str">
        <f>'12. Investeringen (bijschatten)'!E82</f>
        <v>15 Compressorstations (KC)</v>
      </c>
      <c r="J279" s="167">
        <f>_xlfn.XLOOKUP(I279,'3. Input (des)investeringen '!$B$11:$B$89,'3. Input (des)investeringen '!$D$11:$D$89)</f>
        <v>30</v>
      </c>
      <c r="M279" s="43">
        <f t="shared" si="165"/>
        <v>0</v>
      </c>
      <c r="N279" s="43">
        <f t="shared" si="166"/>
        <v>0</v>
      </c>
      <c r="O279" s="3"/>
      <c r="P279" s="136">
        <f t="shared" si="167"/>
        <v>0</v>
      </c>
      <c r="Q279" s="136">
        <f t="shared" si="168"/>
        <v>0</v>
      </c>
      <c r="R279" s="3"/>
      <c r="S279" s="43">
        <f t="shared" si="144"/>
        <v>105283.66667709664</v>
      </c>
      <c r="T279" s="38">
        <f t="shared" si="145"/>
        <v>30</v>
      </c>
      <c r="U279" s="3"/>
      <c r="V279" s="43">
        <f t="shared" si="180"/>
        <v>2053.0315002033844</v>
      </c>
      <c r="W279" s="43">
        <f t="shared" si="180"/>
        <v>4017.0983020646222</v>
      </c>
      <c r="X279" s="43">
        <f t="shared" si="180"/>
        <v>3843.0240423084888</v>
      </c>
      <c r="Y279" s="43">
        <f t="shared" si="180"/>
        <v>3676.4930004751209</v>
      </c>
      <c r="Z279" s="43">
        <f t="shared" si="180"/>
        <v>3517.1783037878654</v>
      </c>
      <c r="AA279" s="3"/>
      <c r="AB279" s="43">
        <f t="shared" si="181"/>
        <v>175.47277779516108</v>
      </c>
      <c r="AC279" s="43">
        <f t="shared" si="181"/>
        <v>350.94555559032216</v>
      </c>
      <c r="AD279" s="43">
        <f t="shared" si="181"/>
        <v>350.94555559032216</v>
      </c>
      <c r="AE279" s="43">
        <f t="shared" si="181"/>
        <v>350.94555559032216</v>
      </c>
      <c r="AF279" s="43">
        <f t="shared" si="181"/>
        <v>350.94555559032216</v>
      </c>
      <c r="AG279" s="3"/>
      <c r="AH279" s="43">
        <f t="shared" si="146"/>
        <v>2228.5042779985456</v>
      </c>
      <c r="AI279" s="43">
        <f t="shared" si="147"/>
        <v>4368.0438576549441</v>
      </c>
      <c r="AJ279" s="43">
        <f t="shared" si="148"/>
        <v>4193.9695978988111</v>
      </c>
      <c r="AK279" s="43">
        <f t="shared" si="149"/>
        <v>4027.4385560654432</v>
      </c>
      <c r="AL279" s="43">
        <f t="shared" si="150"/>
        <v>3868.1238593781877</v>
      </c>
      <c r="AM279" s="3"/>
      <c r="AN279" s="43">
        <f t="shared" si="169"/>
        <v>103055.16239909809</v>
      </c>
      <c r="AO279" s="43">
        <f t="shared" si="170"/>
        <v>98687.118541443138</v>
      </c>
      <c r="AP279" s="43">
        <f t="shared" si="171"/>
        <v>94493.148943544322</v>
      </c>
      <c r="AQ279" s="43">
        <f t="shared" si="172"/>
        <v>90465.710387478874</v>
      </c>
      <c r="AR279" s="43">
        <f t="shared" si="173"/>
        <v>86597.586528100685</v>
      </c>
      <c r="AS279" s="3"/>
      <c r="AT279" s="43">
        <f t="shared" si="182"/>
        <v>1052.8366667709665</v>
      </c>
      <c r="AU279" s="43">
        <f t="shared" si="182"/>
        <v>1113.6400899503233</v>
      </c>
      <c r="AV279" s="43">
        <f t="shared" si="182"/>
        <v>1197.9203719577638</v>
      </c>
      <c r="AW279" s="43">
        <f t="shared" si="182"/>
        <v>1226.536293803091</v>
      </c>
      <c r="AX279" s="43">
        <f t="shared" si="182"/>
        <v>1268.052094275738</v>
      </c>
      <c r="AY279" s="3"/>
      <c r="AZ279" s="47">
        <f t="shared" si="151"/>
        <v>6785.2164663388485</v>
      </c>
      <c r="BA279" s="47">
        <f t="shared" si="152"/>
        <v>8738.3588594728899</v>
      </c>
      <c r="BB279" s="47">
        <f t="shared" si="153"/>
        <v>8982.6296297112585</v>
      </c>
      <c r="BC279" s="47">
        <f t="shared" si="154"/>
        <v>8691.6718445927308</v>
      </c>
      <c r="BD279" s="47">
        <f t="shared" si="155"/>
        <v>8426.8842417217511</v>
      </c>
    </row>
    <row r="280" spans="1:56" s="227" customFormat="1" ht="13">
      <c r="A280" s="3"/>
      <c r="B280" s="37">
        <f>'12. Investeringen (bijschatten)'!B83</f>
        <v>64</v>
      </c>
      <c r="C280" s="48"/>
      <c r="D280" s="3"/>
      <c r="E280" s="48"/>
      <c r="F280" s="167">
        <f>'12. Investeringen (bijschatten)'!C83</f>
        <v>6293355.1961035738</v>
      </c>
      <c r="G280" s="3"/>
      <c r="H280" s="37">
        <f>'12. Investeringen (bijschatten)'!D83</f>
        <v>2022</v>
      </c>
      <c r="I280" s="37" t="str">
        <f>'12. Investeringen (bijschatten)'!E83</f>
        <v>15 Compressorstations (TT-BT-AT)</v>
      </c>
      <c r="J280" s="167">
        <f>_xlfn.XLOOKUP(I280,'3. Input (des)investeringen '!$B$11:$B$89,'3. Input (des)investeringen '!$D$11:$D$89)</f>
        <v>30</v>
      </c>
      <c r="M280" s="43">
        <f t="shared" si="165"/>
        <v>0</v>
      </c>
      <c r="N280" s="43">
        <f t="shared" si="166"/>
        <v>0</v>
      </c>
      <c r="O280" s="3"/>
      <c r="P280" s="136">
        <f t="shared" si="167"/>
        <v>0</v>
      </c>
      <c r="Q280" s="136">
        <f t="shared" si="168"/>
        <v>0</v>
      </c>
      <c r="R280" s="3"/>
      <c r="S280" s="43">
        <f t="shared" si="144"/>
        <v>6293355.1961035738</v>
      </c>
      <c r="T280" s="38">
        <f t="shared" si="145"/>
        <v>30</v>
      </c>
      <c r="U280" s="3"/>
      <c r="V280" s="43">
        <f t="shared" si="180"/>
        <v>122720.42632401969</v>
      </c>
      <c r="W280" s="43">
        <f t="shared" si="180"/>
        <v>240122.96750733184</v>
      </c>
      <c r="X280" s="43">
        <f t="shared" si="180"/>
        <v>229717.63891534746</v>
      </c>
      <c r="Y280" s="43">
        <f t="shared" si="180"/>
        <v>219763.2078956824</v>
      </c>
      <c r="Z280" s="43">
        <f t="shared" si="180"/>
        <v>210240.13555353618</v>
      </c>
      <c r="AA280" s="3"/>
      <c r="AB280" s="43">
        <f t="shared" si="181"/>
        <v>10488.925326839291</v>
      </c>
      <c r="AC280" s="43">
        <f t="shared" si="181"/>
        <v>20977.850653678583</v>
      </c>
      <c r="AD280" s="43">
        <f t="shared" si="181"/>
        <v>20977.850653678583</v>
      </c>
      <c r="AE280" s="43">
        <f t="shared" si="181"/>
        <v>20977.850653678583</v>
      </c>
      <c r="AF280" s="43">
        <f t="shared" si="181"/>
        <v>20977.850653678583</v>
      </c>
      <c r="AG280" s="3"/>
      <c r="AH280" s="43">
        <f t="shared" si="146"/>
        <v>133209.35165085897</v>
      </c>
      <c r="AI280" s="43">
        <f t="shared" si="147"/>
        <v>261100.81816101042</v>
      </c>
      <c r="AJ280" s="43">
        <f t="shared" si="148"/>
        <v>250695.48956902605</v>
      </c>
      <c r="AK280" s="43">
        <f t="shared" si="149"/>
        <v>240741.05854936098</v>
      </c>
      <c r="AL280" s="43">
        <f t="shared" si="150"/>
        <v>231217.98620721477</v>
      </c>
      <c r="AM280" s="3"/>
      <c r="AN280" s="43">
        <f t="shared" si="169"/>
        <v>6160145.8444527145</v>
      </c>
      <c r="AO280" s="43">
        <f t="shared" si="170"/>
        <v>5899045.0262917038</v>
      </c>
      <c r="AP280" s="43">
        <f t="shared" si="171"/>
        <v>5648349.5367226778</v>
      </c>
      <c r="AQ280" s="43">
        <f t="shared" si="172"/>
        <v>5407608.4781733165</v>
      </c>
      <c r="AR280" s="43">
        <f t="shared" si="173"/>
        <v>5176390.4919661013</v>
      </c>
      <c r="AS280" s="3"/>
      <c r="AT280" s="43">
        <f t="shared" si="182"/>
        <v>62933.551961035737</v>
      </c>
      <c r="AU280" s="43">
        <f t="shared" si="182"/>
        <v>66568.090453889468</v>
      </c>
      <c r="AV280" s="43">
        <f t="shared" si="182"/>
        <v>71605.96353943985</v>
      </c>
      <c r="AW280" s="43">
        <f t="shared" si="182"/>
        <v>73316.486796469966</v>
      </c>
      <c r="AX280" s="43">
        <f t="shared" si="182"/>
        <v>75798.103241556892</v>
      </c>
      <c r="AY280" s="3"/>
      <c r="AZ280" s="47">
        <f t="shared" si="151"/>
        <v>405587.862323287</v>
      </c>
      <c r="BA280" s="47">
        <f t="shared" si="152"/>
        <v>522337.39448252611</v>
      </c>
      <c r="BB280" s="47">
        <f t="shared" si="153"/>
        <v>536938.73550392769</v>
      </c>
      <c r="BC280" s="47">
        <f t="shared" si="154"/>
        <v>519546.66751641693</v>
      </c>
      <c r="BD280" s="47">
        <f t="shared" si="155"/>
        <v>503718.92814348353</v>
      </c>
    </row>
    <row r="281" spans="1:56" s="227" customFormat="1" ht="13">
      <c r="A281" s="3"/>
      <c r="B281" s="37">
        <f>'12. Investeringen (bijschatten)'!B84</f>
        <v>65</v>
      </c>
      <c r="C281" s="48"/>
      <c r="D281" s="3"/>
      <c r="E281" s="48"/>
      <c r="F281" s="167">
        <f>'12. Investeringen (bijschatten)'!C84</f>
        <v>10404800.792079909</v>
      </c>
      <c r="G281" s="3"/>
      <c r="H281" s="37">
        <f>'12. Investeringen (bijschatten)'!D84</f>
        <v>2022</v>
      </c>
      <c r="I281" s="37" t="str">
        <f>'12. Investeringen (bijschatten)'!E84</f>
        <v>16 LNG installaties</v>
      </c>
      <c r="J281" s="167">
        <f>_xlfn.XLOOKUP(I281,'3. Input (des)investeringen '!$B$11:$B$89,'3. Input (des)investeringen '!$D$11:$D$89)</f>
        <v>30</v>
      </c>
      <c r="M281" s="43">
        <f t="shared" ref="M281:M312" si="183">IF($J281 = 0, 0, IF($H281&lt;=M$215,
VDB(ABS($F281),0,$J281,MAX(0,M$59-$H281-0.5),MIN($J281,M$59-$H281+0.5),1)*IF($F281&lt;0,-1,1)*INDEX(H$40:H$46,$H281-2019,1),
0))</f>
        <v>0</v>
      </c>
      <c r="N281" s="43">
        <f t="shared" ref="N281:N312" si="184">IF($J281 = 0, 0, IF($H281&lt;=N$215,
VDB(ABS($F281),0,$J281,MAX(0,N$59-$H281-0.5),MIN($J281,N$59-$H281+0.5),1)*IF($F281&lt;0,-1,1)*INDEX(I$40:I$46,$H281-2019,1),
0))</f>
        <v>0</v>
      </c>
      <c r="O281" s="3"/>
      <c r="P281" s="136">
        <f t="shared" ref="P281:P312" si="185">IF($J281=0, IF($H281 = M$215, $F281, 0), IF(OR($H281&gt;P$59,$H281+$J281&lt;=P$59),0,
F281-M281))</f>
        <v>0</v>
      </c>
      <c r="Q281" s="136">
        <f t="shared" ref="Q281:Q312" si="186">IF($J281=0, IF($H281 &gt; N$215, 0, IF($H281=N$215, $F281, $P281*I$40)), IF(OR($H281&gt;Q$59,$H281+$J281&lt;=Q$59),0,
IF($H281=Q$59,F281-N281,P281*I$40-N281)))</f>
        <v>0</v>
      </c>
      <c r="R281" s="3"/>
      <c r="S281" s="43">
        <f t="shared" si="144"/>
        <v>10404800.792079909</v>
      </c>
      <c r="T281" s="38">
        <f t="shared" si="145"/>
        <v>30</v>
      </c>
      <c r="U281" s="3"/>
      <c r="V281" s="43">
        <f t="shared" si="180"/>
        <v>202893.61544555824</v>
      </c>
      <c r="W281" s="43">
        <f t="shared" si="180"/>
        <v>396995.17422180896</v>
      </c>
      <c r="X281" s="43">
        <f t="shared" si="180"/>
        <v>379792.05000553059</v>
      </c>
      <c r="Y281" s="43">
        <f t="shared" si="180"/>
        <v>363334.39450529095</v>
      </c>
      <c r="Z281" s="43">
        <f t="shared" si="180"/>
        <v>347589.90407672833</v>
      </c>
      <c r="AA281" s="3"/>
      <c r="AB281" s="43">
        <f t="shared" si="181"/>
        <v>17341.334653466514</v>
      </c>
      <c r="AC281" s="43">
        <f t="shared" si="181"/>
        <v>34682.669306933029</v>
      </c>
      <c r="AD281" s="43">
        <f t="shared" si="181"/>
        <v>34682.669306933029</v>
      </c>
      <c r="AE281" s="43">
        <f t="shared" si="181"/>
        <v>34682.669306933029</v>
      </c>
      <c r="AF281" s="43">
        <f t="shared" si="181"/>
        <v>34682.669306933029</v>
      </c>
      <c r="AG281" s="3"/>
      <c r="AH281" s="43">
        <f t="shared" si="146"/>
        <v>220234.95009902475</v>
      </c>
      <c r="AI281" s="43">
        <f t="shared" si="147"/>
        <v>431677.84352874197</v>
      </c>
      <c r="AJ281" s="43">
        <f t="shared" si="148"/>
        <v>414474.7193124636</v>
      </c>
      <c r="AK281" s="43">
        <f t="shared" si="149"/>
        <v>398017.06381222396</v>
      </c>
      <c r="AL281" s="43">
        <f t="shared" si="150"/>
        <v>382272.57338366134</v>
      </c>
      <c r="AM281" s="3"/>
      <c r="AN281" s="43">
        <f t="shared" ref="AN281:AN312" si="187">IF($J281=0,IF($H281 &gt; AN$215, 0,$S281),IF(OR($H281&gt;AN$59,$H281+$J281&lt;=AN$59),0,
IF($H281=AN$59,$S281-AH281,
S281-AH281)))</f>
        <v>10184565.841980884</v>
      </c>
      <c r="AO281" s="43">
        <f t="shared" ref="AO281:AO312" si="188">IF($J281 = 0, IF($H281 &gt; AO$215, 0, IF($H281=AO$215, $F281, AN281)), IF(OR($H281&gt;AO$59,$H281+$J281&lt;=AO$59),0,
IF($H281=AO$59,$S281-AI281,
AN281-AI281)))</f>
        <v>9752887.9984521419</v>
      </c>
      <c r="AP281" s="43">
        <f t="shared" ref="AP281:AP312" si="189">IF($J281 = 0, IF($H281 &gt; AP$215, 0, IF($H281=AP$215, $F281, AO281)), IF(OR($H281&gt;AP$59,$H281+$J281&lt;=AP$59),0,
IF($H281=AP$59,$S281-AJ281,
AO281-AJ281)))</f>
        <v>9338413.2791396789</v>
      </c>
      <c r="AQ281" s="43">
        <f t="shared" ref="AQ281:AQ312" si="190">IF($J281 = 0, IF($H281 &gt; AQ$215, 0, IF($H281=AQ$215, $F281, AP281)), IF(OR($H281&gt;AQ$59,$H281+$J281&lt;=AQ$59),0,
IF($H281=AQ$59,$S281-AK281,
AP281-AK281)))</f>
        <v>8940396.2153274547</v>
      </c>
      <c r="AR281" s="43">
        <f t="shared" ref="AR281:AR312" si="191">IF($J281 = 0, IF($H281 &gt; AR$215, 0, IF($H281=AR$215, $F281, AQ281)), IF(OR($H281&gt;AR$59,$H281+$J281&lt;=AR$59),0,
IF($H281=AR$59,$S281-AL281,
AQ281-AL281)))</f>
        <v>8558123.6419437937</v>
      </c>
      <c r="AS281" s="3"/>
      <c r="AT281" s="43">
        <f t="shared" si="182"/>
        <v>104048.00792079909</v>
      </c>
      <c r="AU281" s="43">
        <f t="shared" si="182"/>
        <v>110056.98847424109</v>
      </c>
      <c r="AV281" s="43">
        <f t="shared" si="182"/>
        <v>118386.10136197167</v>
      </c>
      <c r="AW281" s="43">
        <f t="shared" si="182"/>
        <v>121214.10855130643</v>
      </c>
      <c r="AX281" s="43">
        <f t="shared" si="182"/>
        <v>125316.96369755107</v>
      </c>
      <c r="AY281" s="3"/>
      <c r="AZ281" s="47">
        <f t="shared" si="151"/>
        <v>670558.19664717396</v>
      </c>
      <c r="BA281" s="47">
        <f t="shared" si="152"/>
        <v>863580.13595190377</v>
      </c>
      <c r="BB281" s="47">
        <f t="shared" si="153"/>
        <v>887720.52528174303</v>
      </c>
      <c r="BC281" s="47">
        <f t="shared" si="154"/>
        <v>858966.22854597366</v>
      </c>
      <c r="BD281" s="47">
        <f t="shared" si="155"/>
        <v>832798.2354750766</v>
      </c>
    </row>
    <row r="282" spans="1:56" s="227" customFormat="1" ht="13">
      <c r="A282" s="3"/>
      <c r="B282" s="37">
        <f>'12. Investeringen (bijschatten)'!B85</f>
        <v>66</v>
      </c>
      <c r="C282" s="48"/>
      <c r="D282" s="3"/>
      <c r="E282" s="48"/>
      <c r="F282" s="167">
        <f>'12. Investeringen (bijschatten)'!C85</f>
        <v>3092987.1234078766</v>
      </c>
      <c r="G282" s="3"/>
      <c r="H282" s="37">
        <f>'12. Investeringen (bijschatten)'!D85</f>
        <v>2022</v>
      </c>
      <c r="I282" s="37" t="str">
        <f>'12. Investeringen (bijschatten)'!E85</f>
        <v>17 Mengstations</v>
      </c>
      <c r="J282" s="167">
        <f>_xlfn.XLOOKUP(I282,'3. Input (des)investeringen '!$B$11:$B$89,'3. Input (des)investeringen '!$D$11:$D$89)</f>
        <v>30</v>
      </c>
      <c r="M282" s="43">
        <f t="shared" si="183"/>
        <v>0</v>
      </c>
      <c r="N282" s="43">
        <f t="shared" si="184"/>
        <v>0</v>
      </c>
      <c r="O282" s="3"/>
      <c r="P282" s="136">
        <f t="shared" si="185"/>
        <v>0</v>
      </c>
      <c r="Q282" s="136">
        <f t="shared" si="186"/>
        <v>0</v>
      </c>
      <c r="R282" s="3"/>
      <c r="S282" s="43">
        <f t="shared" ref="S282:S290" si="192">IF($J282=0, IF(H282&lt;=2021, $Q282, IF(H282&gt;=2022, $F282,0)), IF(H282&lt;=2021,Q282,F282))</f>
        <v>3092987.1234078766</v>
      </c>
      <c r="T282" s="38">
        <f t="shared" ref="T282:T290" si="193">IF($J282=0, 0, IF(H282&lt;2022,J282-2021+H282-0.5,J282))</f>
        <v>30</v>
      </c>
      <c r="U282" s="3"/>
      <c r="V282" s="43">
        <f t="shared" si="180"/>
        <v>60313.248906453598</v>
      </c>
      <c r="W282" s="43">
        <f t="shared" si="180"/>
        <v>118012.92369362754</v>
      </c>
      <c r="X282" s="43">
        <f t="shared" si="180"/>
        <v>112899.03033357035</v>
      </c>
      <c r="Y282" s="43">
        <f t="shared" si="180"/>
        <v>108006.73901911563</v>
      </c>
      <c r="Z282" s="43">
        <f t="shared" si="180"/>
        <v>103326.44699495396</v>
      </c>
      <c r="AA282" s="3"/>
      <c r="AB282" s="43">
        <f t="shared" si="181"/>
        <v>5154.9785390131283</v>
      </c>
      <c r="AC282" s="43">
        <f t="shared" si="181"/>
        <v>10309.957078026257</v>
      </c>
      <c r="AD282" s="43">
        <f t="shared" si="181"/>
        <v>10309.957078026257</v>
      </c>
      <c r="AE282" s="43">
        <f t="shared" si="181"/>
        <v>10309.957078026257</v>
      </c>
      <c r="AF282" s="43">
        <f t="shared" si="181"/>
        <v>10309.957078026257</v>
      </c>
      <c r="AG282" s="3"/>
      <c r="AH282" s="43">
        <f t="shared" ref="AH282:AH290" si="194">V282+AB282</f>
        <v>65468.227445466728</v>
      </c>
      <c r="AI282" s="43">
        <f t="shared" ref="AI282:AI290" si="195">W282+AC282</f>
        <v>128322.8807716538</v>
      </c>
      <c r="AJ282" s="43">
        <f t="shared" ref="AJ282:AJ290" si="196">X282+AD282</f>
        <v>123208.98741159661</v>
      </c>
      <c r="AK282" s="43">
        <f t="shared" ref="AK282:AK290" si="197">Y282+AE282</f>
        <v>118316.69609714189</v>
      </c>
      <c r="AL282" s="43">
        <f t="shared" ref="AL282:AL290" si="198">Z282+AF282</f>
        <v>113636.40407298022</v>
      </c>
      <c r="AM282" s="3"/>
      <c r="AN282" s="43">
        <f t="shared" si="187"/>
        <v>3027518.8959624097</v>
      </c>
      <c r="AO282" s="43">
        <f t="shared" si="188"/>
        <v>2899196.0151907559</v>
      </c>
      <c r="AP282" s="43">
        <f t="shared" si="189"/>
        <v>2775987.0277791591</v>
      </c>
      <c r="AQ282" s="43">
        <f t="shared" si="190"/>
        <v>2657670.3316820171</v>
      </c>
      <c r="AR282" s="43">
        <f t="shared" si="191"/>
        <v>2544033.9276090367</v>
      </c>
      <c r="AS282" s="3"/>
      <c r="AT282" s="43">
        <f t="shared" si="182"/>
        <v>30929.871234078768</v>
      </c>
      <c r="AU282" s="43">
        <f t="shared" si="182"/>
        <v>32716.133157589287</v>
      </c>
      <c r="AV282" s="43">
        <f t="shared" si="182"/>
        <v>35192.090114955645</v>
      </c>
      <c r="AW282" s="43">
        <f t="shared" si="182"/>
        <v>36032.758763621699</v>
      </c>
      <c r="AX282" s="43">
        <f t="shared" si="182"/>
        <v>37252.395582252771</v>
      </c>
      <c r="AY282" s="3"/>
      <c r="AZ282" s="47">
        <f t="shared" ref="AZ282:AZ290" si="199">AH282+AN282*J$16+AT282</f>
        <v>199333.74114226745</v>
      </c>
      <c r="BA282" s="47">
        <f t="shared" ref="BA282:BA290" si="200">AI282+AO282*K$16+AU282</f>
        <v>256712.48243053805</v>
      </c>
      <c r="BB282" s="47">
        <f t="shared" ref="BB282:BB290" si="201">AJ282+AP282*L$16+AV282</f>
        <v>263888.58458216034</v>
      </c>
      <c r="BC282" s="47">
        <f t="shared" ref="BC282:BC290" si="202">AK282+AQ282*M$16+AW282</f>
        <v>255340.92746468025</v>
      </c>
      <c r="BD282" s="47">
        <f t="shared" ref="BD282:BD290" si="203">AL282+AR282*N$16+AX282</f>
        <v>247562.08890437637</v>
      </c>
    </row>
    <row r="283" spans="1:56" s="227" customFormat="1" ht="13">
      <c r="A283" s="3"/>
      <c r="B283" s="37">
        <f>'12. Investeringen (bijschatten)'!B86</f>
        <v>67</v>
      </c>
      <c r="C283" s="48"/>
      <c r="D283" s="3"/>
      <c r="E283" s="48"/>
      <c r="F283" s="167">
        <f>'12. Investeringen (bijschatten)'!C86</f>
        <v>1027512.2926749249</v>
      </c>
      <c r="G283" s="3"/>
      <c r="H283" s="37">
        <f>'12. Investeringen (bijschatten)'!D86</f>
        <v>2022</v>
      </c>
      <c r="I283" s="37" t="str">
        <f>'12. Investeringen (bijschatten)'!E86</f>
        <v>20 Kantoorgebouwen</v>
      </c>
      <c r="J283" s="167">
        <f>_xlfn.XLOOKUP(I283,'3. Input (des)investeringen '!$B$11:$B$89,'3. Input (des)investeringen '!$D$11:$D$89)</f>
        <v>30</v>
      </c>
      <c r="M283" s="43">
        <f t="shared" si="183"/>
        <v>0</v>
      </c>
      <c r="N283" s="43">
        <f t="shared" si="184"/>
        <v>0</v>
      </c>
      <c r="O283" s="3"/>
      <c r="P283" s="136">
        <f t="shared" si="185"/>
        <v>0</v>
      </c>
      <c r="Q283" s="136">
        <f t="shared" si="186"/>
        <v>0</v>
      </c>
      <c r="R283" s="3"/>
      <c r="S283" s="43">
        <f t="shared" si="192"/>
        <v>1027512.2926749249</v>
      </c>
      <c r="T283" s="38">
        <f t="shared" si="193"/>
        <v>30</v>
      </c>
      <c r="U283" s="3"/>
      <c r="V283" s="43">
        <f t="shared" si="180"/>
        <v>20036.489707161039</v>
      </c>
      <c r="W283" s="43">
        <f t="shared" si="180"/>
        <v>39204.731527011762</v>
      </c>
      <c r="X283" s="43">
        <f t="shared" si="180"/>
        <v>37505.85982750792</v>
      </c>
      <c r="Y283" s="43">
        <f t="shared" si="180"/>
        <v>35880.605901649251</v>
      </c>
      <c r="Z283" s="43">
        <f t="shared" si="180"/>
        <v>34325.779645911112</v>
      </c>
      <c r="AA283" s="3"/>
      <c r="AB283" s="43">
        <f t="shared" si="181"/>
        <v>1712.5204877915417</v>
      </c>
      <c r="AC283" s="43">
        <f t="shared" si="181"/>
        <v>3425.0409755830833</v>
      </c>
      <c r="AD283" s="43">
        <f t="shared" si="181"/>
        <v>3425.0409755830833</v>
      </c>
      <c r="AE283" s="43">
        <f t="shared" si="181"/>
        <v>3425.0409755830833</v>
      </c>
      <c r="AF283" s="43">
        <f t="shared" si="181"/>
        <v>3425.0409755830833</v>
      </c>
      <c r="AG283" s="3"/>
      <c r="AH283" s="43">
        <f t="shared" si="194"/>
        <v>21749.010194952582</v>
      </c>
      <c r="AI283" s="43">
        <f t="shared" si="195"/>
        <v>42629.772502594846</v>
      </c>
      <c r="AJ283" s="43">
        <f t="shared" si="196"/>
        <v>40930.900803091004</v>
      </c>
      <c r="AK283" s="43">
        <f t="shared" si="197"/>
        <v>39305.646877232335</v>
      </c>
      <c r="AL283" s="43">
        <f t="shared" si="198"/>
        <v>37750.820621494197</v>
      </c>
      <c r="AM283" s="3"/>
      <c r="AN283" s="43">
        <f t="shared" si="187"/>
        <v>1005763.2824799723</v>
      </c>
      <c r="AO283" s="43">
        <f t="shared" si="188"/>
        <v>963133.50997737749</v>
      </c>
      <c r="AP283" s="43">
        <f t="shared" si="189"/>
        <v>922202.60917428648</v>
      </c>
      <c r="AQ283" s="43">
        <f t="shared" si="190"/>
        <v>882896.96229705412</v>
      </c>
      <c r="AR283" s="43">
        <f t="shared" si="191"/>
        <v>845146.14167555992</v>
      </c>
      <c r="AS283" s="3"/>
      <c r="AT283" s="43">
        <f t="shared" si="182"/>
        <v>10275.122926749249</v>
      </c>
      <c r="AU283" s="43">
        <f t="shared" si="182"/>
        <v>10868.531826014872</v>
      </c>
      <c r="AV283" s="43">
        <f t="shared" si="182"/>
        <v>11691.062314607681</v>
      </c>
      <c r="AW283" s="43">
        <f t="shared" si="182"/>
        <v>11970.338411179027</v>
      </c>
      <c r="AX283" s="43">
        <f t="shared" si="182"/>
        <v>12375.510425720615</v>
      </c>
      <c r="AY283" s="3"/>
      <c r="AZ283" s="47">
        <f t="shared" si="199"/>
        <v>66220.084726020883</v>
      </c>
      <c r="BA283" s="47">
        <f t="shared" si="200"/>
        <v>85281.710157863185</v>
      </c>
      <c r="BB283" s="47">
        <f t="shared" si="201"/>
        <v>87665.662266321582</v>
      </c>
      <c r="BC283" s="47">
        <f t="shared" si="202"/>
        <v>84826.069855699403</v>
      </c>
      <c r="BD283" s="47">
        <f t="shared" si="203"/>
        <v>82241.884430886086</v>
      </c>
    </row>
    <row r="284" spans="1:56" s="227" customFormat="1" ht="13">
      <c r="A284" s="3"/>
      <c r="B284" s="37">
        <f>'12. Investeringen (bijschatten)'!B87</f>
        <v>68</v>
      </c>
      <c r="C284" s="48"/>
      <c r="D284" s="3"/>
      <c r="E284" s="48"/>
      <c r="F284" s="167">
        <f>'12. Investeringen (bijschatten)'!C87</f>
        <v>15717781.33321991</v>
      </c>
      <c r="G284" s="3"/>
      <c r="H284" s="37">
        <f>'12. Investeringen (bijschatten)'!D87</f>
        <v>2022</v>
      </c>
      <c r="I284" s="37" t="str">
        <f>'12. Investeringen (bijschatten)'!E87</f>
        <v>21 Hoofdtransportleiding</v>
      </c>
      <c r="J284" s="167">
        <f>_xlfn.XLOOKUP(I284,'3. Input (des)investeringen '!$B$11:$B$89,'3. Input (des)investeringen '!$D$11:$D$89)</f>
        <v>55</v>
      </c>
      <c r="M284" s="43">
        <f t="shared" si="183"/>
        <v>0</v>
      </c>
      <c r="N284" s="43">
        <f t="shared" si="184"/>
        <v>0</v>
      </c>
      <c r="O284" s="3"/>
      <c r="P284" s="136">
        <f t="shared" si="185"/>
        <v>0</v>
      </c>
      <c r="Q284" s="136">
        <f t="shared" si="186"/>
        <v>0</v>
      </c>
      <c r="R284" s="3"/>
      <c r="S284" s="43">
        <f t="shared" si="192"/>
        <v>15717781.33321991</v>
      </c>
      <c r="T284" s="38">
        <f t="shared" si="193"/>
        <v>55</v>
      </c>
      <c r="U284" s="3"/>
      <c r="V284" s="43">
        <f t="shared" si="180"/>
        <v>167180.03781697541</v>
      </c>
      <c r="W284" s="43">
        <f t="shared" si="180"/>
        <v>330408.54746736772</v>
      </c>
      <c r="X284" s="43">
        <f t="shared" si="180"/>
        <v>322598.89089086634</v>
      </c>
      <c r="Y284" s="43">
        <f t="shared" si="180"/>
        <v>314973.82619708224</v>
      </c>
      <c r="Z284" s="43">
        <f t="shared" si="180"/>
        <v>307528.99030515121</v>
      </c>
      <c r="AA284" s="3"/>
      <c r="AB284" s="43">
        <f t="shared" si="181"/>
        <v>14288.892121109011</v>
      </c>
      <c r="AC284" s="43">
        <f t="shared" si="181"/>
        <v>28577.784242218022</v>
      </c>
      <c r="AD284" s="43">
        <f t="shared" si="181"/>
        <v>28577.784242218022</v>
      </c>
      <c r="AE284" s="43">
        <f t="shared" si="181"/>
        <v>28577.784242218022</v>
      </c>
      <c r="AF284" s="43">
        <f t="shared" si="181"/>
        <v>28577.784242218022</v>
      </c>
      <c r="AG284" s="3"/>
      <c r="AH284" s="43">
        <f t="shared" si="194"/>
        <v>181468.92993808442</v>
      </c>
      <c r="AI284" s="43">
        <f t="shared" si="195"/>
        <v>358986.33170958573</v>
      </c>
      <c r="AJ284" s="43">
        <f t="shared" si="196"/>
        <v>351176.67513308435</v>
      </c>
      <c r="AK284" s="43">
        <f t="shared" si="197"/>
        <v>343551.61043930025</v>
      </c>
      <c r="AL284" s="43">
        <f t="shared" si="198"/>
        <v>336106.77454736922</v>
      </c>
      <c r="AM284" s="3"/>
      <c r="AN284" s="43">
        <f t="shared" si="187"/>
        <v>15536312.403281827</v>
      </c>
      <c r="AO284" s="43">
        <f t="shared" si="188"/>
        <v>15177326.07157224</v>
      </c>
      <c r="AP284" s="43">
        <f t="shared" si="189"/>
        <v>14826149.396439156</v>
      </c>
      <c r="AQ284" s="43">
        <f t="shared" si="190"/>
        <v>14482597.785999855</v>
      </c>
      <c r="AR284" s="43">
        <f t="shared" si="191"/>
        <v>14146491.011452485</v>
      </c>
      <c r="AS284" s="3"/>
      <c r="AT284" s="43">
        <f t="shared" si="182"/>
        <v>157177.81333219909</v>
      </c>
      <c r="AU284" s="43">
        <f t="shared" si="182"/>
        <v>166255.14640776027</v>
      </c>
      <c r="AV284" s="43">
        <f t="shared" si="182"/>
        <v>178837.33588789959</v>
      </c>
      <c r="AW284" s="43">
        <f t="shared" si="182"/>
        <v>183109.40216758969</v>
      </c>
      <c r="AX284" s="43">
        <f t="shared" si="182"/>
        <v>189307.28921215833</v>
      </c>
      <c r="AY284" s="3"/>
      <c r="AZ284" s="47">
        <f t="shared" si="199"/>
        <v>866881.36498186574</v>
      </c>
      <c r="BA284" s="47">
        <f t="shared" si="200"/>
        <v>1026093.2384792299</v>
      </c>
      <c r="BB284" s="47">
        <f t="shared" si="201"/>
        <v>1093407.688085672</v>
      </c>
      <c r="BC284" s="47">
        <f t="shared" si="202"/>
        <v>1076999.7284748843</v>
      </c>
      <c r="BD284" s="47">
        <f t="shared" si="203"/>
        <v>1062980.7221947219</v>
      </c>
    </row>
    <row r="285" spans="1:56" s="227" customFormat="1" ht="13">
      <c r="A285" s="3"/>
      <c r="B285" s="37">
        <f>'12. Investeringen (bijschatten)'!B88</f>
        <v>69</v>
      </c>
      <c r="C285" s="48"/>
      <c r="D285" s="3"/>
      <c r="E285" s="48"/>
      <c r="F285" s="167">
        <f>'12. Investeringen (bijschatten)'!C88</f>
        <v>4052946.4637069628</v>
      </c>
      <c r="G285" s="3"/>
      <c r="H285" s="37">
        <f>'12. Investeringen (bijschatten)'!D88</f>
        <v>2022</v>
      </c>
      <c r="I285" s="37" t="str">
        <f>'12. Investeringen (bijschatten)'!E88</f>
        <v>32 M&amp;R stations</v>
      </c>
      <c r="J285" s="167">
        <f>_xlfn.XLOOKUP(I285,'3. Input (des)investeringen '!$B$11:$B$89,'3. Input (des)investeringen '!$D$11:$D$89)</f>
        <v>30</v>
      </c>
      <c r="M285" s="43">
        <f t="shared" si="183"/>
        <v>0</v>
      </c>
      <c r="N285" s="43">
        <f t="shared" si="184"/>
        <v>0</v>
      </c>
      <c r="O285" s="3"/>
      <c r="P285" s="136">
        <f t="shared" si="185"/>
        <v>0</v>
      </c>
      <c r="Q285" s="136">
        <f t="shared" si="186"/>
        <v>0</v>
      </c>
      <c r="R285" s="3"/>
      <c r="S285" s="43">
        <f t="shared" si="192"/>
        <v>4052946.4637069628</v>
      </c>
      <c r="T285" s="38">
        <f t="shared" si="193"/>
        <v>30</v>
      </c>
      <c r="U285" s="3"/>
      <c r="V285" s="43">
        <f t="shared" si="180"/>
        <v>79032.456042285776</v>
      </c>
      <c r="W285" s="43">
        <f t="shared" si="180"/>
        <v>154640.17232273918</v>
      </c>
      <c r="X285" s="43">
        <f t="shared" si="180"/>
        <v>147939.09818875379</v>
      </c>
      <c r="Y285" s="43">
        <f t="shared" si="180"/>
        <v>141528.4039339078</v>
      </c>
      <c r="Z285" s="43">
        <f t="shared" si="180"/>
        <v>135395.50643010513</v>
      </c>
      <c r="AA285" s="3"/>
      <c r="AB285" s="43">
        <f t="shared" si="181"/>
        <v>6754.9107728449389</v>
      </c>
      <c r="AC285" s="43">
        <f t="shared" si="181"/>
        <v>13509.821545689878</v>
      </c>
      <c r="AD285" s="43">
        <f t="shared" si="181"/>
        <v>13509.821545689878</v>
      </c>
      <c r="AE285" s="43">
        <f t="shared" si="181"/>
        <v>13509.821545689878</v>
      </c>
      <c r="AF285" s="43">
        <f t="shared" si="181"/>
        <v>13509.821545689878</v>
      </c>
      <c r="AG285" s="3"/>
      <c r="AH285" s="43">
        <f t="shared" si="194"/>
        <v>85787.366815130721</v>
      </c>
      <c r="AI285" s="43">
        <f t="shared" si="195"/>
        <v>168149.99386842907</v>
      </c>
      <c r="AJ285" s="43">
        <f t="shared" si="196"/>
        <v>161448.91973444368</v>
      </c>
      <c r="AK285" s="43">
        <f t="shared" si="197"/>
        <v>155038.22547959769</v>
      </c>
      <c r="AL285" s="43">
        <f t="shared" si="198"/>
        <v>148905.32797579502</v>
      </c>
      <c r="AM285" s="3"/>
      <c r="AN285" s="43">
        <f t="shared" si="187"/>
        <v>3967159.0968918321</v>
      </c>
      <c r="AO285" s="43">
        <f t="shared" si="188"/>
        <v>3799009.1030234029</v>
      </c>
      <c r="AP285" s="43">
        <f t="shared" si="189"/>
        <v>3637560.1832889593</v>
      </c>
      <c r="AQ285" s="43">
        <f t="shared" si="190"/>
        <v>3482521.9578093616</v>
      </c>
      <c r="AR285" s="43">
        <f t="shared" si="191"/>
        <v>3333616.6298335665</v>
      </c>
      <c r="AS285" s="3"/>
      <c r="AT285" s="43">
        <f t="shared" si="182"/>
        <v>40529.464637069628</v>
      </c>
      <c r="AU285" s="43">
        <f t="shared" si="182"/>
        <v>42870.122278789677</v>
      </c>
      <c r="AV285" s="43">
        <f t="shared" si="182"/>
        <v>46114.53313284849</v>
      </c>
      <c r="AW285" s="43">
        <f t="shared" si="182"/>
        <v>47216.117100325966</v>
      </c>
      <c r="AX285" s="43">
        <f t="shared" si="182"/>
        <v>48814.288231937804</v>
      </c>
      <c r="AY285" s="3"/>
      <c r="AZ285" s="47">
        <f t="shared" si="199"/>
        <v>261200.24074652267</v>
      </c>
      <c r="BA285" s="47">
        <f t="shared" si="200"/>
        <v>336387.41654699104</v>
      </c>
      <c r="BB285" s="47">
        <f t="shared" si="201"/>
        <v>345790.73983227264</v>
      </c>
      <c r="BC285" s="47">
        <f t="shared" si="202"/>
        <v>334590.17697667936</v>
      </c>
      <c r="BD285" s="47">
        <f t="shared" si="203"/>
        <v>324397.04814140836</v>
      </c>
    </row>
    <row r="286" spans="1:56" s="227" customFormat="1" ht="13">
      <c r="A286" s="3"/>
      <c r="B286" s="37">
        <f>'12. Investeringen (bijschatten)'!B89</f>
        <v>70</v>
      </c>
      <c r="C286" s="48"/>
      <c r="D286" s="3"/>
      <c r="E286" s="48"/>
      <c r="F286" s="167">
        <f>'12. Investeringen (bijschatten)'!C89</f>
        <v>646.81735113356922</v>
      </c>
      <c r="G286" s="3"/>
      <c r="H286" s="37">
        <f>'12. Investeringen (bijschatten)'!D89</f>
        <v>2022</v>
      </c>
      <c r="I286" s="37" t="str">
        <f>'12. Investeringen (bijschatten)'!E89</f>
        <v>33 Exportstations</v>
      </c>
      <c r="J286" s="167">
        <f>_xlfn.XLOOKUP(I286,'3. Input (des)investeringen '!$B$11:$B$89,'3. Input (des)investeringen '!$D$11:$D$89)</f>
        <v>30</v>
      </c>
      <c r="M286" s="43">
        <f t="shared" si="183"/>
        <v>0</v>
      </c>
      <c r="N286" s="43">
        <f t="shared" si="184"/>
        <v>0</v>
      </c>
      <c r="O286" s="3"/>
      <c r="P286" s="136">
        <f t="shared" si="185"/>
        <v>0</v>
      </c>
      <c r="Q286" s="136">
        <f t="shared" si="186"/>
        <v>0</v>
      </c>
      <c r="R286" s="3"/>
      <c r="S286" s="43">
        <f t="shared" si="192"/>
        <v>646.81735113356922</v>
      </c>
      <c r="T286" s="38">
        <f t="shared" si="193"/>
        <v>30</v>
      </c>
      <c r="U286" s="3"/>
      <c r="V286" s="43">
        <f t="shared" si="180"/>
        <v>12.612938347104601</v>
      </c>
      <c r="W286" s="43">
        <f t="shared" si="180"/>
        <v>24.679316032501337</v>
      </c>
      <c r="X286" s="43">
        <f t="shared" si="180"/>
        <v>23.609879004426279</v>
      </c>
      <c r="Y286" s="43">
        <f t="shared" si="180"/>
        <v>22.586784247567806</v>
      </c>
      <c r="Z286" s="43">
        <f t="shared" si="180"/>
        <v>21.608023596839868</v>
      </c>
      <c r="AA286" s="3"/>
      <c r="AB286" s="43">
        <f t="shared" si="181"/>
        <v>1.0780289185559486</v>
      </c>
      <c r="AC286" s="43">
        <f t="shared" si="181"/>
        <v>2.1560578371118972</v>
      </c>
      <c r="AD286" s="43">
        <f t="shared" si="181"/>
        <v>2.1560578371118972</v>
      </c>
      <c r="AE286" s="43">
        <f t="shared" si="181"/>
        <v>2.1560578371118972</v>
      </c>
      <c r="AF286" s="43">
        <f t="shared" si="181"/>
        <v>2.1560578371118972</v>
      </c>
      <c r="AG286" s="3"/>
      <c r="AH286" s="43">
        <f t="shared" si="194"/>
        <v>13.69096726566055</v>
      </c>
      <c r="AI286" s="43">
        <f t="shared" si="195"/>
        <v>26.835373869613235</v>
      </c>
      <c r="AJ286" s="43">
        <f t="shared" si="196"/>
        <v>25.765936841538178</v>
      </c>
      <c r="AK286" s="43">
        <f t="shared" si="197"/>
        <v>24.742842084679705</v>
      </c>
      <c r="AL286" s="43">
        <f t="shared" si="198"/>
        <v>23.764081433951766</v>
      </c>
      <c r="AM286" s="3"/>
      <c r="AN286" s="43">
        <f t="shared" si="187"/>
        <v>633.12638386790866</v>
      </c>
      <c r="AO286" s="43">
        <f t="shared" si="188"/>
        <v>606.29100999829541</v>
      </c>
      <c r="AP286" s="43">
        <f t="shared" si="189"/>
        <v>580.52507315675723</v>
      </c>
      <c r="AQ286" s="43">
        <f t="shared" si="190"/>
        <v>555.78223107207748</v>
      </c>
      <c r="AR286" s="43">
        <f t="shared" si="191"/>
        <v>532.01814963812569</v>
      </c>
      <c r="AS286" s="3"/>
      <c r="AT286" s="43">
        <f t="shared" si="182"/>
        <v>6.4681735113356922</v>
      </c>
      <c r="AU286" s="43">
        <f t="shared" si="182"/>
        <v>6.8417234679623506</v>
      </c>
      <c r="AV286" s="43">
        <f t="shared" si="182"/>
        <v>7.3595051000177429</v>
      </c>
      <c r="AW286" s="43">
        <f t="shared" si="182"/>
        <v>7.5353089578469659</v>
      </c>
      <c r="AX286" s="43">
        <f t="shared" si="182"/>
        <v>7.7903640954521709</v>
      </c>
      <c r="AY286" s="3"/>
      <c r="AZ286" s="47">
        <f t="shared" si="199"/>
        <v>41.685437828505137</v>
      </c>
      <c r="BA286" s="47">
        <f t="shared" si="200"/>
        <v>53.684700667519337</v>
      </c>
      <c r="BB286" s="47">
        <f t="shared" si="201"/>
        <v>55.185394721512694</v>
      </c>
      <c r="BC286" s="47">
        <f t="shared" si="202"/>
        <v>53.397875823265615</v>
      </c>
      <c r="BD286" s="47">
        <f t="shared" si="203"/>
        <v>51.771135215652713</v>
      </c>
    </row>
    <row r="287" spans="1:56" s="227" customFormat="1" ht="13">
      <c r="A287" s="3"/>
      <c r="B287" s="37">
        <f>'12. Investeringen (bijschatten)'!B90</f>
        <v>71</v>
      </c>
      <c r="C287" s="48"/>
      <c r="D287" s="3"/>
      <c r="E287" s="48"/>
      <c r="F287" s="167">
        <f>'12. Investeringen (bijschatten)'!C90</f>
        <v>183674.23028357985</v>
      </c>
      <c r="G287" s="3"/>
      <c r="H287" s="37">
        <f>'12. Investeringen (bijschatten)'!D90</f>
        <v>2022</v>
      </c>
      <c r="I287" s="37" t="str">
        <f>'12. Investeringen (bijschatten)'!E90</f>
        <v>34 Reduceerstations</v>
      </c>
      <c r="J287" s="167">
        <f>_xlfn.XLOOKUP(I287,'3. Input (des)investeringen '!$B$11:$B$89,'3. Input (des)investeringen '!$D$11:$D$89)</f>
        <v>30</v>
      </c>
      <c r="M287" s="43">
        <f t="shared" si="183"/>
        <v>0</v>
      </c>
      <c r="N287" s="43">
        <f t="shared" si="184"/>
        <v>0</v>
      </c>
      <c r="O287" s="3"/>
      <c r="P287" s="136">
        <f t="shared" si="185"/>
        <v>0</v>
      </c>
      <c r="Q287" s="136">
        <f t="shared" si="186"/>
        <v>0</v>
      </c>
      <c r="R287" s="3"/>
      <c r="S287" s="43">
        <f t="shared" si="192"/>
        <v>183674.23028357985</v>
      </c>
      <c r="T287" s="38">
        <f t="shared" si="193"/>
        <v>30</v>
      </c>
      <c r="U287" s="3"/>
      <c r="V287" s="43">
        <f t="shared" ref="V287:Z296" si="204">IF($J287=0, 0, IF(OR($H287&gt;V$59,$H287+$J287&lt;V$59),0,
IF(OR($H287=2020,$H287=2021),VDB(ABS($S287)*(1-$F$28),0,$T287,V$59-2022,MIN($T287,V$59-2021),$F$22),
VDB(ABS($S287)*(1-$F$28),0,$T287,MAX(0,V$59-$H287-0.5),MIN($T287,V$59-$H287+0.5),$F$22,FALSE))))*IF($F287&lt;0,-1,1)</f>
        <v>3581.6474905298073</v>
      </c>
      <c r="W287" s="43">
        <f t="shared" si="204"/>
        <v>7008.09025646999</v>
      </c>
      <c r="X287" s="43">
        <f t="shared" si="204"/>
        <v>6704.4063453562903</v>
      </c>
      <c r="Y287" s="43">
        <f t="shared" si="204"/>
        <v>6413.8820703908514</v>
      </c>
      <c r="Z287" s="43">
        <f t="shared" si="204"/>
        <v>6135.9471806739139</v>
      </c>
      <c r="AA287" s="3"/>
      <c r="AB287" s="43">
        <f t="shared" ref="AB287:AF296" si="205">IF($J287 = 0, 0, IF(OR($H287&gt;AB$59,$H287+$J287&lt;AB$59),0,
IF(OR($H287=2020,$H287=2021),VDB(ABS($S287)*$F$28,0,$T287,AB$59-2022,MIN($T287,AB$59-2021),1),
VDB(ABS($S287)*$F$28,0,$T287,MAX(0,AB$59-$H287-0.5),MIN($T287,AB$59-$H287+0.5),1))))*IF($F287&lt;0,-1,1)</f>
        <v>306.12371713929974</v>
      </c>
      <c r="AC287" s="43">
        <f t="shared" si="205"/>
        <v>612.24743427859948</v>
      </c>
      <c r="AD287" s="43">
        <f t="shared" si="205"/>
        <v>612.24743427859948</v>
      </c>
      <c r="AE287" s="43">
        <f t="shared" si="205"/>
        <v>612.24743427859948</v>
      </c>
      <c r="AF287" s="43">
        <f t="shared" si="205"/>
        <v>612.24743427859948</v>
      </c>
      <c r="AG287" s="3"/>
      <c r="AH287" s="43">
        <f t="shared" si="194"/>
        <v>3887.7712076691068</v>
      </c>
      <c r="AI287" s="43">
        <f t="shared" si="195"/>
        <v>7620.337690748589</v>
      </c>
      <c r="AJ287" s="43">
        <f t="shared" si="196"/>
        <v>7316.6537796348894</v>
      </c>
      <c r="AK287" s="43">
        <f t="shared" si="197"/>
        <v>7026.1295046694504</v>
      </c>
      <c r="AL287" s="43">
        <f t="shared" si="198"/>
        <v>6748.1946149525138</v>
      </c>
      <c r="AM287" s="3"/>
      <c r="AN287" s="43">
        <f t="shared" si="187"/>
        <v>179786.45907591074</v>
      </c>
      <c r="AO287" s="43">
        <f t="shared" si="188"/>
        <v>172166.12138516214</v>
      </c>
      <c r="AP287" s="43">
        <f t="shared" si="189"/>
        <v>164849.46760552726</v>
      </c>
      <c r="AQ287" s="43">
        <f t="shared" si="190"/>
        <v>157823.3381008578</v>
      </c>
      <c r="AR287" s="43">
        <f t="shared" si="191"/>
        <v>151075.14348590528</v>
      </c>
      <c r="AS287" s="3"/>
      <c r="AT287" s="43">
        <f t="shared" ref="AT287:AX296" si="206">IF($H287&lt;=AT$215,$F287*INDEX($H$40:$N$46,$H287-2019,AT$215-2019)*INDEX($H$49:$N$55,$H287-2019,AT$215-2019)*$F$19,0)</f>
        <v>1836.7423028357985</v>
      </c>
      <c r="AU287" s="43">
        <f t="shared" si="206"/>
        <v>1942.8178443091717</v>
      </c>
      <c r="AV287" s="43">
        <f t="shared" si="206"/>
        <v>2089.8502987664901</v>
      </c>
      <c r="AW287" s="43">
        <f t="shared" si="206"/>
        <v>2139.772642703424</v>
      </c>
      <c r="AX287" s="43">
        <f t="shared" si="206"/>
        <v>2212.1996671136494</v>
      </c>
      <c r="AY287" s="3"/>
      <c r="AZ287" s="47">
        <f t="shared" si="199"/>
        <v>11837.253119085872</v>
      </c>
      <c r="BA287" s="47">
        <f t="shared" si="200"/>
        <v>15244.637540768112</v>
      </c>
      <c r="BB287" s="47">
        <f t="shared" si="201"/>
        <v>15670.783847411416</v>
      </c>
      <c r="BC287" s="47">
        <f t="shared" si="202"/>
        <v>15163.18899520547</v>
      </c>
      <c r="BD287" s="47">
        <f t="shared" si="203"/>
        <v>14701.249734530564</v>
      </c>
    </row>
    <row r="288" spans="1:56" s="227" customFormat="1" ht="13">
      <c r="B288" s="37">
        <f>'12. Investeringen (bijschatten)'!B91</f>
        <v>72</v>
      </c>
      <c r="C288" s="48"/>
      <c r="D288" s="3"/>
      <c r="E288" s="48"/>
      <c r="F288" s="167">
        <f>'12. Investeringen (bijschatten)'!C91</f>
        <v>914035.73224221612</v>
      </c>
      <c r="G288" s="3"/>
      <c r="H288" s="37">
        <f>'12. Investeringen (bijschatten)'!D91</f>
        <v>2022</v>
      </c>
      <c r="I288" s="37" t="str">
        <f>'12. Investeringen (bijschatten)'!E91</f>
        <v>36 Luchtscheidingsunit</v>
      </c>
      <c r="J288" s="167">
        <f>_xlfn.XLOOKUP(I288,'3. Input (des)investeringen '!$B$11:$B$89,'3. Input (des)investeringen '!$D$11:$D$89)</f>
        <v>30</v>
      </c>
      <c r="M288" s="43">
        <f t="shared" si="183"/>
        <v>0</v>
      </c>
      <c r="N288" s="43">
        <f t="shared" si="184"/>
        <v>0</v>
      </c>
      <c r="O288" s="3"/>
      <c r="P288" s="136">
        <f t="shared" si="185"/>
        <v>0</v>
      </c>
      <c r="Q288" s="136">
        <f t="shared" si="186"/>
        <v>0</v>
      </c>
      <c r="R288" s="3"/>
      <c r="S288" s="43">
        <f t="shared" si="192"/>
        <v>914035.73224221612</v>
      </c>
      <c r="T288" s="38">
        <f t="shared" si="193"/>
        <v>30</v>
      </c>
      <c r="U288" s="3"/>
      <c r="V288" s="43">
        <f t="shared" si="204"/>
        <v>17823.696778723217</v>
      </c>
      <c r="W288" s="43">
        <f t="shared" si="204"/>
        <v>34875.033363701754</v>
      </c>
      <c r="X288" s="43">
        <f t="shared" si="204"/>
        <v>33363.781917941349</v>
      </c>
      <c r="Y288" s="43">
        <f t="shared" si="204"/>
        <v>31918.018034830555</v>
      </c>
      <c r="Z288" s="43">
        <f t="shared" si="204"/>
        <v>30534.903919987897</v>
      </c>
      <c r="AA288" s="3"/>
      <c r="AB288" s="43">
        <f t="shared" si="205"/>
        <v>1523.3928870703603</v>
      </c>
      <c r="AC288" s="43">
        <f t="shared" si="205"/>
        <v>3046.7857741407202</v>
      </c>
      <c r="AD288" s="43">
        <f t="shared" si="205"/>
        <v>3046.7857741407202</v>
      </c>
      <c r="AE288" s="43">
        <f t="shared" si="205"/>
        <v>3046.7857741407202</v>
      </c>
      <c r="AF288" s="43">
        <f t="shared" si="205"/>
        <v>3046.7857741407202</v>
      </c>
      <c r="AG288" s="3"/>
      <c r="AH288" s="43">
        <f t="shared" si="194"/>
        <v>19347.089665793577</v>
      </c>
      <c r="AI288" s="43">
        <f t="shared" si="195"/>
        <v>37921.819137842474</v>
      </c>
      <c r="AJ288" s="43">
        <f t="shared" si="196"/>
        <v>36410.56769208207</v>
      </c>
      <c r="AK288" s="43">
        <f t="shared" si="197"/>
        <v>34964.803808971272</v>
      </c>
      <c r="AL288" s="43">
        <f t="shared" si="198"/>
        <v>33581.689694128618</v>
      </c>
      <c r="AM288" s="3"/>
      <c r="AN288" s="43">
        <f t="shared" si="187"/>
        <v>894688.64257642254</v>
      </c>
      <c r="AO288" s="43">
        <f t="shared" si="188"/>
        <v>856766.82343858003</v>
      </c>
      <c r="AP288" s="43">
        <f t="shared" si="189"/>
        <v>820356.25574649801</v>
      </c>
      <c r="AQ288" s="43">
        <f t="shared" si="190"/>
        <v>785391.4519375267</v>
      </c>
      <c r="AR288" s="43">
        <f t="shared" si="191"/>
        <v>751809.76224339812</v>
      </c>
      <c r="AS288" s="3"/>
      <c r="AT288" s="43">
        <f t="shared" si="206"/>
        <v>9140.3573224221618</v>
      </c>
      <c r="AU288" s="43">
        <f t="shared" si="206"/>
        <v>9668.2312385066871</v>
      </c>
      <c r="AV288" s="43">
        <f t="shared" si="206"/>
        <v>10399.922978636874</v>
      </c>
      <c r="AW288" s="43">
        <f t="shared" si="206"/>
        <v>10648.356338750551</v>
      </c>
      <c r="AX288" s="43">
        <f t="shared" si="206"/>
        <v>11008.78190410458</v>
      </c>
      <c r="AY288" s="3"/>
      <c r="AZ288" s="47">
        <f t="shared" si="199"/>
        <v>58906.860835814106</v>
      </c>
      <c r="BA288" s="47">
        <f t="shared" si="200"/>
        <v>75863.355549822314</v>
      </c>
      <c r="BB288" s="47">
        <f t="shared" si="201"/>
        <v>77984.02838908587</v>
      </c>
      <c r="BC288" s="47">
        <f t="shared" si="202"/>
        <v>75458.035321347837</v>
      </c>
      <c r="BD288" s="47">
        <f t="shared" si="203"/>
        <v>73159.242563482316</v>
      </c>
    </row>
    <row r="289" spans="1:56" s="227" customFormat="1" ht="13">
      <c r="B289" s="37">
        <f>'12. Investeringen (bijschatten)'!B92</f>
        <v>73</v>
      </c>
      <c r="C289" s="48"/>
      <c r="D289" s="3"/>
      <c r="E289" s="48"/>
      <c r="F289" s="167">
        <f>'12. Investeringen (bijschatten)'!C92</f>
        <v>-5587235.5025544362</v>
      </c>
      <c r="G289" s="3"/>
      <c r="H289" s="37">
        <f>'12. Investeringen (bijschatten)'!D92</f>
        <v>2022</v>
      </c>
      <c r="I289" s="37" t="str">
        <f>'12. Investeringen (bijschatten)'!E92</f>
        <v>42 Vulgas</v>
      </c>
      <c r="J289" s="167">
        <f>_xlfn.XLOOKUP(I289,'3. Input (des)investeringen '!$B$11:$B$89,'3. Input (des)investeringen '!$D$11:$D$89)</f>
        <v>0</v>
      </c>
      <c r="M289" s="43">
        <f t="shared" si="183"/>
        <v>0</v>
      </c>
      <c r="N289" s="43">
        <f t="shared" si="184"/>
        <v>0</v>
      </c>
      <c r="O289" s="3"/>
      <c r="P289" s="136">
        <f t="shared" si="185"/>
        <v>0</v>
      </c>
      <c r="Q289" s="136">
        <f t="shared" si="186"/>
        <v>0</v>
      </c>
      <c r="R289" s="3"/>
      <c r="S289" s="43">
        <f t="shared" si="192"/>
        <v>-5587235.5025544362</v>
      </c>
      <c r="T289" s="38">
        <f t="shared" si="193"/>
        <v>0</v>
      </c>
      <c r="U289" s="3"/>
      <c r="V289" s="43">
        <f t="shared" si="204"/>
        <v>0</v>
      </c>
      <c r="W289" s="43">
        <f t="shared" si="204"/>
        <v>0</v>
      </c>
      <c r="X289" s="43">
        <f t="shared" si="204"/>
        <v>0</v>
      </c>
      <c r="Y289" s="43">
        <f t="shared" si="204"/>
        <v>0</v>
      </c>
      <c r="Z289" s="43">
        <f t="shared" si="204"/>
        <v>0</v>
      </c>
      <c r="AA289" s="3"/>
      <c r="AB289" s="43">
        <f t="shared" si="205"/>
        <v>0</v>
      </c>
      <c r="AC289" s="43">
        <f t="shared" si="205"/>
        <v>0</v>
      </c>
      <c r="AD289" s="43">
        <f t="shared" si="205"/>
        <v>0</v>
      </c>
      <c r="AE289" s="43">
        <f t="shared" si="205"/>
        <v>0</v>
      </c>
      <c r="AF289" s="43">
        <f t="shared" si="205"/>
        <v>0</v>
      </c>
      <c r="AG289" s="3"/>
      <c r="AH289" s="43">
        <f t="shared" si="194"/>
        <v>0</v>
      </c>
      <c r="AI289" s="43">
        <f t="shared" si="195"/>
        <v>0</v>
      </c>
      <c r="AJ289" s="43">
        <f t="shared" si="196"/>
        <v>0</v>
      </c>
      <c r="AK289" s="43">
        <f t="shared" si="197"/>
        <v>0</v>
      </c>
      <c r="AL289" s="43">
        <f t="shared" si="198"/>
        <v>0</v>
      </c>
      <c r="AM289" s="3"/>
      <c r="AN289" s="43">
        <f t="shared" si="187"/>
        <v>-5587235.5025544362</v>
      </c>
      <c r="AO289" s="43">
        <f t="shared" si="188"/>
        <v>-5587235.5025544362</v>
      </c>
      <c r="AP289" s="43">
        <f t="shared" si="189"/>
        <v>-5587235.5025544362</v>
      </c>
      <c r="AQ289" s="43">
        <f t="shared" si="190"/>
        <v>-5587235.5025544362</v>
      </c>
      <c r="AR289" s="43">
        <f t="shared" si="191"/>
        <v>-5587235.5025544362</v>
      </c>
      <c r="AS289" s="3"/>
      <c r="AT289" s="43">
        <f t="shared" si="206"/>
        <v>-55872.355025544362</v>
      </c>
      <c r="AU289" s="43">
        <f t="shared" si="206"/>
        <v>-59099.095272979597</v>
      </c>
      <c r="AV289" s="43">
        <f t="shared" si="206"/>
        <v>-63571.714803238705</v>
      </c>
      <c r="AW289" s="43">
        <f t="shared" si="206"/>
        <v>-65090.315926458461</v>
      </c>
      <c r="AX289" s="43">
        <f t="shared" si="206"/>
        <v>-67293.492939937234</v>
      </c>
      <c r="AY289" s="3"/>
      <c r="AZ289" s="47">
        <f t="shared" si="199"/>
        <v>-245838.3621123952</v>
      </c>
      <c r="BA289" s="47">
        <f t="shared" si="200"/>
        <v>-243477.86685727601</v>
      </c>
      <c r="BB289" s="47">
        <f t="shared" si="201"/>
        <v>-275886.66390030726</v>
      </c>
      <c r="BC289" s="47">
        <f t="shared" si="202"/>
        <v>-277405.26502352703</v>
      </c>
      <c r="BD289" s="47">
        <f t="shared" si="203"/>
        <v>-279608.44203700579</v>
      </c>
    </row>
    <row r="290" spans="1:56" s="227" customFormat="1" ht="13">
      <c r="B290" s="37">
        <f>'12. Investeringen (bijschatten)'!B93</f>
        <v>74</v>
      </c>
      <c r="C290" s="48"/>
      <c r="D290" s="3"/>
      <c r="E290" s="48"/>
      <c r="F290" s="167">
        <f>'12. Investeringen (bijschatten)'!C93</f>
        <v>622622.73355007381</v>
      </c>
      <c r="G290" s="3"/>
      <c r="H290" s="37">
        <f>'12. Investeringen (bijschatten)'!D93</f>
        <v>2022</v>
      </c>
      <c r="I290" s="37" t="str">
        <f>'12. Investeringen (bijschatten)'!E93</f>
        <v>45 Groen gas booster</v>
      </c>
      <c r="J290" s="167">
        <f>_xlfn.XLOOKUP(I290,'3. Input (des)investeringen '!$B$11:$B$89,'3. Input (des)investeringen '!$D$11:$D$89)</f>
        <v>30</v>
      </c>
      <c r="M290" s="43">
        <f t="shared" si="183"/>
        <v>0</v>
      </c>
      <c r="N290" s="43">
        <f t="shared" si="184"/>
        <v>0</v>
      </c>
      <c r="O290" s="3"/>
      <c r="P290" s="136">
        <f t="shared" si="185"/>
        <v>0</v>
      </c>
      <c r="Q290" s="136">
        <f t="shared" si="186"/>
        <v>0</v>
      </c>
      <c r="R290" s="3"/>
      <c r="S290" s="43">
        <f t="shared" si="192"/>
        <v>622622.73355007381</v>
      </c>
      <c r="T290" s="38">
        <f t="shared" si="193"/>
        <v>30</v>
      </c>
      <c r="U290" s="3"/>
      <c r="V290" s="43">
        <f t="shared" si="204"/>
        <v>12141.14330422644</v>
      </c>
      <c r="W290" s="43">
        <f t="shared" si="204"/>
        <v>23756.170398603066</v>
      </c>
      <c r="X290" s="43">
        <f t="shared" si="204"/>
        <v>22726.736347996932</v>
      </c>
      <c r="Y290" s="43">
        <f t="shared" si="204"/>
        <v>21741.911106250398</v>
      </c>
      <c r="Z290" s="43">
        <f t="shared" si="204"/>
        <v>20799.761624979546</v>
      </c>
      <c r="AA290" s="3"/>
      <c r="AB290" s="43">
        <f t="shared" si="205"/>
        <v>1037.7045559167898</v>
      </c>
      <c r="AC290" s="43">
        <f t="shared" si="205"/>
        <v>2075.4091118335796</v>
      </c>
      <c r="AD290" s="43">
        <f t="shared" si="205"/>
        <v>2075.4091118335796</v>
      </c>
      <c r="AE290" s="43">
        <f t="shared" si="205"/>
        <v>2075.4091118335796</v>
      </c>
      <c r="AF290" s="43">
        <f t="shared" si="205"/>
        <v>2075.4091118335796</v>
      </c>
      <c r="AG290" s="3"/>
      <c r="AH290" s="43">
        <f t="shared" si="194"/>
        <v>13178.847860143229</v>
      </c>
      <c r="AI290" s="43">
        <f t="shared" si="195"/>
        <v>25831.579510436644</v>
      </c>
      <c r="AJ290" s="43">
        <f t="shared" si="196"/>
        <v>24802.14545983051</v>
      </c>
      <c r="AK290" s="43">
        <f t="shared" si="197"/>
        <v>23817.320218083976</v>
      </c>
      <c r="AL290" s="43">
        <f t="shared" si="198"/>
        <v>22875.170736813125</v>
      </c>
      <c r="AM290" s="3"/>
      <c r="AN290" s="43">
        <f t="shared" si="187"/>
        <v>609443.88568993052</v>
      </c>
      <c r="AO290" s="43">
        <f t="shared" si="188"/>
        <v>583612.3061794939</v>
      </c>
      <c r="AP290" s="43">
        <f t="shared" si="189"/>
        <v>558810.16071966337</v>
      </c>
      <c r="AQ290" s="43">
        <f t="shared" si="190"/>
        <v>534992.84050157934</v>
      </c>
      <c r="AR290" s="43">
        <f t="shared" si="191"/>
        <v>512117.66976476624</v>
      </c>
      <c r="AS290" s="3"/>
      <c r="AT290" s="43">
        <f t="shared" si="206"/>
        <v>6226.2273355007383</v>
      </c>
      <c r="AU290" s="43">
        <f t="shared" si="206"/>
        <v>6585.8044165805777</v>
      </c>
      <c r="AV290" s="43">
        <f t="shared" si="206"/>
        <v>7084.2180948273954</v>
      </c>
      <c r="AW290" s="43">
        <f t="shared" si="206"/>
        <v>7253.4458966766324</v>
      </c>
      <c r="AX290" s="43">
        <f t="shared" si="206"/>
        <v>7498.9605333873433</v>
      </c>
      <c r="AY290" s="3"/>
      <c r="AZ290" s="47">
        <f t="shared" si="199"/>
        <v>40126.167309101598</v>
      </c>
      <c r="BA290" s="47">
        <f t="shared" si="200"/>
        <v>51676.590030940526</v>
      </c>
      <c r="BB290" s="47">
        <f t="shared" si="201"/>
        <v>53121.149662005111</v>
      </c>
      <c r="BC290" s="47">
        <f t="shared" si="202"/>
        <v>51400.494053820621</v>
      </c>
      <c r="BD290" s="47">
        <f t="shared" si="203"/>
        <v>49834.602721261581</v>
      </c>
    </row>
    <row r="291" spans="1:56" ht="13">
      <c r="A291" s="227"/>
      <c r="B291" s="37">
        <f>'12. Investeringen (bijschatten)'!B94</f>
        <v>75</v>
      </c>
      <c r="C291" s="48"/>
      <c r="E291" s="48"/>
      <c r="F291" s="167">
        <f>'12. Investeringen (bijschatten)'!C94</f>
        <v>35129736.152436323</v>
      </c>
      <c r="H291" s="37">
        <f>'12. Investeringen (bijschatten)'!D94</f>
        <v>2023</v>
      </c>
      <c r="I291" s="37" t="str">
        <f>'12. Investeringen (bijschatten)'!E94</f>
        <v>01 Regionale leidingen</v>
      </c>
      <c r="J291" s="167">
        <f>_xlfn.XLOOKUP(I291,'3. Input (des)investeringen '!$B$11:$B$89,'3. Input (des)investeringen '!$D$11:$D$89)</f>
        <v>55</v>
      </c>
      <c r="M291" s="43">
        <f t="shared" si="183"/>
        <v>0</v>
      </c>
      <c r="N291" s="43">
        <f t="shared" si="184"/>
        <v>0</v>
      </c>
      <c r="P291" s="136">
        <f t="shared" si="185"/>
        <v>0</v>
      </c>
      <c r="Q291" s="136">
        <f t="shared" si="186"/>
        <v>0</v>
      </c>
      <c r="S291" s="43">
        <f t="shared" ref="S291:S299" si="207">IF($J291=0, IF(H291&lt;=2021, $Q291, IF(H291&gt;=2022, $F291,0)), IF(H291&lt;=2021,Q291,F291))</f>
        <v>35129736.152436323</v>
      </c>
      <c r="T291" s="38">
        <f t="shared" ref="T291:T299" si="208">IF($J291=0, 0, IF(H291&lt;2022,J291-2021+H291-0.5,J291))</f>
        <v>55</v>
      </c>
      <c r="V291" s="43">
        <f t="shared" si="204"/>
        <v>0</v>
      </c>
      <c r="W291" s="43">
        <f t="shared" si="204"/>
        <v>373652.64816682268</v>
      </c>
      <c r="X291" s="43">
        <f t="shared" si="204"/>
        <v>738473.50646788406</v>
      </c>
      <c r="Y291" s="43">
        <f t="shared" si="204"/>
        <v>721018.67813318875</v>
      </c>
      <c r="Z291" s="43">
        <f t="shared" si="204"/>
        <v>703976.41846822237</v>
      </c>
      <c r="AB291" s="43">
        <f t="shared" si="205"/>
        <v>0</v>
      </c>
      <c r="AC291" s="43">
        <f t="shared" si="205"/>
        <v>31936.123774942113</v>
      </c>
      <c r="AD291" s="43">
        <f t="shared" si="205"/>
        <v>63872.247549884225</v>
      </c>
      <c r="AE291" s="43">
        <f t="shared" si="205"/>
        <v>63872.247549884225</v>
      </c>
      <c r="AF291" s="43">
        <f t="shared" si="205"/>
        <v>63872.247549884225</v>
      </c>
      <c r="AH291" s="43">
        <f t="shared" ref="AH291:AH299" si="209">V291+AB291</f>
        <v>0</v>
      </c>
      <c r="AI291" s="43">
        <f t="shared" ref="AI291:AI299" si="210">W291+AC291</f>
        <v>405588.7719417648</v>
      </c>
      <c r="AJ291" s="43">
        <f t="shared" ref="AJ291:AJ299" si="211">X291+AD291</f>
        <v>802345.75401776831</v>
      </c>
      <c r="AK291" s="43">
        <f t="shared" ref="AK291:AK299" si="212">Y291+AE291</f>
        <v>784890.925683073</v>
      </c>
      <c r="AL291" s="43">
        <f t="shared" ref="AL291:AL299" si="213">Z291+AF291</f>
        <v>767848.66601810663</v>
      </c>
      <c r="AN291" s="43">
        <f t="shared" si="187"/>
        <v>0</v>
      </c>
      <c r="AO291" s="43">
        <f t="shared" si="188"/>
        <v>34724147.380494557</v>
      </c>
      <c r="AP291" s="43">
        <f t="shared" si="189"/>
        <v>33921801.626476787</v>
      </c>
      <c r="AQ291" s="43">
        <f t="shared" si="190"/>
        <v>33136910.700793713</v>
      </c>
      <c r="AR291" s="43">
        <f t="shared" si="191"/>
        <v>32369062.034775607</v>
      </c>
      <c r="AT291" s="43">
        <f t="shared" si="206"/>
        <v>0</v>
      </c>
      <c r="AU291" s="43">
        <f t="shared" si="206"/>
        <v>351297.36152436322</v>
      </c>
      <c r="AV291" s="43">
        <f t="shared" si="206"/>
        <v>377883.54584452714</v>
      </c>
      <c r="AW291" s="43">
        <f t="shared" si="206"/>
        <v>386910.42798766115</v>
      </c>
      <c r="AX291" s="43">
        <f t="shared" si="206"/>
        <v>400006.57215418742</v>
      </c>
      <c r="AZ291" s="47">
        <f t="shared" ref="AZ291:AZ299" si="214">AH291+AN291*J$16+AT291</f>
        <v>0</v>
      </c>
      <c r="BA291" s="47">
        <f t="shared" ref="BA291:BA299" si="215">AI291+AO291*K$16+AU291</f>
        <v>1902782.9970224486</v>
      </c>
      <c r="BB291" s="47">
        <f t="shared" ref="BB291:BB299" si="216">AJ291+AP291*L$16+AV291</f>
        <v>2469257.7616684129</v>
      </c>
      <c r="BC291" s="47">
        <f t="shared" ref="BC291:BC299" si="217">AK291+AQ291*M$16+AW291</f>
        <v>2431003.9603008954</v>
      </c>
      <c r="BD291" s="47">
        <f t="shared" ref="BD291:BD299" si="218">AL291+AR291*N$16+AX291</f>
        <v>2397879.5954937674</v>
      </c>
    </row>
    <row r="292" spans="1:56" ht="13">
      <c r="A292" s="227"/>
      <c r="B292" s="37">
        <f>'12. Investeringen (bijschatten)'!B95</f>
        <v>76</v>
      </c>
      <c r="C292" s="48"/>
      <c r="E292" s="48"/>
      <c r="F292" s="167">
        <f>'12. Investeringen (bijschatten)'!C95</f>
        <v>3911702.9434979549</v>
      </c>
      <c r="H292" s="37">
        <f>'12. Investeringen (bijschatten)'!D95</f>
        <v>2023</v>
      </c>
      <c r="I292" s="37" t="str">
        <f>'12. Investeringen (bijschatten)'!E95</f>
        <v>02 Gasontvangststations</v>
      </c>
      <c r="J292" s="167">
        <f>_xlfn.XLOOKUP(I292,'3. Input (des)investeringen '!$B$11:$B$89,'3. Input (des)investeringen '!$D$11:$D$89)</f>
        <v>30</v>
      </c>
      <c r="M292" s="43">
        <f t="shared" si="183"/>
        <v>0</v>
      </c>
      <c r="N292" s="43">
        <f t="shared" si="184"/>
        <v>0</v>
      </c>
      <c r="P292" s="136">
        <f t="shared" si="185"/>
        <v>0</v>
      </c>
      <c r="Q292" s="136">
        <f t="shared" si="186"/>
        <v>0</v>
      </c>
      <c r="S292" s="43">
        <f t="shared" si="207"/>
        <v>3911702.9434979549</v>
      </c>
      <c r="T292" s="38">
        <f t="shared" si="208"/>
        <v>30</v>
      </c>
      <c r="V292" s="43">
        <f t="shared" si="204"/>
        <v>0</v>
      </c>
      <c r="W292" s="43">
        <f t="shared" si="204"/>
        <v>76278.207398210128</v>
      </c>
      <c r="X292" s="43">
        <f t="shared" si="204"/>
        <v>149251.02580916448</v>
      </c>
      <c r="Y292" s="43">
        <f t="shared" si="204"/>
        <v>142783.48135743401</v>
      </c>
      <c r="Z292" s="43">
        <f t="shared" si="204"/>
        <v>136596.19716527854</v>
      </c>
      <c r="AB292" s="43">
        <f t="shared" si="205"/>
        <v>0</v>
      </c>
      <c r="AC292" s="43">
        <f t="shared" si="205"/>
        <v>6519.5049058299246</v>
      </c>
      <c r="AD292" s="43">
        <f t="shared" si="205"/>
        <v>13039.009811659851</v>
      </c>
      <c r="AE292" s="43">
        <f t="shared" si="205"/>
        <v>13039.009811659851</v>
      </c>
      <c r="AF292" s="43">
        <f t="shared" si="205"/>
        <v>13039.009811659851</v>
      </c>
      <c r="AH292" s="43">
        <f t="shared" si="209"/>
        <v>0</v>
      </c>
      <c r="AI292" s="43">
        <f t="shared" si="210"/>
        <v>82797.712304040047</v>
      </c>
      <c r="AJ292" s="43">
        <f t="shared" si="211"/>
        <v>162290.03562082432</v>
      </c>
      <c r="AK292" s="43">
        <f t="shared" si="212"/>
        <v>155822.49116909385</v>
      </c>
      <c r="AL292" s="43">
        <f t="shared" si="213"/>
        <v>149635.20697693838</v>
      </c>
      <c r="AN292" s="43">
        <f t="shared" si="187"/>
        <v>0</v>
      </c>
      <c r="AO292" s="43">
        <f t="shared" si="188"/>
        <v>3828905.231193915</v>
      </c>
      <c r="AP292" s="43">
        <f t="shared" si="189"/>
        <v>3666615.1955730906</v>
      </c>
      <c r="AQ292" s="43">
        <f t="shared" si="190"/>
        <v>3510792.7044039969</v>
      </c>
      <c r="AR292" s="43">
        <f t="shared" si="191"/>
        <v>3361157.4974270584</v>
      </c>
      <c r="AT292" s="43">
        <f t="shared" si="206"/>
        <v>0</v>
      </c>
      <c r="AU292" s="43">
        <f t="shared" si="206"/>
        <v>39117.029434979551</v>
      </c>
      <c r="AV292" s="43">
        <f t="shared" si="206"/>
        <v>42077.406222618803</v>
      </c>
      <c r="AW292" s="43">
        <f t="shared" si="206"/>
        <v>43082.55130246473</v>
      </c>
      <c r="AX292" s="43">
        <f t="shared" si="206"/>
        <v>44540.809498950541</v>
      </c>
      <c r="AZ292" s="47">
        <f t="shared" si="214"/>
        <v>0</v>
      </c>
      <c r="BA292" s="47">
        <f t="shared" si="215"/>
        <v>248268.61436841881</v>
      </c>
      <c r="BB292" s="47">
        <f t="shared" si="216"/>
        <v>343698.81927522057</v>
      </c>
      <c r="BC292" s="47">
        <f t="shared" si="217"/>
        <v>332315.16523891047</v>
      </c>
      <c r="BD292" s="47">
        <f t="shared" si="218"/>
        <v>321900.00137811713</v>
      </c>
    </row>
    <row r="293" spans="1:56" ht="13">
      <c r="A293" s="227"/>
      <c r="B293" s="37">
        <f>'12. Investeringen (bijschatten)'!B96</f>
        <v>77</v>
      </c>
      <c r="C293" s="48"/>
      <c r="E293" s="48"/>
      <c r="F293" s="167">
        <f>'12. Investeringen (bijschatten)'!C96</f>
        <v>211106.04067513763</v>
      </c>
      <c r="H293" s="37">
        <f>'12. Investeringen (bijschatten)'!D96</f>
        <v>2023</v>
      </c>
      <c r="I293" s="37" t="str">
        <f>'12. Investeringen (bijschatten)'!E96</f>
        <v>05 Wegen en terreinvoorzieningen</v>
      </c>
      <c r="J293" s="167">
        <f>_xlfn.XLOOKUP(I293,'3. Input (des)investeringen '!$B$11:$B$89,'3. Input (des)investeringen '!$D$11:$D$89)</f>
        <v>10</v>
      </c>
      <c r="M293" s="43">
        <f t="shared" si="183"/>
        <v>0</v>
      </c>
      <c r="N293" s="43">
        <f t="shared" si="184"/>
        <v>0</v>
      </c>
      <c r="P293" s="136">
        <f t="shared" si="185"/>
        <v>0</v>
      </c>
      <c r="Q293" s="136">
        <f t="shared" si="186"/>
        <v>0</v>
      </c>
      <c r="S293" s="43">
        <f t="shared" si="207"/>
        <v>211106.04067513763</v>
      </c>
      <c r="T293" s="38">
        <f t="shared" si="208"/>
        <v>10</v>
      </c>
      <c r="V293" s="43">
        <f t="shared" si="204"/>
        <v>0</v>
      </c>
      <c r="W293" s="43">
        <f t="shared" si="204"/>
        <v>12349.703379495553</v>
      </c>
      <c r="X293" s="43">
        <f t="shared" si="204"/>
        <v>23093.945319656683</v>
      </c>
      <c r="Y293" s="43">
        <f t="shared" si="204"/>
        <v>20091.732428101313</v>
      </c>
      <c r="Z293" s="43">
        <f t="shared" si="204"/>
        <v>17928.007397382706</v>
      </c>
      <c r="AB293" s="43">
        <f t="shared" si="205"/>
        <v>0</v>
      </c>
      <c r="AC293" s="43">
        <f t="shared" si="205"/>
        <v>1055.5302033756882</v>
      </c>
      <c r="AD293" s="43">
        <f t="shared" si="205"/>
        <v>2111.0604067513764</v>
      </c>
      <c r="AE293" s="43">
        <f t="shared" si="205"/>
        <v>2111.0604067513764</v>
      </c>
      <c r="AF293" s="43">
        <f t="shared" si="205"/>
        <v>2111.0604067513764</v>
      </c>
      <c r="AH293" s="43">
        <f t="shared" si="209"/>
        <v>0</v>
      </c>
      <c r="AI293" s="43">
        <f t="shared" si="210"/>
        <v>13405.233582871242</v>
      </c>
      <c r="AJ293" s="43">
        <f t="shared" si="211"/>
        <v>25205.005726408061</v>
      </c>
      <c r="AK293" s="43">
        <f t="shared" si="212"/>
        <v>22202.792834852691</v>
      </c>
      <c r="AL293" s="43">
        <f t="shared" si="213"/>
        <v>20039.067804134083</v>
      </c>
      <c r="AN293" s="43">
        <f t="shared" si="187"/>
        <v>0</v>
      </c>
      <c r="AO293" s="43">
        <f t="shared" si="188"/>
        <v>197700.80709226639</v>
      </c>
      <c r="AP293" s="43">
        <f t="shared" si="189"/>
        <v>172495.80136585832</v>
      </c>
      <c r="AQ293" s="43">
        <f t="shared" si="190"/>
        <v>150293.00853100565</v>
      </c>
      <c r="AR293" s="43">
        <f t="shared" si="191"/>
        <v>130253.94072687156</v>
      </c>
      <c r="AT293" s="43">
        <f t="shared" si="206"/>
        <v>0</v>
      </c>
      <c r="AU293" s="43">
        <f t="shared" si="206"/>
        <v>2111.0604067513764</v>
      </c>
      <c r="AV293" s="43">
        <f t="shared" si="206"/>
        <v>2270.8254583343205</v>
      </c>
      <c r="AW293" s="43">
        <f t="shared" si="206"/>
        <v>2325.0709368830112</v>
      </c>
      <c r="AX293" s="43">
        <f t="shared" si="206"/>
        <v>2403.769937954627</v>
      </c>
      <c r="AZ293" s="47">
        <f t="shared" si="214"/>
        <v>0</v>
      </c>
      <c r="BA293" s="47">
        <f t="shared" si="215"/>
        <v>22040.420623667411</v>
      </c>
      <c r="BB293" s="47">
        <f t="shared" si="216"/>
        <v>34030.671636644998</v>
      </c>
      <c r="BC293" s="47">
        <f t="shared" si="217"/>
        <v>30238.998095913917</v>
      </c>
      <c r="BD293" s="47">
        <f t="shared" si="218"/>
        <v>27392.487489709831</v>
      </c>
    </row>
    <row r="294" spans="1:56" ht="13">
      <c r="A294" s="227"/>
      <c r="B294" s="37">
        <f>'12. Investeringen (bijschatten)'!B97</f>
        <v>78</v>
      </c>
      <c r="C294" s="48"/>
      <c r="E294" s="48"/>
      <c r="F294" s="167">
        <f>'12. Investeringen (bijschatten)'!C97</f>
        <v>87365.41867156743</v>
      </c>
      <c r="H294" s="37">
        <f>'12. Investeringen (bijschatten)'!D97</f>
        <v>2023</v>
      </c>
      <c r="I294" s="37" t="str">
        <f>'12. Investeringen (bijschatten)'!E97</f>
        <v>06 Utiliteitsgebouwen</v>
      </c>
      <c r="J294" s="167">
        <f>_xlfn.XLOOKUP(I294,'3. Input (des)investeringen '!$B$11:$B$89,'3. Input (des)investeringen '!$D$11:$D$89)</f>
        <v>30</v>
      </c>
      <c r="M294" s="43">
        <f t="shared" si="183"/>
        <v>0</v>
      </c>
      <c r="N294" s="43">
        <f t="shared" si="184"/>
        <v>0</v>
      </c>
      <c r="P294" s="136">
        <f t="shared" si="185"/>
        <v>0</v>
      </c>
      <c r="Q294" s="136">
        <f t="shared" si="186"/>
        <v>0</v>
      </c>
      <c r="S294" s="43">
        <f t="shared" si="207"/>
        <v>87365.41867156743</v>
      </c>
      <c r="T294" s="38">
        <f t="shared" si="208"/>
        <v>30</v>
      </c>
      <c r="V294" s="43">
        <f t="shared" si="204"/>
        <v>0</v>
      </c>
      <c r="W294" s="43">
        <f t="shared" si="204"/>
        <v>1703.6256640955648</v>
      </c>
      <c r="X294" s="43">
        <f t="shared" si="204"/>
        <v>3333.427549413655</v>
      </c>
      <c r="Y294" s="43">
        <f t="shared" si="204"/>
        <v>3188.9790222723968</v>
      </c>
      <c r="Z294" s="43">
        <f t="shared" si="204"/>
        <v>3050.7899313072594</v>
      </c>
      <c r="AB294" s="43">
        <f t="shared" si="205"/>
        <v>0</v>
      </c>
      <c r="AC294" s="43">
        <f t="shared" si="205"/>
        <v>145.60903111927908</v>
      </c>
      <c r="AD294" s="43">
        <f t="shared" si="205"/>
        <v>291.21806223855816</v>
      </c>
      <c r="AE294" s="43">
        <f t="shared" si="205"/>
        <v>291.21806223855816</v>
      </c>
      <c r="AF294" s="43">
        <f t="shared" si="205"/>
        <v>291.21806223855816</v>
      </c>
      <c r="AH294" s="43">
        <f t="shared" si="209"/>
        <v>0</v>
      </c>
      <c r="AI294" s="43">
        <f t="shared" si="210"/>
        <v>1849.2346952148439</v>
      </c>
      <c r="AJ294" s="43">
        <f t="shared" si="211"/>
        <v>3624.6456116522131</v>
      </c>
      <c r="AK294" s="43">
        <f t="shared" si="212"/>
        <v>3480.1970845109549</v>
      </c>
      <c r="AL294" s="43">
        <f t="shared" si="213"/>
        <v>3342.0079935458175</v>
      </c>
      <c r="AN294" s="43">
        <f t="shared" si="187"/>
        <v>0</v>
      </c>
      <c r="AO294" s="43">
        <f t="shared" si="188"/>
        <v>85516.183976352579</v>
      </c>
      <c r="AP294" s="43">
        <f t="shared" si="189"/>
        <v>81891.538364700362</v>
      </c>
      <c r="AQ294" s="43">
        <f t="shared" si="190"/>
        <v>78411.341280189401</v>
      </c>
      <c r="AR294" s="43">
        <f t="shared" si="191"/>
        <v>75069.333286643581</v>
      </c>
      <c r="AT294" s="43">
        <f t="shared" si="206"/>
        <v>0</v>
      </c>
      <c r="AU294" s="43">
        <f t="shared" si="206"/>
        <v>873.65418671567431</v>
      </c>
      <c r="AV294" s="43">
        <f t="shared" si="206"/>
        <v>939.77233556631666</v>
      </c>
      <c r="AW294" s="43">
        <f t="shared" si="206"/>
        <v>962.22161711832484</v>
      </c>
      <c r="AX294" s="43">
        <f t="shared" si="206"/>
        <v>994.79089441454573</v>
      </c>
      <c r="AZ294" s="47">
        <f t="shared" si="214"/>
        <v>0</v>
      </c>
      <c r="BA294" s="47">
        <f t="shared" si="215"/>
        <v>5544.9229531501533</v>
      </c>
      <c r="BB294" s="47">
        <f t="shared" si="216"/>
        <v>7676.2964050771434</v>
      </c>
      <c r="BC294" s="47">
        <f t="shared" si="217"/>
        <v>7422.0496702764767</v>
      </c>
      <c r="BD294" s="47">
        <f t="shared" si="218"/>
        <v>7189.433552852819</v>
      </c>
    </row>
    <row r="295" spans="1:56" ht="13">
      <c r="A295" s="227"/>
      <c r="B295" s="37">
        <f>'12. Investeringen (bijschatten)'!B98</f>
        <v>79</v>
      </c>
      <c r="C295" s="48"/>
      <c r="E295" s="48"/>
      <c r="F295" s="167">
        <f>'12. Investeringen (bijschatten)'!C98</f>
        <v>512.30039495694564</v>
      </c>
      <c r="H295" s="37">
        <f>'12. Investeringen (bijschatten)'!D98</f>
        <v>2023</v>
      </c>
      <c r="I295" s="37" t="str">
        <f>'12. Investeringen (bijschatten)'!E98</f>
        <v>08 Inrichting gebouwen</v>
      </c>
      <c r="J295" s="167">
        <f>_xlfn.XLOOKUP(I295,'3. Input (des)investeringen '!$B$11:$B$89,'3. Input (des)investeringen '!$D$11:$D$89)</f>
        <v>10</v>
      </c>
      <c r="M295" s="43">
        <f t="shared" si="183"/>
        <v>0</v>
      </c>
      <c r="N295" s="43">
        <f t="shared" si="184"/>
        <v>0</v>
      </c>
      <c r="P295" s="136">
        <f t="shared" si="185"/>
        <v>0</v>
      </c>
      <c r="Q295" s="136">
        <f t="shared" si="186"/>
        <v>0</v>
      </c>
      <c r="S295" s="43">
        <f t="shared" si="207"/>
        <v>512.30039495694564</v>
      </c>
      <c r="T295" s="38">
        <f t="shared" si="208"/>
        <v>10</v>
      </c>
      <c r="V295" s="43">
        <f t="shared" si="204"/>
        <v>0</v>
      </c>
      <c r="W295" s="43">
        <f t="shared" si="204"/>
        <v>29.969573104981322</v>
      </c>
      <c r="X295" s="43">
        <f t="shared" si="204"/>
        <v>56.04310170631507</v>
      </c>
      <c r="Y295" s="43">
        <f t="shared" si="204"/>
        <v>48.757498484494114</v>
      </c>
      <c r="Z295" s="43">
        <f t="shared" si="204"/>
        <v>43.506690955394745</v>
      </c>
      <c r="AB295" s="43">
        <f t="shared" si="205"/>
        <v>0</v>
      </c>
      <c r="AC295" s="43">
        <f t="shared" si="205"/>
        <v>2.5615019747847287</v>
      </c>
      <c r="AD295" s="43">
        <f t="shared" si="205"/>
        <v>5.1230039495694575</v>
      </c>
      <c r="AE295" s="43">
        <f t="shared" si="205"/>
        <v>5.1230039495694575</v>
      </c>
      <c r="AF295" s="43">
        <f t="shared" si="205"/>
        <v>5.1230039495694575</v>
      </c>
      <c r="AH295" s="43">
        <f t="shared" si="209"/>
        <v>0</v>
      </c>
      <c r="AI295" s="43">
        <f t="shared" si="210"/>
        <v>32.531075079766048</v>
      </c>
      <c r="AJ295" s="43">
        <f t="shared" si="211"/>
        <v>61.166105655884529</v>
      </c>
      <c r="AK295" s="43">
        <f t="shared" si="212"/>
        <v>53.880502434063573</v>
      </c>
      <c r="AL295" s="43">
        <f t="shared" si="213"/>
        <v>48.629694904964204</v>
      </c>
      <c r="AN295" s="43">
        <f t="shared" si="187"/>
        <v>0</v>
      </c>
      <c r="AO295" s="43">
        <f t="shared" si="188"/>
        <v>479.76931987717961</v>
      </c>
      <c r="AP295" s="43">
        <f t="shared" si="189"/>
        <v>418.6032142212951</v>
      </c>
      <c r="AQ295" s="43">
        <f t="shared" si="190"/>
        <v>364.72271178723156</v>
      </c>
      <c r="AR295" s="43">
        <f t="shared" si="191"/>
        <v>316.09301688226736</v>
      </c>
      <c r="AT295" s="43">
        <f t="shared" si="206"/>
        <v>0</v>
      </c>
      <c r="AU295" s="43">
        <f t="shared" si="206"/>
        <v>5.1230039495694566</v>
      </c>
      <c r="AV295" s="43">
        <f t="shared" si="206"/>
        <v>5.5107128884728738</v>
      </c>
      <c r="AW295" s="43">
        <f t="shared" si="206"/>
        <v>5.6423527979527135</v>
      </c>
      <c r="AX295" s="43">
        <f t="shared" si="206"/>
        <v>5.8333351554578154</v>
      </c>
      <c r="AZ295" s="47">
        <f t="shared" si="214"/>
        <v>0</v>
      </c>
      <c r="BA295" s="47">
        <f t="shared" si="215"/>
        <v>53.486466585282436</v>
      </c>
      <c r="BB295" s="47">
        <f t="shared" si="216"/>
        <v>82.58374068476661</v>
      </c>
      <c r="BC295" s="47">
        <f t="shared" si="217"/>
        <v>73.382318279931084</v>
      </c>
      <c r="BD295" s="47">
        <f t="shared" si="218"/>
        <v>66.474564701948182</v>
      </c>
    </row>
    <row r="296" spans="1:56" ht="13">
      <c r="A296" s="227"/>
      <c r="B296" s="37">
        <f>'12. Investeringen (bijschatten)'!B99</f>
        <v>80</v>
      </c>
      <c r="C296" s="48"/>
      <c r="E296" s="48"/>
      <c r="F296" s="167">
        <f>'12. Investeringen (bijschatten)'!C99</f>
        <v>52227.302738377963</v>
      </c>
      <c r="H296" s="37">
        <f>'12. Investeringen (bijschatten)'!D99</f>
        <v>2023</v>
      </c>
      <c r="I296" s="37" t="str">
        <f>'12. Investeringen (bijschatten)'!E99</f>
        <v>15 Compressorstations (KC)</v>
      </c>
      <c r="J296" s="167">
        <f>_xlfn.XLOOKUP(I296,'3. Input (des)investeringen '!$B$11:$B$89,'3. Input (des)investeringen '!$D$11:$D$89)</f>
        <v>30</v>
      </c>
      <c r="M296" s="43">
        <f t="shared" si="183"/>
        <v>0</v>
      </c>
      <c r="N296" s="43">
        <f t="shared" si="184"/>
        <v>0</v>
      </c>
      <c r="P296" s="136">
        <f t="shared" si="185"/>
        <v>0</v>
      </c>
      <c r="Q296" s="136">
        <f t="shared" si="186"/>
        <v>0</v>
      </c>
      <c r="S296" s="43">
        <f t="shared" si="207"/>
        <v>52227.302738377963</v>
      </c>
      <c r="T296" s="38">
        <f t="shared" si="208"/>
        <v>30</v>
      </c>
      <c r="V296" s="43">
        <f t="shared" si="204"/>
        <v>0</v>
      </c>
      <c r="W296" s="43">
        <f t="shared" si="204"/>
        <v>1018.4324033983703</v>
      </c>
      <c r="X296" s="43">
        <f t="shared" si="204"/>
        <v>1992.7327359828112</v>
      </c>
      <c r="Y296" s="43">
        <f t="shared" si="204"/>
        <v>1906.3809840902225</v>
      </c>
      <c r="Z296" s="43">
        <f t="shared" si="204"/>
        <v>1823.7711414463129</v>
      </c>
      <c r="AB296" s="43">
        <f t="shared" si="205"/>
        <v>0</v>
      </c>
      <c r="AC296" s="43">
        <f t="shared" si="205"/>
        <v>87.045504563963277</v>
      </c>
      <c r="AD296" s="43">
        <f t="shared" si="205"/>
        <v>174.09100912792658</v>
      </c>
      <c r="AE296" s="43">
        <f t="shared" si="205"/>
        <v>174.09100912792658</v>
      </c>
      <c r="AF296" s="43">
        <f t="shared" si="205"/>
        <v>174.09100912792658</v>
      </c>
      <c r="AH296" s="43">
        <f t="shared" si="209"/>
        <v>0</v>
      </c>
      <c r="AI296" s="43">
        <f t="shared" si="210"/>
        <v>1105.4779079623336</v>
      </c>
      <c r="AJ296" s="43">
        <f t="shared" si="211"/>
        <v>2166.8237451107379</v>
      </c>
      <c r="AK296" s="43">
        <f t="shared" si="212"/>
        <v>2080.4719932181492</v>
      </c>
      <c r="AL296" s="43">
        <f t="shared" si="213"/>
        <v>1997.8621505742394</v>
      </c>
      <c r="AN296" s="43">
        <f t="shared" si="187"/>
        <v>0</v>
      </c>
      <c r="AO296" s="43">
        <f t="shared" si="188"/>
        <v>51121.82483041563</v>
      </c>
      <c r="AP296" s="43">
        <f t="shared" si="189"/>
        <v>48955.001085304888</v>
      </c>
      <c r="AQ296" s="43">
        <f t="shared" si="190"/>
        <v>46874.529092086741</v>
      </c>
      <c r="AR296" s="43">
        <f t="shared" si="191"/>
        <v>44876.6669415125</v>
      </c>
      <c r="AT296" s="43">
        <f t="shared" si="206"/>
        <v>0</v>
      </c>
      <c r="AU296" s="43">
        <f t="shared" si="206"/>
        <v>522.27302738377966</v>
      </c>
      <c r="AV296" s="43">
        <f t="shared" si="206"/>
        <v>561.79865009618413</v>
      </c>
      <c r="AW296" s="43">
        <f t="shared" si="206"/>
        <v>575.21889624968185</v>
      </c>
      <c r="AX296" s="43">
        <f t="shared" si="206"/>
        <v>594.68890544994099</v>
      </c>
      <c r="AZ296" s="47">
        <f t="shared" si="214"/>
        <v>0</v>
      </c>
      <c r="BA296" s="47">
        <f t="shared" si="215"/>
        <v>3314.7711547498293</v>
      </c>
      <c r="BB296" s="47">
        <f t="shared" si="216"/>
        <v>4588.9124364485078</v>
      </c>
      <c r="BC296" s="47">
        <f t="shared" si="217"/>
        <v>4436.9229949671271</v>
      </c>
      <c r="BD296" s="47">
        <f t="shared" si="218"/>
        <v>4297.8643998016551</v>
      </c>
    </row>
    <row r="297" spans="1:56" ht="13">
      <c r="A297" s="227"/>
      <c r="B297" s="37">
        <f>'12. Investeringen (bijschatten)'!B100</f>
        <v>81</v>
      </c>
      <c r="C297" s="48"/>
      <c r="E297" s="48"/>
      <c r="F297" s="167">
        <f>'12. Investeringen (bijschatten)'!C100</f>
        <v>1503868.6390986054</v>
      </c>
      <c r="H297" s="37">
        <f>'12. Investeringen (bijschatten)'!D100</f>
        <v>2023</v>
      </c>
      <c r="I297" s="37" t="str">
        <f>'12. Investeringen (bijschatten)'!E100</f>
        <v>15 Compressorstations (TT-BT-AT)</v>
      </c>
      <c r="J297" s="167">
        <f>_xlfn.XLOOKUP(I297,'3. Input (des)investeringen '!$B$11:$B$89,'3. Input (des)investeringen '!$D$11:$D$89)</f>
        <v>30</v>
      </c>
      <c r="M297" s="43">
        <f t="shared" si="183"/>
        <v>0</v>
      </c>
      <c r="N297" s="43">
        <f t="shared" si="184"/>
        <v>0</v>
      </c>
      <c r="P297" s="136">
        <f t="shared" si="185"/>
        <v>0</v>
      </c>
      <c r="Q297" s="136">
        <f t="shared" si="186"/>
        <v>0</v>
      </c>
      <c r="S297" s="43">
        <f t="shared" si="207"/>
        <v>1503868.6390986054</v>
      </c>
      <c r="T297" s="38">
        <f t="shared" si="208"/>
        <v>30</v>
      </c>
      <c r="V297" s="43">
        <f t="shared" ref="V297:Z306" si="219">IF($J297=0, 0, IF(OR($H297&gt;V$59,$H297+$J297&lt;V$59),0,
IF(OR($H297=2020,$H297=2021),VDB(ABS($S297)*(1-$F$28),0,$T297,V$59-2022,MIN($T297,V$59-2021),$F$22),
VDB(ABS($S297)*(1-$F$28),0,$T297,MAX(0,V$59-$H297-0.5),MIN($T297,V$59-$H297+0.5),$F$22,FALSE))))*IF($F297&lt;0,-1,1)</f>
        <v>0</v>
      </c>
      <c r="W297" s="43">
        <f t="shared" si="219"/>
        <v>29325.438462422804</v>
      </c>
      <c r="X297" s="43">
        <f t="shared" si="219"/>
        <v>57380.107924807293</v>
      </c>
      <c r="Y297" s="43">
        <f t="shared" si="219"/>
        <v>54893.636581398976</v>
      </c>
      <c r="Z297" s="43">
        <f t="shared" si="219"/>
        <v>52514.912329538347</v>
      </c>
      <c r="AB297" s="43">
        <f t="shared" ref="AB297:AF306" si="220">IF($J297 = 0, 0, IF(OR($H297&gt;AB$59,$H297+$J297&lt;AB$59),0,
IF(OR($H297=2020,$H297=2021),VDB(ABS($S297)*$F$28,0,$T297,AB$59-2022,MIN($T297,AB$59-2021),1),
VDB(ABS($S297)*$F$28,0,$T297,MAX(0,AB$59-$H297-0.5),MIN($T297,AB$59-$H297+0.5),1))))*IF($F297&lt;0,-1,1)</f>
        <v>0</v>
      </c>
      <c r="AC297" s="43">
        <f t="shared" si="220"/>
        <v>2506.4477318310092</v>
      </c>
      <c r="AD297" s="43">
        <f t="shared" si="220"/>
        <v>5012.8954636620192</v>
      </c>
      <c r="AE297" s="43">
        <f t="shared" si="220"/>
        <v>5012.8954636620192</v>
      </c>
      <c r="AF297" s="43">
        <f t="shared" si="220"/>
        <v>5012.8954636620192</v>
      </c>
      <c r="AH297" s="43">
        <f t="shared" si="209"/>
        <v>0</v>
      </c>
      <c r="AI297" s="43">
        <f t="shared" si="210"/>
        <v>31831.886194253813</v>
      </c>
      <c r="AJ297" s="43">
        <f t="shared" si="211"/>
        <v>62393.003388469311</v>
      </c>
      <c r="AK297" s="43">
        <f t="shared" si="212"/>
        <v>59906.532045060994</v>
      </c>
      <c r="AL297" s="43">
        <f t="shared" si="213"/>
        <v>57527.807793200365</v>
      </c>
      <c r="AN297" s="43">
        <f t="shared" si="187"/>
        <v>0</v>
      </c>
      <c r="AO297" s="43">
        <f t="shared" si="188"/>
        <v>1472036.7529043516</v>
      </c>
      <c r="AP297" s="43">
        <f t="shared" si="189"/>
        <v>1409643.7495158822</v>
      </c>
      <c r="AQ297" s="43">
        <f t="shared" si="190"/>
        <v>1349737.2174708212</v>
      </c>
      <c r="AR297" s="43">
        <f t="shared" si="191"/>
        <v>1292209.409677621</v>
      </c>
      <c r="AT297" s="43">
        <f t="shared" ref="AT297:AX306" si="221">IF($H297&lt;=AT$215,$F297*INDEX($H$40:$N$46,$H297-2019,AT$215-2019)*INDEX($H$49:$N$55,$H297-2019,AT$215-2019)*$F$19,0)</f>
        <v>0</v>
      </c>
      <c r="AU297" s="43">
        <f t="shared" si="221"/>
        <v>15038.686390986055</v>
      </c>
      <c r="AV297" s="43">
        <f t="shared" si="221"/>
        <v>16176.814177055878</v>
      </c>
      <c r="AW297" s="43">
        <f t="shared" si="221"/>
        <v>16563.245914117393</v>
      </c>
      <c r="AX297" s="43">
        <f t="shared" si="221"/>
        <v>17123.878661818435</v>
      </c>
      <c r="AZ297" s="47">
        <f t="shared" si="214"/>
        <v>0</v>
      </c>
      <c r="BA297" s="47">
        <f t="shared" si="215"/>
        <v>95447.785431083466</v>
      </c>
      <c r="BB297" s="47">
        <f t="shared" si="216"/>
        <v>132136.2800471287</v>
      </c>
      <c r="BC297" s="47">
        <f t="shared" si="217"/>
        <v>127759.7922230696</v>
      </c>
      <c r="BD297" s="47">
        <f t="shared" si="218"/>
        <v>123755.64402276841</v>
      </c>
    </row>
    <row r="298" spans="1:56" ht="13">
      <c r="A298" s="227"/>
      <c r="B298" s="37">
        <f>'12. Investeringen (bijschatten)'!B101</f>
        <v>82</v>
      </c>
      <c r="C298" s="48"/>
      <c r="E298" s="48"/>
      <c r="F298" s="167">
        <f>'12. Investeringen (bijschatten)'!C101</f>
        <v>2183439.2423609141</v>
      </c>
      <c r="H298" s="37">
        <f>'12. Investeringen (bijschatten)'!D101</f>
        <v>2023</v>
      </c>
      <c r="I298" s="37" t="str">
        <f>'12. Investeringen (bijschatten)'!E101</f>
        <v>16 LNG installaties</v>
      </c>
      <c r="J298" s="167">
        <f>_xlfn.XLOOKUP(I298,'3. Input (des)investeringen '!$B$11:$B$89,'3. Input (des)investeringen '!$D$11:$D$89)</f>
        <v>30</v>
      </c>
      <c r="M298" s="43">
        <f t="shared" si="183"/>
        <v>0</v>
      </c>
      <c r="N298" s="43">
        <f t="shared" si="184"/>
        <v>0</v>
      </c>
      <c r="P298" s="136">
        <f t="shared" si="185"/>
        <v>0</v>
      </c>
      <c r="Q298" s="136">
        <f t="shared" si="186"/>
        <v>0</v>
      </c>
      <c r="S298" s="43">
        <f t="shared" si="207"/>
        <v>2183439.2423609141</v>
      </c>
      <c r="T298" s="38">
        <f t="shared" si="208"/>
        <v>30</v>
      </c>
      <c r="V298" s="43">
        <f t="shared" si="219"/>
        <v>0</v>
      </c>
      <c r="W298" s="43">
        <f t="shared" si="219"/>
        <v>42577.065226037827</v>
      </c>
      <c r="X298" s="43">
        <f t="shared" si="219"/>
        <v>83309.124292280685</v>
      </c>
      <c r="Y298" s="43">
        <f t="shared" si="219"/>
        <v>79699.062239615188</v>
      </c>
      <c r="Z298" s="43">
        <f t="shared" si="219"/>
        <v>76245.436209231862</v>
      </c>
      <c r="AB298" s="43">
        <f t="shared" si="220"/>
        <v>0</v>
      </c>
      <c r="AC298" s="43">
        <f t="shared" si="220"/>
        <v>3639.0654039348574</v>
      </c>
      <c r="AD298" s="43">
        <f t="shared" si="220"/>
        <v>7278.1308078697148</v>
      </c>
      <c r="AE298" s="43">
        <f t="shared" si="220"/>
        <v>7278.1308078697148</v>
      </c>
      <c r="AF298" s="43">
        <f t="shared" si="220"/>
        <v>7278.1308078697148</v>
      </c>
      <c r="AH298" s="43">
        <f t="shared" si="209"/>
        <v>0</v>
      </c>
      <c r="AI298" s="43">
        <f t="shared" si="210"/>
        <v>46216.130629972686</v>
      </c>
      <c r="AJ298" s="43">
        <f t="shared" si="211"/>
        <v>90587.255100150403</v>
      </c>
      <c r="AK298" s="43">
        <f t="shared" si="212"/>
        <v>86977.193047484907</v>
      </c>
      <c r="AL298" s="43">
        <f t="shared" si="213"/>
        <v>83523.567017101581</v>
      </c>
      <c r="AN298" s="43">
        <f t="shared" si="187"/>
        <v>0</v>
      </c>
      <c r="AO298" s="43">
        <f t="shared" si="188"/>
        <v>2137223.1117309416</v>
      </c>
      <c r="AP298" s="43">
        <f t="shared" si="189"/>
        <v>2046635.8566307912</v>
      </c>
      <c r="AQ298" s="43">
        <f t="shared" si="190"/>
        <v>1959658.6635833064</v>
      </c>
      <c r="AR298" s="43">
        <f t="shared" si="191"/>
        <v>1876135.0965662047</v>
      </c>
      <c r="AT298" s="43">
        <f t="shared" si="221"/>
        <v>0</v>
      </c>
      <c r="AU298" s="43">
        <f t="shared" si="221"/>
        <v>21834.392423609141</v>
      </c>
      <c r="AV298" s="43">
        <f t="shared" si="221"/>
        <v>23486.819242227884</v>
      </c>
      <c r="AW298" s="43">
        <f t="shared" si="221"/>
        <v>24047.872380286226</v>
      </c>
      <c r="AX298" s="43">
        <f t="shared" si="221"/>
        <v>24861.844764614147</v>
      </c>
      <c r="AZ298" s="47">
        <f t="shared" si="214"/>
        <v>0</v>
      </c>
      <c r="BA298" s="47">
        <f t="shared" si="215"/>
        <v>138578.88574070291</v>
      </c>
      <c r="BB298" s="47">
        <f t="shared" si="216"/>
        <v>191846.23689434835</v>
      </c>
      <c r="BC298" s="47">
        <f t="shared" si="217"/>
        <v>185492.09464393678</v>
      </c>
      <c r="BD298" s="47">
        <f t="shared" si="218"/>
        <v>179678.5454512315</v>
      </c>
    </row>
    <row r="299" spans="1:56" ht="13">
      <c r="A299" s="227"/>
      <c r="B299" s="37">
        <f>'12. Investeringen (bijschatten)'!B102</f>
        <v>83</v>
      </c>
      <c r="C299" s="48"/>
      <c r="E299" s="48"/>
      <c r="F299" s="167">
        <f>'12. Investeringen (bijschatten)'!C102</f>
        <v>999432.73169850267</v>
      </c>
      <c r="H299" s="37">
        <f>'12. Investeringen (bijschatten)'!D102</f>
        <v>2023</v>
      </c>
      <c r="I299" s="37" t="str">
        <f>'12. Investeringen (bijschatten)'!E102</f>
        <v>17 Mengstations</v>
      </c>
      <c r="J299" s="167">
        <f>_xlfn.XLOOKUP(I299,'3. Input (des)investeringen '!$B$11:$B$89,'3. Input (des)investeringen '!$D$11:$D$89)</f>
        <v>30</v>
      </c>
      <c r="M299" s="43">
        <f t="shared" si="183"/>
        <v>0</v>
      </c>
      <c r="N299" s="43">
        <f t="shared" si="184"/>
        <v>0</v>
      </c>
      <c r="P299" s="136">
        <f t="shared" si="185"/>
        <v>0</v>
      </c>
      <c r="Q299" s="136">
        <f t="shared" si="186"/>
        <v>0</v>
      </c>
      <c r="S299" s="43">
        <f t="shared" si="207"/>
        <v>999432.73169850267</v>
      </c>
      <c r="T299" s="38">
        <f t="shared" si="208"/>
        <v>30</v>
      </c>
      <c r="V299" s="43">
        <f t="shared" si="219"/>
        <v>0</v>
      </c>
      <c r="W299" s="43">
        <f t="shared" si="219"/>
        <v>19488.938268120804</v>
      </c>
      <c r="X299" s="43">
        <f t="shared" si="219"/>
        <v>38133.355877956375</v>
      </c>
      <c r="Y299" s="43">
        <f t="shared" si="219"/>
        <v>36480.910456578262</v>
      </c>
      <c r="Z299" s="43">
        <f t="shared" si="219"/>
        <v>34900.071003459874</v>
      </c>
      <c r="AB299" s="43">
        <f t="shared" si="220"/>
        <v>0</v>
      </c>
      <c r="AC299" s="43">
        <f t="shared" si="220"/>
        <v>1665.7212194975045</v>
      </c>
      <c r="AD299" s="43">
        <f t="shared" si="220"/>
        <v>3331.4424389950095</v>
      </c>
      <c r="AE299" s="43">
        <f t="shared" si="220"/>
        <v>3331.4424389950095</v>
      </c>
      <c r="AF299" s="43">
        <f t="shared" si="220"/>
        <v>3331.4424389950095</v>
      </c>
      <c r="AH299" s="43">
        <f t="shared" si="209"/>
        <v>0</v>
      </c>
      <c r="AI299" s="43">
        <f t="shared" si="210"/>
        <v>21154.659487618308</v>
      </c>
      <c r="AJ299" s="43">
        <f t="shared" si="211"/>
        <v>41464.798316951383</v>
      </c>
      <c r="AK299" s="43">
        <f t="shared" si="212"/>
        <v>39812.352895573269</v>
      </c>
      <c r="AL299" s="43">
        <f t="shared" si="213"/>
        <v>38231.513442454881</v>
      </c>
      <c r="AN299" s="43">
        <f t="shared" si="187"/>
        <v>0</v>
      </c>
      <c r="AO299" s="43">
        <f t="shared" si="188"/>
        <v>978278.07221088442</v>
      </c>
      <c r="AP299" s="43">
        <f t="shared" si="189"/>
        <v>936813.27389393304</v>
      </c>
      <c r="AQ299" s="43">
        <f t="shared" si="190"/>
        <v>897000.9209983598</v>
      </c>
      <c r="AR299" s="43">
        <f t="shared" si="191"/>
        <v>858769.40755590494</v>
      </c>
      <c r="AT299" s="43">
        <f t="shared" si="221"/>
        <v>0</v>
      </c>
      <c r="AU299" s="43">
        <f t="shared" si="221"/>
        <v>9994.3273169850272</v>
      </c>
      <c r="AV299" s="43">
        <f t="shared" si="221"/>
        <v>10750.698008334455</v>
      </c>
      <c r="AW299" s="43">
        <f t="shared" si="221"/>
        <v>11007.51068235755</v>
      </c>
      <c r="AX299" s="43">
        <f t="shared" si="221"/>
        <v>11380.092903933986</v>
      </c>
      <c r="AZ299" s="47">
        <f t="shared" si="214"/>
        <v>0</v>
      </c>
      <c r="BA299" s="47">
        <f t="shared" si="215"/>
        <v>63432.163187562524</v>
      </c>
      <c r="BB299" s="47">
        <f t="shared" si="216"/>
        <v>87814.400733255301</v>
      </c>
      <c r="BC299" s="47">
        <f t="shared" si="217"/>
        <v>84905.898575868487</v>
      </c>
      <c r="BD299" s="47">
        <f t="shared" si="218"/>
        <v>82244.843833513252</v>
      </c>
    </row>
    <row r="300" spans="1:56" ht="13">
      <c r="A300" s="227"/>
      <c r="B300" s="37">
        <f>'12. Investeringen (bijschatten)'!B103</f>
        <v>84</v>
      </c>
      <c r="C300" s="48"/>
      <c r="E300" s="48"/>
      <c r="F300" s="167">
        <f>'12. Investeringen (bijschatten)'!C103</f>
        <v>1817413.6692713664</v>
      </c>
      <c r="H300" s="37">
        <f>'12. Investeringen (bijschatten)'!D103</f>
        <v>2023</v>
      </c>
      <c r="I300" s="37" t="str">
        <f>'12. Investeringen (bijschatten)'!E103</f>
        <v>20 Kantoorgebouwen</v>
      </c>
      <c r="J300" s="167">
        <f>_xlfn.XLOOKUP(I300,'3. Input (des)investeringen '!$B$11:$B$89,'3. Input (des)investeringen '!$D$11:$D$89)</f>
        <v>30</v>
      </c>
      <c r="M300" s="43">
        <f t="shared" si="183"/>
        <v>0</v>
      </c>
      <c r="N300" s="43">
        <f t="shared" si="184"/>
        <v>0</v>
      </c>
      <c r="P300" s="136">
        <f t="shared" si="185"/>
        <v>0</v>
      </c>
      <c r="Q300" s="136">
        <f t="shared" si="186"/>
        <v>0</v>
      </c>
      <c r="S300" s="43">
        <f t="shared" ref="S300:S307" si="222">IF($J300=0, IF(H300&lt;=2021, $Q300, IF(H300&gt;=2022, $F300,0)), IF(H300&lt;=2021,Q300,F300))</f>
        <v>1817413.6692713664</v>
      </c>
      <c r="T300" s="38">
        <f t="shared" ref="T300:T307" si="223">IF($J300=0, 0, IF(H300&lt;2022,J300-2021+H300-0.5,J300))</f>
        <v>30</v>
      </c>
      <c r="V300" s="43">
        <f t="shared" si="219"/>
        <v>0</v>
      </c>
      <c r="W300" s="43">
        <f t="shared" si="219"/>
        <v>35439.566550791649</v>
      </c>
      <c r="X300" s="43">
        <f t="shared" si="219"/>
        <v>69343.418551048977</v>
      </c>
      <c r="Y300" s="43">
        <f t="shared" si="219"/>
        <v>66338.537080503535</v>
      </c>
      <c r="Z300" s="43">
        <f t="shared" si="219"/>
        <v>63463.867140348375</v>
      </c>
      <c r="AB300" s="43">
        <f t="shared" si="220"/>
        <v>0</v>
      </c>
      <c r="AC300" s="43">
        <f t="shared" si="220"/>
        <v>3029.0227821189446</v>
      </c>
      <c r="AD300" s="43">
        <f t="shared" si="220"/>
        <v>6058.0455642378893</v>
      </c>
      <c r="AE300" s="43">
        <f t="shared" si="220"/>
        <v>6058.0455642378893</v>
      </c>
      <c r="AF300" s="43">
        <f t="shared" si="220"/>
        <v>6058.0455642378893</v>
      </c>
      <c r="AH300" s="43">
        <f t="shared" ref="AH300:AH307" si="224">V300+AB300</f>
        <v>0</v>
      </c>
      <c r="AI300" s="43">
        <f t="shared" ref="AI300:AI307" si="225">W300+AC300</f>
        <v>38468.589332910597</v>
      </c>
      <c r="AJ300" s="43">
        <f t="shared" ref="AJ300:AJ307" si="226">X300+AD300</f>
        <v>75401.464115286872</v>
      </c>
      <c r="AK300" s="43">
        <f t="shared" ref="AK300:AK307" si="227">Y300+AE300</f>
        <v>72396.582644741429</v>
      </c>
      <c r="AL300" s="43">
        <f t="shared" ref="AL300:AL307" si="228">Z300+AF300</f>
        <v>69521.91270458627</v>
      </c>
      <c r="AN300" s="43">
        <f t="shared" si="187"/>
        <v>0</v>
      </c>
      <c r="AO300" s="43">
        <f t="shared" si="188"/>
        <v>1778945.079938456</v>
      </c>
      <c r="AP300" s="43">
        <f t="shared" si="189"/>
        <v>1703543.615823169</v>
      </c>
      <c r="AQ300" s="43">
        <f t="shared" si="190"/>
        <v>1631147.0331784275</v>
      </c>
      <c r="AR300" s="43">
        <f t="shared" si="191"/>
        <v>1561625.1204738412</v>
      </c>
      <c r="AT300" s="43">
        <f t="shared" si="221"/>
        <v>0</v>
      </c>
      <c r="AU300" s="43">
        <f t="shared" si="221"/>
        <v>18174.136692713666</v>
      </c>
      <c r="AV300" s="43">
        <f t="shared" si="221"/>
        <v>19549.555357618236</v>
      </c>
      <c r="AW300" s="43">
        <f t="shared" si="221"/>
        <v>20016.555136001021</v>
      </c>
      <c r="AX300" s="43">
        <f t="shared" si="221"/>
        <v>20694.075494244382</v>
      </c>
      <c r="AZ300" s="47">
        <f t="shared" ref="AZ300:AZ307" si="229">AH300+AN300*J$16+AT300</f>
        <v>0</v>
      </c>
      <c r="BA300" s="47">
        <f t="shared" ref="BA300:BA307" si="230">AI300+AO300*K$16+AU300</f>
        <v>115347.91366359331</v>
      </c>
      <c r="BB300" s="47">
        <f t="shared" ref="BB300:BB307" si="231">AJ300+AP300*L$16+AV300</f>
        <v>159685.67687418553</v>
      </c>
      <c r="BC300" s="47">
        <f t="shared" ref="BC300:BC307" si="232">AK300+AQ300*M$16+AW300</f>
        <v>154396.7250415227</v>
      </c>
      <c r="BD300" s="47">
        <f t="shared" ref="BD300:BD307" si="233">AL300+AR300*N$16+AX300</f>
        <v>149557.74277683662</v>
      </c>
    </row>
    <row r="301" spans="1:56" ht="13">
      <c r="A301" s="227"/>
      <c r="B301" s="37">
        <f>'12. Investeringen (bijschatten)'!B104</f>
        <v>85</v>
      </c>
      <c r="C301" s="48"/>
      <c r="E301" s="48"/>
      <c r="F301" s="167">
        <f>'12. Investeringen (bijschatten)'!C104</f>
        <v>22543419.613286749</v>
      </c>
      <c r="H301" s="37">
        <f>'12. Investeringen (bijschatten)'!D104</f>
        <v>2023</v>
      </c>
      <c r="I301" s="37" t="str">
        <f>'12. Investeringen (bijschatten)'!E104</f>
        <v>21 Hoofdtransportleiding</v>
      </c>
      <c r="J301" s="167">
        <f>_xlfn.XLOOKUP(I301,'3. Input (des)investeringen '!$B$11:$B$89,'3. Input (des)investeringen '!$D$11:$D$89)</f>
        <v>55</v>
      </c>
      <c r="M301" s="43">
        <f t="shared" si="183"/>
        <v>0</v>
      </c>
      <c r="N301" s="43">
        <f t="shared" si="184"/>
        <v>0</v>
      </c>
      <c r="P301" s="136">
        <f t="shared" si="185"/>
        <v>0</v>
      </c>
      <c r="Q301" s="136">
        <f t="shared" si="186"/>
        <v>0</v>
      </c>
      <c r="S301" s="43">
        <f t="shared" si="222"/>
        <v>22543419.613286749</v>
      </c>
      <c r="T301" s="38">
        <f t="shared" si="223"/>
        <v>55</v>
      </c>
      <c r="V301" s="43">
        <f t="shared" si="219"/>
        <v>0</v>
      </c>
      <c r="W301" s="43">
        <f t="shared" si="219"/>
        <v>239780.00861404996</v>
      </c>
      <c r="X301" s="43">
        <f t="shared" si="219"/>
        <v>473892.48975176789</v>
      </c>
      <c r="Y301" s="43">
        <f t="shared" si="219"/>
        <v>462691.39453945338</v>
      </c>
      <c r="Z301" s="43">
        <f t="shared" si="219"/>
        <v>451755.05248670268</v>
      </c>
      <c r="AB301" s="43">
        <f t="shared" si="220"/>
        <v>0</v>
      </c>
      <c r="AC301" s="43">
        <f t="shared" si="220"/>
        <v>20494.017830260684</v>
      </c>
      <c r="AD301" s="43">
        <f t="shared" si="220"/>
        <v>40988.035660521367</v>
      </c>
      <c r="AE301" s="43">
        <f t="shared" si="220"/>
        <v>40988.035660521367</v>
      </c>
      <c r="AF301" s="43">
        <f t="shared" si="220"/>
        <v>40988.035660521367</v>
      </c>
      <c r="AH301" s="43">
        <f t="shared" si="224"/>
        <v>0</v>
      </c>
      <c r="AI301" s="43">
        <f t="shared" si="225"/>
        <v>260274.02644431064</v>
      </c>
      <c r="AJ301" s="43">
        <f t="shared" si="226"/>
        <v>514880.52541228925</v>
      </c>
      <c r="AK301" s="43">
        <f t="shared" si="227"/>
        <v>503679.43019997474</v>
      </c>
      <c r="AL301" s="43">
        <f t="shared" si="228"/>
        <v>492743.08814722404</v>
      </c>
      <c r="AN301" s="43">
        <f t="shared" si="187"/>
        <v>0</v>
      </c>
      <c r="AO301" s="43">
        <f t="shared" si="188"/>
        <v>22283145.586842436</v>
      </c>
      <c r="AP301" s="43">
        <f t="shared" si="189"/>
        <v>21768265.061430149</v>
      </c>
      <c r="AQ301" s="43">
        <f t="shared" si="190"/>
        <v>21264585.631230175</v>
      </c>
      <c r="AR301" s="43">
        <f t="shared" si="191"/>
        <v>20771842.543082952</v>
      </c>
      <c r="AT301" s="43">
        <f t="shared" si="221"/>
        <v>0</v>
      </c>
      <c r="AU301" s="43">
        <f t="shared" si="221"/>
        <v>225434.19613286748</v>
      </c>
      <c r="AV301" s="43">
        <f t="shared" si="221"/>
        <v>242495.05609620293</v>
      </c>
      <c r="AW301" s="43">
        <f t="shared" si="221"/>
        <v>248287.77799622904</v>
      </c>
      <c r="AX301" s="43">
        <f t="shared" si="221"/>
        <v>256691.82270584535</v>
      </c>
      <c r="AZ301" s="47">
        <f t="shared" si="229"/>
        <v>0</v>
      </c>
      <c r="BA301" s="47">
        <f t="shared" si="230"/>
        <v>1221052.0269429786</v>
      </c>
      <c r="BB301" s="47">
        <f t="shared" si="231"/>
        <v>1584569.6538428378</v>
      </c>
      <c r="BC301" s="47">
        <f t="shared" si="232"/>
        <v>1560021.4621829505</v>
      </c>
      <c r="BD301" s="47">
        <f t="shared" si="233"/>
        <v>1538764.9274902216</v>
      </c>
    </row>
    <row r="302" spans="1:56" ht="13">
      <c r="A302" s="227"/>
      <c r="B302" s="37">
        <f>'12. Investeringen (bijschatten)'!B105</f>
        <v>86</v>
      </c>
      <c r="C302" s="48"/>
      <c r="E302" s="48"/>
      <c r="F302" s="167">
        <f>'12. Investeringen (bijschatten)'!C105</f>
        <v>1283661.605903188</v>
      </c>
      <c r="H302" s="37">
        <f>'12. Investeringen (bijschatten)'!D105</f>
        <v>2023</v>
      </c>
      <c r="I302" s="37" t="str">
        <f>'12. Investeringen (bijschatten)'!E105</f>
        <v>32 M&amp;R stations</v>
      </c>
      <c r="J302" s="167">
        <f>_xlfn.XLOOKUP(I302,'3. Input (des)investeringen '!$B$11:$B$89,'3. Input (des)investeringen '!$D$11:$D$89)</f>
        <v>30</v>
      </c>
      <c r="M302" s="43">
        <f t="shared" si="183"/>
        <v>0</v>
      </c>
      <c r="N302" s="43">
        <f t="shared" si="184"/>
        <v>0</v>
      </c>
      <c r="P302" s="136">
        <f t="shared" si="185"/>
        <v>0</v>
      </c>
      <c r="Q302" s="136">
        <f t="shared" si="186"/>
        <v>0</v>
      </c>
      <c r="S302" s="43">
        <f t="shared" si="222"/>
        <v>1283661.605903188</v>
      </c>
      <c r="T302" s="38">
        <f t="shared" si="223"/>
        <v>30</v>
      </c>
      <c r="V302" s="43">
        <f t="shared" si="219"/>
        <v>0</v>
      </c>
      <c r="W302" s="43">
        <f t="shared" si="219"/>
        <v>25031.401315112169</v>
      </c>
      <c r="X302" s="43">
        <f t="shared" si="219"/>
        <v>48978.108573236146</v>
      </c>
      <c r="Y302" s="43">
        <f t="shared" si="219"/>
        <v>46855.723868395915</v>
      </c>
      <c r="Z302" s="43">
        <f t="shared" si="219"/>
        <v>44825.309167432097</v>
      </c>
      <c r="AB302" s="43">
        <f t="shared" si="220"/>
        <v>0</v>
      </c>
      <c r="AC302" s="43">
        <f t="shared" si="220"/>
        <v>2139.4360098386469</v>
      </c>
      <c r="AD302" s="43">
        <f t="shared" si="220"/>
        <v>4278.8720196772929</v>
      </c>
      <c r="AE302" s="43">
        <f t="shared" si="220"/>
        <v>4278.8720196772929</v>
      </c>
      <c r="AF302" s="43">
        <f t="shared" si="220"/>
        <v>4278.8720196772929</v>
      </c>
      <c r="AH302" s="43">
        <f t="shared" si="224"/>
        <v>0</v>
      </c>
      <c r="AI302" s="43">
        <f t="shared" si="225"/>
        <v>27170.837324950815</v>
      </c>
      <c r="AJ302" s="43">
        <f t="shared" si="226"/>
        <v>53256.980592913438</v>
      </c>
      <c r="AK302" s="43">
        <f t="shared" si="227"/>
        <v>51134.595888073207</v>
      </c>
      <c r="AL302" s="43">
        <f t="shared" si="228"/>
        <v>49104.181187109389</v>
      </c>
      <c r="AN302" s="43">
        <f t="shared" si="187"/>
        <v>0</v>
      </c>
      <c r="AO302" s="43">
        <f t="shared" si="188"/>
        <v>1256490.7685782372</v>
      </c>
      <c r="AP302" s="43">
        <f t="shared" si="189"/>
        <v>1203233.7879853237</v>
      </c>
      <c r="AQ302" s="43">
        <f t="shared" si="190"/>
        <v>1152099.1920972504</v>
      </c>
      <c r="AR302" s="43">
        <f t="shared" si="191"/>
        <v>1102995.010910141</v>
      </c>
      <c r="AT302" s="43">
        <f t="shared" si="221"/>
        <v>0</v>
      </c>
      <c r="AU302" s="43">
        <f t="shared" si="221"/>
        <v>12836.61605903188</v>
      </c>
      <c r="AV302" s="43">
        <f t="shared" si="221"/>
        <v>13808.091162379415</v>
      </c>
      <c r="AW302" s="43">
        <f t="shared" si="221"/>
        <v>14137.938844066335</v>
      </c>
      <c r="AX302" s="43">
        <f t="shared" si="221"/>
        <v>14616.479798060291</v>
      </c>
      <c r="AZ302" s="47">
        <f t="shared" si="229"/>
        <v>0</v>
      </c>
      <c r="BA302" s="47">
        <f t="shared" si="230"/>
        <v>81471.648747064522</v>
      </c>
      <c r="BB302" s="47">
        <f t="shared" si="231"/>
        <v>112787.95569873515</v>
      </c>
      <c r="BC302" s="47">
        <f t="shared" si="232"/>
        <v>109052.30403183505</v>
      </c>
      <c r="BD302" s="47">
        <f t="shared" si="233"/>
        <v>105634.47139975504</v>
      </c>
    </row>
    <row r="303" spans="1:56" ht="13">
      <c r="A303" s="227"/>
      <c r="B303" s="37">
        <f>'12. Investeringen (bijschatten)'!B106</f>
        <v>87</v>
      </c>
      <c r="C303" s="48"/>
      <c r="E303" s="48"/>
      <c r="F303" s="167">
        <f>'12. Investeringen (bijschatten)'!C106</f>
        <v>403062.53576066508</v>
      </c>
      <c r="H303" s="37">
        <f>'12. Investeringen (bijschatten)'!D106</f>
        <v>2023</v>
      </c>
      <c r="I303" s="37" t="str">
        <f>'12. Investeringen (bijschatten)'!E106</f>
        <v>33 Exportstations</v>
      </c>
      <c r="J303" s="167">
        <f>_xlfn.XLOOKUP(I303,'3. Input (des)investeringen '!$B$11:$B$89,'3. Input (des)investeringen '!$D$11:$D$89)</f>
        <v>30</v>
      </c>
      <c r="M303" s="43">
        <f t="shared" si="183"/>
        <v>0</v>
      </c>
      <c r="N303" s="43">
        <f t="shared" si="184"/>
        <v>0</v>
      </c>
      <c r="P303" s="136">
        <f t="shared" si="185"/>
        <v>0</v>
      </c>
      <c r="Q303" s="136">
        <f t="shared" si="186"/>
        <v>0</v>
      </c>
      <c r="S303" s="43">
        <f t="shared" si="222"/>
        <v>403062.53576066508</v>
      </c>
      <c r="T303" s="38">
        <f t="shared" si="223"/>
        <v>30</v>
      </c>
      <c r="V303" s="43">
        <f t="shared" si="219"/>
        <v>0</v>
      </c>
      <c r="W303" s="43">
        <f t="shared" si="219"/>
        <v>7859.7194473329691</v>
      </c>
      <c r="X303" s="43">
        <f t="shared" si="219"/>
        <v>15378.851051948177</v>
      </c>
      <c r="Y303" s="43">
        <f t="shared" si="219"/>
        <v>14712.434173030424</v>
      </c>
      <c r="Z303" s="43">
        <f t="shared" si="219"/>
        <v>14074.895358865771</v>
      </c>
      <c r="AB303" s="43">
        <f t="shared" si="220"/>
        <v>0</v>
      </c>
      <c r="AC303" s="43">
        <f t="shared" si="220"/>
        <v>671.77089293444192</v>
      </c>
      <c r="AD303" s="43">
        <f t="shared" si="220"/>
        <v>1343.5417858688836</v>
      </c>
      <c r="AE303" s="43">
        <f t="shared" si="220"/>
        <v>1343.5417858688836</v>
      </c>
      <c r="AF303" s="43">
        <f t="shared" si="220"/>
        <v>1343.5417858688836</v>
      </c>
      <c r="AH303" s="43">
        <f t="shared" si="224"/>
        <v>0</v>
      </c>
      <c r="AI303" s="43">
        <f t="shared" si="225"/>
        <v>8531.4903402674117</v>
      </c>
      <c r="AJ303" s="43">
        <f t="shared" si="226"/>
        <v>16722.39283781706</v>
      </c>
      <c r="AK303" s="43">
        <f t="shared" si="227"/>
        <v>16055.975958899307</v>
      </c>
      <c r="AL303" s="43">
        <f t="shared" si="228"/>
        <v>15418.437144734655</v>
      </c>
      <c r="AN303" s="43">
        <f t="shared" si="187"/>
        <v>0</v>
      </c>
      <c r="AO303" s="43">
        <f t="shared" si="188"/>
        <v>394531.04542039766</v>
      </c>
      <c r="AP303" s="43">
        <f t="shared" si="189"/>
        <v>377808.65258258057</v>
      </c>
      <c r="AQ303" s="43">
        <f t="shared" si="190"/>
        <v>361752.67662368127</v>
      </c>
      <c r="AR303" s="43">
        <f t="shared" si="191"/>
        <v>346334.23947894661</v>
      </c>
      <c r="AT303" s="43">
        <f t="shared" si="221"/>
        <v>0</v>
      </c>
      <c r="AU303" s="43">
        <f t="shared" si="221"/>
        <v>4030.6253576066511</v>
      </c>
      <c r="AV303" s="43">
        <f t="shared" si="221"/>
        <v>4335.663084670322</v>
      </c>
      <c r="AW303" s="43">
        <f t="shared" si="221"/>
        <v>4439.2334044369272</v>
      </c>
      <c r="AX303" s="43">
        <f t="shared" si="221"/>
        <v>4589.4925767103086</v>
      </c>
      <c r="AZ303" s="47">
        <f t="shared" si="229"/>
        <v>0</v>
      </c>
      <c r="BA303" s="47">
        <f t="shared" si="230"/>
        <v>25581.640196747187</v>
      </c>
      <c r="BB303" s="47">
        <f t="shared" si="231"/>
        <v>35414.784720625445</v>
      </c>
      <c r="BC303" s="47">
        <f t="shared" si="232"/>
        <v>34241.811075036123</v>
      </c>
      <c r="BD303" s="47">
        <f t="shared" si="233"/>
        <v>33168.63082164494</v>
      </c>
    </row>
    <row r="304" spans="1:56" ht="13">
      <c r="A304" s="227"/>
      <c r="B304" s="37">
        <f>'12. Investeringen (bijschatten)'!B107</f>
        <v>88</v>
      </c>
      <c r="C304" s="48"/>
      <c r="E304" s="48"/>
      <c r="F304" s="167">
        <f>'12. Investeringen (bijschatten)'!C107</f>
        <v>141832.85648723919</v>
      </c>
      <c r="H304" s="37">
        <f>'12. Investeringen (bijschatten)'!D107</f>
        <v>2023</v>
      </c>
      <c r="I304" s="37" t="str">
        <f>'12. Investeringen (bijschatten)'!E107</f>
        <v>34 Reduceerstations</v>
      </c>
      <c r="J304" s="167">
        <f>_xlfn.XLOOKUP(I304,'3. Input (des)investeringen '!$B$11:$B$89,'3. Input (des)investeringen '!$D$11:$D$89)</f>
        <v>30</v>
      </c>
      <c r="M304" s="43">
        <f t="shared" si="183"/>
        <v>0</v>
      </c>
      <c r="N304" s="43">
        <f t="shared" si="184"/>
        <v>0</v>
      </c>
      <c r="P304" s="136">
        <f t="shared" si="185"/>
        <v>0</v>
      </c>
      <c r="Q304" s="136">
        <f t="shared" si="186"/>
        <v>0</v>
      </c>
      <c r="S304" s="43">
        <f t="shared" si="222"/>
        <v>141832.85648723919</v>
      </c>
      <c r="T304" s="38">
        <f t="shared" si="223"/>
        <v>30</v>
      </c>
      <c r="V304" s="43">
        <f t="shared" si="219"/>
        <v>0</v>
      </c>
      <c r="W304" s="43">
        <f t="shared" si="219"/>
        <v>2765.740701501164</v>
      </c>
      <c r="X304" s="43">
        <f t="shared" si="219"/>
        <v>5411.6326392706114</v>
      </c>
      <c r="Y304" s="43">
        <f t="shared" si="219"/>
        <v>5177.1285582355513</v>
      </c>
      <c r="Z304" s="43">
        <f t="shared" si="219"/>
        <v>4952.7863207120108</v>
      </c>
      <c r="AB304" s="43">
        <f t="shared" si="220"/>
        <v>0</v>
      </c>
      <c r="AC304" s="43">
        <f t="shared" si="220"/>
        <v>236.38809414539864</v>
      </c>
      <c r="AD304" s="43">
        <f t="shared" si="220"/>
        <v>472.77618829079728</v>
      </c>
      <c r="AE304" s="43">
        <f t="shared" si="220"/>
        <v>472.77618829079728</v>
      </c>
      <c r="AF304" s="43">
        <f t="shared" si="220"/>
        <v>472.77618829079728</v>
      </c>
      <c r="AH304" s="43">
        <f t="shared" si="224"/>
        <v>0</v>
      </c>
      <c r="AI304" s="43">
        <f t="shared" si="225"/>
        <v>3002.1287956465626</v>
      </c>
      <c r="AJ304" s="43">
        <f t="shared" si="226"/>
        <v>5884.4088275614085</v>
      </c>
      <c r="AK304" s="43">
        <f t="shared" si="227"/>
        <v>5649.9047465263484</v>
      </c>
      <c r="AL304" s="43">
        <f t="shared" si="228"/>
        <v>5425.5625090028079</v>
      </c>
      <c r="AN304" s="43">
        <f t="shared" si="187"/>
        <v>0</v>
      </c>
      <c r="AO304" s="43">
        <f t="shared" si="188"/>
        <v>138830.72769159262</v>
      </c>
      <c r="AP304" s="43">
        <f t="shared" si="189"/>
        <v>132946.3188640312</v>
      </c>
      <c r="AQ304" s="43">
        <f t="shared" si="190"/>
        <v>127296.41411750486</v>
      </c>
      <c r="AR304" s="43">
        <f t="shared" si="191"/>
        <v>121870.85160850205</v>
      </c>
      <c r="AT304" s="43">
        <f t="shared" si="221"/>
        <v>0</v>
      </c>
      <c r="AU304" s="43">
        <f t="shared" si="221"/>
        <v>1418.328564872392</v>
      </c>
      <c r="AV304" s="43">
        <f t="shared" si="221"/>
        <v>1525.6676706619346</v>
      </c>
      <c r="AW304" s="43">
        <f t="shared" si="221"/>
        <v>1562.1128199787072</v>
      </c>
      <c r="AX304" s="43">
        <f t="shared" si="221"/>
        <v>1614.9872147093461</v>
      </c>
      <c r="AZ304" s="47">
        <f t="shared" si="229"/>
        <v>0</v>
      </c>
      <c r="BA304" s="47">
        <f t="shared" si="230"/>
        <v>9001.8713743415119</v>
      </c>
      <c r="BB304" s="47">
        <f t="shared" si="231"/>
        <v>12462.03661505653</v>
      </c>
      <c r="BC304" s="47">
        <f t="shared" si="232"/>
        <v>12049.281302970239</v>
      </c>
      <c r="BD304" s="47">
        <f t="shared" si="233"/>
        <v>11671.642084835234</v>
      </c>
    </row>
    <row r="305" spans="1:56" ht="13">
      <c r="A305" s="227"/>
      <c r="B305" s="37">
        <f>'12. Investeringen (bijschatten)'!B108</f>
        <v>89</v>
      </c>
      <c r="C305" s="48"/>
      <c r="E305" s="48"/>
      <c r="F305" s="167">
        <f>'12. Investeringen (bijschatten)'!C108</f>
        <v>106149.96916572338</v>
      </c>
      <c r="H305" s="37">
        <f>'12. Investeringen (bijschatten)'!D108</f>
        <v>2023</v>
      </c>
      <c r="I305" s="37" t="str">
        <f>'12. Investeringen (bijschatten)'!E108</f>
        <v>35 Injectiestations</v>
      </c>
      <c r="J305" s="167">
        <f>_xlfn.XLOOKUP(I305,'3. Input (des)investeringen '!$B$11:$B$89,'3. Input (des)investeringen '!$D$11:$D$89)</f>
        <v>30</v>
      </c>
      <c r="M305" s="43">
        <f t="shared" si="183"/>
        <v>0</v>
      </c>
      <c r="N305" s="43">
        <f t="shared" si="184"/>
        <v>0</v>
      </c>
      <c r="P305" s="136">
        <f t="shared" si="185"/>
        <v>0</v>
      </c>
      <c r="Q305" s="136">
        <f t="shared" si="186"/>
        <v>0</v>
      </c>
      <c r="S305" s="43">
        <f t="shared" si="222"/>
        <v>106149.96916572338</v>
      </c>
      <c r="T305" s="38">
        <f t="shared" si="223"/>
        <v>30</v>
      </c>
      <c r="V305" s="43">
        <f t="shared" si="219"/>
        <v>0</v>
      </c>
      <c r="W305" s="43">
        <f t="shared" si="219"/>
        <v>2069.9243987316063</v>
      </c>
      <c r="X305" s="43">
        <f t="shared" si="219"/>
        <v>4050.1520735181762</v>
      </c>
      <c r="Y305" s="43">
        <f t="shared" si="219"/>
        <v>3874.6454836657222</v>
      </c>
      <c r="Z305" s="43">
        <f t="shared" si="219"/>
        <v>3706.7441793735411</v>
      </c>
      <c r="AB305" s="43">
        <f t="shared" si="220"/>
        <v>0</v>
      </c>
      <c r="AC305" s="43">
        <f t="shared" si="220"/>
        <v>176.91661527620562</v>
      </c>
      <c r="AD305" s="43">
        <f t="shared" si="220"/>
        <v>353.83323055241124</v>
      </c>
      <c r="AE305" s="43">
        <f t="shared" si="220"/>
        <v>353.83323055241124</v>
      </c>
      <c r="AF305" s="43">
        <f t="shared" si="220"/>
        <v>353.83323055241124</v>
      </c>
      <c r="AH305" s="43">
        <f t="shared" si="224"/>
        <v>0</v>
      </c>
      <c r="AI305" s="43">
        <f t="shared" si="225"/>
        <v>2246.8410140078117</v>
      </c>
      <c r="AJ305" s="43">
        <f t="shared" si="226"/>
        <v>4403.9853040705875</v>
      </c>
      <c r="AK305" s="43">
        <f t="shared" si="227"/>
        <v>4228.4787142181331</v>
      </c>
      <c r="AL305" s="43">
        <f t="shared" si="228"/>
        <v>4060.5774099259525</v>
      </c>
      <c r="AN305" s="43">
        <f t="shared" si="187"/>
        <v>0</v>
      </c>
      <c r="AO305" s="43">
        <f t="shared" si="188"/>
        <v>103903.12815171557</v>
      </c>
      <c r="AP305" s="43">
        <f t="shared" si="189"/>
        <v>99499.14284764498</v>
      </c>
      <c r="AQ305" s="43">
        <f t="shared" si="190"/>
        <v>95270.66413342685</v>
      </c>
      <c r="AR305" s="43">
        <f t="shared" si="191"/>
        <v>91210.086723500892</v>
      </c>
      <c r="AT305" s="43">
        <f t="shared" si="221"/>
        <v>0</v>
      </c>
      <c r="AU305" s="43">
        <f t="shared" si="221"/>
        <v>1061.4996916572338</v>
      </c>
      <c r="AV305" s="43">
        <f t="shared" si="221"/>
        <v>1141.8339883218532</v>
      </c>
      <c r="AW305" s="43">
        <f t="shared" si="221"/>
        <v>1169.1101186348858</v>
      </c>
      <c r="AX305" s="43">
        <f t="shared" si="221"/>
        <v>1208.6821579304394</v>
      </c>
      <c r="AZ305" s="47">
        <f t="shared" si="229"/>
        <v>0</v>
      </c>
      <c r="BA305" s="47">
        <f t="shared" si="230"/>
        <v>6737.1439346716588</v>
      </c>
      <c r="BB305" s="47">
        <f t="shared" si="231"/>
        <v>9326.7867206029514</v>
      </c>
      <c r="BC305" s="47">
        <f t="shared" si="232"/>
        <v>9017.8740699232385</v>
      </c>
      <c r="BD305" s="47">
        <f t="shared" si="233"/>
        <v>8735.2428633494255</v>
      </c>
    </row>
    <row r="306" spans="1:56" ht="13">
      <c r="A306" s="227"/>
      <c r="B306" s="37">
        <f>'12. Investeringen (bijschatten)'!B109</f>
        <v>90</v>
      </c>
      <c r="C306" s="48"/>
      <c r="E306" s="48"/>
      <c r="F306" s="167">
        <f>'12. Investeringen (bijschatten)'!C109</f>
        <v>22782.771765883743</v>
      </c>
      <c r="H306" s="37">
        <f>'12. Investeringen (bijschatten)'!D109</f>
        <v>2023</v>
      </c>
      <c r="I306" s="37" t="str">
        <f>'12. Investeringen (bijschatten)'!E109</f>
        <v>36 Luchtscheidingsunit</v>
      </c>
      <c r="J306" s="167">
        <f>_xlfn.XLOOKUP(I306,'3. Input (des)investeringen '!$B$11:$B$89,'3. Input (des)investeringen '!$D$11:$D$89)</f>
        <v>30</v>
      </c>
      <c r="M306" s="43">
        <f t="shared" si="183"/>
        <v>0</v>
      </c>
      <c r="N306" s="43">
        <f t="shared" si="184"/>
        <v>0</v>
      </c>
      <c r="P306" s="136">
        <f t="shared" si="185"/>
        <v>0</v>
      </c>
      <c r="Q306" s="136">
        <f t="shared" si="186"/>
        <v>0</v>
      </c>
      <c r="S306" s="43">
        <f t="shared" si="222"/>
        <v>22782.771765883743</v>
      </c>
      <c r="T306" s="38">
        <f t="shared" si="223"/>
        <v>30</v>
      </c>
      <c r="V306" s="43">
        <f t="shared" si="219"/>
        <v>0</v>
      </c>
      <c r="W306" s="43">
        <f t="shared" si="219"/>
        <v>444.26404943473301</v>
      </c>
      <c r="X306" s="43">
        <f t="shared" si="219"/>
        <v>869.27665672729427</v>
      </c>
      <c r="Y306" s="43">
        <f t="shared" si="219"/>
        <v>831.6080016024448</v>
      </c>
      <c r="Z306" s="43">
        <f t="shared" si="219"/>
        <v>795.5716548663388</v>
      </c>
      <c r="AB306" s="43">
        <f t="shared" si="220"/>
        <v>0</v>
      </c>
      <c r="AC306" s="43">
        <f t="shared" si="220"/>
        <v>37.97128627647291</v>
      </c>
      <c r="AD306" s="43">
        <f t="shared" si="220"/>
        <v>75.942572552945819</v>
      </c>
      <c r="AE306" s="43">
        <f t="shared" si="220"/>
        <v>75.942572552945819</v>
      </c>
      <c r="AF306" s="43">
        <f t="shared" si="220"/>
        <v>75.942572552945819</v>
      </c>
      <c r="AH306" s="43">
        <f t="shared" si="224"/>
        <v>0</v>
      </c>
      <c r="AI306" s="43">
        <f t="shared" si="225"/>
        <v>482.23533571120595</v>
      </c>
      <c r="AJ306" s="43">
        <f t="shared" si="226"/>
        <v>945.21922928024014</v>
      </c>
      <c r="AK306" s="43">
        <f t="shared" si="227"/>
        <v>907.55057415539068</v>
      </c>
      <c r="AL306" s="43">
        <f t="shared" si="228"/>
        <v>871.51422741928468</v>
      </c>
      <c r="AN306" s="43">
        <f t="shared" si="187"/>
        <v>0</v>
      </c>
      <c r="AO306" s="43">
        <f t="shared" si="188"/>
        <v>22300.536430172539</v>
      </c>
      <c r="AP306" s="43">
        <f t="shared" si="189"/>
        <v>21355.317200892299</v>
      </c>
      <c r="AQ306" s="43">
        <f t="shared" si="190"/>
        <v>20447.76662673691</v>
      </c>
      <c r="AR306" s="43">
        <f t="shared" si="191"/>
        <v>19576.252399317626</v>
      </c>
      <c r="AT306" s="43">
        <f t="shared" si="221"/>
        <v>0</v>
      </c>
      <c r="AU306" s="43">
        <f t="shared" si="221"/>
        <v>227.82771765883743</v>
      </c>
      <c r="AV306" s="43">
        <f t="shared" si="221"/>
        <v>245.06971933125828</v>
      </c>
      <c r="AW306" s="43">
        <f t="shared" si="221"/>
        <v>250.92394478664337</v>
      </c>
      <c r="AX306" s="43">
        <f t="shared" si="221"/>
        <v>259.41721846978169</v>
      </c>
      <c r="AZ306" s="47">
        <f t="shared" si="229"/>
        <v>0</v>
      </c>
      <c r="BA306" s="47">
        <f t="shared" si="230"/>
        <v>1445.9807555657371</v>
      </c>
      <c r="BB306" s="47">
        <f t="shared" si="231"/>
        <v>2001.7910022454059</v>
      </c>
      <c r="BC306" s="47">
        <f t="shared" si="232"/>
        <v>1935.4896507580365</v>
      </c>
      <c r="BD306" s="47">
        <f t="shared" si="233"/>
        <v>1874.8290370631362</v>
      </c>
    </row>
    <row r="307" spans="1:56" ht="13">
      <c r="A307" s="227"/>
      <c r="B307" s="37">
        <f>'12. Investeringen (bijschatten)'!B110</f>
        <v>91</v>
      </c>
      <c r="C307" s="48"/>
      <c r="E307" s="48"/>
      <c r="F307" s="167">
        <f>'12. Investeringen (bijschatten)'!C110</f>
        <v>-7843704.5403578533</v>
      </c>
      <c r="H307" s="37">
        <f>'12. Investeringen (bijschatten)'!D110</f>
        <v>2023</v>
      </c>
      <c r="I307" s="37" t="str">
        <f>'12. Investeringen (bijschatten)'!E110</f>
        <v>42 Vulgas</v>
      </c>
      <c r="J307" s="167">
        <f>_xlfn.XLOOKUP(I307,'3. Input (des)investeringen '!$B$11:$B$89,'3. Input (des)investeringen '!$D$11:$D$89)</f>
        <v>0</v>
      </c>
      <c r="M307" s="43">
        <f t="shared" si="183"/>
        <v>0</v>
      </c>
      <c r="N307" s="43">
        <f t="shared" si="184"/>
        <v>0</v>
      </c>
      <c r="P307" s="136">
        <f t="shared" si="185"/>
        <v>0</v>
      </c>
      <c r="Q307" s="136">
        <f t="shared" si="186"/>
        <v>0</v>
      </c>
      <c r="S307" s="43">
        <f t="shared" si="222"/>
        <v>-7843704.5403578533</v>
      </c>
      <c r="T307" s="38">
        <f t="shared" si="223"/>
        <v>0</v>
      </c>
      <c r="V307" s="43">
        <f t="shared" ref="V307:Z316" si="234">IF($J307=0, 0, IF(OR($H307&gt;V$59,$H307+$J307&lt;V$59),0,
IF(OR($H307=2020,$H307=2021),VDB(ABS($S307)*(1-$F$28),0,$T307,V$59-2022,MIN($T307,V$59-2021),$F$22),
VDB(ABS($S307)*(1-$F$28),0,$T307,MAX(0,V$59-$H307-0.5),MIN($T307,V$59-$H307+0.5),$F$22,FALSE))))*IF($F307&lt;0,-1,1)</f>
        <v>0</v>
      </c>
      <c r="W307" s="43">
        <f t="shared" si="234"/>
        <v>0</v>
      </c>
      <c r="X307" s="43">
        <f t="shared" si="234"/>
        <v>0</v>
      </c>
      <c r="Y307" s="43">
        <f t="shared" si="234"/>
        <v>0</v>
      </c>
      <c r="Z307" s="43">
        <f t="shared" si="234"/>
        <v>0</v>
      </c>
      <c r="AB307" s="43">
        <f t="shared" ref="AB307:AF316" si="235">IF($J307 = 0, 0, IF(OR($H307&gt;AB$59,$H307+$J307&lt;AB$59),0,
IF(OR($H307=2020,$H307=2021),VDB(ABS($S307)*$F$28,0,$T307,AB$59-2022,MIN($T307,AB$59-2021),1),
VDB(ABS($S307)*$F$28,0,$T307,MAX(0,AB$59-$H307-0.5),MIN($T307,AB$59-$H307+0.5),1))))*IF($F307&lt;0,-1,1)</f>
        <v>0</v>
      </c>
      <c r="AC307" s="43">
        <f t="shared" si="235"/>
        <v>0</v>
      </c>
      <c r="AD307" s="43">
        <f t="shared" si="235"/>
        <v>0</v>
      </c>
      <c r="AE307" s="43">
        <f t="shared" si="235"/>
        <v>0</v>
      </c>
      <c r="AF307" s="43">
        <f t="shared" si="235"/>
        <v>0</v>
      </c>
      <c r="AH307" s="43">
        <f t="shared" si="224"/>
        <v>0</v>
      </c>
      <c r="AI307" s="43">
        <f t="shared" si="225"/>
        <v>0</v>
      </c>
      <c r="AJ307" s="43">
        <f t="shared" si="226"/>
        <v>0</v>
      </c>
      <c r="AK307" s="43">
        <f t="shared" si="227"/>
        <v>0</v>
      </c>
      <c r="AL307" s="43">
        <f t="shared" si="228"/>
        <v>0</v>
      </c>
      <c r="AN307" s="43">
        <f t="shared" si="187"/>
        <v>0</v>
      </c>
      <c r="AO307" s="43">
        <f t="shared" si="188"/>
        <v>-7843704.5403578533</v>
      </c>
      <c r="AP307" s="43">
        <f t="shared" si="189"/>
        <v>-7843704.5403578533</v>
      </c>
      <c r="AQ307" s="43">
        <f t="shared" si="190"/>
        <v>-7843704.5403578533</v>
      </c>
      <c r="AR307" s="43">
        <f t="shared" si="191"/>
        <v>-7843704.5403578533</v>
      </c>
      <c r="AT307" s="43">
        <f t="shared" ref="AT307:AX316" si="236">IF($H307&lt;=AT$215,$F307*INDEX($H$40:$N$46,$H307-2019,AT$215-2019)*INDEX($H$49:$N$55,$H307-2019,AT$215-2019)*$F$19,0)</f>
        <v>0</v>
      </c>
      <c r="AU307" s="43">
        <f t="shared" si="236"/>
        <v>-78437.045403578537</v>
      </c>
      <c r="AV307" s="43">
        <f t="shared" si="236"/>
        <v>-84373.160999721367</v>
      </c>
      <c r="AW307" s="43">
        <f t="shared" si="236"/>
        <v>-86388.667069682706</v>
      </c>
      <c r="AX307" s="43">
        <f t="shared" si="236"/>
        <v>-89312.750672657319</v>
      </c>
      <c r="AZ307" s="47">
        <f t="shared" si="229"/>
        <v>0</v>
      </c>
      <c r="BA307" s="47">
        <f t="shared" si="230"/>
        <v>-337279.29523538769</v>
      </c>
      <c r="BB307" s="47">
        <f t="shared" si="231"/>
        <v>-382433.9335333198</v>
      </c>
      <c r="BC307" s="47">
        <f t="shared" si="232"/>
        <v>-384449.43960328109</v>
      </c>
      <c r="BD307" s="47">
        <f t="shared" si="233"/>
        <v>-387373.52320625575</v>
      </c>
    </row>
    <row r="308" spans="1:56" s="227" customFormat="1" ht="13">
      <c r="B308" s="37">
        <f>'12. Investeringen (bijschatten)'!B111</f>
        <v>92</v>
      </c>
      <c r="C308" s="48"/>
      <c r="D308" s="3"/>
      <c r="E308" s="48"/>
      <c r="F308" s="167">
        <f>'12. Investeringen (bijschatten)'!C111</f>
        <v>34638760.532571472</v>
      </c>
      <c r="G308" s="3"/>
      <c r="H308" s="37">
        <f>'12. Investeringen (bijschatten)'!D111</f>
        <v>2024</v>
      </c>
      <c r="I308" s="37" t="str">
        <f>'12. Investeringen (bijschatten)'!E111</f>
        <v>01 Regionale leidingen</v>
      </c>
      <c r="J308" s="167">
        <f>_xlfn.XLOOKUP(I308,'3. Input (des)investeringen '!$B$11:$B$89,'3. Input (des)investeringen '!$D$11:$D$89)</f>
        <v>55</v>
      </c>
      <c r="M308" s="43">
        <f t="shared" si="183"/>
        <v>0</v>
      </c>
      <c r="N308" s="43">
        <f t="shared" si="184"/>
        <v>0</v>
      </c>
      <c r="O308" s="3"/>
      <c r="P308" s="136">
        <f t="shared" si="185"/>
        <v>0</v>
      </c>
      <c r="Q308" s="136">
        <f t="shared" si="186"/>
        <v>0</v>
      </c>
      <c r="R308" s="3"/>
      <c r="S308" s="43">
        <f t="shared" ref="S308:S322" si="237">IF($J308=0, IF(H308&lt;=2021, $Q308, IF(H308&gt;=2022, $F308,0)), IF(H308&lt;=2021,Q308,F308))</f>
        <v>34638760.532571472</v>
      </c>
      <c r="T308" s="38">
        <f t="shared" ref="T308:T322" si="238">IF($J308=0, 0, IF(H308&lt;2022,J308-2021+H308-0.5,J308))</f>
        <v>55</v>
      </c>
      <c r="U308" s="3"/>
      <c r="V308" s="43">
        <f t="shared" si="234"/>
        <v>0</v>
      </c>
      <c r="W308" s="43">
        <f t="shared" si="234"/>
        <v>0</v>
      </c>
      <c r="X308" s="43">
        <f t="shared" si="234"/>
        <v>368430.45293735113</v>
      </c>
      <c r="Y308" s="43">
        <f t="shared" si="234"/>
        <v>728152.54971436493</v>
      </c>
      <c r="Z308" s="43">
        <f t="shared" si="234"/>
        <v>710941.6712665708</v>
      </c>
      <c r="AA308" s="3"/>
      <c r="AB308" s="43">
        <f t="shared" si="235"/>
        <v>0</v>
      </c>
      <c r="AC308" s="43">
        <f t="shared" si="235"/>
        <v>0</v>
      </c>
      <c r="AD308" s="43">
        <f t="shared" si="235"/>
        <v>31489.782302337702</v>
      </c>
      <c r="AE308" s="43">
        <f t="shared" si="235"/>
        <v>62979.564604675405</v>
      </c>
      <c r="AF308" s="43">
        <f t="shared" si="235"/>
        <v>62979.564604675405</v>
      </c>
      <c r="AG308" s="3"/>
      <c r="AH308" s="43">
        <f t="shared" ref="AH308:AH322" si="239">V308+AB308</f>
        <v>0</v>
      </c>
      <c r="AI308" s="43">
        <f t="shared" ref="AI308:AI322" si="240">W308+AC308</f>
        <v>0</v>
      </c>
      <c r="AJ308" s="43">
        <f t="shared" ref="AJ308:AJ322" si="241">X308+AD308</f>
        <v>399920.23523968883</v>
      </c>
      <c r="AK308" s="43">
        <f t="shared" ref="AK308:AK322" si="242">Y308+AE308</f>
        <v>791132.11431904032</v>
      </c>
      <c r="AL308" s="43">
        <f t="shared" ref="AL308:AL322" si="243">Z308+AF308</f>
        <v>773921.2358712462</v>
      </c>
      <c r="AM308" s="3"/>
      <c r="AN308" s="43">
        <f t="shared" si="187"/>
        <v>0</v>
      </c>
      <c r="AO308" s="43">
        <f t="shared" si="188"/>
        <v>0</v>
      </c>
      <c r="AP308" s="43">
        <f t="shared" si="189"/>
        <v>34238840.29733178</v>
      </c>
      <c r="AQ308" s="43">
        <f t="shared" si="190"/>
        <v>33447708.183012739</v>
      </c>
      <c r="AR308" s="43">
        <f t="shared" si="191"/>
        <v>32673786.947141491</v>
      </c>
      <c r="AS308" s="3"/>
      <c r="AT308" s="43">
        <f t="shared" si="236"/>
        <v>0</v>
      </c>
      <c r="AU308" s="43">
        <f t="shared" si="236"/>
        <v>0</v>
      </c>
      <c r="AV308" s="43">
        <f t="shared" si="236"/>
        <v>346387.60532571474</v>
      </c>
      <c r="AW308" s="43">
        <f t="shared" si="236"/>
        <v>354662.1124417354</v>
      </c>
      <c r="AX308" s="43">
        <f t="shared" si="236"/>
        <v>366666.71562366321</v>
      </c>
      <c r="AY308" s="3"/>
      <c r="AZ308" s="47">
        <f t="shared" ref="AZ308:AZ322" si="244">AH308+AN308*J$16+AT308</f>
        <v>0</v>
      </c>
      <c r="BA308" s="47">
        <f t="shared" ref="BA308:BA322" si="245">AI308+AO308*K$16+AU308</f>
        <v>0</v>
      </c>
      <c r="BB308" s="47">
        <f t="shared" ref="BB308:BB322" si="246">AJ308+AP308*L$16+AV308</f>
        <v>2047383.7718640112</v>
      </c>
      <c r="BC308" s="47">
        <f t="shared" ref="BC308:BC322" si="247">AK308+AQ308*M$16+AW308</f>
        <v>2416807.1377152596</v>
      </c>
      <c r="BD308" s="47">
        <f t="shared" ref="BD308:BD322" si="248">AL308+AR308*N$16+AX308</f>
        <v>2382191.8554862859</v>
      </c>
    </row>
    <row r="309" spans="1:56" s="227" customFormat="1" ht="13">
      <c r="B309" s="37">
        <f>'12. Investeringen (bijschatten)'!B112</f>
        <v>93</v>
      </c>
      <c r="C309" s="48"/>
      <c r="D309" s="3"/>
      <c r="E309" s="48"/>
      <c r="F309" s="167">
        <f>'12. Investeringen (bijschatten)'!C112</f>
        <v>7519513.4610189181</v>
      </c>
      <c r="G309" s="3"/>
      <c r="H309" s="37">
        <f>'12. Investeringen (bijschatten)'!D112</f>
        <v>2024</v>
      </c>
      <c r="I309" s="37" t="str">
        <f>'12. Investeringen (bijschatten)'!E112</f>
        <v>02 Gasontvangststations</v>
      </c>
      <c r="J309" s="167">
        <f>_xlfn.XLOOKUP(I309,'3. Input (des)investeringen '!$B$11:$B$89,'3. Input (des)investeringen '!$D$11:$D$89)</f>
        <v>30</v>
      </c>
      <c r="M309" s="43">
        <f t="shared" si="183"/>
        <v>0</v>
      </c>
      <c r="N309" s="43">
        <f t="shared" si="184"/>
        <v>0</v>
      </c>
      <c r="O309" s="3"/>
      <c r="P309" s="136">
        <f t="shared" si="185"/>
        <v>0</v>
      </c>
      <c r="Q309" s="136">
        <f t="shared" si="186"/>
        <v>0</v>
      </c>
      <c r="R309" s="3"/>
      <c r="S309" s="43">
        <f t="shared" si="237"/>
        <v>7519513.4610189181</v>
      </c>
      <c r="T309" s="38">
        <f t="shared" si="238"/>
        <v>30</v>
      </c>
      <c r="U309" s="3"/>
      <c r="V309" s="43">
        <f t="shared" si="234"/>
        <v>0</v>
      </c>
      <c r="W309" s="43">
        <f t="shared" si="234"/>
        <v>0</v>
      </c>
      <c r="X309" s="43">
        <f t="shared" si="234"/>
        <v>146630.51248986891</v>
      </c>
      <c r="Y309" s="43">
        <f t="shared" si="234"/>
        <v>286907.03610517684</v>
      </c>
      <c r="Z309" s="43">
        <f t="shared" si="234"/>
        <v>274474.39787395252</v>
      </c>
      <c r="AA309" s="3"/>
      <c r="AB309" s="43">
        <f t="shared" si="235"/>
        <v>0</v>
      </c>
      <c r="AC309" s="43">
        <f t="shared" si="235"/>
        <v>0</v>
      </c>
      <c r="AD309" s="43">
        <f t="shared" si="235"/>
        <v>12532.522435031531</v>
      </c>
      <c r="AE309" s="43">
        <f t="shared" si="235"/>
        <v>25065.044870063062</v>
      </c>
      <c r="AF309" s="43">
        <f t="shared" si="235"/>
        <v>25065.044870063062</v>
      </c>
      <c r="AG309" s="3"/>
      <c r="AH309" s="43">
        <f t="shared" si="239"/>
        <v>0</v>
      </c>
      <c r="AI309" s="43">
        <f t="shared" si="240"/>
        <v>0</v>
      </c>
      <c r="AJ309" s="43">
        <f t="shared" si="241"/>
        <v>159163.03492490045</v>
      </c>
      <c r="AK309" s="43">
        <f t="shared" si="242"/>
        <v>311972.08097523992</v>
      </c>
      <c r="AL309" s="43">
        <f t="shared" si="243"/>
        <v>299539.4427440156</v>
      </c>
      <c r="AM309" s="3"/>
      <c r="AN309" s="43">
        <f t="shared" si="187"/>
        <v>0</v>
      </c>
      <c r="AO309" s="43">
        <f t="shared" si="188"/>
        <v>0</v>
      </c>
      <c r="AP309" s="43">
        <f t="shared" si="189"/>
        <v>7360350.4260940179</v>
      </c>
      <c r="AQ309" s="43">
        <f t="shared" si="190"/>
        <v>7048378.3451187778</v>
      </c>
      <c r="AR309" s="43">
        <f t="shared" si="191"/>
        <v>6748838.9023747621</v>
      </c>
      <c r="AS309" s="3"/>
      <c r="AT309" s="43">
        <f t="shared" si="236"/>
        <v>0</v>
      </c>
      <c r="AU309" s="43">
        <f t="shared" si="236"/>
        <v>0</v>
      </c>
      <c r="AV309" s="43">
        <f t="shared" si="236"/>
        <v>75195.134610189183</v>
      </c>
      <c r="AW309" s="43">
        <f t="shared" si="236"/>
        <v>76991.395985757379</v>
      </c>
      <c r="AX309" s="43">
        <f t="shared" si="236"/>
        <v>79597.400757083306</v>
      </c>
      <c r="AY309" s="3"/>
      <c r="AZ309" s="47">
        <f t="shared" si="244"/>
        <v>0</v>
      </c>
      <c r="BA309" s="47">
        <f t="shared" si="245"/>
        <v>0</v>
      </c>
      <c r="BB309" s="47">
        <f t="shared" si="246"/>
        <v>514051.48572666233</v>
      </c>
      <c r="BC309" s="47">
        <f t="shared" si="247"/>
        <v>656801.85407551087</v>
      </c>
      <c r="BD309" s="47">
        <f t="shared" si="248"/>
        <v>635592.72179133992</v>
      </c>
    </row>
    <row r="310" spans="1:56" s="227" customFormat="1" ht="13">
      <c r="B310" s="37">
        <f>'12. Investeringen (bijschatten)'!B113</f>
        <v>94</v>
      </c>
      <c r="C310" s="48"/>
      <c r="D310" s="3"/>
      <c r="E310" s="48"/>
      <c r="F310" s="167">
        <f>'12. Investeringen (bijschatten)'!C113</f>
        <v>1572406.7396321148</v>
      </c>
      <c r="G310" s="3"/>
      <c r="H310" s="37">
        <f>'12. Investeringen (bijschatten)'!D113</f>
        <v>2024</v>
      </c>
      <c r="I310" s="37" t="str">
        <f>'12. Investeringen (bijschatten)'!E113</f>
        <v>05 Wegen en terreinvoorzieningen (TT-BT-AT)</v>
      </c>
      <c r="J310" s="167">
        <f>_xlfn.XLOOKUP(I310,'3. Input (des)investeringen '!$B$11:$B$89,'3. Input (des)investeringen '!$D$11:$D$89)</f>
        <v>10</v>
      </c>
      <c r="M310" s="43">
        <f t="shared" si="183"/>
        <v>0</v>
      </c>
      <c r="N310" s="43">
        <f t="shared" si="184"/>
        <v>0</v>
      </c>
      <c r="O310" s="3"/>
      <c r="P310" s="136">
        <f t="shared" si="185"/>
        <v>0</v>
      </c>
      <c r="Q310" s="136">
        <f t="shared" si="186"/>
        <v>0</v>
      </c>
      <c r="R310" s="3"/>
      <c r="S310" s="43">
        <f t="shared" si="237"/>
        <v>1572406.7396321148</v>
      </c>
      <c r="T310" s="38">
        <f t="shared" si="238"/>
        <v>10</v>
      </c>
      <c r="U310" s="3"/>
      <c r="V310" s="43">
        <f t="shared" si="234"/>
        <v>0</v>
      </c>
      <c r="W310" s="43">
        <f t="shared" si="234"/>
        <v>0</v>
      </c>
      <c r="X310" s="43">
        <f t="shared" si="234"/>
        <v>91985.794268478712</v>
      </c>
      <c r="Y310" s="43">
        <f t="shared" si="234"/>
        <v>172013.4352820552</v>
      </c>
      <c r="Z310" s="43">
        <f t="shared" si="234"/>
        <v>149651.68869538803</v>
      </c>
      <c r="AA310" s="3"/>
      <c r="AB310" s="43">
        <f t="shared" si="235"/>
        <v>0</v>
      </c>
      <c r="AC310" s="43">
        <f t="shared" si="235"/>
        <v>0</v>
      </c>
      <c r="AD310" s="43">
        <f t="shared" si="235"/>
        <v>7862.0336981605742</v>
      </c>
      <c r="AE310" s="43">
        <f t="shared" si="235"/>
        <v>15724.067396321147</v>
      </c>
      <c r="AF310" s="43">
        <f t="shared" si="235"/>
        <v>15724.067396321147</v>
      </c>
      <c r="AG310" s="3"/>
      <c r="AH310" s="43">
        <f t="shared" si="239"/>
        <v>0</v>
      </c>
      <c r="AI310" s="43">
        <f t="shared" si="240"/>
        <v>0</v>
      </c>
      <c r="AJ310" s="43">
        <f t="shared" si="241"/>
        <v>99847.827966639292</v>
      </c>
      <c r="AK310" s="43">
        <f t="shared" si="242"/>
        <v>187737.50267837636</v>
      </c>
      <c r="AL310" s="43">
        <f t="shared" si="243"/>
        <v>165375.75609170919</v>
      </c>
      <c r="AM310" s="3"/>
      <c r="AN310" s="43">
        <f t="shared" si="187"/>
        <v>0</v>
      </c>
      <c r="AO310" s="43">
        <f t="shared" si="188"/>
        <v>0</v>
      </c>
      <c r="AP310" s="43">
        <f t="shared" si="189"/>
        <v>1472558.9116654755</v>
      </c>
      <c r="AQ310" s="43">
        <f t="shared" si="190"/>
        <v>1284821.4089870991</v>
      </c>
      <c r="AR310" s="43">
        <f t="shared" si="191"/>
        <v>1119445.6528953898</v>
      </c>
      <c r="AS310" s="3"/>
      <c r="AT310" s="43">
        <f t="shared" si="236"/>
        <v>0</v>
      </c>
      <c r="AU310" s="43">
        <f t="shared" si="236"/>
        <v>0</v>
      </c>
      <c r="AV310" s="43">
        <f t="shared" si="236"/>
        <v>15724.067396321148</v>
      </c>
      <c r="AW310" s="43">
        <f t="shared" si="236"/>
        <v>16099.683918284469</v>
      </c>
      <c r="AX310" s="43">
        <f t="shared" si="236"/>
        <v>16644.62601955056</v>
      </c>
      <c r="AY310" s="3"/>
      <c r="AZ310" s="47">
        <f t="shared" si="244"/>
        <v>0</v>
      </c>
      <c r="BA310" s="47">
        <f t="shared" si="245"/>
        <v>0</v>
      </c>
      <c r="BB310" s="47">
        <f t="shared" si="246"/>
        <v>171529.13400624853</v>
      </c>
      <c r="BC310" s="47">
        <f t="shared" si="247"/>
        <v>252660.40013817057</v>
      </c>
      <c r="BD310" s="47">
        <f t="shared" si="248"/>
        <v>224559.31692128454</v>
      </c>
    </row>
    <row r="311" spans="1:56" s="227" customFormat="1" ht="13">
      <c r="B311" s="37">
        <f>'12. Investeringen (bijschatten)'!B114</f>
        <v>95</v>
      </c>
      <c r="C311" s="48"/>
      <c r="D311" s="3"/>
      <c r="E311" s="48"/>
      <c r="F311" s="167">
        <f>'12. Investeringen (bijschatten)'!C114</f>
        <v>4287092.0360101471</v>
      </c>
      <c r="G311" s="3"/>
      <c r="H311" s="37">
        <f>'12. Investeringen (bijschatten)'!D114</f>
        <v>2024</v>
      </c>
      <c r="I311" s="37" t="str">
        <f>'12. Investeringen (bijschatten)'!E114</f>
        <v>06 Utiliteitsgebouwen (TT-BT-AT)</v>
      </c>
      <c r="J311" s="167">
        <f>_xlfn.XLOOKUP(I311,'3. Input (des)investeringen '!$B$11:$B$89,'3. Input (des)investeringen '!$D$11:$D$89)</f>
        <v>30</v>
      </c>
      <c r="M311" s="43">
        <f t="shared" si="183"/>
        <v>0</v>
      </c>
      <c r="N311" s="43">
        <f t="shared" si="184"/>
        <v>0</v>
      </c>
      <c r="O311" s="3"/>
      <c r="P311" s="136">
        <f t="shared" si="185"/>
        <v>0</v>
      </c>
      <c r="Q311" s="136">
        <f t="shared" si="186"/>
        <v>0</v>
      </c>
      <c r="R311" s="3"/>
      <c r="S311" s="43">
        <f t="shared" si="237"/>
        <v>4287092.0360101471</v>
      </c>
      <c r="T311" s="38">
        <f t="shared" si="238"/>
        <v>30</v>
      </c>
      <c r="U311" s="3"/>
      <c r="V311" s="43">
        <f t="shared" si="234"/>
        <v>0</v>
      </c>
      <c r="W311" s="43">
        <f t="shared" si="234"/>
        <v>0</v>
      </c>
      <c r="X311" s="43">
        <f t="shared" si="234"/>
        <v>83598.294702197862</v>
      </c>
      <c r="Y311" s="43">
        <f t="shared" si="234"/>
        <v>163573.99663396715</v>
      </c>
      <c r="Z311" s="43">
        <f t="shared" si="234"/>
        <v>156485.79011316193</v>
      </c>
      <c r="AA311" s="3"/>
      <c r="AB311" s="43">
        <f t="shared" si="235"/>
        <v>0</v>
      </c>
      <c r="AC311" s="43">
        <f t="shared" si="235"/>
        <v>0</v>
      </c>
      <c r="AD311" s="43">
        <f t="shared" si="235"/>
        <v>7145.153393350246</v>
      </c>
      <c r="AE311" s="43">
        <f t="shared" si="235"/>
        <v>14290.306786700492</v>
      </c>
      <c r="AF311" s="43">
        <f t="shared" si="235"/>
        <v>14290.306786700492</v>
      </c>
      <c r="AG311" s="3"/>
      <c r="AH311" s="43">
        <f t="shared" si="239"/>
        <v>0</v>
      </c>
      <c r="AI311" s="43">
        <f t="shared" si="240"/>
        <v>0</v>
      </c>
      <c r="AJ311" s="43">
        <f t="shared" si="241"/>
        <v>90743.448095548112</v>
      </c>
      <c r="AK311" s="43">
        <f t="shared" si="242"/>
        <v>177864.30342066765</v>
      </c>
      <c r="AL311" s="43">
        <f t="shared" si="243"/>
        <v>170776.09689986243</v>
      </c>
      <c r="AM311" s="3"/>
      <c r="AN311" s="43">
        <f t="shared" si="187"/>
        <v>0</v>
      </c>
      <c r="AO311" s="43">
        <f t="shared" si="188"/>
        <v>0</v>
      </c>
      <c r="AP311" s="43">
        <f t="shared" si="189"/>
        <v>4196348.5879145991</v>
      </c>
      <c r="AQ311" s="43">
        <f t="shared" si="190"/>
        <v>4018484.2844939316</v>
      </c>
      <c r="AR311" s="43">
        <f t="shared" si="191"/>
        <v>3847708.1875940692</v>
      </c>
      <c r="AS311" s="3"/>
      <c r="AT311" s="43">
        <f t="shared" si="236"/>
        <v>0</v>
      </c>
      <c r="AU311" s="43">
        <f t="shared" si="236"/>
        <v>0</v>
      </c>
      <c r="AV311" s="43">
        <f t="shared" si="236"/>
        <v>42870.920360101474</v>
      </c>
      <c r="AW311" s="43">
        <f t="shared" si="236"/>
        <v>43895.020905663579</v>
      </c>
      <c r="AX311" s="43">
        <f t="shared" si="236"/>
        <v>45380.779573278473</v>
      </c>
      <c r="AY311" s="3"/>
      <c r="AZ311" s="47">
        <f t="shared" si="244"/>
        <v>0</v>
      </c>
      <c r="BA311" s="47">
        <f t="shared" si="245"/>
        <v>0</v>
      </c>
      <c r="BB311" s="47">
        <f t="shared" si="246"/>
        <v>293075.61479640438</v>
      </c>
      <c r="BC311" s="47">
        <f t="shared" si="247"/>
        <v>374461.72713710065</v>
      </c>
      <c r="BD311" s="47">
        <f t="shared" si="248"/>
        <v>362369.78760171554</v>
      </c>
    </row>
    <row r="312" spans="1:56" s="227" customFormat="1" ht="13">
      <c r="B312" s="37">
        <f>'12. Investeringen (bijschatten)'!B115</f>
        <v>96</v>
      </c>
      <c r="C312" s="48"/>
      <c r="D312" s="3"/>
      <c r="E312" s="48"/>
      <c r="F312" s="167">
        <f>'12. Investeringen (bijschatten)'!C115</f>
        <v>292.67943422678155</v>
      </c>
      <c r="G312" s="3"/>
      <c r="H312" s="37">
        <f>'12. Investeringen (bijschatten)'!D115</f>
        <v>2024</v>
      </c>
      <c r="I312" s="37" t="str">
        <f>'12. Investeringen (bijschatten)'!E115</f>
        <v>08 Inrichting gebouwen (TT-BT-AT)</v>
      </c>
      <c r="J312" s="167">
        <f>_xlfn.XLOOKUP(I312,'3. Input (des)investeringen '!$B$11:$B$89,'3. Input (des)investeringen '!$D$11:$D$89)</f>
        <v>10</v>
      </c>
      <c r="M312" s="43">
        <f t="shared" si="183"/>
        <v>0</v>
      </c>
      <c r="N312" s="43">
        <f t="shared" si="184"/>
        <v>0</v>
      </c>
      <c r="O312" s="3"/>
      <c r="P312" s="136">
        <f t="shared" si="185"/>
        <v>0</v>
      </c>
      <c r="Q312" s="136">
        <f t="shared" si="186"/>
        <v>0</v>
      </c>
      <c r="R312" s="3"/>
      <c r="S312" s="43">
        <f t="shared" si="237"/>
        <v>292.67943422678155</v>
      </c>
      <c r="T312" s="38">
        <f t="shared" si="238"/>
        <v>10</v>
      </c>
      <c r="U312" s="3"/>
      <c r="V312" s="43">
        <f t="shared" si="234"/>
        <v>0</v>
      </c>
      <c r="W312" s="43">
        <f t="shared" si="234"/>
        <v>0</v>
      </c>
      <c r="X312" s="43">
        <f t="shared" si="234"/>
        <v>17.121746902266722</v>
      </c>
      <c r="Y312" s="43">
        <f t="shared" si="234"/>
        <v>32.017666707238767</v>
      </c>
      <c r="Z312" s="43">
        <f t="shared" si="234"/>
        <v>27.855370035297728</v>
      </c>
      <c r="AA312" s="3"/>
      <c r="AB312" s="43">
        <f t="shared" si="235"/>
        <v>0</v>
      </c>
      <c r="AC312" s="43">
        <f t="shared" si="235"/>
        <v>0</v>
      </c>
      <c r="AD312" s="43">
        <f t="shared" si="235"/>
        <v>1.463397171133908</v>
      </c>
      <c r="AE312" s="43">
        <f t="shared" si="235"/>
        <v>2.9267943422678155</v>
      </c>
      <c r="AF312" s="43">
        <f t="shared" si="235"/>
        <v>2.9267943422678155</v>
      </c>
      <c r="AG312" s="3"/>
      <c r="AH312" s="43">
        <f t="shared" si="239"/>
        <v>0</v>
      </c>
      <c r="AI312" s="43">
        <f t="shared" si="240"/>
        <v>0</v>
      </c>
      <c r="AJ312" s="43">
        <f t="shared" si="241"/>
        <v>18.585144073400631</v>
      </c>
      <c r="AK312" s="43">
        <f t="shared" si="242"/>
        <v>34.944461049506586</v>
      </c>
      <c r="AL312" s="43">
        <f t="shared" si="243"/>
        <v>30.782164377565543</v>
      </c>
      <c r="AM312" s="3"/>
      <c r="AN312" s="43">
        <f t="shared" si="187"/>
        <v>0</v>
      </c>
      <c r="AO312" s="43">
        <f t="shared" si="188"/>
        <v>0</v>
      </c>
      <c r="AP312" s="43">
        <f t="shared" si="189"/>
        <v>274.09429015338094</v>
      </c>
      <c r="AQ312" s="43">
        <f t="shared" si="190"/>
        <v>239.14982910387437</v>
      </c>
      <c r="AR312" s="43">
        <f t="shared" si="191"/>
        <v>208.36766472630882</v>
      </c>
      <c r="AS312" s="3"/>
      <c r="AT312" s="43">
        <f t="shared" si="236"/>
        <v>0</v>
      </c>
      <c r="AU312" s="43">
        <f t="shared" si="236"/>
        <v>0</v>
      </c>
      <c r="AV312" s="43">
        <f t="shared" si="236"/>
        <v>2.9267943422678155</v>
      </c>
      <c r="AW312" s="43">
        <f t="shared" si="236"/>
        <v>2.996709605515909</v>
      </c>
      <c r="AX312" s="43">
        <f t="shared" si="236"/>
        <v>3.0981422322434118</v>
      </c>
      <c r="AY312" s="3"/>
      <c r="AZ312" s="47">
        <f t="shared" si="244"/>
        <v>0</v>
      </c>
      <c r="BA312" s="47">
        <f t="shared" si="245"/>
        <v>0</v>
      </c>
      <c r="BB312" s="47">
        <f t="shared" si="246"/>
        <v>31.927521441496921</v>
      </c>
      <c r="BC312" s="47">
        <f t="shared" si="247"/>
        <v>47.028864160969725</v>
      </c>
      <c r="BD312" s="47">
        <f t="shared" si="248"/>
        <v>41.798277869408686</v>
      </c>
    </row>
    <row r="313" spans="1:56" s="227" customFormat="1" ht="13">
      <c r="B313" s="37">
        <f>'12. Investeringen (bijschatten)'!B116</f>
        <v>97</v>
      </c>
      <c r="C313" s="48"/>
      <c r="D313" s="3"/>
      <c r="E313" s="48"/>
      <c r="F313" s="167">
        <f>'12. Investeringen (bijschatten)'!C116</f>
        <v>315351.90212130325</v>
      </c>
      <c r="G313" s="3"/>
      <c r="H313" s="37">
        <f>'12. Investeringen (bijschatten)'!D116</f>
        <v>2024</v>
      </c>
      <c r="I313" s="37" t="str">
        <f>'12. Investeringen (bijschatten)'!E116</f>
        <v>15 Compressorstations (KC)</v>
      </c>
      <c r="J313" s="167">
        <f>_xlfn.XLOOKUP(I313,'3. Input (des)investeringen '!$B$11:$B$89,'3. Input (des)investeringen '!$D$11:$D$89)</f>
        <v>30</v>
      </c>
      <c r="M313" s="43">
        <f t="shared" ref="M313:M323" si="249">IF($J313 = 0, 0, IF($H313&lt;=M$215,
VDB(ABS($F313),0,$J313,MAX(0,M$59-$H313-0.5),MIN($J313,M$59-$H313+0.5),1)*IF($F313&lt;0,-1,1)*INDEX(H$40:H$46,$H313-2019,1),
0))</f>
        <v>0</v>
      </c>
      <c r="N313" s="43">
        <f t="shared" ref="N313:N323" si="250">IF($J313 = 0, 0, IF($H313&lt;=N$215,
VDB(ABS($F313),0,$J313,MAX(0,N$59-$H313-0.5),MIN($J313,N$59-$H313+0.5),1)*IF($F313&lt;0,-1,1)*INDEX(I$40:I$46,$H313-2019,1),
0))</f>
        <v>0</v>
      </c>
      <c r="O313" s="3"/>
      <c r="P313" s="136">
        <f t="shared" ref="P313:P323" si="251">IF($J313=0, IF($H313 = M$215, $F313, 0), IF(OR($H313&gt;P$59,$H313+$J313&lt;=P$59),0,
F313-M313))</f>
        <v>0</v>
      </c>
      <c r="Q313" s="136">
        <f t="shared" ref="Q313:Q323" si="252">IF($J313=0, IF($H313 &gt; N$215, 0, IF($H313=N$215, $F313, $P313*I$40)), IF(OR($H313&gt;Q$59,$H313+$J313&lt;=Q$59),0,
IF($H313=Q$59,F313-N313,P313*I$40-N313)))</f>
        <v>0</v>
      </c>
      <c r="R313" s="3"/>
      <c r="S313" s="43">
        <f t="shared" si="237"/>
        <v>315351.90212130325</v>
      </c>
      <c r="T313" s="38">
        <f t="shared" si="238"/>
        <v>30</v>
      </c>
      <c r="U313" s="3"/>
      <c r="V313" s="43">
        <f t="shared" si="234"/>
        <v>0</v>
      </c>
      <c r="W313" s="43">
        <f t="shared" si="234"/>
        <v>0</v>
      </c>
      <c r="X313" s="43">
        <f t="shared" si="234"/>
        <v>6149.362091365414</v>
      </c>
      <c r="Y313" s="43">
        <f t="shared" si="234"/>
        <v>12032.251825438329</v>
      </c>
      <c r="Z313" s="43">
        <f t="shared" si="234"/>
        <v>11510.854246335999</v>
      </c>
      <c r="AA313" s="3"/>
      <c r="AB313" s="43">
        <f t="shared" si="235"/>
        <v>0</v>
      </c>
      <c r="AC313" s="43">
        <f t="shared" si="235"/>
        <v>0</v>
      </c>
      <c r="AD313" s="43">
        <f t="shared" si="235"/>
        <v>525.58650353550547</v>
      </c>
      <c r="AE313" s="43">
        <f t="shared" si="235"/>
        <v>1051.1730070710109</v>
      </c>
      <c r="AF313" s="43">
        <f t="shared" si="235"/>
        <v>1051.1730070710109</v>
      </c>
      <c r="AG313" s="3"/>
      <c r="AH313" s="43">
        <f t="shared" si="239"/>
        <v>0</v>
      </c>
      <c r="AI313" s="43">
        <f t="shared" si="240"/>
        <v>0</v>
      </c>
      <c r="AJ313" s="43">
        <f t="shared" si="241"/>
        <v>6674.9485949009195</v>
      </c>
      <c r="AK313" s="43">
        <f t="shared" si="242"/>
        <v>13083.424832509339</v>
      </c>
      <c r="AL313" s="43">
        <f t="shared" si="243"/>
        <v>12562.02725340701</v>
      </c>
      <c r="AM313" s="3"/>
      <c r="AN313" s="43">
        <f t="shared" ref="AN313:AN323" si="253">IF($J313=0,IF($H313 &gt; AN$215, 0,$S313),IF(OR($H313&gt;AN$59,$H313+$J313&lt;=AN$59),0,
IF($H313=AN$59,$S313-AH313,
S313-AH313)))</f>
        <v>0</v>
      </c>
      <c r="AO313" s="43">
        <f t="shared" ref="AO313:AO323" si="254">IF($J313 = 0, IF($H313 &gt; AO$215, 0, IF($H313=AO$215, $F313, AN313)), IF(OR($H313&gt;AO$59,$H313+$J313&lt;=AO$59),0,
IF($H313=AO$59,$S313-AI313,
AN313-AI313)))</f>
        <v>0</v>
      </c>
      <c r="AP313" s="43">
        <f t="shared" ref="AP313:AP323" si="255">IF($J313 = 0, IF($H313 &gt; AP$215, 0, IF($H313=AP$215, $F313, AO313)), IF(OR($H313&gt;AP$59,$H313+$J313&lt;=AP$59),0,
IF($H313=AP$59,$S313-AJ313,
AO313-AJ313)))</f>
        <v>308676.95352640236</v>
      </c>
      <c r="AQ313" s="43">
        <f t="shared" ref="AQ313:AQ323" si="256">IF($J313 = 0, IF($H313 &gt; AQ$215, 0, IF($H313=AQ$215, $F313, AP313)), IF(OR($H313&gt;AQ$59,$H313+$J313&lt;=AQ$59),0,
IF($H313=AQ$59,$S313-AK313,
AP313-AK313)))</f>
        <v>295593.52869389299</v>
      </c>
      <c r="AR313" s="43">
        <f t="shared" ref="AR313:AR323" si="257">IF($J313 = 0, IF($H313 &gt; AR$215, 0, IF($H313=AR$215, $F313, AQ313)), IF(OR($H313&gt;AR$59,$H313+$J313&lt;=AR$59),0,
IF($H313=AR$59,$S313-AL313,
AQ313-AL313)))</f>
        <v>283031.501440486</v>
      </c>
      <c r="AS313" s="3"/>
      <c r="AT313" s="43">
        <f t="shared" si="236"/>
        <v>0</v>
      </c>
      <c r="AU313" s="43">
        <f t="shared" si="236"/>
        <v>0</v>
      </c>
      <c r="AV313" s="43">
        <f t="shared" si="236"/>
        <v>3153.5190212130328</v>
      </c>
      <c r="AW313" s="43">
        <f t="shared" si="236"/>
        <v>3228.8502835917693</v>
      </c>
      <c r="AX313" s="43">
        <f t="shared" si="236"/>
        <v>3338.1404079907838</v>
      </c>
      <c r="AY313" s="3"/>
      <c r="AZ313" s="47">
        <f t="shared" si="244"/>
        <v>0</v>
      </c>
      <c r="BA313" s="47">
        <f t="shared" si="245"/>
        <v>0</v>
      </c>
      <c r="BB313" s="47">
        <f t="shared" si="246"/>
        <v>21558.19185011724</v>
      </c>
      <c r="BC313" s="47">
        <f t="shared" si="247"/>
        <v>27544.829206469039</v>
      </c>
      <c r="BD313" s="47">
        <f t="shared" si="248"/>
        <v>26655.364716136264</v>
      </c>
    </row>
    <row r="314" spans="1:56" s="227" customFormat="1" ht="13">
      <c r="B314" s="37">
        <f>'12. Investeringen (bijschatten)'!B117</f>
        <v>98</v>
      </c>
      <c r="C314" s="48"/>
      <c r="D314" s="3"/>
      <c r="E314" s="48"/>
      <c r="F314" s="167">
        <f>'12. Investeringen (bijschatten)'!C117</f>
        <v>3902229.9831766533</v>
      </c>
      <c r="G314" s="3"/>
      <c r="H314" s="37">
        <f>'12. Investeringen (bijschatten)'!D117</f>
        <v>2024</v>
      </c>
      <c r="I314" s="37" t="str">
        <f>'12. Investeringen (bijschatten)'!E117</f>
        <v>15 Compressorstations (TT-BT-AT)</v>
      </c>
      <c r="J314" s="167">
        <f>_xlfn.XLOOKUP(I314,'3. Input (des)investeringen '!$B$11:$B$89,'3. Input (des)investeringen '!$D$11:$D$89)</f>
        <v>30</v>
      </c>
      <c r="M314" s="43">
        <f t="shared" si="249"/>
        <v>0</v>
      </c>
      <c r="N314" s="43">
        <f t="shared" si="250"/>
        <v>0</v>
      </c>
      <c r="O314" s="3"/>
      <c r="P314" s="136">
        <f t="shared" si="251"/>
        <v>0</v>
      </c>
      <c r="Q314" s="136">
        <f t="shared" si="252"/>
        <v>0</v>
      </c>
      <c r="R314" s="3"/>
      <c r="S314" s="43">
        <f t="shared" si="237"/>
        <v>3902229.9831766533</v>
      </c>
      <c r="T314" s="38">
        <f t="shared" si="238"/>
        <v>30</v>
      </c>
      <c r="U314" s="3"/>
      <c r="V314" s="43">
        <f t="shared" si="234"/>
        <v>0</v>
      </c>
      <c r="W314" s="43">
        <f t="shared" si="234"/>
        <v>0</v>
      </c>
      <c r="X314" s="43">
        <f t="shared" si="234"/>
        <v>76093.484671944738</v>
      </c>
      <c r="Y314" s="43">
        <f t="shared" si="234"/>
        <v>148889.5850081052</v>
      </c>
      <c r="Z314" s="43">
        <f t="shared" si="234"/>
        <v>142437.70299108731</v>
      </c>
      <c r="AA314" s="3"/>
      <c r="AB314" s="43">
        <f t="shared" si="235"/>
        <v>0</v>
      </c>
      <c r="AC314" s="43">
        <f t="shared" si="235"/>
        <v>0</v>
      </c>
      <c r="AD314" s="43">
        <f t="shared" si="235"/>
        <v>6503.7166386277559</v>
      </c>
      <c r="AE314" s="43">
        <f t="shared" si="235"/>
        <v>13007.433277255512</v>
      </c>
      <c r="AF314" s="43">
        <f t="shared" si="235"/>
        <v>13007.433277255512</v>
      </c>
      <c r="AG314" s="3"/>
      <c r="AH314" s="43">
        <f t="shared" si="239"/>
        <v>0</v>
      </c>
      <c r="AI314" s="43">
        <f t="shared" si="240"/>
        <v>0</v>
      </c>
      <c r="AJ314" s="43">
        <f t="shared" si="241"/>
        <v>82597.201310572491</v>
      </c>
      <c r="AK314" s="43">
        <f t="shared" si="242"/>
        <v>161897.01828536071</v>
      </c>
      <c r="AL314" s="43">
        <f t="shared" si="243"/>
        <v>155445.13626834282</v>
      </c>
      <c r="AM314" s="3"/>
      <c r="AN314" s="43">
        <f t="shared" si="253"/>
        <v>0</v>
      </c>
      <c r="AO314" s="43">
        <f t="shared" si="254"/>
        <v>0</v>
      </c>
      <c r="AP314" s="43">
        <f t="shared" si="255"/>
        <v>3819632.7818660806</v>
      </c>
      <c r="AQ314" s="43">
        <f t="shared" si="256"/>
        <v>3657735.7635807199</v>
      </c>
      <c r="AR314" s="43">
        <f t="shared" si="257"/>
        <v>3502290.6273123771</v>
      </c>
      <c r="AS314" s="3"/>
      <c r="AT314" s="43">
        <f t="shared" si="236"/>
        <v>0</v>
      </c>
      <c r="AU314" s="43">
        <f t="shared" si="236"/>
        <v>0</v>
      </c>
      <c r="AV314" s="43">
        <f t="shared" si="236"/>
        <v>39022.299831766533</v>
      </c>
      <c r="AW314" s="43">
        <f t="shared" si="236"/>
        <v>39954.464530147772</v>
      </c>
      <c r="AX314" s="43">
        <f t="shared" si="236"/>
        <v>41306.843245564218</v>
      </c>
      <c r="AY314" s="3"/>
      <c r="AZ314" s="47">
        <f t="shared" si="244"/>
        <v>0</v>
      </c>
      <c r="BA314" s="47">
        <f t="shared" si="245"/>
        <v>0</v>
      </c>
      <c r="BB314" s="47">
        <f t="shared" si="246"/>
        <v>266765.54685325007</v>
      </c>
      <c r="BC314" s="47">
        <f t="shared" si="247"/>
        <v>340845.44183157588</v>
      </c>
      <c r="BD314" s="47">
        <f t="shared" si="248"/>
        <v>329839.02335177734</v>
      </c>
    </row>
    <row r="315" spans="1:56" s="227" customFormat="1" ht="13">
      <c r="B315" s="37">
        <f>'12. Investeringen (bijschatten)'!B118</f>
        <v>99</v>
      </c>
      <c r="C315" s="48"/>
      <c r="D315" s="3"/>
      <c r="E315" s="48"/>
      <c r="F315" s="167">
        <f>'12. Investeringen (bijschatten)'!C118</f>
        <v>324403.26548893563</v>
      </c>
      <c r="G315" s="3"/>
      <c r="H315" s="37">
        <f>'12. Investeringen (bijschatten)'!D118</f>
        <v>2024</v>
      </c>
      <c r="I315" s="37" t="str">
        <f>'12. Investeringen (bijschatten)'!E118</f>
        <v>16 LNG installaties</v>
      </c>
      <c r="J315" s="167">
        <f>_xlfn.XLOOKUP(I315,'3. Input (des)investeringen '!$B$11:$B$89,'3. Input (des)investeringen '!$D$11:$D$89)</f>
        <v>30</v>
      </c>
      <c r="M315" s="43">
        <f t="shared" si="249"/>
        <v>0</v>
      </c>
      <c r="N315" s="43">
        <f t="shared" si="250"/>
        <v>0</v>
      </c>
      <c r="O315" s="3"/>
      <c r="P315" s="136">
        <f t="shared" si="251"/>
        <v>0</v>
      </c>
      <c r="Q315" s="136">
        <f t="shared" si="252"/>
        <v>0</v>
      </c>
      <c r="R315" s="3"/>
      <c r="S315" s="43">
        <f t="shared" si="237"/>
        <v>324403.26548893563</v>
      </c>
      <c r="T315" s="38">
        <f t="shared" si="238"/>
        <v>30</v>
      </c>
      <c r="U315" s="3"/>
      <c r="V315" s="43">
        <f t="shared" si="234"/>
        <v>0</v>
      </c>
      <c r="W315" s="43">
        <f t="shared" si="234"/>
        <v>0</v>
      </c>
      <c r="X315" s="43">
        <f t="shared" si="234"/>
        <v>6325.8636770342455</v>
      </c>
      <c r="Y315" s="43">
        <f t="shared" si="234"/>
        <v>12377.60659473034</v>
      </c>
      <c r="Z315" s="43">
        <f t="shared" si="234"/>
        <v>11841.243642292025</v>
      </c>
      <c r="AA315" s="3"/>
      <c r="AB315" s="43">
        <f t="shared" si="235"/>
        <v>0</v>
      </c>
      <c r="AC315" s="43">
        <f t="shared" si="235"/>
        <v>0</v>
      </c>
      <c r="AD315" s="43">
        <f t="shared" si="235"/>
        <v>540.67210914822613</v>
      </c>
      <c r="AE315" s="43">
        <f t="shared" si="235"/>
        <v>1081.3442182964523</v>
      </c>
      <c r="AF315" s="43">
        <f t="shared" si="235"/>
        <v>1081.3442182964523</v>
      </c>
      <c r="AG315" s="3"/>
      <c r="AH315" s="43">
        <f t="shared" si="239"/>
        <v>0</v>
      </c>
      <c r="AI315" s="43">
        <f t="shared" si="240"/>
        <v>0</v>
      </c>
      <c r="AJ315" s="43">
        <f t="shared" si="241"/>
        <v>6866.5357861824714</v>
      </c>
      <c r="AK315" s="43">
        <f t="shared" si="242"/>
        <v>13458.950813026791</v>
      </c>
      <c r="AL315" s="43">
        <f t="shared" si="243"/>
        <v>12922.587860588477</v>
      </c>
      <c r="AM315" s="3"/>
      <c r="AN315" s="43">
        <f t="shared" si="253"/>
        <v>0</v>
      </c>
      <c r="AO315" s="43">
        <f t="shared" si="254"/>
        <v>0</v>
      </c>
      <c r="AP315" s="43">
        <f t="shared" si="255"/>
        <v>317536.72970275319</v>
      </c>
      <c r="AQ315" s="43">
        <f t="shared" si="256"/>
        <v>304077.77888972638</v>
      </c>
      <c r="AR315" s="43">
        <f t="shared" si="257"/>
        <v>291155.19102913793</v>
      </c>
      <c r="AS315" s="3"/>
      <c r="AT315" s="43">
        <f t="shared" si="236"/>
        <v>0</v>
      </c>
      <c r="AU315" s="43">
        <f t="shared" si="236"/>
        <v>0</v>
      </c>
      <c r="AV315" s="43">
        <f t="shared" si="236"/>
        <v>3244.0326548893563</v>
      </c>
      <c r="AW315" s="43">
        <f t="shared" si="236"/>
        <v>3321.5261069493536</v>
      </c>
      <c r="AX315" s="43">
        <f t="shared" si="236"/>
        <v>3433.9531226173749</v>
      </c>
      <c r="AY315" s="3"/>
      <c r="AZ315" s="47">
        <f t="shared" si="244"/>
        <v>0</v>
      </c>
      <c r="BA315" s="47">
        <f t="shared" si="245"/>
        <v>0</v>
      </c>
      <c r="BB315" s="47">
        <f t="shared" si="246"/>
        <v>22176.964169776449</v>
      </c>
      <c r="BC315" s="47">
        <f t="shared" si="247"/>
        <v>28335.432517785746</v>
      </c>
      <c r="BD315" s="47">
        <f t="shared" si="248"/>
        <v>27420.438242313092</v>
      </c>
    </row>
    <row r="316" spans="1:56" s="227" customFormat="1" ht="13">
      <c r="B316" s="37">
        <f>'12. Investeringen (bijschatten)'!B119</f>
        <v>100</v>
      </c>
      <c r="C316" s="48"/>
      <c r="D316" s="3"/>
      <c r="E316" s="48"/>
      <c r="F316" s="167">
        <f>'12. Investeringen (bijschatten)'!C119</f>
        <v>1863550.4666900963</v>
      </c>
      <c r="G316" s="3"/>
      <c r="H316" s="37">
        <f>'12. Investeringen (bijschatten)'!D119</f>
        <v>2024</v>
      </c>
      <c r="I316" s="37" t="str">
        <f>'12. Investeringen (bijschatten)'!E119</f>
        <v>17 Mengstations</v>
      </c>
      <c r="J316" s="167">
        <f>_xlfn.XLOOKUP(I316,'3. Input (des)investeringen '!$B$11:$B$89,'3. Input (des)investeringen '!$D$11:$D$89)</f>
        <v>30</v>
      </c>
      <c r="M316" s="43">
        <f t="shared" si="249"/>
        <v>0</v>
      </c>
      <c r="N316" s="43">
        <f t="shared" si="250"/>
        <v>0</v>
      </c>
      <c r="O316" s="3"/>
      <c r="P316" s="136">
        <f t="shared" si="251"/>
        <v>0</v>
      </c>
      <c r="Q316" s="136">
        <f t="shared" si="252"/>
        <v>0</v>
      </c>
      <c r="R316" s="3"/>
      <c r="S316" s="43">
        <f t="shared" si="237"/>
        <v>1863550.4666900963</v>
      </c>
      <c r="T316" s="38">
        <f t="shared" si="238"/>
        <v>30</v>
      </c>
      <c r="U316" s="3"/>
      <c r="V316" s="43">
        <f t="shared" si="234"/>
        <v>0</v>
      </c>
      <c r="W316" s="43">
        <f t="shared" si="234"/>
        <v>0</v>
      </c>
      <c r="X316" s="43">
        <f t="shared" si="234"/>
        <v>36339.234100456881</v>
      </c>
      <c r="Y316" s="43">
        <f t="shared" si="234"/>
        <v>71103.768056560628</v>
      </c>
      <c r="Z316" s="43">
        <f t="shared" si="234"/>
        <v>68022.60477410967</v>
      </c>
      <c r="AA316" s="3"/>
      <c r="AB316" s="43">
        <f t="shared" si="235"/>
        <v>0</v>
      </c>
      <c r="AC316" s="43">
        <f t="shared" si="235"/>
        <v>0</v>
      </c>
      <c r="AD316" s="43">
        <f t="shared" si="235"/>
        <v>3105.9174444834939</v>
      </c>
      <c r="AE316" s="43">
        <f t="shared" si="235"/>
        <v>6211.8348889669878</v>
      </c>
      <c r="AF316" s="43">
        <f t="shared" si="235"/>
        <v>6211.8348889669878</v>
      </c>
      <c r="AG316" s="3"/>
      <c r="AH316" s="43">
        <f t="shared" si="239"/>
        <v>0</v>
      </c>
      <c r="AI316" s="43">
        <f t="shared" si="240"/>
        <v>0</v>
      </c>
      <c r="AJ316" s="43">
        <f t="shared" si="241"/>
        <v>39445.151544940374</v>
      </c>
      <c r="AK316" s="43">
        <f t="shared" si="242"/>
        <v>77315.602945527615</v>
      </c>
      <c r="AL316" s="43">
        <f t="shared" si="243"/>
        <v>74234.439663076657</v>
      </c>
      <c r="AM316" s="3"/>
      <c r="AN316" s="43">
        <f t="shared" si="253"/>
        <v>0</v>
      </c>
      <c r="AO316" s="43">
        <f t="shared" si="254"/>
        <v>0</v>
      </c>
      <c r="AP316" s="43">
        <f t="shared" si="255"/>
        <v>1824105.3151451559</v>
      </c>
      <c r="AQ316" s="43">
        <f t="shared" si="256"/>
        <v>1746789.7121996284</v>
      </c>
      <c r="AR316" s="43">
        <f t="shared" si="257"/>
        <v>1672555.2725365516</v>
      </c>
      <c r="AS316" s="3"/>
      <c r="AT316" s="43">
        <f t="shared" si="236"/>
        <v>0</v>
      </c>
      <c r="AU316" s="43">
        <f t="shared" si="236"/>
        <v>0</v>
      </c>
      <c r="AV316" s="43">
        <f t="shared" si="236"/>
        <v>18635.504666900964</v>
      </c>
      <c r="AW316" s="43">
        <f t="shared" si="236"/>
        <v>19080.669602383892</v>
      </c>
      <c r="AX316" s="43">
        <f t="shared" si="236"/>
        <v>19726.512107085382</v>
      </c>
      <c r="AY316" s="3"/>
      <c r="AZ316" s="47">
        <f t="shared" si="244"/>
        <v>0</v>
      </c>
      <c r="BA316" s="47">
        <f t="shared" si="245"/>
        <v>0</v>
      </c>
      <c r="BB316" s="47">
        <f t="shared" si="246"/>
        <v>127396.65818735724</v>
      </c>
      <c r="BC316" s="47">
        <f t="shared" si="247"/>
        <v>162774.28161149737</v>
      </c>
      <c r="BD316" s="47">
        <f t="shared" si="248"/>
        <v>157518.05212655099</v>
      </c>
    </row>
    <row r="317" spans="1:56" s="227" customFormat="1" ht="13">
      <c r="B317" s="37">
        <f>'12. Investeringen (bijschatten)'!B120</f>
        <v>101</v>
      </c>
      <c r="C317" s="48"/>
      <c r="D317" s="3"/>
      <c r="E317" s="48"/>
      <c r="F317" s="167">
        <f>'12. Investeringen (bijschatten)'!C120</f>
        <v>9517259.8126506843</v>
      </c>
      <c r="G317" s="3"/>
      <c r="H317" s="37">
        <f>'12. Investeringen (bijschatten)'!D120</f>
        <v>2024</v>
      </c>
      <c r="I317" s="37" t="str">
        <f>'12. Investeringen (bijschatten)'!E120</f>
        <v>21 Hoofdtransportleiding (TT-BT-AT)</v>
      </c>
      <c r="J317" s="167">
        <f>_xlfn.XLOOKUP(I317,'3. Input (des)investeringen '!$B$11:$B$89,'3. Input (des)investeringen '!$D$11:$D$89)</f>
        <v>55</v>
      </c>
      <c r="M317" s="43">
        <f t="shared" si="249"/>
        <v>0</v>
      </c>
      <c r="N317" s="43">
        <f t="shared" si="250"/>
        <v>0</v>
      </c>
      <c r="O317" s="3"/>
      <c r="P317" s="136">
        <f t="shared" si="251"/>
        <v>0</v>
      </c>
      <c r="Q317" s="136">
        <f t="shared" si="252"/>
        <v>0</v>
      </c>
      <c r="R317" s="3"/>
      <c r="S317" s="43">
        <f t="shared" si="237"/>
        <v>9517259.8126506843</v>
      </c>
      <c r="T317" s="38">
        <f t="shared" si="238"/>
        <v>55</v>
      </c>
      <c r="U317" s="3"/>
      <c r="V317" s="43">
        <f t="shared" ref="V317:Z334" si="258">IF($J317=0, 0, IF(OR($H317&gt;V$59,$H317+$J317&lt;V$59),0,
IF(OR($H317=2020,$H317=2021),VDB(ABS($S317)*(1-$F$28),0,$T317,V$59-2022,MIN($T317,V$59-2021),$F$22),
VDB(ABS($S317)*(1-$F$28),0,$T317,MAX(0,V$59-$H317-0.5),MIN($T317,V$59-$H317+0.5),$F$22,FALSE))))*IF($F317&lt;0,-1,1)</f>
        <v>0</v>
      </c>
      <c r="W317" s="43">
        <f t="shared" si="258"/>
        <v>0</v>
      </c>
      <c r="X317" s="43">
        <f t="shared" si="258"/>
        <v>101229.03618910274</v>
      </c>
      <c r="Y317" s="43">
        <f t="shared" si="258"/>
        <v>200065.38606828119</v>
      </c>
      <c r="Z317" s="43">
        <f t="shared" si="258"/>
        <v>195336.56785212184</v>
      </c>
      <c r="AA317" s="3"/>
      <c r="AB317" s="43">
        <f t="shared" ref="AB317:AF334" si="259">IF($J317 = 0, 0, IF(OR($H317&gt;AB$59,$H317+$J317&lt;AB$59),0,
IF(OR($H317=2020,$H317=2021),VDB(ABS($S317)*$F$28,0,$T317,AB$59-2022,MIN($T317,AB$59-2021),1),
VDB(ABS($S317)*$F$28,0,$T317,MAX(0,AB$59-$H317-0.5),MIN($T317,AB$59-$H317+0.5),1))))*IF($F317&lt;0,-1,1)</f>
        <v>0</v>
      </c>
      <c r="AC317" s="43">
        <f t="shared" si="259"/>
        <v>0</v>
      </c>
      <c r="AD317" s="43">
        <f t="shared" si="259"/>
        <v>8652.054375136986</v>
      </c>
      <c r="AE317" s="43">
        <f t="shared" si="259"/>
        <v>17304.108750273972</v>
      </c>
      <c r="AF317" s="43">
        <f t="shared" si="259"/>
        <v>17304.108750273972</v>
      </c>
      <c r="AG317" s="3"/>
      <c r="AH317" s="43">
        <f t="shared" si="239"/>
        <v>0</v>
      </c>
      <c r="AI317" s="43">
        <f t="shared" si="240"/>
        <v>0</v>
      </c>
      <c r="AJ317" s="43">
        <f t="shared" si="241"/>
        <v>109881.09056423973</v>
      </c>
      <c r="AK317" s="43">
        <f t="shared" si="242"/>
        <v>217369.49481855516</v>
      </c>
      <c r="AL317" s="43">
        <f t="shared" si="243"/>
        <v>212640.6766023958</v>
      </c>
      <c r="AM317" s="3"/>
      <c r="AN317" s="43">
        <f t="shared" si="253"/>
        <v>0</v>
      </c>
      <c r="AO317" s="43">
        <f t="shared" si="254"/>
        <v>0</v>
      </c>
      <c r="AP317" s="43">
        <f t="shared" si="255"/>
        <v>9407378.7220864445</v>
      </c>
      <c r="AQ317" s="43">
        <f t="shared" si="256"/>
        <v>9190009.2272678893</v>
      </c>
      <c r="AR317" s="43">
        <f t="shared" si="257"/>
        <v>8977368.5506654941</v>
      </c>
      <c r="AS317" s="3"/>
      <c r="AT317" s="43">
        <f t="shared" ref="AT317:AX334" si="260">IF($H317&lt;=AT$215,$F317*INDEX($H$40:$N$46,$H317-2019,AT$215-2019)*INDEX($H$49:$N$55,$H317-2019,AT$215-2019)*$F$19,0)</f>
        <v>0</v>
      </c>
      <c r="AU317" s="43">
        <f t="shared" si="260"/>
        <v>0</v>
      </c>
      <c r="AV317" s="43">
        <f t="shared" si="260"/>
        <v>95172.59812650684</v>
      </c>
      <c r="AW317" s="43">
        <f t="shared" si="260"/>
        <v>97446.08115055284</v>
      </c>
      <c r="AX317" s="43">
        <f t="shared" si="260"/>
        <v>100744.43610533676</v>
      </c>
      <c r="AY317" s="3"/>
      <c r="AZ317" s="47">
        <f t="shared" si="244"/>
        <v>0</v>
      </c>
      <c r="BA317" s="47">
        <f t="shared" si="245"/>
        <v>0</v>
      </c>
      <c r="BB317" s="47">
        <f t="shared" si="246"/>
        <v>562534.08013003145</v>
      </c>
      <c r="BC317" s="47">
        <f t="shared" si="247"/>
        <v>664035.92660528782</v>
      </c>
      <c r="BD317" s="47">
        <f t="shared" si="248"/>
        <v>654525.11763302132</v>
      </c>
    </row>
    <row r="318" spans="1:56" s="227" customFormat="1" ht="13">
      <c r="B318" s="37">
        <f>'12. Investeringen (bijschatten)'!B121</f>
        <v>102</v>
      </c>
      <c r="C318" s="48"/>
      <c r="D318" s="3"/>
      <c r="E318" s="48"/>
      <c r="F318" s="167">
        <f>'12. Investeringen (bijschatten)'!C121</f>
        <v>383647.63556054421</v>
      </c>
      <c r="G318" s="3"/>
      <c r="H318" s="37">
        <f>'12. Investeringen (bijschatten)'!D121</f>
        <v>2024</v>
      </c>
      <c r="I318" s="37" t="str">
        <f>'12. Investeringen (bijschatten)'!E121</f>
        <v>32 M&amp;R stations</v>
      </c>
      <c r="J318" s="167">
        <f>_xlfn.XLOOKUP(I318,'3. Input (des)investeringen '!$B$11:$B$89,'3. Input (des)investeringen '!$D$11:$D$89)</f>
        <v>30</v>
      </c>
      <c r="M318" s="43">
        <f t="shared" si="249"/>
        <v>0</v>
      </c>
      <c r="N318" s="43">
        <f t="shared" si="250"/>
        <v>0</v>
      </c>
      <c r="O318" s="3"/>
      <c r="P318" s="136">
        <f t="shared" si="251"/>
        <v>0</v>
      </c>
      <c r="Q318" s="136">
        <f t="shared" si="252"/>
        <v>0</v>
      </c>
      <c r="R318" s="3"/>
      <c r="S318" s="43">
        <f t="shared" si="237"/>
        <v>383647.63556054421</v>
      </c>
      <c r="T318" s="38">
        <f t="shared" si="238"/>
        <v>30</v>
      </c>
      <c r="U318" s="3"/>
      <c r="V318" s="43">
        <f t="shared" si="258"/>
        <v>0</v>
      </c>
      <c r="W318" s="43">
        <f t="shared" si="258"/>
        <v>0</v>
      </c>
      <c r="X318" s="43">
        <f t="shared" si="258"/>
        <v>7481.1288934306131</v>
      </c>
      <c r="Y318" s="43">
        <f t="shared" si="258"/>
        <v>14638.075534812566</v>
      </c>
      <c r="Z318" s="43">
        <f t="shared" si="258"/>
        <v>14003.75892830402</v>
      </c>
      <c r="AA318" s="3"/>
      <c r="AB318" s="43">
        <f t="shared" si="259"/>
        <v>0</v>
      </c>
      <c r="AC318" s="43">
        <f t="shared" si="259"/>
        <v>0</v>
      </c>
      <c r="AD318" s="43">
        <f t="shared" si="259"/>
        <v>639.41272593424037</v>
      </c>
      <c r="AE318" s="43">
        <f t="shared" si="259"/>
        <v>1278.8254518684807</v>
      </c>
      <c r="AF318" s="43">
        <f t="shared" si="259"/>
        <v>1278.8254518684807</v>
      </c>
      <c r="AG318" s="3"/>
      <c r="AH318" s="43">
        <f t="shared" si="239"/>
        <v>0</v>
      </c>
      <c r="AI318" s="43">
        <f t="shared" si="240"/>
        <v>0</v>
      </c>
      <c r="AJ318" s="43">
        <f t="shared" si="241"/>
        <v>8120.5416193648534</v>
      </c>
      <c r="AK318" s="43">
        <f t="shared" si="242"/>
        <v>15916.900986681047</v>
      </c>
      <c r="AL318" s="43">
        <f t="shared" si="243"/>
        <v>15282.5843801725</v>
      </c>
      <c r="AM318" s="3"/>
      <c r="AN318" s="43">
        <f t="shared" si="253"/>
        <v>0</v>
      </c>
      <c r="AO318" s="43">
        <f t="shared" si="254"/>
        <v>0</v>
      </c>
      <c r="AP318" s="43">
        <f t="shared" si="255"/>
        <v>375527.09394117934</v>
      </c>
      <c r="AQ318" s="43">
        <f t="shared" si="256"/>
        <v>359610.19295449828</v>
      </c>
      <c r="AR318" s="43">
        <f t="shared" si="257"/>
        <v>344327.6085743258</v>
      </c>
      <c r="AS318" s="3"/>
      <c r="AT318" s="43">
        <f t="shared" si="260"/>
        <v>0</v>
      </c>
      <c r="AU318" s="43">
        <f t="shared" si="260"/>
        <v>0</v>
      </c>
      <c r="AV318" s="43">
        <f t="shared" si="260"/>
        <v>3836.4763556054422</v>
      </c>
      <c r="AW318" s="43">
        <f t="shared" si="260"/>
        <v>3928.1221027881447</v>
      </c>
      <c r="AX318" s="43">
        <f t="shared" si="260"/>
        <v>4061.0811797233177</v>
      </c>
      <c r="AY318" s="3"/>
      <c r="AZ318" s="47">
        <f t="shared" si="244"/>
        <v>0</v>
      </c>
      <c r="BA318" s="47">
        <f t="shared" si="245"/>
        <v>0</v>
      </c>
      <c r="BB318" s="47">
        <f t="shared" si="246"/>
        <v>26227.047544735109</v>
      </c>
      <c r="BC318" s="47">
        <f t="shared" si="247"/>
        <v>33510.210421740128</v>
      </c>
      <c r="BD318" s="47">
        <f t="shared" si="248"/>
        <v>32428.114685720197</v>
      </c>
    </row>
    <row r="319" spans="1:56" s="227" customFormat="1" ht="13">
      <c r="B319" s="37">
        <f>'12. Investeringen (bijschatten)'!B122</f>
        <v>103</v>
      </c>
      <c r="C319" s="48"/>
      <c r="D319" s="3"/>
      <c r="E319" s="48"/>
      <c r="F319" s="167">
        <f>'12. Investeringen (bijschatten)'!C122</f>
        <v>319917.18713220663</v>
      </c>
      <c r="G319" s="3"/>
      <c r="H319" s="37">
        <f>'12. Investeringen (bijschatten)'!D122</f>
        <v>2024</v>
      </c>
      <c r="I319" s="37" t="str">
        <f>'12. Investeringen (bijschatten)'!E122</f>
        <v>33 Exportstations</v>
      </c>
      <c r="J319" s="167">
        <f>_xlfn.XLOOKUP(I319,'3. Input (des)investeringen '!$B$11:$B$89,'3. Input (des)investeringen '!$D$11:$D$89)</f>
        <v>30</v>
      </c>
      <c r="M319" s="43">
        <f t="shared" si="249"/>
        <v>0</v>
      </c>
      <c r="N319" s="43">
        <f t="shared" si="250"/>
        <v>0</v>
      </c>
      <c r="O319" s="3"/>
      <c r="P319" s="136">
        <f t="shared" si="251"/>
        <v>0</v>
      </c>
      <c r="Q319" s="136">
        <f t="shared" si="252"/>
        <v>0</v>
      </c>
      <c r="R319" s="3"/>
      <c r="S319" s="43">
        <f t="shared" si="237"/>
        <v>319917.18713220663</v>
      </c>
      <c r="T319" s="38">
        <f t="shared" si="238"/>
        <v>30</v>
      </c>
      <c r="U319" s="3"/>
      <c r="V319" s="43">
        <f t="shared" si="258"/>
        <v>0</v>
      </c>
      <c r="W319" s="43">
        <f t="shared" si="258"/>
        <v>0</v>
      </c>
      <c r="X319" s="43">
        <f t="shared" si="258"/>
        <v>6238.3851490780289</v>
      </c>
      <c r="Y319" s="43">
        <f t="shared" si="258"/>
        <v>12206.440275029343</v>
      </c>
      <c r="Z319" s="43">
        <f t="shared" si="258"/>
        <v>11677.494529778072</v>
      </c>
      <c r="AA319" s="3"/>
      <c r="AB319" s="43">
        <f t="shared" si="259"/>
        <v>0</v>
      </c>
      <c r="AC319" s="43">
        <f t="shared" si="259"/>
        <v>0</v>
      </c>
      <c r="AD319" s="43">
        <f t="shared" si="259"/>
        <v>533.19531188701103</v>
      </c>
      <c r="AE319" s="43">
        <f t="shared" si="259"/>
        <v>1066.3906237740221</v>
      </c>
      <c r="AF319" s="43">
        <f t="shared" si="259"/>
        <v>1066.3906237740221</v>
      </c>
      <c r="AG319" s="3"/>
      <c r="AH319" s="43">
        <f t="shared" si="239"/>
        <v>0</v>
      </c>
      <c r="AI319" s="43">
        <f t="shared" si="240"/>
        <v>0</v>
      </c>
      <c r="AJ319" s="43">
        <f t="shared" si="241"/>
        <v>6771.5804609650404</v>
      </c>
      <c r="AK319" s="43">
        <f t="shared" si="242"/>
        <v>13272.830898803364</v>
      </c>
      <c r="AL319" s="43">
        <f t="shared" si="243"/>
        <v>12743.885153552095</v>
      </c>
      <c r="AM319" s="3"/>
      <c r="AN319" s="43">
        <f t="shared" si="253"/>
        <v>0</v>
      </c>
      <c r="AO319" s="43">
        <f t="shared" si="254"/>
        <v>0</v>
      </c>
      <c r="AP319" s="43">
        <f t="shared" si="255"/>
        <v>313145.60667124158</v>
      </c>
      <c r="AQ319" s="43">
        <f t="shared" si="256"/>
        <v>299872.77577243821</v>
      </c>
      <c r="AR319" s="43">
        <f t="shared" si="257"/>
        <v>287128.8906188861</v>
      </c>
      <c r="AS319" s="3"/>
      <c r="AT319" s="43">
        <f t="shared" si="260"/>
        <v>0</v>
      </c>
      <c r="AU319" s="43">
        <f t="shared" si="260"/>
        <v>0</v>
      </c>
      <c r="AV319" s="43">
        <f t="shared" si="260"/>
        <v>3199.1718713220662</v>
      </c>
      <c r="AW319" s="43">
        <f t="shared" si="260"/>
        <v>3275.5936889842083</v>
      </c>
      <c r="AX319" s="43">
        <f t="shared" si="260"/>
        <v>3386.4659841689459</v>
      </c>
      <c r="AY319" s="3"/>
      <c r="AZ319" s="47">
        <f t="shared" si="244"/>
        <v>0</v>
      </c>
      <c r="BA319" s="47">
        <f t="shared" si="245"/>
        <v>0</v>
      </c>
      <c r="BB319" s="47">
        <f t="shared" si="246"/>
        <v>21870.285385794286</v>
      </c>
      <c r="BC319" s="47">
        <f t="shared" si="247"/>
        <v>27943.590067140223</v>
      </c>
      <c r="BD319" s="47">
        <f t="shared" si="248"/>
        <v>27041.248981238714</v>
      </c>
    </row>
    <row r="320" spans="1:56" s="227" customFormat="1" ht="13">
      <c r="B320" s="37">
        <f>'12. Investeringen (bijschatten)'!B123</f>
        <v>104</v>
      </c>
      <c r="C320" s="48"/>
      <c r="D320" s="3"/>
      <c r="E320" s="48"/>
      <c r="F320" s="167">
        <f>'12. Investeringen (bijschatten)'!C123</f>
        <v>663072.28041230026</v>
      </c>
      <c r="G320" s="3"/>
      <c r="H320" s="37">
        <f>'12. Investeringen (bijschatten)'!D123</f>
        <v>2024</v>
      </c>
      <c r="I320" s="37" t="str">
        <f>'12. Investeringen (bijschatten)'!E123</f>
        <v>34 Reduceerstations</v>
      </c>
      <c r="J320" s="167">
        <f>_xlfn.XLOOKUP(I320,'3. Input (des)investeringen '!$B$11:$B$89,'3. Input (des)investeringen '!$D$11:$D$89)</f>
        <v>30</v>
      </c>
      <c r="M320" s="43">
        <f t="shared" si="249"/>
        <v>0</v>
      </c>
      <c r="N320" s="43">
        <f t="shared" si="250"/>
        <v>0</v>
      </c>
      <c r="O320" s="3"/>
      <c r="P320" s="136">
        <f t="shared" si="251"/>
        <v>0</v>
      </c>
      <c r="Q320" s="136">
        <f t="shared" si="252"/>
        <v>0</v>
      </c>
      <c r="R320" s="3"/>
      <c r="S320" s="43">
        <f t="shared" si="237"/>
        <v>663072.28041230026</v>
      </c>
      <c r="T320" s="38">
        <f t="shared" si="238"/>
        <v>30</v>
      </c>
      <c r="U320" s="3"/>
      <c r="V320" s="43">
        <f t="shared" si="258"/>
        <v>0</v>
      </c>
      <c r="W320" s="43">
        <f t="shared" si="258"/>
        <v>0</v>
      </c>
      <c r="X320" s="43">
        <f t="shared" si="258"/>
        <v>12929.909468039856</v>
      </c>
      <c r="Y320" s="43">
        <f t="shared" si="258"/>
        <v>25299.522859131317</v>
      </c>
      <c r="Z320" s="43">
        <f t="shared" si="258"/>
        <v>24203.210201902293</v>
      </c>
      <c r="AA320" s="3"/>
      <c r="AB320" s="43">
        <f t="shared" si="259"/>
        <v>0</v>
      </c>
      <c r="AC320" s="43">
        <f t="shared" si="259"/>
        <v>0</v>
      </c>
      <c r="AD320" s="43">
        <f t="shared" si="259"/>
        <v>1105.1204673538339</v>
      </c>
      <c r="AE320" s="43">
        <f t="shared" si="259"/>
        <v>2210.2409347076677</v>
      </c>
      <c r="AF320" s="43">
        <f t="shared" si="259"/>
        <v>2210.2409347076677</v>
      </c>
      <c r="AG320" s="3"/>
      <c r="AH320" s="43">
        <f t="shared" si="239"/>
        <v>0</v>
      </c>
      <c r="AI320" s="43">
        <f t="shared" si="240"/>
        <v>0</v>
      </c>
      <c r="AJ320" s="43">
        <f t="shared" si="241"/>
        <v>14035.02993539369</v>
      </c>
      <c r="AK320" s="43">
        <f t="shared" si="242"/>
        <v>27509.763793838985</v>
      </c>
      <c r="AL320" s="43">
        <f t="shared" si="243"/>
        <v>26413.451136609961</v>
      </c>
      <c r="AM320" s="3"/>
      <c r="AN320" s="43">
        <f t="shared" si="253"/>
        <v>0</v>
      </c>
      <c r="AO320" s="43">
        <f t="shared" si="254"/>
        <v>0</v>
      </c>
      <c r="AP320" s="43">
        <f t="shared" si="255"/>
        <v>649037.25047690654</v>
      </c>
      <c r="AQ320" s="43">
        <f t="shared" si="256"/>
        <v>621527.48668306752</v>
      </c>
      <c r="AR320" s="43">
        <f t="shared" si="257"/>
        <v>595114.03554645751</v>
      </c>
      <c r="AS320" s="3"/>
      <c r="AT320" s="43">
        <f t="shared" si="260"/>
        <v>0</v>
      </c>
      <c r="AU320" s="43">
        <f t="shared" si="260"/>
        <v>0</v>
      </c>
      <c r="AV320" s="43">
        <f t="shared" si="260"/>
        <v>6630.7228041230028</v>
      </c>
      <c r="AW320" s="43">
        <f t="shared" si="260"/>
        <v>6789.1175104678932</v>
      </c>
      <c r="AX320" s="43">
        <f t="shared" si="260"/>
        <v>7018.91555996221</v>
      </c>
      <c r="AY320" s="3"/>
      <c r="AZ320" s="47">
        <f t="shared" si="244"/>
        <v>0</v>
      </c>
      <c r="BA320" s="47">
        <f t="shared" si="245"/>
        <v>0</v>
      </c>
      <c r="BB320" s="47">
        <f t="shared" si="246"/>
        <v>45329.168257639139</v>
      </c>
      <c r="BC320" s="47">
        <f t="shared" si="247"/>
        <v>57916.925798263437</v>
      </c>
      <c r="BD320" s="47">
        <f t="shared" si="248"/>
        <v>56046.700047337559</v>
      </c>
    </row>
    <row r="321" spans="2:56" s="227" customFormat="1" ht="13">
      <c r="B321" s="37">
        <f>'12. Investeringen (bijschatten)'!B124</f>
        <v>105</v>
      </c>
      <c r="C321" s="48"/>
      <c r="D321" s="3"/>
      <c r="E321" s="48"/>
      <c r="F321" s="167">
        <f>'12. Investeringen (bijschatten)'!C124</f>
        <v>5631.2438527908316</v>
      </c>
      <c r="G321" s="3"/>
      <c r="H321" s="37">
        <f>'12. Investeringen (bijschatten)'!D124</f>
        <v>2024</v>
      </c>
      <c r="I321" s="37" t="str">
        <f>'12. Investeringen (bijschatten)'!E124</f>
        <v>34 Reduceerstations (EHD)</v>
      </c>
      <c r="J321" s="167">
        <f>_xlfn.XLOOKUP(I321,'3. Input (des)investeringen '!$B$11:$B$89,'3. Input (des)investeringen '!$D$11:$D$89)</f>
        <v>30</v>
      </c>
      <c r="M321" s="43">
        <f t="shared" si="249"/>
        <v>0</v>
      </c>
      <c r="N321" s="43">
        <f t="shared" si="250"/>
        <v>0</v>
      </c>
      <c r="O321" s="3"/>
      <c r="P321" s="136">
        <f t="shared" si="251"/>
        <v>0</v>
      </c>
      <c r="Q321" s="136">
        <f t="shared" si="252"/>
        <v>0</v>
      </c>
      <c r="R321" s="3"/>
      <c r="S321" s="43">
        <f t="shared" si="237"/>
        <v>5631.2438527908316</v>
      </c>
      <c r="T321" s="38">
        <f t="shared" si="238"/>
        <v>30</v>
      </c>
      <c r="U321" s="3"/>
      <c r="V321" s="43">
        <f t="shared" si="258"/>
        <v>0</v>
      </c>
      <c r="W321" s="43">
        <f t="shared" si="258"/>
        <v>0</v>
      </c>
      <c r="X321" s="43">
        <f t="shared" si="258"/>
        <v>109.80925512942122</v>
      </c>
      <c r="Y321" s="43">
        <f t="shared" si="258"/>
        <v>214.8601092032342</v>
      </c>
      <c r="Z321" s="43">
        <f t="shared" si="258"/>
        <v>205.54950447109405</v>
      </c>
      <c r="AA321" s="3"/>
      <c r="AB321" s="43">
        <f t="shared" si="259"/>
        <v>0</v>
      </c>
      <c r="AC321" s="43">
        <f t="shared" si="259"/>
        <v>0</v>
      </c>
      <c r="AD321" s="43">
        <f t="shared" si="259"/>
        <v>9.3854064213180539</v>
      </c>
      <c r="AE321" s="43">
        <f t="shared" si="259"/>
        <v>18.770812842636108</v>
      </c>
      <c r="AF321" s="43">
        <f t="shared" si="259"/>
        <v>18.770812842636108</v>
      </c>
      <c r="AG321" s="3"/>
      <c r="AH321" s="43">
        <f t="shared" si="239"/>
        <v>0</v>
      </c>
      <c r="AI321" s="43">
        <f t="shared" si="240"/>
        <v>0</v>
      </c>
      <c r="AJ321" s="43">
        <f t="shared" si="241"/>
        <v>119.19466155073927</v>
      </c>
      <c r="AK321" s="43">
        <f t="shared" si="242"/>
        <v>233.63092204587031</v>
      </c>
      <c r="AL321" s="43">
        <f t="shared" si="243"/>
        <v>224.32031731373016</v>
      </c>
      <c r="AM321" s="3"/>
      <c r="AN321" s="43">
        <f t="shared" si="253"/>
        <v>0</v>
      </c>
      <c r="AO321" s="43">
        <f t="shared" si="254"/>
        <v>0</v>
      </c>
      <c r="AP321" s="43">
        <f t="shared" si="255"/>
        <v>5512.0491912400921</v>
      </c>
      <c r="AQ321" s="43">
        <f t="shared" si="256"/>
        <v>5278.4182691942215</v>
      </c>
      <c r="AR321" s="43">
        <f t="shared" si="257"/>
        <v>5054.0979518804916</v>
      </c>
      <c r="AS321" s="3"/>
      <c r="AT321" s="43">
        <f t="shared" si="260"/>
        <v>0</v>
      </c>
      <c r="AU321" s="43">
        <f t="shared" si="260"/>
        <v>0</v>
      </c>
      <c r="AV321" s="43">
        <f t="shared" si="260"/>
        <v>56.31243852790832</v>
      </c>
      <c r="AW321" s="43">
        <f t="shared" si="260"/>
        <v>57.657630059462988</v>
      </c>
      <c r="AX321" s="43">
        <f t="shared" si="260"/>
        <v>59.6092255217157</v>
      </c>
      <c r="AY321" s="3"/>
      <c r="AZ321" s="47">
        <f t="shared" si="244"/>
        <v>0</v>
      </c>
      <c r="BA321" s="47">
        <f t="shared" si="245"/>
        <v>0</v>
      </c>
      <c r="BB321" s="47">
        <f t="shared" si="246"/>
        <v>384.96496934577112</v>
      </c>
      <c r="BC321" s="47">
        <f t="shared" si="247"/>
        <v>491.86844633471372</v>
      </c>
      <c r="BD321" s="47">
        <f t="shared" si="248"/>
        <v>475.98526500690451</v>
      </c>
    </row>
    <row r="322" spans="2:56" s="227" customFormat="1" ht="13">
      <c r="B322" s="37">
        <f>'12. Investeringen (bijschatten)'!B125</f>
        <v>106</v>
      </c>
      <c r="C322" s="48"/>
      <c r="D322" s="3"/>
      <c r="E322" s="48"/>
      <c r="F322" s="167">
        <f>'12. Investeringen (bijschatten)'!C125</f>
        <v>27477.304978275635</v>
      </c>
      <c r="G322" s="3"/>
      <c r="H322" s="37">
        <f>'12. Investeringen (bijschatten)'!D125</f>
        <v>2024</v>
      </c>
      <c r="I322" s="37" t="str">
        <f>'12. Investeringen (bijschatten)'!E125</f>
        <v>35 Injectiestations</v>
      </c>
      <c r="J322" s="167">
        <f>_xlfn.XLOOKUP(I322,'3. Input (des)investeringen '!$B$11:$B$89,'3. Input (des)investeringen '!$D$11:$D$89)</f>
        <v>30</v>
      </c>
      <c r="M322" s="43">
        <f t="shared" si="249"/>
        <v>0</v>
      </c>
      <c r="N322" s="43">
        <f t="shared" si="250"/>
        <v>0</v>
      </c>
      <c r="O322" s="3"/>
      <c r="P322" s="136">
        <f t="shared" si="251"/>
        <v>0</v>
      </c>
      <c r="Q322" s="136">
        <f t="shared" si="252"/>
        <v>0</v>
      </c>
      <c r="R322" s="3"/>
      <c r="S322" s="43">
        <f t="shared" si="237"/>
        <v>27477.304978275635</v>
      </c>
      <c r="T322" s="38">
        <f t="shared" si="238"/>
        <v>30</v>
      </c>
      <c r="U322" s="3"/>
      <c r="V322" s="43">
        <f t="shared" si="258"/>
        <v>0</v>
      </c>
      <c r="W322" s="43">
        <f t="shared" si="258"/>
        <v>0</v>
      </c>
      <c r="X322" s="43">
        <f t="shared" si="258"/>
        <v>535.80744707637484</v>
      </c>
      <c r="Y322" s="43">
        <f t="shared" si="258"/>
        <v>1048.3965714461069</v>
      </c>
      <c r="Z322" s="43">
        <f t="shared" si="258"/>
        <v>1002.9660533501088</v>
      </c>
      <c r="AA322" s="3"/>
      <c r="AB322" s="43">
        <f t="shared" si="259"/>
        <v>0</v>
      </c>
      <c r="AC322" s="43">
        <f t="shared" si="259"/>
        <v>0</v>
      </c>
      <c r="AD322" s="43">
        <f t="shared" si="259"/>
        <v>45.795508297126062</v>
      </c>
      <c r="AE322" s="43">
        <f t="shared" si="259"/>
        <v>91.591016594252125</v>
      </c>
      <c r="AF322" s="43">
        <f t="shared" si="259"/>
        <v>91.591016594252125</v>
      </c>
      <c r="AG322" s="3"/>
      <c r="AH322" s="43">
        <f t="shared" si="239"/>
        <v>0</v>
      </c>
      <c r="AI322" s="43">
        <f t="shared" si="240"/>
        <v>0</v>
      </c>
      <c r="AJ322" s="43">
        <f t="shared" si="241"/>
        <v>581.60295537350089</v>
      </c>
      <c r="AK322" s="43">
        <f t="shared" si="242"/>
        <v>1139.987588040359</v>
      </c>
      <c r="AL322" s="43">
        <f t="shared" si="243"/>
        <v>1094.557069944361</v>
      </c>
      <c r="AM322" s="3"/>
      <c r="AN322" s="43">
        <f t="shared" si="253"/>
        <v>0</v>
      </c>
      <c r="AO322" s="43">
        <f t="shared" si="254"/>
        <v>0</v>
      </c>
      <c r="AP322" s="43">
        <f t="shared" si="255"/>
        <v>26895.702022902133</v>
      </c>
      <c r="AQ322" s="43">
        <f t="shared" si="256"/>
        <v>25755.714434861773</v>
      </c>
      <c r="AR322" s="43">
        <f t="shared" si="257"/>
        <v>24661.157364917413</v>
      </c>
      <c r="AS322" s="3"/>
      <c r="AT322" s="43">
        <f t="shared" si="260"/>
        <v>0</v>
      </c>
      <c r="AU322" s="43">
        <f t="shared" si="260"/>
        <v>0</v>
      </c>
      <c r="AV322" s="43">
        <f t="shared" si="260"/>
        <v>274.77304978275635</v>
      </c>
      <c r="AW322" s="43">
        <f t="shared" si="260"/>
        <v>281.33682839596685</v>
      </c>
      <c r="AX322" s="43">
        <f t="shared" si="260"/>
        <v>290.85951736351353</v>
      </c>
      <c r="AY322" s="3"/>
      <c r="AZ322" s="47">
        <f t="shared" si="244"/>
        <v>0</v>
      </c>
      <c r="BA322" s="47">
        <f t="shared" si="245"/>
        <v>0</v>
      </c>
      <c r="BB322" s="47">
        <f t="shared" si="246"/>
        <v>1878.4126820265381</v>
      </c>
      <c r="BC322" s="47">
        <f t="shared" si="247"/>
        <v>2400.0415649610732</v>
      </c>
      <c r="BD322" s="47">
        <f t="shared" si="248"/>
        <v>2322.5405671747362</v>
      </c>
    </row>
    <row r="323" spans="2:56" s="227" customFormat="1" ht="13">
      <c r="B323" s="37">
        <f>'12. Investeringen (bijschatten)'!B126</f>
        <v>107</v>
      </c>
      <c r="C323" s="48"/>
      <c r="D323" s="3"/>
      <c r="E323" s="48"/>
      <c r="F323" s="167">
        <f>'12. Investeringen (bijschatten)'!C126</f>
        <v>23985165.966778118</v>
      </c>
      <c r="G323" s="3"/>
      <c r="H323" s="37">
        <f>'12. Investeringen (bijschatten)'!D126</f>
        <v>2024</v>
      </c>
      <c r="I323" s="37" t="str">
        <f>'12. Investeringen (bijschatten)'!E126</f>
        <v>36 Luchtscheidingsunit</v>
      </c>
      <c r="J323" s="167">
        <f>_xlfn.XLOOKUP(I323,'3. Input (des)investeringen '!$B$11:$B$89,'3. Input (des)investeringen '!$D$11:$D$89)</f>
        <v>30</v>
      </c>
      <c r="M323" s="43">
        <f t="shared" si="249"/>
        <v>0</v>
      </c>
      <c r="N323" s="43">
        <f t="shared" si="250"/>
        <v>0</v>
      </c>
      <c r="O323" s="3"/>
      <c r="P323" s="136">
        <f t="shared" si="251"/>
        <v>0</v>
      </c>
      <c r="Q323" s="136">
        <f t="shared" si="252"/>
        <v>0</v>
      </c>
      <c r="R323" s="3"/>
      <c r="S323" s="43">
        <f t="shared" ref="S323" si="261">IF($J323=0, IF(H323&lt;=2021, $Q323, IF(H323&gt;=2022, $F323,0)), IF(H323&lt;=2021,Q323,F323))</f>
        <v>23985165.966778118</v>
      </c>
      <c r="T323" s="38">
        <f t="shared" ref="T323" si="262">IF($J323=0, 0, IF(H323&lt;2022,J323-2021+H323-0.5,J323))</f>
        <v>30</v>
      </c>
      <c r="U323" s="3"/>
      <c r="V323" s="43">
        <f t="shared" si="258"/>
        <v>0</v>
      </c>
      <c r="W323" s="43">
        <f t="shared" si="258"/>
        <v>0</v>
      </c>
      <c r="X323" s="43">
        <f t="shared" si="258"/>
        <v>467710.73635217338</v>
      </c>
      <c r="Y323" s="43">
        <f t="shared" si="258"/>
        <v>915154.00746241922</v>
      </c>
      <c r="Z323" s="43">
        <f t="shared" si="258"/>
        <v>875497.33380571438</v>
      </c>
      <c r="AA323" s="3"/>
      <c r="AB323" s="43">
        <f t="shared" si="259"/>
        <v>0</v>
      </c>
      <c r="AC323" s="43">
        <f t="shared" si="259"/>
        <v>0</v>
      </c>
      <c r="AD323" s="43">
        <f t="shared" si="259"/>
        <v>39975.27661129686</v>
      </c>
      <c r="AE323" s="43">
        <f t="shared" si="259"/>
        <v>79950.55322259372</v>
      </c>
      <c r="AF323" s="43">
        <f t="shared" si="259"/>
        <v>79950.55322259372</v>
      </c>
      <c r="AG323" s="3"/>
      <c r="AH323" s="43">
        <f t="shared" ref="AH323" si="263">V323+AB323</f>
        <v>0</v>
      </c>
      <c r="AI323" s="43">
        <f t="shared" ref="AI323" si="264">W323+AC323</f>
        <v>0</v>
      </c>
      <c r="AJ323" s="43">
        <f t="shared" ref="AJ323" si="265">X323+AD323</f>
        <v>507686.01296347025</v>
      </c>
      <c r="AK323" s="43">
        <f t="shared" ref="AK323" si="266">Y323+AE323</f>
        <v>995104.56068501296</v>
      </c>
      <c r="AL323" s="43">
        <f t="shared" ref="AL323" si="267">Z323+AF323</f>
        <v>955447.88702830812</v>
      </c>
      <c r="AM323" s="3"/>
      <c r="AN323" s="43">
        <f t="shared" si="253"/>
        <v>0</v>
      </c>
      <c r="AO323" s="43">
        <f t="shared" si="254"/>
        <v>0</v>
      </c>
      <c r="AP323" s="43">
        <f t="shared" si="255"/>
        <v>23477479.953814648</v>
      </c>
      <c r="AQ323" s="43">
        <f t="shared" si="256"/>
        <v>22482375.393129636</v>
      </c>
      <c r="AR323" s="43">
        <f t="shared" si="257"/>
        <v>21526927.506101329</v>
      </c>
      <c r="AS323" s="3"/>
      <c r="AT323" s="43">
        <f t="shared" si="260"/>
        <v>0</v>
      </c>
      <c r="AU323" s="43">
        <f t="shared" si="260"/>
        <v>0</v>
      </c>
      <c r="AV323" s="43">
        <f t="shared" si="260"/>
        <v>239851.65966778118</v>
      </c>
      <c r="AW323" s="43">
        <f t="shared" si="260"/>
        <v>245581.23611392517</v>
      </c>
      <c r="AX323" s="43">
        <f t="shared" si="260"/>
        <v>253893.66979390927</v>
      </c>
      <c r="AY323" s="3"/>
      <c r="AZ323" s="47">
        <f t="shared" ref="AZ323" si="268">AH323+AN323*J$16+AT323</f>
        <v>0</v>
      </c>
      <c r="BA323" s="47">
        <f t="shared" ref="BA323" si="269">AI323+AO323*K$16+AU323</f>
        <v>0</v>
      </c>
      <c r="BB323" s="47">
        <f t="shared" ref="BB323" si="270">AJ323+AP323*L$16+AV323</f>
        <v>1639681.910876208</v>
      </c>
      <c r="BC323" s="47">
        <f t="shared" ref="BC323" si="271">AK323+AQ323*M$16+AW323</f>
        <v>2095016.0617378643</v>
      </c>
      <c r="BD323" s="47">
        <f t="shared" ref="BD323" si="272">AL323+AR323*N$16+AX323</f>
        <v>2027364.8020540678</v>
      </c>
    </row>
    <row r="324" spans="2:56" s="227" customFormat="1" ht="13">
      <c r="B324" s="37">
        <f>'12. Investeringen (bijschatten)'!B127</f>
        <v>108</v>
      </c>
      <c r="C324" s="48"/>
      <c r="D324" s="3"/>
      <c r="E324" s="48"/>
      <c r="F324" s="167">
        <f>'12. Investeringen (bijschatten)'!C127</f>
        <v>2862737.0777425626</v>
      </c>
      <c r="G324" s="3"/>
      <c r="H324" s="37">
        <f>'12. Investeringen (bijschatten)'!D127</f>
        <v>2024</v>
      </c>
      <c r="I324" s="37" t="str">
        <f>'12. Investeringen (bijschatten)'!E127</f>
        <v>42 Vulgas</v>
      </c>
      <c r="J324" s="167">
        <f>_xlfn.XLOOKUP(I324,'3. Input (des)investeringen '!$B$11:$B$89,'3. Input (des)investeringen '!$D$11:$D$89)</f>
        <v>0</v>
      </c>
      <c r="M324" s="43">
        <f t="shared" ref="M324:M334" si="273">IF($J324 = 0, 0, IF($H324&lt;=M$215,
VDB(ABS($F324),0,$J324,MAX(0,M$59-$H324-0.5),MIN($J324,M$59-$H324+0.5),1)*IF($F324&lt;0,-1,1)*INDEX(H$40:H$46,$H324-2019,1),
0))</f>
        <v>0</v>
      </c>
      <c r="N324" s="43">
        <f t="shared" ref="N324:N334" si="274">IF($J324 = 0, 0, IF($H324&lt;=N$215,
VDB(ABS($F324),0,$J324,MAX(0,N$59-$H324-0.5),MIN($J324,N$59-$H324+0.5),1)*IF($F324&lt;0,-1,1)*INDEX(I$40:I$46,$H324-2019,1),
0))</f>
        <v>0</v>
      </c>
      <c r="O324" s="3"/>
      <c r="P324" s="136">
        <f t="shared" ref="P324:P334" si="275">IF($J324=0, IF($H324 = M$215, $F324, 0), IF(OR($H324&gt;P$59,$H324+$J324&lt;=P$59),0,
F324-M324))</f>
        <v>0</v>
      </c>
      <c r="Q324" s="136">
        <f t="shared" ref="Q324:Q334" si="276">IF($J324=0, IF($H324 &gt; N$215, 0, IF($H324=N$215, $F324, $P324*I$40)), IF(OR($H324&gt;Q$59,$H324+$J324&lt;=Q$59),0,
IF($H324=Q$59,F324-N324,P324*I$40-N324)))</f>
        <v>0</v>
      </c>
      <c r="R324" s="3"/>
      <c r="S324" s="43">
        <f t="shared" ref="S324:S334" si="277">IF($J324=0, IF(H324&lt;=2021, $Q324, IF(H324&gt;=2022, $F324,0)), IF(H324&lt;=2021,Q324,F324))</f>
        <v>2862737.0777425626</v>
      </c>
      <c r="T324" s="38">
        <f t="shared" ref="T324:T334" si="278">IF($J324=0, 0, IF(H324&lt;2022,J324-2021+H324-0.5,J324))</f>
        <v>0</v>
      </c>
      <c r="U324" s="3"/>
      <c r="V324" s="43">
        <f t="shared" si="258"/>
        <v>0</v>
      </c>
      <c r="W324" s="43">
        <f t="shared" si="258"/>
        <v>0</v>
      </c>
      <c r="X324" s="43">
        <f t="shared" si="258"/>
        <v>0</v>
      </c>
      <c r="Y324" s="43">
        <f t="shared" si="258"/>
        <v>0</v>
      </c>
      <c r="Z324" s="43">
        <f t="shared" si="258"/>
        <v>0</v>
      </c>
      <c r="AA324" s="3"/>
      <c r="AB324" s="43">
        <f t="shared" si="259"/>
        <v>0</v>
      </c>
      <c r="AC324" s="43">
        <f t="shared" si="259"/>
        <v>0</v>
      </c>
      <c r="AD324" s="43">
        <f t="shared" si="259"/>
        <v>0</v>
      </c>
      <c r="AE324" s="43">
        <f t="shared" si="259"/>
        <v>0</v>
      </c>
      <c r="AF324" s="43">
        <f t="shared" si="259"/>
        <v>0</v>
      </c>
      <c r="AG324" s="3"/>
      <c r="AH324" s="43">
        <f t="shared" ref="AH324:AH334" si="279">V324+AB324</f>
        <v>0</v>
      </c>
      <c r="AI324" s="43">
        <f t="shared" ref="AI324:AI334" si="280">W324+AC324</f>
        <v>0</v>
      </c>
      <c r="AJ324" s="43">
        <f t="shared" ref="AJ324:AJ334" si="281">X324+AD324</f>
        <v>0</v>
      </c>
      <c r="AK324" s="43">
        <f t="shared" ref="AK324:AK334" si="282">Y324+AE324</f>
        <v>0</v>
      </c>
      <c r="AL324" s="43">
        <f t="shared" ref="AL324:AL334" si="283">Z324+AF324</f>
        <v>0</v>
      </c>
      <c r="AM324" s="3"/>
      <c r="AN324" s="43">
        <f t="shared" ref="AN324:AN334" si="284">IF($J324=0,IF($H324 &gt; AN$215, 0,$S324),IF(OR($H324&gt;AN$59,$H324+$J324&lt;=AN$59),0,
IF($H324=AN$59,$S324-AH324,
S324-AH324)))</f>
        <v>0</v>
      </c>
      <c r="AO324" s="43">
        <f t="shared" ref="AO324:AO334" si="285">IF($J324 = 0, IF($H324 &gt; AO$215, 0, IF($H324=AO$215, $F324, AN324)), IF(OR($H324&gt;AO$59,$H324+$J324&lt;=AO$59),0,
IF($H324=AO$59,$S324-AI324,
AN324-AI324)))</f>
        <v>0</v>
      </c>
      <c r="AP324" s="43">
        <f t="shared" ref="AP324:AP334" si="286">IF($J324 = 0, IF($H324 &gt; AP$215, 0, IF($H324=AP$215, $F324, AO324)), IF(OR($H324&gt;AP$59,$H324+$J324&lt;=AP$59),0,
IF($H324=AP$59,$S324-AJ324,
AO324-AJ324)))</f>
        <v>2862737.0777425626</v>
      </c>
      <c r="AQ324" s="43">
        <f t="shared" ref="AQ324:AQ334" si="287">IF($J324 = 0, IF($H324 &gt; AQ$215, 0, IF($H324=AQ$215, $F324, AP324)), IF(OR($H324&gt;AQ$59,$H324+$J324&lt;=AQ$59),0,
IF($H324=AQ$59,$S324-AK324,
AP324-AK324)))</f>
        <v>2862737.0777425626</v>
      </c>
      <c r="AR324" s="43">
        <f t="shared" ref="AR324:AR334" si="288">IF($J324 = 0, IF($H324 &gt; AR$215, 0, IF($H324=AR$215, $F324, AQ324)), IF(OR($H324&gt;AR$59,$H324+$J324&lt;=AR$59),0,
IF($H324=AR$59,$S324-AL324,
AQ324-AL324)))</f>
        <v>2862737.0777425626</v>
      </c>
      <c r="AS324" s="3"/>
      <c r="AT324" s="43">
        <f t="shared" si="260"/>
        <v>0</v>
      </c>
      <c r="AU324" s="43">
        <f t="shared" si="260"/>
        <v>0</v>
      </c>
      <c r="AV324" s="43">
        <f t="shared" si="260"/>
        <v>28627.370777425625</v>
      </c>
      <c r="AW324" s="43">
        <f t="shared" si="260"/>
        <v>29311.221410556773</v>
      </c>
      <c r="AX324" s="43">
        <f t="shared" si="260"/>
        <v>30303.347632861296</v>
      </c>
      <c r="AY324" s="3"/>
      <c r="AZ324" s="47">
        <f t="shared" ref="AZ324:AZ334" si="289">AH324+AN324*J$16+AT324</f>
        <v>0</v>
      </c>
      <c r="BA324" s="47">
        <f t="shared" ref="BA324:BA334" si="290">AI324+AO324*K$16+AU324</f>
        <v>0</v>
      </c>
      <c r="BB324" s="47">
        <f t="shared" ref="BB324:BB334" si="291">AJ324+AP324*L$16+AV324</f>
        <v>137411.37973164301</v>
      </c>
      <c r="BC324" s="47">
        <f t="shared" ref="BC324:BC334" si="292">AK324+AQ324*M$16+AW324</f>
        <v>138095.23036477415</v>
      </c>
      <c r="BD324" s="47">
        <f t="shared" ref="BD324:BD334" si="293">AL324+AR324*N$16+AX324</f>
        <v>139087.35658707868</v>
      </c>
    </row>
    <row r="325" spans="2:56" s="227" customFormat="1" ht="13">
      <c r="B325" s="37">
        <f>'12. Investeringen (bijschatten)'!B128</f>
        <v>109</v>
      </c>
      <c r="C325" s="48"/>
      <c r="D325" s="3"/>
      <c r="E325" s="48"/>
      <c r="F325" s="167">
        <f>'12. Investeringen (bijschatten)'!C128</f>
        <v>51047866.293393217</v>
      </c>
      <c r="G325" s="3"/>
      <c r="H325" s="37">
        <f>'12. Investeringen (bijschatten)'!D128</f>
        <v>2025</v>
      </c>
      <c r="I325" s="37" t="str">
        <f>'12. Investeringen (bijschatten)'!E128</f>
        <v>01 Regionale leidingen</v>
      </c>
      <c r="J325" s="167">
        <f>_xlfn.XLOOKUP(I325,'3. Input (des)investeringen '!$B$11:$B$89,'3. Input (des)investeringen '!$D$11:$D$89)</f>
        <v>55</v>
      </c>
      <c r="M325" s="43">
        <f t="shared" si="273"/>
        <v>0</v>
      </c>
      <c r="N325" s="43">
        <f t="shared" si="274"/>
        <v>0</v>
      </c>
      <c r="O325" s="3"/>
      <c r="P325" s="136">
        <f t="shared" si="275"/>
        <v>0</v>
      </c>
      <c r="Q325" s="136">
        <f t="shared" si="276"/>
        <v>0</v>
      </c>
      <c r="R325" s="3"/>
      <c r="S325" s="43">
        <f t="shared" si="277"/>
        <v>51047866.293393217</v>
      </c>
      <c r="T325" s="38">
        <f t="shared" si="278"/>
        <v>55</v>
      </c>
      <c r="U325" s="3"/>
      <c r="V325" s="43">
        <f t="shared" si="258"/>
        <v>0</v>
      </c>
      <c r="W325" s="43">
        <f t="shared" si="258"/>
        <v>0</v>
      </c>
      <c r="X325" s="43">
        <f t="shared" si="258"/>
        <v>0</v>
      </c>
      <c r="Y325" s="43">
        <f t="shared" si="258"/>
        <v>542963.66875700059</v>
      </c>
      <c r="Z325" s="43">
        <f t="shared" si="258"/>
        <v>1073093.6507979266</v>
      </c>
      <c r="AA325" s="3"/>
      <c r="AB325" s="43">
        <f t="shared" si="259"/>
        <v>0</v>
      </c>
      <c r="AC325" s="43">
        <f t="shared" si="259"/>
        <v>0</v>
      </c>
      <c r="AD325" s="43">
        <f t="shared" si="259"/>
        <v>0</v>
      </c>
      <c r="AE325" s="43">
        <f t="shared" si="259"/>
        <v>46407.151175812025</v>
      </c>
      <c r="AF325" s="43">
        <f t="shared" si="259"/>
        <v>92814.30235162405</v>
      </c>
      <c r="AG325" s="3"/>
      <c r="AH325" s="43">
        <f t="shared" si="279"/>
        <v>0</v>
      </c>
      <c r="AI325" s="43">
        <f t="shared" si="280"/>
        <v>0</v>
      </c>
      <c r="AJ325" s="43">
        <f t="shared" si="281"/>
        <v>0</v>
      </c>
      <c r="AK325" s="43">
        <f t="shared" si="282"/>
        <v>589370.81993281259</v>
      </c>
      <c r="AL325" s="43">
        <f t="shared" si="283"/>
        <v>1165907.9531495506</v>
      </c>
      <c r="AM325" s="3"/>
      <c r="AN325" s="43">
        <f t="shared" si="284"/>
        <v>0</v>
      </c>
      <c r="AO325" s="43">
        <f t="shared" si="285"/>
        <v>0</v>
      </c>
      <c r="AP325" s="43">
        <f t="shared" si="286"/>
        <v>0</v>
      </c>
      <c r="AQ325" s="43">
        <f t="shared" si="287"/>
        <v>50458495.473460406</v>
      </c>
      <c r="AR325" s="43">
        <f t="shared" si="288"/>
        <v>49292587.520310856</v>
      </c>
      <c r="AS325" s="3"/>
      <c r="AT325" s="43">
        <f t="shared" si="260"/>
        <v>0</v>
      </c>
      <c r="AU325" s="43">
        <f t="shared" si="260"/>
        <v>0</v>
      </c>
      <c r="AV325" s="43">
        <f t="shared" si="260"/>
        <v>0</v>
      </c>
      <c r="AW325" s="43">
        <f t="shared" si="260"/>
        <v>510478.66293393221</v>
      </c>
      <c r="AX325" s="43">
        <f t="shared" si="260"/>
        <v>527757.34471691994</v>
      </c>
      <c r="AY325" s="3"/>
      <c r="AZ325" s="47">
        <f t="shared" si="289"/>
        <v>0</v>
      </c>
      <c r="BA325" s="47">
        <f t="shared" si="290"/>
        <v>0</v>
      </c>
      <c r="BB325" s="47">
        <f t="shared" si="291"/>
        <v>0</v>
      </c>
      <c r="BC325" s="47">
        <f t="shared" si="292"/>
        <v>3017272.3108582399</v>
      </c>
      <c r="BD325" s="47">
        <f t="shared" si="293"/>
        <v>3566783.623638283</v>
      </c>
    </row>
    <row r="326" spans="2:56" s="227" customFormat="1" ht="13">
      <c r="B326" s="37">
        <f>'12. Investeringen (bijschatten)'!B129</f>
        <v>110</v>
      </c>
      <c r="C326" s="48"/>
      <c r="D326" s="3"/>
      <c r="E326" s="48"/>
      <c r="F326" s="167">
        <f>'12. Investeringen (bijschatten)'!C129</f>
        <v>13803031.288232353</v>
      </c>
      <c r="G326" s="3"/>
      <c r="H326" s="37">
        <f>'12. Investeringen (bijschatten)'!D129</f>
        <v>2025</v>
      </c>
      <c r="I326" s="37" t="str">
        <f>'12. Investeringen (bijschatten)'!E129</f>
        <v>02 Gasontvangststations</v>
      </c>
      <c r="J326" s="167">
        <f>_xlfn.XLOOKUP(I326,'3. Input (des)investeringen '!$B$11:$B$89,'3. Input (des)investeringen '!$D$11:$D$89)</f>
        <v>30</v>
      </c>
      <c r="M326" s="43">
        <f t="shared" si="273"/>
        <v>0</v>
      </c>
      <c r="N326" s="43">
        <f t="shared" si="274"/>
        <v>0</v>
      </c>
      <c r="O326" s="3"/>
      <c r="P326" s="136">
        <f t="shared" si="275"/>
        <v>0</v>
      </c>
      <c r="Q326" s="136">
        <f t="shared" si="276"/>
        <v>0</v>
      </c>
      <c r="R326" s="3"/>
      <c r="S326" s="43">
        <f t="shared" si="277"/>
        <v>13803031.288232353</v>
      </c>
      <c r="T326" s="38">
        <f t="shared" si="278"/>
        <v>30</v>
      </c>
      <c r="U326" s="3"/>
      <c r="V326" s="43">
        <f t="shared" si="258"/>
        <v>0</v>
      </c>
      <c r="W326" s="43">
        <f t="shared" si="258"/>
        <v>0</v>
      </c>
      <c r="X326" s="43">
        <f t="shared" si="258"/>
        <v>0</v>
      </c>
      <c r="Y326" s="43">
        <f t="shared" si="258"/>
        <v>269159.11012053088</v>
      </c>
      <c r="Z326" s="43">
        <f t="shared" si="258"/>
        <v>526654.65880250535</v>
      </c>
      <c r="AA326" s="3"/>
      <c r="AB326" s="43">
        <f t="shared" si="259"/>
        <v>0</v>
      </c>
      <c r="AC326" s="43">
        <f t="shared" si="259"/>
        <v>0</v>
      </c>
      <c r="AD326" s="43">
        <f t="shared" si="259"/>
        <v>0</v>
      </c>
      <c r="AE326" s="43">
        <f t="shared" si="259"/>
        <v>23005.052147053924</v>
      </c>
      <c r="AF326" s="43">
        <f t="shared" si="259"/>
        <v>46010.104294107849</v>
      </c>
      <c r="AG326" s="3"/>
      <c r="AH326" s="43">
        <f t="shared" si="279"/>
        <v>0</v>
      </c>
      <c r="AI326" s="43">
        <f t="shared" si="280"/>
        <v>0</v>
      </c>
      <c r="AJ326" s="43">
        <f t="shared" si="281"/>
        <v>0</v>
      </c>
      <c r="AK326" s="43">
        <f t="shared" si="282"/>
        <v>292164.16226758482</v>
      </c>
      <c r="AL326" s="43">
        <f t="shared" si="283"/>
        <v>572664.76309661323</v>
      </c>
      <c r="AM326" s="3"/>
      <c r="AN326" s="43">
        <f t="shared" si="284"/>
        <v>0</v>
      </c>
      <c r="AO326" s="43">
        <f t="shared" si="285"/>
        <v>0</v>
      </c>
      <c r="AP326" s="43">
        <f t="shared" si="286"/>
        <v>0</v>
      </c>
      <c r="AQ326" s="43">
        <f t="shared" si="287"/>
        <v>13510867.125964768</v>
      </c>
      <c r="AR326" s="43">
        <f t="shared" si="288"/>
        <v>12938202.362868154</v>
      </c>
      <c r="AS326" s="3"/>
      <c r="AT326" s="43">
        <f t="shared" si="260"/>
        <v>0</v>
      </c>
      <c r="AU326" s="43">
        <f t="shared" si="260"/>
        <v>0</v>
      </c>
      <c r="AV326" s="43">
        <f t="shared" si="260"/>
        <v>0</v>
      </c>
      <c r="AW326" s="43">
        <f t="shared" si="260"/>
        <v>138030.31288232352</v>
      </c>
      <c r="AX326" s="43">
        <f t="shared" si="260"/>
        <v>142702.36291276442</v>
      </c>
      <c r="AY326" s="3"/>
      <c r="AZ326" s="47">
        <f t="shared" si="289"/>
        <v>0</v>
      </c>
      <c r="BA326" s="47">
        <f t="shared" si="290"/>
        <v>0</v>
      </c>
      <c r="BB326" s="47">
        <f t="shared" si="291"/>
        <v>0</v>
      </c>
      <c r="BC326" s="47">
        <f t="shared" si="292"/>
        <v>943607.42593656946</v>
      </c>
      <c r="BD326" s="47">
        <f t="shared" si="293"/>
        <v>1207018.8157983674</v>
      </c>
    </row>
    <row r="327" spans="2:56" s="227" customFormat="1" ht="13">
      <c r="B327" s="37">
        <f>'12. Investeringen (bijschatten)'!B130</f>
        <v>111</v>
      </c>
      <c r="C327" s="48"/>
      <c r="D327" s="3"/>
      <c r="E327" s="48"/>
      <c r="F327" s="167">
        <f>'12. Investeringen (bijschatten)'!C130</f>
        <v>-20979.079136318192</v>
      </c>
      <c r="G327" s="3"/>
      <c r="H327" s="37">
        <f>'12. Investeringen (bijschatten)'!D130</f>
        <v>2025</v>
      </c>
      <c r="I327" s="37" t="str">
        <f>'12. Investeringen (bijschatten)'!E130</f>
        <v>05 Wegen en terreinvoorzieningen (TT-BT-AT)</v>
      </c>
      <c r="J327" s="167">
        <f>_xlfn.XLOOKUP(I327,'3. Input (des)investeringen '!$B$11:$B$89,'3. Input (des)investeringen '!$D$11:$D$89)</f>
        <v>10</v>
      </c>
      <c r="M327" s="43">
        <f t="shared" si="273"/>
        <v>0</v>
      </c>
      <c r="N327" s="43">
        <f t="shared" si="274"/>
        <v>0</v>
      </c>
      <c r="O327" s="3"/>
      <c r="P327" s="136">
        <f t="shared" si="275"/>
        <v>0</v>
      </c>
      <c r="Q327" s="136">
        <f t="shared" si="276"/>
        <v>0</v>
      </c>
      <c r="R327" s="3"/>
      <c r="S327" s="43">
        <f t="shared" si="277"/>
        <v>-20979.079136318192</v>
      </c>
      <c r="T327" s="38">
        <f t="shared" si="278"/>
        <v>10</v>
      </c>
      <c r="U327" s="3"/>
      <c r="V327" s="43">
        <f t="shared" si="258"/>
        <v>0</v>
      </c>
      <c r="W327" s="43">
        <f t="shared" si="258"/>
        <v>0</v>
      </c>
      <c r="X327" s="43">
        <f t="shared" si="258"/>
        <v>0</v>
      </c>
      <c r="Y327" s="43">
        <f t="shared" si="258"/>
        <v>-1227.2761294746144</v>
      </c>
      <c r="Z327" s="43">
        <f t="shared" si="258"/>
        <v>-2295.0063621175286</v>
      </c>
      <c r="AA327" s="3"/>
      <c r="AB327" s="43">
        <f t="shared" si="259"/>
        <v>0</v>
      </c>
      <c r="AC327" s="43">
        <f t="shared" si="259"/>
        <v>0</v>
      </c>
      <c r="AD327" s="43">
        <f t="shared" si="259"/>
        <v>0</v>
      </c>
      <c r="AE327" s="43">
        <f t="shared" si="259"/>
        <v>-104.89539568159097</v>
      </c>
      <c r="AF327" s="43">
        <f t="shared" si="259"/>
        <v>-209.79079136318191</v>
      </c>
      <c r="AG327" s="3"/>
      <c r="AH327" s="43">
        <f t="shared" si="279"/>
        <v>0</v>
      </c>
      <c r="AI327" s="43">
        <f t="shared" si="280"/>
        <v>0</v>
      </c>
      <c r="AJ327" s="43">
        <f t="shared" si="281"/>
        <v>0</v>
      </c>
      <c r="AK327" s="43">
        <f t="shared" si="282"/>
        <v>-1332.1715251562055</v>
      </c>
      <c r="AL327" s="43">
        <f t="shared" si="283"/>
        <v>-2504.7971534807107</v>
      </c>
      <c r="AM327" s="3"/>
      <c r="AN327" s="43">
        <f t="shared" si="284"/>
        <v>0</v>
      </c>
      <c r="AO327" s="43">
        <f t="shared" si="285"/>
        <v>0</v>
      </c>
      <c r="AP327" s="43">
        <f t="shared" si="286"/>
        <v>0</v>
      </c>
      <c r="AQ327" s="43">
        <f t="shared" si="287"/>
        <v>-19646.907611161987</v>
      </c>
      <c r="AR327" s="43">
        <f t="shared" si="288"/>
        <v>-17142.110457681276</v>
      </c>
      <c r="AS327" s="3"/>
      <c r="AT327" s="43">
        <f t="shared" si="260"/>
        <v>0</v>
      </c>
      <c r="AU327" s="43">
        <f t="shared" si="260"/>
        <v>0</v>
      </c>
      <c r="AV327" s="43">
        <f t="shared" si="260"/>
        <v>0</v>
      </c>
      <c r="AW327" s="43">
        <f t="shared" si="260"/>
        <v>-209.79079136318194</v>
      </c>
      <c r="AX327" s="43">
        <f t="shared" si="260"/>
        <v>-216.89179006924289</v>
      </c>
      <c r="AY327" s="3"/>
      <c r="AZ327" s="47">
        <f t="shared" si="289"/>
        <v>0</v>
      </c>
      <c r="BA327" s="47">
        <f t="shared" si="290"/>
        <v>0</v>
      </c>
      <c r="BB327" s="47">
        <f t="shared" si="291"/>
        <v>0</v>
      </c>
      <c r="BC327" s="47">
        <f t="shared" si="292"/>
        <v>-2288.5448057435428</v>
      </c>
      <c r="BD327" s="47">
        <f t="shared" si="293"/>
        <v>-3373.0891409418418</v>
      </c>
    </row>
    <row r="328" spans="2:56" s="227" customFormat="1" ht="13">
      <c r="B328" s="37">
        <f>'12. Investeringen (bijschatten)'!B131</f>
        <v>112</v>
      </c>
      <c r="C328" s="48"/>
      <c r="D328" s="3"/>
      <c r="E328" s="48"/>
      <c r="F328" s="167">
        <f>'12. Investeringen (bijschatten)'!C131</f>
        <v>-83385.919873105478</v>
      </c>
      <c r="G328" s="3"/>
      <c r="H328" s="37">
        <f>'12. Investeringen (bijschatten)'!D131</f>
        <v>2025</v>
      </c>
      <c r="I328" s="37" t="str">
        <f>'12. Investeringen (bijschatten)'!E131</f>
        <v>06 Utiliteitsgebouwen (TT-BT-AT)</v>
      </c>
      <c r="J328" s="167">
        <f>_xlfn.XLOOKUP(I328,'3. Input (des)investeringen '!$B$11:$B$89,'3. Input (des)investeringen '!$D$11:$D$89)</f>
        <v>30</v>
      </c>
      <c r="M328" s="43">
        <f t="shared" si="273"/>
        <v>0</v>
      </c>
      <c r="N328" s="43">
        <f t="shared" si="274"/>
        <v>0</v>
      </c>
      <c r="O328" s="3"/>
      <c r="P328" s="136">
        <f t="shared" si="275"/>
        <v>0</v>
      </c>
      <c r="Q328" s="136">
        <f t="shared" si="276"/>
        <v>0</v>
      </c>
      <c r="R328" s="3"/>
      <c r="S328" s="43">
        <f t="shared" si="277"/>
        <v>-83385.919873105478</v>
      </c>
      <c r="T328" s="38">
        <f t="shared" si="278"/>
        <v>30</v>
      </c>
      <c r="U328" s="3"/>
      <c r="V328" s="43">
        <f t="shared" si="258"/>
        <v>0</v>
      </c>
      <c r="W328" s="43">
        <f t="shared" si="258"/>
        <v>0</v>
      </c>
      <c r="X328" s="43">
        <f t="shared" si="258"/>
        <v>0</v>
      </c>
      <c r="Y328" s="43">
        <f t="shared" si="258"/>
        <v>-1626.025437525557</v>
      </c>
      <c r="Z328" s="43">
        <f t="shared" si="258"/>
        <v>-3181.5897727583397</v>
      </c>
      <c r="AA328" s="3"/>
      <c r="AB328" s="43">
        <f t="shared" si="259"/>
        <v>0</v>
      </c>
      <c r="AC328" s="43">
        <f t="shared" si="259"/>
        <v>0</v>
      </c>
      <c r="AD328" s="43">
        <f t="shared" si="259"/>
        <v>0</v>
      </c>
      <c r="AE328" s="43">
        <f t="shared" si="259"/>
        <v>-138.97653312184246</v>
      </c>
      <c r="AF328" s="43">
        <f t="shared" si="259"/>
        <v>-277.95306624368499</v>
      </c>
      <c r="AG328" s="3"/>
      <c r="AH328" s="43">
        <f t="shared" si="279"/>
        <v>0</v>
      </c>
      <c r="AI328" s="43">
        <f t="shared" si="280"/>
        <v>0</v>
      </c>
      <c r="AJ328" s="43">
        <f t="shared" si="281"/>
        <v>0</v>
      </c>
      <c r="AK328" s="43">
        <f t="shared" si="282"/>
        <v>-1765.0019706473995</v>
      </c>
      <c r="AL328" s="43">
        <f t="shared" si="283"/>
        <v>-3459.5428390020247</v>
      </c>
      <c r="AM328" s="3"/>
      <c r="AN328" s="43">
        <f t="shared" si="284"/>
        <v>0</v>
      </c>
      <c r="AO328" s="43">
        <f t="shared" si="285"/>
        <v>0</v>
      </c>
      <c r="AP328" s="43">
        <f t="shared" si="286"/>
        <v>0</v>
      </c>
      <c r="AQ328" s="43">
        <f t="shared" si="287"/>
        <v>-81620.917902458081</v>
      </c>
      <c r="AR328" s="43">
        <f t="shared" si="288"/>
        <v>-78161.375063456057</v>
      </c>
      <c r="AS328" s="3"/>
      <c r="AT328" s="43">
        <f t="shared" si="260"/>
        <v>0</v>
      </c>
      <c r="AU328" s="43">
        <f t="shared" si="260"/>
        <v>0</v>
      </c>
      <c r="AV328" s="43">
        <f t="shared" si="260"/>
        <v>0</v>
      </c>
      <c r="AW328" s="43">
        <f t="shared" si="260"/>
        <v>-833.85919873105479</v>
      </c>
      <c r="AX328" s="43">
        <f t="shared" si="260"/>
        <v>-862.08366488970364</v>
      </c>
      <c r="AY328" s="3"/>
      <c r="AZ328" s="47">
        <f t="shared" si="289"/>
        <v>0</v>
      </c>
      <c r="BA328" s="47">
        <f t="shared" si="290"/>
        <v>0</v>
      </c>
      <c r="BB328" s="47">
        <f t="shared" si="291"/>
        <v>0</v>
      </c>
      <c r="BC328" s="47">
        <f t="shared" si="292"/>
        <v>-5700.4560496718614</v>
      </c>
      <c r="BD328" s="47">
        <f t="shared" si="293"/>
        <v>-7291.7587563030593</v>
      </c>
    </row>
    <row r="329" spans="2:56" s="227" customFormat="1" ht="13">
      <c r="B329" s="37">
        <f>'12. Investeringen (bijschatten)'!B132</f>
        <v>113</v>
      </c>
      <c r="C329" s="48"/>
      <c r="D329" s="3"/>
      <c r="E329" s="48"/>
      <c r="F329" s="167">
        <f>'12. Investeringen (bijschatten)'!C132</f>
        <v>69421.745178848403</v>
      </c>
      <c r="G329" s="3"/>
      <c r="H329" s="37">
        <f>'12. Investeringen (bijschatten)'!D132</f>
        <v>2025</v>
      </c>
      <c r="I329" s="37" t="str">
        <f>'12. Investeringen (bijschatten)'!E132</f>
        <v>15 Compressorstations (KC)</v>
      </c>
      <c r="J329" s="167">
        <f>_xlfn.XLOOKUP(I329,'3. Input (des)investeringen '!$B$11:$B$89,'3. Input (des)investeringen '!$D$11:$D$89)</f>
        <v>30</v>
      </c>
      <c r="M329" s="43">
        <f t="shared" si="273"/>
        <v>0</v>
      </c>
      <c r="N329" s="43">
        <f t="shared" si="274"/>
        <v>0</v>
      </c>
      <c r="O329" s="3"/>
      <c r="P329" s="136">
        <f t="shared" si="275"/>
        <v>0</v>
      </c>
      <c r="Q329" s="136">
        <f t="shared" si="276"/>
        <v>0</v>
      </c>
      <c r="R329" s="3"/>
      <c r="S329" s="43">
        <f t="shared" si="277"/>
        <v>69421.745178848403</v>
      </c>
      <c r="T329" s="38">
        <f t="shared" si="278"/>
        <v>30</v>
      </c>
      <c r="U329" s="3"/>
      <c r="V329" s="43">
        <f t="shared" si="258"/>
        <v>0</v>
      </c>
      <c r="W329" s="43">
        <f t="shared" si="258"/>
        <v>0</v>
      </c>
      <c r="X329" s="43">
        <f t="shared" si="258"/>
        <v>0</v>
      </c>
      <c r="Y329" s="43">
        <f t="shared" si="258"/>
        <v>1353.724030987544</v>
      </c>
      <c r="Z329" s="43">
        <f t="shared" si="258"/>
        <v>2648.7866872989612</v>
      </c>
      <c r="AA329" s="3"/>
      <c r="AB329" s="43">
        <f t="shared" si="259"/>
        <v>0</v>
      </c>
      <c r="AC329" s="43">
        <f t="shared" si="259"/>
        <v>0</v>
      </c>
      <c r="AD329" s="43">
        <f t="shared" si="259"/>
        <v>0</v>
      </c>
      <c r="AE329" s="43">
        <f t="shared" si="259"/>
        <v>115.702908631414</v>
      </c>
      <c r="AF329" s="43">
        <f t="shared" si="259"/>
        <v>231.40581726282801</v>
      </c>
      <c r="AG329" s="3"/>
      <c r="AH329" s="43">
        <f t="shared" si="279"/>
        <v>0</v>
      </c>
      <c r="AI329" s="43">
        <f t="shared" si="280"/>
        <v>0</v>
      </c>
      <c r="AJ329" s="43">
        <f t="shared" si="281"/>
        <v>0</v>
      </c>
      <c r="AK329" s="43">
        <f t="shared" si="282"/>
        <v>1469.4269396189579</v>
      </c>
      <c r="AL329" s="43">
        <f t="shared" si="283"/>
        <v>2880.1925045617891</v>
      </c>
      <c r="AM329" s="3"/>
      <c r="AN329" s="43">
        <f t="shared" si="284"/>
        <v>0</v>
      </c>
      <c r="AO329" s="43">
        <f t="shared" si="285"/>
        <v>0</v>
      </c>
      <c r="AP329" s="43">
        <f t="shared" si="286"/>
        <v>0</v>
      </c>
      <c r="AQ329" s="43">
        <f t="shared" si="287"/>
        <v>67952.31823922944</v>
      </c>
      <c r="AR329" s="43">
        <f t="shared" si="288"/>
        <v>65072.12573466765</v>
      </c>
      <c r="AS329" s="3"/>
      <c r="AT329" s="43">
        <f t="shared" si="260"/>
        <v>0</v>
      </c>
      <c r="AU329" s="43">
        <f t="shared" si="260"/>
        <v>0</v>
      </c>
      <c r="AV329" s="43">
        <f t="shared" si="260"/>
        <v>0</v>
      </c>
      <c r="AW329" s="43">
        <f t="shared" si="260"/>
        <v>694.21745178848403</v>
      </c>
      <c r="AX329" s="43">
        <f t="shared" si="260"/>
        <v>717.71532409662063</v>
      </c>
      <c r="AY329" s="3"/>
      <c r="AZ329" s="47">
        <f t="shared" si="289"/>
        <v>0</v>
      </c>
      <c r="BA329" s="47">
        <f t="shared" si="290"/>
        <v>0</v>
      </c>
      <c r="BB329" s="47">
        <f t="shared" si="291"/>
        <v>0</v>
      </c>
      <c r="BC329" s="47">
        <f t="shared" si="292"/>
        <v>4745.8324844981607</v>
      </c>
      <c r="BD329" s="47">
        <f t="shared" si="293"/>
        <v>6070.6486065757808</v>
      </c>
    </row>
    <row r="330" spans="2:56" s="227" customFormat="1" ht="13">
      <c r="B330" s="37">
        <f>'12. Investeringen (bijschatten)'!B133</f>
        <v>114</v>
      </c>
      <c r="C330" s="48"/>
      <c r="D330" s="3"/>
      <c r="E330" s="48"/>
      <c r="F330" s="167">
        <f>'12. Investeringen (bijschatten)'!C133</f>
        <v>19074218.609357327</v>
      </c>
      <c r="G330" s="3"/>
      <c r="H330" s="37">
        <f>'12. Investeringen (bijschatten)'!D133</f>
        <v>2025</v>
      </c>
      <c r="I330" s="37" t="str">
        <f>'12. Investeringen (bijschatten)'!E133</f>
        <v>15 Compressorstations (TT-BT-AT)</v>
      </c>
      <c r="J330" s="167">
        <f>_xlfn.XLOOKUP(I330,'3. Input (des)investeringen '!$B$11:$B$89,'3. Input (des)investeringen '!$D$11:$D$89)</f>
        <v>30</v>
      </c>
      <c r="M330" s="43">
        <f t="shared" si="273"/>
        <v>0</v>
      </c>
      <c r="N330" s="43">
        <f t="shared" si="274"/>
        <v>0</v>
      </c>
      <c r="O330" s="3"/>
      <c r="P330" s="136">
        <f t="shared" si="275"/>
        <v>0</v>
      </c>
      <c r="Q330" s="136">
        <f t="shared" si="276"/>
        <v>0</v>
      </c>
      <c r="R330" s="3"/>
      <c r="S330" s="43">
        <f t="shared" si="277"/>
        <v>19074218.609357327</v>
      </c>
      <c r="T330" s="38">
        <f t="shared" si="278"/>
        <v>30</v>
      </c>
      <c r="U330" s="3"/>
      <c r="V330" s="43">
        <f t="shared" si="258"/>
        <v>0</v>
      </c>
      <c r="W330" s="43">
        <f t="shared" si="258"/>
        <v>0</v>
      </c>
      <c r="X330" s="43">
        <f t="shared" si="258"/>
        <v>0</v>
      </c>
      <c r="Y330" s="43">
        <f t="shared" si="258"/>
        <v>371947.26288246788</v>
      </c>
      <c r="Z330" s="43">
        <f t="shared" si="258"/>
        <v>727776.81104002881</v>
      </c>
      <c r="AA330" s="3"/>
      <c r="AB330" s="43">
        <f t="shared" si="259"/>
        <v>0</v>
      </c>
      <c r="AC330" s="43">
        <f t="shared" si="259"/>
        <v>0</v>
      </c>
      <c r="AD330" s="43">
        <f t="shared" si="259"/>
        <v>0</v>
      </c>
      <c r="AE330" s="43">
        <f t="shared" si="259"/>
        <v>31790.364348928877</v>
      </c>
      <c r="AF330" s="43">
        <f t="shared" si="259"/>
        <v>63580.728697857754</v>
      </c>
      <c r="AG330" s="3"/>
      <c r="AH330" s="43">
        <f t="shared" si="279"/>
        <v>0</v>
      </c>
      <c r="AI330" s="43">
        <f t="shared" si="280"/>
        <v>0</v>
      </c>
      <c r="AJ330" s="43">
        <f t="shared" si="281"/>
        <v>0</v>
      </c>
      <c r="AK330" s="43">
        <f t="shared" si="282"/>
        <v>403737.62723139673</v>
      </c>
      <c r="AL330" s="43">
        <f t="shared" si="283"/>
        <v>791357.53973788652</v>
      </c>
      <c r="AM330" s="3"/>
      <c r="AN330" s="43">
        <f t="shared" si="284"/>
        <v>0</v>
      </c>
      <c r="AO330" s="43">
        <f t="shared" si="285"/>
        <v>0</v>
      </c>
      <c r="AP330" s="43">
        <f t="shared" si="286"/>
        <v>0</v>
      </c>
      <c r="AQ330" s="43">
        <f t="shared" si="287"/>
        <v>18670480.98212593</v>
      </c>
      <c r="AR330" s="43">
        <f t="shared" si="288"/>
        <v>17879123.442388043</v>
      </c>
      <c r="AS330" s="3"/>
      <c r="AT330" s="43">
        <f t="shared" si="260"/>
        <v>0</v>
      </c>
      <c r="AU330" s="43">
        <f t="shared" si="260"/>
        <v>0</v>
      </c>
      <c r="AV330" s="43">
        <f t="shared" si="260"/>
        <v>0</v>
      </c>
      <c r="AW330" s="43">
        <f t="shared" si="260"/>
        <v>190742.18609357328</v>
      </c>
      <c r="AX330" s="43">
        <f t="shared" si="260"/>
        <v>197198.42760846854</v>
      </c>
      <c r="AY330" s="3"/>
      <c r="AZ330" s="47">
        <f t="shared" si="289"/>
        <v>0</v>
      </c>
      <c r="BA330" s="47">
        <f t="shared" si="290"/>
        <v>0</v>
      </c>
      <c r="BB330" s="47">
        <f t="shared" si="291"/>
        <v>0</v>
      </c>
      <c r="BC330" s="47">
        <f t="shared" si="292"/>
        <v>1303958.0906457554</v>
      </c>
      <c r="BD330" s="47">
        <f t="shared" si="293"/>
        <v>1667962.6581571007</v>
      </c>
    </row>
    <row r="331" spans="2:56" s="227" customFormat="1" ht="13">
      <c r="B331" s="37">
        <f>'12. Investeringen (bijschatten)'!B134</f>
        <v>115</v>
      </c>
      <c r="C331" s="48"/>
      <c r="D331" s="3"/>
      <c r="E331" s="48"/>
      <c r="F331" s="167">
        <f>'12. Investeringen (bijschatten)'!C134</f>
        <v>5364691.8499594387</v>
      </c>
      <c r="G331" s="3"/>
      <c r="H331" s="37">
        <f>'12. Investeringen (bijschatten)'!D134</f>
        <v>2025</v>
      </c>
      <c r="I331" s="37" t="str">
        <f>'12. Investeringen (bijschatten)'!E134</f>
        <v>16 LNG installaties</v>
      </c>
      <c r="J331" s="167">
        <f>_xlfn.XLOOKUP(I331,'3. Input (des)investeringen '!$B$11:$B$89,'3. Input (des)investeringen '!$D$11:$D$89)</f>
        <v>30</v>
      </c>
      <c r="M331" s="43">
        <f t="shared" si="273"/>
        <v>0</v>
      </c>
      <c r="N331" s="43">
        <f t="shared" si="274"/>
        <v>0</v>
      </c>
      <c r="O331" s="3"/>
      <c r="P331" s="136">
        <f t="shared" si="275"/>
        <v>0</v>
      </c>
      <c r="Q331" s="136">
        <f t="shared" si="276"/>
        <v>0</v>
      </c>
      <c r="R331" s="3"/>
      <c r="S331" s="43">
        <f t="shared" si="277"/>
        <v>5364691.8499594387</v>
      </c>
      <c r="T331" s="38">
        <f t="shared" si="278"/>
        <v>30</v>
      </c>
      <c r="U331" s="3"/>
      <c r="V331" s="43">
        <f t="shared" si="258"/>
        <v>0</v>
      </c>
      <c r="W331" s="43">
        <f t="shared" si="258"/>
        <v>0</v>
      </c>
      <c r="X331" s="43">
        <f t="shared" si="258"/>
        <v>0</v>
      </c>
      <c r="Y331" s="43">
        <f t="shared" si="258"/>
        <v>104611.49107420906</v>
      </c>
      <c r="Z331" s="43">
        <f t="shared" si="258"/>
        <v>204689.8175352024</v>
      </c>
      <c r="AA331" s="3"/>
      <c r="AB331" s="43">
        <f t="shared" si="259"/>
        <v>0</v>
      </c>
      <c r="AC331" s="43">
        <f t="shared" si="259"/>
        <v>0</v>
      </c>
      <c r="AD331" s="43">
        <f t="shared" si="259"/>
        <v>0</v>
      </c>
      <c r="AE331" s="43">
        <f t="shared" si="259"/>
        <v>8941.1530832657318</v>
      </c>
      <c r="AF331" s="43">
        <f t="shared" si="259"/>
        <v>17882.306166531464</v>
      </c>
      <c r="AG331" s="3"/>
      <c r="AH331" s="43">
        <f t="shared" si="279"/>
        <v>0</v>
      </c>
      <c r="AI331" s="43">
        <f t="shared" si="280"/>
        <v>0</v>
      </c>
      <c r="AJ331" s="43">
        <f t="shared" si="281"/>
        <v>0</v>
      </c>
      <c r="AK331" s="43">
        <f t="shared" si="282"/>
        <v>113552.64415747479</v>
      </c>
      <c r="AL331" s="43">
        <f t="shared" si="283"/>
        <v>222572.12370173386</v>
      </c>
      <c r="AM331" s="3"/>
      <c r="AN331" s="43">
        <f t="shared" si="284"/>
        <v>0</v>
      </c>
      <c r="AO331" s="43">
        <f t="shared" si="285"/>
        <v>0</v>
      </c>
      <c r="AP331" s="43">
        <f t="shared" si="286"/>
        <v>0</v>
      </c>
      <c r="AQ331" s="43">
        <f t="shared" si="287"/>
        <v>5251139.2058019638</v>
      </c>
      <c r="AR331" s="43">
        <f t="shared" si="288"/>
        <v>5028567.0821002303</v>
      </c>
      <c r="AS331" s="3"/>
      <c r="AT331" s="43">
        <f t="shared" si="260"/>
        <v>0</v>
      </c>
      <c r="AU331" s="43">
        <f t="shared" si="260"/>
        <v>0</v>
      </c>
      <c r="AV331" s="43">
        <f t="shared" si="260"/>
        <v>0</v>
      </c>
      <c r="AW331" s="43">
        <f t="shared" si="260"/>
        <v>53646.918499594387</v>
      </c>
      <c r="AX331" s="43">
        <f t="shared" si="260"/>
        <v>55462.759396968664</v>
      </c>
      <c r="AY331" s="3"/>
      <c r="AZ331" s="47">
        <f t="shared" si="289"/>
        <v>0</v>
      </c>
      <c r="BA331" s="47">
        <f t="shared" si="290"/>
        <v>0</v>
      </c>
      <c r="BB331" s="47">
        <f t="shared" si="291"/>
        <v>0</v>
      </c>
      <c r="BC331" s="47">
        <f t="shared" si="292"/>
        <v>366742.85247754381</v>
      </c>
      <c r="BD331" s="47">
        <f t="shared" si="293"/>
        <v>469120.43221851124</v>
      </c>
    </row>
    <row r="332" spans="2:56" s="227" customFormat="1" ht="13">
      <c r="B332" s="37">
        <f>'12. Investeringen (bijschatten)'!B135</f>
        <v>116</v>
      </c>
      <c r="C332" s="48"/>
      <c r="D332" s="3"/>
      <c r="E332" s="48"/>
      <c r="F332" s="167">
        <f>'12. Investeringen (bijschatten)'!C135</f>
        <v>2341962.8281327751</v>
      </c>
      <c r="G332" s="3"/>
      <c r="H332" s="37">
        <f>'12. Investeringen (bijschatten)'!D135</f>
        <v>2025</v>
      </c>
      <c r="I332" s="37" t="str">
        <f>'12. Investeringen (bijschatten)'!E135</f>
        <v>17 Mengstations</v>
      </c>
      <c r="J332" s="167">
        <f>_xlfn.XLOOKUP(I332,'3. Input (des)investeringen '!$B$11:$B$89,'3. Input (des)investeringen '!$D$11:$D$89)</f>
        <v>30</v>
      </c>
      <c r="M332" s="43">
        <f t="shared" si="273"/>
        <v>0</v>
      </c>
      <c r="N332" s="43">
        <f t="shared" si="274"/>
        <v>0</v>
      </c>
      <c r="O332" s="3"/>
      <c r="P332" s="136">
        <f t="shared" si="275"/>
        <v>0</v>
      </c>
      <c r="Q332" s="136">
        <f t="shared" si="276"/>
        <v>0</v>
      </c>
      <c r="R332" s="3"/>
      <c r="S332" s="43">
        <f t="shared" si="277"/>
        <v>2341962.8281327751</v>
      </c>
      <c r="T332" s="38">
        <f t="shared" si="278"/>
        <v>30</v>
      </c>
      <c r="U332" s="3"/>
      <c r="V332" s="43">
        <f t="shared" si="258"/>
        <v>0</v>
      </c>
      <c r="W332" s="43">
        <f t="shared" si="258"/>
        <v>0</v>
      </c>
      <c r="X332" s="43">
        <f t="shared" si="258"/>
        <v>0</v>
      </c>
      <c r="Y332" s="43">
        <f t="shared" si="258"/>
        <v>45668.275148589113</v>
      </c>
      <c r="Z332" s="43">
        <f t="shared" si="258"/>
        <v>89357.591707406042</v>
      </c>
      <c r="AA332" s="3"/>
      <c r="AB332" s="43">
        <f t="shared" si="259"/>
        <v>0</v>
      </c>
      <c r="AC332" s="43">
        <f t="shared" si="259"/>
        <v>0</v>
      </c>
      <c r="AD332" s="43">
        <f t="shared" si="259"/>
        <v>0</v>
      </c>
      <c r="AE332" s="43">
        <f t="shared" si="259"/>
        <v>3903.271380221292</v>
      </c>
      <c r="AF332" s="43">
        <f t="shared" si="259"/>
        <v>7806.542760442584</v>
      </c>
      <c r="AG332" s="3"/>
      <c r="AH332" s="43">
        <f t="shared" si="279"/>
        <v>0</v>
      </c>
      <c r="AI332" s="43">
        <f t="shared" si="280"/>
        <v>0</v>
      </c>
      <c r="AJ332" s="43">
        <f t="shared" si="281"/>
        <v>0</v>
      </c>
      <c r="AK332" s="43">
        <f t="shared" si="282"/>
        <v>49571.546528810402</v>
      </c>
      <c r="AL332" s="43">
        <f t="shared" si="283"/>
        <v>97164.13446784862</v>
      </c>
      <c r="AM332" s="3"/>
      <c r="AN332" s="43">
        <f t="shared" si="284"/>
        <v>0</v>
      </c>
      <c r="AO332" s="43">
        <f t="shared" si="285"/>
        <v>0</v>
      </c>
      <c r="AP332" s="43">
        <f t="shared" si="286"/>
        <v>0</v>
      </c>
      <c r="AQ332" s="43">
        <f t="shared" si="287"/>
        <v>2292391.281603965</v>
      </c>
      <c r="AR332" s="43">
        <f t="shared" si="288"/>
        <v>2195227.1471361164</v>
      </c>
      <c r="AS332" s="3"/>
      <c r="AT332" s="43">
        <f t="shared" si="260"/>
        <v>0</v>
      </c>
      <c r="AU332" s="43">
        <f t="shared" si="260"/>
        <v>0</v>
      </c>
      <c r="AV332" s="43">
        <f t="shared" si="260"/>
        <v>0</v>
      </c>
      <c r="AW332" s="43">
        <f t="shared" si="260"/>
        <v>23419.62828132775</v>
      </c>
      <c r="AX332" s="43">
        <f t="shared" si="260"/>
        <v>24212.335859394134</v>
      </c>
      <c r="AY332" s="3"/>
      <c r="AZ332" s="47">
        <f t="shared" si="289"/>
        <v>0</v>
      </c>
      <c r="BA332" s="47">
        <f t="shared" si="290"/>
        <v>0</v>
      </c>
      <c r="BB332" s="47">
        <f t="shared" si="291"/>
        <v>0</v>
      </c>
      <c r="BC332" s="47">
        <f t="shared" si="292"/>
        <v>160102.04351108882</v>
      </c>
      <c r="BD332" s="47">
        <f t="shared" si="293"/>
        <v>204795.1019184152</v>
      </c>
    </row>
    <row r="333" spans="2:56" s="227" customFormat="1" ht="13">
      <c r="B333" s="37">
        <f>'12. Investeringen (bijschatten)'!B136</f>
        <v>117</v>
      </c>
      <c r="C333" s="48"/>
      <c r="D333" s="3"/>
      <c r="E333" s="48"/>
      <c r="F333" s="167">
        <f>'12. Investeringen (bijschatten)'!C136</f>
        <v>19735264.894148596</v>
      </c>
      <c r="G333" s="3"/>
      <c r="H333" s="37">
        <f>'12. Investeringen (bijschatten)'!D136</f>
        <v>2025</v>
      </c>
      <c r="I333" s="37" t="str">
        <f>'12. Investeringen (bijschatten)'!E136</f>
        <v>21 Hoofdtransportleiding (TT-BT-AT)</v>
      </c>
      <c r="J333" s="167">
        <f>_xlfn.XLOOKUP(I333,'3. Input (des)investeringen '!$B$11:$B$89,'3. Input (des)investeringen '!$D$11:$D$89)</f>
        <v>55</v>
      </c>
      <c r="M333" s="43">
        <f t="shared" si="273"/>
        <v>0</v>
      </c>
      <c r="N333" s="43">
        <f t="shared" si="274"/>
        <v>0</v>
      </c>
      <c r="O333" s="3"/>
      <c r="P333" s="136">
        <f t="shared" si="275"/>
        <v>0</v>
      </c>
      <c r="Q333" s="136">
        <f t="shared" si="276"/>
        <v>0</v>
      </c>
      <c r="R333" s="3"/>
      <c r="S333" s="43">
        <f t="shared" si="277"/>
        <v>19735264.894148596</v>
      </c>
      <c r="T333" s="38">
        <f t="shared" si="278"/>
        <v>55</v>
      </c>
      <c r="U333" s="3"/>
      <c r="V333" s="43">
        <f t="shared" ref="V333:Z333" si="294">IF($J333=0, 0, IF(OR($H333&gt;V$59,$H333+$J333&lt;V$59),0,
IF(OR($H333=2020,$H333=2021),VDB(ABS($S333)*(1-$F$28),0,$T333,V$59-2022,MIN($T333,V$59-2021),$F$22),
VDB(ABS($S333)*(1-$F$28),0,$T333,MAX(0,V$59-$H333-0.5),MIN($T333,V$59-$H333+0.5),$F$22,FALSE))))*IF($F333&lt;0,-1,1)</f>
        <v>0</v>
      </c>
      <c r="W333" s="43">
        <f t="shared" si="294"/>
        <v>0</v>
      </c>
      <c r="X333" s="43">
        <f t="shared" si="294"/>
        <v>0</v>
      </c>
      <c r="Y333" s="43">
        <f t="shared" si="294"/>
        <v>209911.45387412596</v>
      </c>
      <c r="Z333" s="43">
        <f t="shared" si="294"/>
        <v>414861.36429304531</v>
      </c>
      <c r="AA333" s="3"/>
      <c r="AB333" s="43">
        <f t="shared" ref="AB333:AF333" si="295">IF($J333 = 0, 0, IF(OR($H333&gt;AB$59,$H333+$J333&lt;AB$59),0,
IF(OR($H333=2020,$H333=2021),VDB(ABS($S333)*$F$28,0,$T333,AB$59-2022,MIN($T333,AB$59-2021),1),
VDB(ABS($S333)*$F$28,0,$T333,MAX(0,AB$59-$H333-0.5),MIN($T333,AB$59-$H333+0.5),1))))*IF($F333&lt;0,-1,1)</f>
        <v>0</v>
      </c>
      <c r="AC333" s="43">
        <f t="shared" si="295"/>
        <v>0</v>
      </c>
      <c r="AD333" s="43">
        <f t="shared" si="295"/>
        <v>0</v>
      </c>
      <c r="AE333" s="43">
        <f t="shared" si="295"/>
        <v>17941.149903771449</v>
      </c>
      <c r="AF333" s="43">
        <f t="shared" si="295"/>
        <v>35882.299807542899</v>
      </c>
      <c r="AG333" s="3"/>
      <c r="AH333" s="43">
        <f t="shared" si="279"/>
        <v>0</v>
      </c>
      <c r="AI333" s="43">
        <f t="shared" si="280"/>
        <v>0</v>
      </c>
      <c r="AJ333" s="43">
        <f t="shared" si="281"/>
        <v>0</v>
      </c>
      <c r="AK333" s="43">
        <f t="shared" si="282"/>
        <v>227852.6037778974</v>
      </c>
      <c r="AL333" s="43">
        <f t="shared" si="283"/>
        <v>450743.66410058818</v>
      </c>
      <c r="AM333" s="3"/>
      <c r="AN333" s="43">
        <f t="shared" si="284"/>
        <v>0</v>
      </c>
      <c r="AO333" s="43">
        <f t="shared" si="285"/>
        <v>0</v>
      </c>
      <c r="AP333" s="43">
        <f t="shared" si="286"/>
        <v>0</v>
      </c>
      <c r="AQ333" s="43">
        <f t="shared" si="287"/>
        <v>19507412.290370699</v>
      </c>
      <c r="AR333" s="43">
        <f t="shared" si="288"/>
        <v>19056668.626270112</v>
      </c>
      <c r="AS333" s="3"/>
      <c r="AT333" s="43">
        <f t="shared" ref="AT333:AX333" si="296">IF($H333&lt;=AT$215,$F333*INDEX($H$40:$N$46,$H333-2019,AT$215-2019)*INDEX($H$49:$N$55,$H333-2019,AT$215-2019)*$F$19,0)</f>
        <v>0</v>
      </c>
      <c r="AU333" s="43">
        <f t="shared" si="296"/>
        <v>0</v>
      </c>
      <c r="AV333" s="43">
        <f t="shared" si="296"/>
        <v>0</v>
      </c>
      <c r="AW333" s="43">
        <f t="shared" si="296"/>
        <v>197352.64894148597</v>
      </c>
      <c r="AX333" s="43">
        <f t="shared" si="296"/>
        <v>204032.64140285738</v>
      </c>
      <c r="AY333" s="3"/>
      <c r="AZ333" s="47">
        <f t="shared" si="289"/>
        <v>0</v>
      </c>
      <c r="BA333" s="47">
        <f t="shared" si="290"/>
        <v>0</v>
      </c>
      <c r="BB333" s="47">
        <f t="shared" si="291"/>
        <v>0</v>
      </c>
      <c r="BC333" s="47">
        <f t="shared" si="292"/>
        <v>1166486.91975347</v>
      </c>
      <c r="BD333" s="47">
        <f t="shared" si="293"/>
        <v>1378929.7133017099</v>
      </c>
    </row>
    <row r="334" spans="2:56" s="227" customFormat="1" ht="13">
      <c r="B334" s="37">
        <f>'12. Investeringen (bijschatten)'!B137</f>
        <v>118</v>
      </c>
      <c r="C334" s="48"/>
      <c r="D334" s="3"/>
      <c r="E334" s="48"/>
      <c r="F334" s="167">
        <f>'12. Investeringen (bijschatten)'!C137</f>
        <v>909014.90836381866</v>
      </c>
      <c r="G334" s="3"/>
      <c r="H334" s="37">
        <f>'12. Investeringen (bijschatten)'!D137</f>
        <v>2025</v>
      </c>
      <c r="I334" s="37" t="str">
        <f>'12. Investeringen (bijschatten)'!E137</f>
        <v>32 M&amp;R stations</v>
      </c>
      <c r="J334" s="167">
        <f>_xlfn.XLOOKUP(I334,'3. Input (des)investeringen '!$B$11:$B$89,'3. Input (des)investeringen '!$D$11:$D$89)</f>
        <v>30</v>
      </c>
      <c r="M334" s="43">
        <f t="shared" si="273"/>
        <v>0</v>
      </c>
      <c r="N334" s="43">
        <f t="shared" si="274"/>
        <v>0</v>
      </c>
      <c r="O334" s="3"/>
      <c r="P334" s="136">
        <f t="shared" si="275"/>
        <v>0</v>
      </c>
      <c r="Q334" s="136">
        <f t="shared" si="276"/>
        <v>0</v>
      </c>
      <c r="R334" s="3"/>
      <c r="S334" s="43">
        <f t="shared" si="277"/>
        <v>909014.90836381866</v>
      </c>
      <c r="T334" s="38">
        <f t="shared" si="278"/>
        <v>30</v>
      </c>
      <c r="U334" s="3"/>
      <c r="V334" s="43">
        <f t="shared" si="258"/>
        <v>0</v>
      </c>
      <c r="W334" s="43">
        <f t="shared" si="258"/>
        <v>0</v>
      </c>
      <c r="X334" s="43">
        <f t="shared" si="258"/>
        <v>0</v>
      </c>
      <c r="Y334" s="43">
        <f t="shared" si="258"/>
        <v>17725.790713094466</v>
      </c>
      <c r="Z334" s="43">
        <f t="shared" si="258"/>
        <v>34683.463828621505</v>
      </c>
      <c r="AA334" s="3"/>
      <c r="AB334" s="43">
        <f t="shared" si="259"/>
        <v>0</v>
      </c>
      <c r="AC334" s="43">
        <f t="shared" si="259"/>
        <v>0</v>
      </c>
      <c r="AD334" s="43">
        <f t="shared" si="259"/>
        <v>0</v>
      </c>
      <c r="AE334" s="43">
        <f t="shared" si="259"/>
        <v>1515.0248472730311</v>
      </c>
      <c r="AF334" s="43">
        <f t="shared" si="259"/>
        <v>3030.0496945460623</v>
      </c>
      <c r="AG334" s="3"/>
      <c r="AH334" s="43">
        <f t="shared" si="279"/>
        <v>0</v>
      </c>
      <c r="AI334" s="43">
        <f t="shared" si="280"/>
        <v>0</v>
      </c>
      <c r="AJ334" s="43">
        <f t="shared" si="281"/>
        <v>0</v>
      </c>
      <c r="AK334" s="43">
        <f t="shared" si="282"/>
        <v>19240.815560367497</v>
      </c>
      <c r="AL334" s="43">
        <f t="shared" si="283"/>
        <v>37713.513523167567</v>
      </c>
      <c r="AM334" s="3"/>
      <c r="AN334" s="43">
        <f t="shared" si="284"/>
        <v>0</v>
      </c>
      <c r="AO334" s="43">
        <f t="shared" si="285"/>
        <v>0</v>
      </c>
      <c r="AP334" s="43">
        <f t="shared" si="286"/>
        <v>0</v>
      </c>
      <c r="AQ334" s="43">
        <f t="shared" si="287"/>
        <v>889774.09280345112</v>
      </c>
      <c r="AR334" s="43">
        <f t="shared" si="288"/>
        <v>852060.57928028353</v>
      </c>
      <c r="AS334" s="3"/>
      <c r="AT334" s="43">
        <f t="shared" si="260"/>
        <v>0</v>
      </c>
      <c r="AU334" s="43">
        <f t="shared" si="260"/>
        <v>0</v>
      </c>
      <c r="AV334" s="43">
        <f t="shared" si="260"/>
        <v>0</v>
      </c>
      <c r="AW334" s="43">
        <f t="shared" si="260"/>
        <v>9090.1490836381872</v>
      </c>
      <c r="AX334" s="43">
        <f t="shared" si="260"/>
        <v>9397.8324498211714</v>
      </c>
      <c r="AY334" s="3"/>
      <c r="AZ334" s="47">
        <f t="shared" si="289"/>
        <v>0</v>
      </c>
      <c r="BA334" s="47">
        <f t="shared" si="290"/>
        <v>0</v>
      </c>
      <c r="BB334" s="47">
        <f t="shared" si="291"/>
        <v>0</v>
      </c>
      <c r="BC334" s="47">
        <f t="shared" si="292"/>
        <v>62142.380170536824</v>
      </c>
      <c r="BD334" s="47">
        <f t="shared" si="293"/>
        <v>79489.647985639516</v>
      </c>
    </row>
    <row r="335" spans="2:56" s="227" customFormat="1" ht="13">
      <c r="B335" s="37">
        <f>'12. Investeringen (bijschatten)'!B138</f>
        <v>119</v>
      </c>
      <c r="C335" s="48"/>
      <c r="D335" s="3"/>
      <c r="E335" s="48"/>
      <c r="F335" s="167">
        <f>'12. Investeringen (bijschatten)'!C138</f>
        <v>7652.2709978681778</v>
      </c>
      <c r="G335" s="3"/>
      <c r="H335" s="37">
        <f>'12. Investeringen (bijschatten)'!D138</f>
        <v>2025</v>
      </c>
      <c r="I335" s="37" t="str">
        <f>'12. Investeringen (bijschatten)'!E138</f>
        <v>33 Exportstations</v>
      </c>
      <c r="J335" s="167">
        <f>_xlfn.XLOOKUP(I335,'3. Input (des)investeringen '!$B$11:$B$89,'3. Input (des)investeringen '!$D$11:$D$89)</f>
        <v>30</v>
      </c>
      <c r="M335" s="43">
        <f t="shared" ref="M335:M339" si="297">IF($J335 = 0, 0, IF($H335&lt;=M$215,
VDB(ABS($F335),0,$J335,MAX(0,M$59-$H335-0.5),MIN($J335,M$59-$H335+0.5),1)*IF($F335&lt;0,-1,1)*INDEX(H$40:H$46,$H335-2019,1),
0))</f>
        <v>0</v>
      </c>
      <c r="N335" s="43">
        <f t="shared" ref="N335:N339" si="298">IF($J335 = 0, 0, IF($H335&lt;=N$215,
VDB(ABS($F335),0,$J335,MAX(0,N$59-$H335-0.5),MIN($J335,N$59-$H335+0.5),1)*IF($F335&lt;0,-1,1)*INDEX(I$40:I$46,$H335-2019,1),
0))</f>
        <v>0</v>
      </c>
      <c r="O335" s="3"/>
      <c r="P335" s="136">
        <f t="shared" ref="P335:P339" si="299">IF($J335=0, IF($H335 = M$215, $F335, 0), IF(OR($H335&gt;P$59,$H335+$J335&lt;=P$59),0,
F335-M335))</f>
        <v>0</v>
      </c>
      <c r="Q335" s="136">
        <f t="shared" ref="Q335:Q339" si="300">IF($J335=0, IF($H335 &gt; N$215, 0, IF($H335=N$215, $F335, $P335*I$40)), IF(OR($H335&gt;Q$59,$H335+$J335&lt;=Q$59),0,
IF($H335=Q$59,F335-N335,P335*I$40-N335)))</f>
        <v>0</v>
      </c>
      <c r="R335" s="3"/>
      <c r="S335" s="43">
        <f t="shared" ref="S335:S339" si="301">IF($J335=0, IF(H335&lt;=2021, $Q335, IF(H335&gt;=2022, $F335,0)), IF(H335&lt;=2021,Q335,F335))</f>
        <v>7652.2709978681778</v>
      </c>
      <c r="T335" s="38">
        <f t="shared" ref="T335:T339" si="302">IF($J335=0, 0, IF(H335&lt;2022,J335-2021+H335-0.5,J335))</f>
        <v>30</v>
      </c>
      <c r="U335" s="3"/>
      <c r="V335" s="43">
        <f t="shared" ref="V335:Z339" si="303">IF($J335=0, 0, IF(OR($H335&gt;V$59,$H335+$J335&lt;V$59),0,
IF(OR($H335=2020,$H335=2021),VDB(ABS($S335)*(1-$F$28),0,$T335,V$59-2022,MIN($T335,V$59-2021),$F$22),
VDB(ABS($S335)*(1-$F$28),0,$T335,MAX(0,V$59-$H335-0.5),MIN($T335,V$59-$H335+0.5),$F$22,FALSE))))*IF($F335&lt;0,-1,1)</f>
        <v>0</v>
      </c>
      <c r="W335" s="43">
        <f t="shared" si="303"/>
        <v>0</v>
      </c>
      <c r="X335" s="43">
        <f t="shared" si="303"/>
        <v>0</v>
      </c>
      <c r="Y335" s="43">
        <f t="shared" si="303"/>
        <v>149.21928445842948</v>
      </c>
      <c r="Z335" s="43">
        <f t="shared" si="303"/>
        <v>291.97239992366036</v>
      </c>
      <c r="AA335" s="3"/>
      <c r="AB335" s="43">
        <f t="shared" ref="AB335:AF339" si="304">IF($J335 = 0, 0, IF(OR($H335&gt;AB$59,$H335+$J335&lt;AB$59),0,
IF(OR($H335=2020,$H335=2021),VDB(ABS($S335)*$F$28,0,$T335,AB$59-2022,MIN($T335,AB$59-2021),1),
VDB(ABS($S335)*$F$28,0,$T335,MAX(0,AB$59-$H335-0.5),MIN($T335,AB$59-$H335+0.5),1))))*IF($F335&lt;0,-1,1)</f>
        <v>0</v>
      </c>
      <c r="AC335" s="43">
        <f t="shared" si="304"/>
        <v>0</v>
      </c>
      <c r="AD335" s="43">
        <f t="shared" si="304"/>
        <v>0</v>
      </c>
      <c r="AE335" s="43">
        <f t="shared" si="304"/>
        <v>12.753784996446964</v>
      </c>
      <c r="AF335" s="43">
        <f t="shared" si="304"/>
        <v>25.507569992893927</v>
      </c>
      <c r="AG335" s="3"/>
      <c r="AH335" s="43">
        <f t="shared" ref="AH335:AH339" si="305">V335+AB335</f>
        <v>0</v>
      </c>
      <c r="AI335" s="43">
        <f t="shared" ref="AI335:AI339" si="306">W335+AC335</f>
        <v>0</v>
      </c>
      <c r="AJ335" s="43">
        <f t="shared" ref="AJ335:AJ339" si="307">X335+AD335</f>
        <v>0</v>
      </c>
      <c r="AK335" s="43">
        <f t="shared" ref="AK335:AK339" si="308">Y335+AE335</f>
        <v>161.97306945487645</v>
      </c>
      <c r="AL335" s="43">
        <f t="shared" ref="AL335:AL339" si="309">Z335+AF335</f>
        <v>317.4799699165543</v>
      </c>
      <c r="AM335" s="3"/>
      <c r="AN335" s="43">
        <f t="shared" ref="AN335:AN339" si="310">IF($J335=0,IF($H335 &gt; AN$215, 0,$S335),IF(OR($H335&gt;AN$59,$H335+$J335&lt;=AN$59),0,
IF($H335=AN$59,$S335-AH335,
S335-AH335)))</f>
        <v>0</v>
      </c>
      <c r="AO335" s="43">
        <f t="shared" ref="AO335:AO339" si="311">IF($J335 = 0, IF($H335 &gt; AO$215, 0, IF($H335=AO$215, $F335, AN335)), IF(OR($H335&gt;AO$59,$H335+$J335&lt;=AO$59),0,
IF($H335=AO$59,$S335-AI335,
AN335-AI335)))</f>
        <v>0</v>
      </c>
      <c r="AP335" s="43">
        <f t="shared" ref="AP335:AP339" si="312">IF($J335 = 0, IF($H335 &gt; AP$215, 0, IF($H335=AP$215, $F335, AO335)), IF(OR($H335&gt;AP$59,$H335+$J335&lt;=AP$59),0,
IF($H335=AP$59,$S335-AJ335,
AO335-AJ335)))</f>
        <v>0</v>
      </c>
      <c r="AQ335" s="43">
        <f t="shared" ref="AQ335:AQ339" si="313">IF($J335 = 0, IF($H335 &gt; AQ$215, 0, IF($H335=AQ$215, $F335, AP335)), IF(OR($H335&gt;AQ$59,$H335+$J335&lt;=AQ$59),0,
IF($H335=AQ$59,$S335-AK335,
AP335-AK335)))</f>
        <v>7490.2979284133016</v>
      </c>
      <c r="AR335" s="43">
        <f t="shared" ref="AR335:AR339" si="314">IF($J335 = 0, IF($H335 &gt; AR$215, 0, IF($H335=AR$215, $F335, AQ335)), IF(OR($H335&gt;AR$59,$H335+$J335&lt;=AR$59),0,
IF($H335=AR$59,$S335-AL335,
AQ335-AL335)))</f>
        <v>7172.8179584967475</v>
      </c>
      <c r="AS335" s="3"/>
      <c r="AT335" s="43">
        <f t="shared" ref="AT335:AX339" si="315">IF($H335&lt;=AT$215,$F335*INDEX($H$40:$N$46,$H335-2019,AT$215-2019)*INDEX($H$49:$N$55,$H335-2019,AT$215-2019)*$F$19,0)</f>
        <v>0</v>
      </c>
      <c r="AU335" s="43">
        <f t="shared" si="315"/>
        <v>0</v>
      </c>
      <c r="AV335" s="43">
        <f t="shared" si="315"/>
        <v>0</v>
      </c>
      <c r="AW335" s="43">
        <f t="shared" si="315"/>
        <v>76.522709978681775</v>
      </c>
      <c r="AX335" s="43">
        <f t="shared" si="315"/>
        <v>79.112850666040202</v>
      </c>
      <c r="AY335" s="3"/>
      <c r="AZ335" s="47">
        <f t="shared" ref="AZ335:AZ339" si="316">AH335+AN335*J$16+AT335</f>
        <v>0</v>
      </c>
      <c r="BA335" s="47">
        <f t="shared" ref="BA335:BA339" si="317">AI335+AO335*K$16+AU335</f>
        <v>0</v>
      </c>
      <c r="BB335" s="47">
        <f t="shared" ref="BB335:BB339" si="318">AJ335+AP335*L$16+AV335</f>
        <v>0</v>
      </c>
      <c r="BC335" s="47">
        <f t="shared" ref="BC335:BC339" si="319">AK335+AQ335*M$16+AW335</f>
        <v>523.12710071326364</v>
      </c>
      <c r="BD335" s="47">
        <f t="shared" ref="BD335:BD339" si="320">AL335+AR335*N$16+AX335</f>
        <v>669.15990300547094</v>
      </c>
    </row>
    <row r="336" spans="2:56" s="227" customFormat="1" ht="13">
      <c r="B336" s="37">
        <f>'12. Investeringen (bijschatten)'!B139</f>
        <v>120</v>
      </c>
      <c r="C336" s="48"/>
      <c r="D336" s="3"/>
      <c r="E336" s="48"/>
      <c r="F336" s="167">
        <f>'12. Investeringen (bijschatten)'!C139</f>
        <v>1515298.3484208267</v>
      </c>
      <c r="G336" s="3"/>
      <c r="H336" s="37">
        <f>'12. Investeringen (bijschatten)'!D139</f>
        <v>2025</v>
      </c>
      <c r="I336" s="37" t="str">
        <f>'12. Investeringen (bijschatten)'!E139</f>
        <v>34 Reduceerstations</v>
      </c>
      <c r="J336" s="167">
        <f>_xlfn.XLOOKUP(I336,'3. Input (des)investeringen '!$B$11:$B$89,'3. Input (des)investeringen '!$D$11:$D$89)</f>
        <v>30</v>
      </c>
      <c r="M336" s="43">
        <f t="shared" si="297"/>
        <v>0</v>
      </c>
      <c r="N336" s="43">
        <f t="shared" si="298"/>
        <v>0</v>
      </c>
      <c r="O336" s="3"/>
      <c r="P336" s="136">
        <f t="shared" si="299"/>
        <v>0</v>
      </c>
      <c r="Q336" s="136">
        <f t="shared" si="300"/>
        <v>0</v>
      </c>
      <c r="R336" s="3"/>
      <c r="S336" s="43">
        <f t="shared" si="301"/>
        <v>1515298.3484208267</v>
      </c>
      <c r="T336" s="38">
        <f t="shared" si="302"/>
        <v>30</v>
      </c>
      <c r="U336" s="3"/>
      <c r="V336" s="43">
        <f t="shared" si="303"/>
        <v>0</v>
      </c>
      <c r="W336" s="43">
        <f t="shared" si="303"/>
        <v>0</v>
      </c>
      <c r="X336" s="43">
        <f t="shared" si="303"/>
        <v>0</v>
      </c>
      <c r="Y336" s="43">
        <f t="shared" si="303"/>
        <v>29548.317794206123</v>
      </c>
      <c r="Z336" s="43">
        <f t="shared" si="303"/>
        <v>57816.208483996648</v>
      </c>
      <c r="AA336" s="3"/>
      <c r="AB336" s="43">
        <f t="shared" si="304"/>
        <v>0</v>
      </c>
      <c r="AC336" s="43">
        <f t="shared" si="304"/>
        <v>0</v>
      </c>
      <c r="AD336" s="43">
        <f t="shared" si="304"/>
        <v>0</v>
      </c>
      <c r="AE336" s="43">
        <f t="shared" si="304"/>
        <v>2525.4972473680446</v>
      </c>
      <c r="AF336" s="43">
        <f t="shared" si="304"/>
        <v>5050.9944947360891</v>
      </c>
      <c r="AG336" s="3"/>
      <c r="AH336" s="43">
        <f t="shared" si="305"/>
        <v>0</v>
      </c>
      <c r="AI336" s="43">
        <f t="shared" si="306"/>
        <v>0</v>
      </c>
      <c r="AJ336" s="43">
        <f t="shared" si="307"/>
        <v>0</v>
      </c>
      <c r="AK336" s="43">
        <f t="shared" si="308"/>
        <v>32073.815041574169</v>
      </c>
      <c r="AL336" s="43">
        <f t="shared" si="309"/>
        <v>62867.202978732734</v>
      </c>
      <c r="AM336" s="3"/>
      <c r="AN336" s="43">
        <f t="shared" si="310"/>
        <v>0</v>
      </c>
      <c r="AO336" s="43">
        <f t="shared" si="311"/>
        <v>0</v>
      </c>
      <c r="AP336" s="43">
        <f t="shared" si="312"/>
        <v>0</v>
      </c>
      <c r="AQ336" s="43">
        <f t="shared" si="313"/>
        <v>1483224.5333792525</v>
      </c>
      <c r="AR336" s="43">
        <f t="shared" si="314"/>
        <v>1420357.3304005198</v>
      </c>
      <c r="AS336" s="3"/>
      <c r="AT336" s="43">
        <f t="shared" si="315"/>
        <v>0</v>
      </c>
      <c r="AU336" s="43">
        <f t="shared" si="315"/>
        <v>0</v>
      </c>
      <c r="AV336" s="43">
        <f t="shared" si="315"/>
        <v>0</v>
      </c>
      <c r="AW336" s="43">
        <f t="shared" si="315"/>
        <v>15152.983484208267</v>
      </c>
      <c r="AX336" s="43">
        <f t="shared" si="315"/>
        <v>15665.881669181748</v>
      </c>
      <c r="AY336" s="3"/>
      <c r="AZ336" s="47">
        <f t="shared" si="316"/>
        <v>0</v>
      </c>
      <c r="BA336" s="47">
        <f t="shared" si="317"/>
        <v>0</v>
      </c>
      <c r="BB336" s="47">
        <f t="shared" si="318"/>
        <v>0</v>
      </c>
      <c r="BC336" s="47">
        <f t="shared" si="319"/>
        <v>103589.33079419403</v>
      </c>
      <c r="BD336" s="47">
        <f t="shared" si="320"/>
        <v>132506.66320313423</v>
      </c>
    </row>
    <row r="337" spans="1:56" s="227" customFormat="1" ht="13">
      <c r="B337" s="37">
        <f>'12. Investeringen (bijschatten)'!B140</f>
        <v>121</v>
      </c>
      <c r="C337" s="48"/>
      <c r="D337" s="3"/>
      <c r="E337" s="48"/>
      <c r="F337" s="167">
        <f>'12. Investeringen (bijschatten)'!C140</f>
        <v>221.45402760640519</v>
      </c>
      <c r="G337" s="3"/>
      <c r="H337" s="37">
        <f>'12. Investeringen (bijschatten)'!D140</f>
        <v>2025</v>
      </c>
      <c r="I337" s="37" t="str">
        <f>'12. Investeringen (bijschatten)'!E140</f>
        <v>35 Injectiestations</v>
      </c>
      <c r="J337" s="167">
        <f>_xlfn.XLOOKUP(I337,'3. Input (des)investeringen '!$B$11:$B$89,'3. Input (des)investeringen '!$D$11:$D$89)</f>
        <v>30</v>
      </c>
      <c r="M337" s="43">
        <f t="shared" si="297"/>
        <v>0</v>
      </c>
      <c r="N337" s="43">
        <f t="shared" si="298"/>
        <v>0</v>
      </c>
      <c r="O337" s="3"/>
      <c r="P337" s="136">
        <f t="shared" si="299"/>
        <v>0</v>
      </c>
      <c r="Q337" s="136">
        <f t="shared" si="300"/>
        <v>0</v>
      </c>
      <c r="R337" s="3"/>
      <c r="S337" s="43">
        <f t="shared" si="301"/>
        <v>221.45402760640519</v>
      </c>
      <c r="T337" s="38">
        <f t="shared" si="302"/>
        <v>30</v>
      </c>
      <c r="U337" s="3"/>
      <c r="V337" s="43">
        <f t="shared" si="303"/>
        <v>0</v>
      </c>
      <c r="W337" s="43">
        <f t="shared" si="303"/>
        <v>0</v>
      </c>
      <c r="X337" s="43">
        <f t="shared" si="303"/>
        <v>0</v>
      </c>
      <c r="Y337" s="43">
        <f t="shared" si="303"/>
        <v>4.3183535383249012</v>
      </c>
      <c r="Z337" s="43">
        <f t="shared" si="303"/>
        <v>8.4495784233223912</v>
      </c>
      <c r="AA337" s="3"/>
      <c r="AB337" s="43">
        <f t="shared" si="304"/>
        <v>0</v>
      </c>
      <c r="AC337" s="43">
        <f t="shared" si="304"/>
        <v>0</v>
      </c>
      <c r="AD337" s="43">
        <f t="shared" si="304"/>
        <v>0</v>
      </c>
      <c r="AE337" s="43">
        <f t="shared" si="304"/>
        <v>0.36909004601067535</v>
      </c>
      <c r="AF337" s="43">
        <f t="shared" si="304"/>
        <v>0.73818009202135071</v>
      </c>
      <c r="AG337" s="3"/>
      <c r="AH337" s="43">
        <f t="shared" si="305"/>
        <v>0</v>
      </c>
      <c r="AI337" s="43">
        <f t="shared" si="306"/>
        <v>0</v>
      </c>
      <c r="AJ337" s="43">
        <f t="shared" si="307"/>
        <v>0</v>
      </c>
      <c r="AK337" s="43">
        <f t="shared" si="308"/>
        <v>4.6874435843355764</v>
      </c>
      <c r="AL337" s="43">
        <f t="shared" si="309"/>
        <v>9.1877585153437415</v>
      </c>
      <c r="AM337" s="3"/>
      <c r="AN337" s="43">
        <f t="shared" si="310"/>
        <v>0</v>
      </c>
      <c r="AO337" s="43">
        <f t="shared" si="311"/>
        <v>0</v>
      </c>
      <c r="AP337" s="43">
        <f t="shared" si="312"/>
        <v>0</v>
      </c>
      <c r="AQ337" s="43">
        <f t="shared" si="313"/>
        <v>216.76658402206962</v>
      </c>
      <c r="AR337" s="43">
        <f t="shared" si="314"/>
        <v>207.57882550672588</v>
      </c>
      <c r="AS337" s="3"/>
      <c r="AT337" s="43">
        <f t="shared" si="315"/>
        <v>0</v>
      </c>
      <c r="AU337" s="43">
        <f t="shared" si="315"/>
        <v>0</v>
      </c>
      <c r="AV337" s="43">
        <f t="shared" si="315"/>
        <v>0</v>
      </c>
      <c r="AW337" s="43">
        <f t="shared" si="315"/>
        <v>2.214540276064052</v>
      </c>
      <c r="AX337" s="43">
        <f t="shared" si="315"/>
        <v>2.2894980353282679</v>
      </c>
      <c r="AY337" s="3"/>
      <c r="AZ337" s="47">
        <f t="shared" si="316"/>
        <v>0</v>
      </c>
      <c r="BA337" s="47">
        <f t="shared" si="317"/>
        <v>0</v>
      </c>
      <c r="BB337" s="47">
        <f t="shared" si="318"/>
        <v>0</v>
      </c>
      <c r="BC337" s="47">
        <f t="shared" si="319"/>
        <v>15.139114053238274</v>
      </c>
      <c r="BD337" s="47">
        <f t="shared" si="320"/>
        <v>19.365251919927594</v>
      </c>
    </row>
    <row r="338" spans="1:56" s="227" customFormat="1" ht="13">
      <c r="B338" s="37">
        <f>'12. Investeringen (bijschatten)'!B141</f>
        <v>122</v>
      </c>
      <c r="C338" s="48"/>
      <c r="D338" s="3"/>
      <c r="E338" s="48"/>
      <c r="F338" s="167">
        <f>'12. Investeringen (bijschatten)'!C141</f>
        <v>3130803.2248994284</v>
      </c>
      <c r="G338" s="3"/>
      <c r="H338" s="37">
        <f>'12. Investeringen (bijschatten)'!D141</f>
        <v>2025</v>
      </c>
      <c r="I338" s="37" t="str">
        <f>'12. Investeringen (bijschatten)'!E141</f>
        <v>36 Luchtscheidingsunit</v>
      </c>
      <c r="J338" s="167">
        <f>_xlfn.XLOOKUP(I338,'3. Input (des)investeringen '!$B$11:$B$89,'3. Input (des)investeringen '!$D$11:$D$89)</f>
        <v>30</v>
      </c>
      <c r="M338" s="43">
        <f t="shared" si="297"/>
        <v>0</v>
      </c>
      <c r="N338" s="43">
        <f t="shared" si="298"/>
        <v>0</v>
      </c>
      <c r="O338" s="3"/>
      <c r="P338" s="136">
        <f t="shared" si="299"/>
        <v>0</v>
      </c>
      <c r="Q338" s="136">
        <f t="shared" si="300"/>
        <v>0</v>
      </c>
      <c r="R338" s="3"/>
      <c r="S338" s="43">
        <f t="shared" si="301"/>
        <v>3130803.2248994284</v>
      </c>
      <c r="T338" s="38">
        <f t="shared" si="302"/>
        <v>30</v>
      </c>
      <c r="U338" s="3"/>
      <c r="V338" s="43">
        <f t="shared" si="303"/>
        <v>0</v>
      </c>
      <c r="W338" s="43">
        <f t="shared" si="303"/>
        <v>0</v>
      </c>
      <c r="X338" s="43">
        <f t="shared" si="303"/>
        <v>0</v>
      </c>
      <c r="Y338" s="43">
        <f t="shared" si="303"/>
        <v>61050.662885538855</v>
      </c>
      <c r="Z338" s="43">
        <f t="shared" si="303"/>
        <v>119455.7970460377</v>
      </c>
      <c r="AA338" s="3"/>
      <c r="AB338" s="43">
        <f t="shared" si="304"/>
        <v>0</v>
      </c>
      <c r="AC338" s="43">
        <f t="shared" si="304"/>
        <v>0</v>
      </c>
      <c r="AD338" s="43">
        <f t="shared" si="304"/>
        <v>0</v>
      </c>
      <c r="AE338" s="43">
        <f t="shared" si="304"/>
        <v>5218.0053748323808</v>
      </c>
      <c r="AF338" s="43">
        <f t="shared" si="304"/>
        <v>10436.010749664762</v>
      </c>
      <c r="AG338" s="3"/>
      <c r="AH338" s="43">
        <f t="shared" si="305"/>
        <v>0</v>
      </c>
      <c r="AI338" s="43">
        <f t="shared" si="306"/>
        <v>0</v>
      </c>
      <c r="AJ338" s="43">
        <f t="shared" si="307"/>
        <v>0</v>
      </c>
      <c r="AK338" s="43">
        <f t="shared" si="308"/>
        <v>66268.66826037124</v>
      </c>
      <c r="AL338" s="43">
        <f t="shared" si="309"/>
        <v>129891.80779570245</v>
      </c>
      <c r="AM338" s="3"/>
      <c r="AN338" s="43">
        <f t="shared" si="310"/>
        <v>0</v>
      </c>
      <c r="AO338" s="43">
        <f t="shared" si="311"/>
        <v>0</v>
      </c>
      <c r="AP338" s="43">
        <f t="shared" si="312"/>
        <v>0</v>
      </c>
      <c r="AQ338" s="43">
        <f t="shared" si="313"/>
        <v>3064534.5566390571</v>
      </c>
      <c r="AR338" s="43">
        <f t="shared" si="314"/>
        <v>2934642.7488433546</v>
      </c>
      <c r="AS338" s="3"/>
      <c r="AT338" s="43">
        <f t="shared" si="315"/>
        <v>0</v>
      </c>
      <c r="AU338" s="43">
        <f t="shared" si="315"/>
        <v>0</v>
      </c>
      <c r="AV338" s="43">
        <f t="shared" si="315"/>
        <v>0</v>
      </c>
      <c r="AW338" s="43">
        <f t="shared" si="315"/>
        <v>31308.032248994285</v>
      </c>
      <c r="AX338" s="43">
        <f t="shared" si="315"/>
        <v>32367.746524558239</v>
      </c>
      <c r="AY338" s="3"/>
      <c r="AZ338" s="47">
        <f t="shared" si="316"/>
        <v>0</v>
      </c>
      <c r="BA338" s="47">
        <f t="shared" si="317"/>
        <v>0</v>
      </c>
      <c r="BB338" s="47">
        <f t="shared" si="318"/>
        <v>0</v>
      </c>
      <c r="BC338" s="47">
        <f t="shared" si="319"/>
        <v>214029.01366164969</v>
      </c>
      <c r="BD338" s="47">
        <f t="shared" si="320"/>
        <v>273775.97877630818</v>
      </c>
    </row>
    <row r="339" spans="1:56" s="227" customFormat="1" ht="13">
      <c r="B339" s="37">
        <f>'12. Investeringen (bijschatten)'!B142</f>
        <v>123</v>
      </c>
      <c r="C339" s="48"/>
      <c r="D339" s="3"/>
      <c r="E339" s="48"/>
      <c r="F339" s="167">
        <f>'12. Investeringen (bijschatten)'!C142</f>
        <v>-7007442.2366909012</v>
      </c>
      <c r="G339" s="3"/>
      <c r="H339" s="37">
        <f>'12. Investeringen (bijschatten)'!D142</f>
        <v>2025</v>
      </c>
      <c r="I339" s="37" t="str">
        <f>'12. Investeringen (bijschatten)'!E142</f>
        <v>42 Vulgas</v>
      </c>
      <c r="J339" s="167">
        <f>_xlfn.XLOOKUP(I339,'3. Input (des)investeringen '!$B$11:$B$89,'3. Input (des)investeringen '!$D$11:$D$89)</f>
        <v>0</v>
      </c>
      <c r="M339" s="43">
        <f t="shared" si="297"/>
        <v>0</v>
      </c>
      <c r="N339" s="43">
        <f t="shared" si="298"/>
        <v>0</v>
      </c>
      <c r="O339" s="3"/>
      <c r="P339" s="136">
        <f t="shared" si="299"/>
        <v>0</v>
      </c>
      <c r="Q339" s="136">
        <f t="shared" si="300"/>
        <v>0</v>
      </c>
      <c r="R339" s="3"/>
      <c r="S339" s="43">
        <f t="shared" si="301"/>
        <v>-7007442.2366909012</v>
      </c>
      <c r="T339" s="38">
        <f t="shared" si="302"/>
        <v>0</v>
      </c>
      <c r="U339" s="3"/>
      <c r="V339" s="43">
        <f t="shared" si="303"/>
        <v>0</v>
      </c>
      <c r="W339" s="43">
        <f t="shared" si="303"/>
        <v>0</v>
      </c>
      <c r="X339" s="43">
        <f t="shared" si="303"/>
        <v>0</v>
      </c>
      <c r="Y339" s="43">
        <f t="shared" si="303"/>
        <v>0</v>
      </c>
      <c r="Z339" s="43">
        <f t="shared" si="303"/>
        <v>0</v>
      </c>
      <c r="AA339" s="3"/>
      <c r="AB339" s="43">
        <f t="shared" si="304"/>
        <v>0</v>
      </c>
      <c r="AC339" s="43">
        <f t="shared" si="304"/>
        <v>0</v>
      </c>
      <c r="AD339" s="43">
        <f t="shared" si="304"/>
        <v>0</v>
      </c>
      <c r="AE339" s="43">
        <f t="shared" si="304"/>
        <v>0</v>
      </c>
      <c r="AF339" s="43">
        <f t="shared" si="304"/>
        <v>0</v>
      </c>
      <c r="AG339" s="3"/>
      <c r="AH339" s="43">
        <f t="shared" si="305"/>
        <v>0</v>
      </c>
      <c r="AI339" s="43">
        <f t="shared" si="306"/>
        <v>0</v>
      </c>
      <c r="AJ339" s="43">
        <f t="shared" si="307"/>
        <v>0</v>
      </c>
      <c r="AK339" s="43">
        <f t="shared" si="308"/>
        <v>0</v>
      </c>
      <c r="AL339" s="43">
        <f t="shared" si="309"/>
        <v>0</v>
      </c>
      <c r="AM339" s="3"/>
      <c r="AN339" s="43">
        <f t="shared" si="310"/>
        <v>0</v>
      </c>
      <c r="AO339" s="43">
        <f t="shared" si="311"/>
        <v>0</v>
      </c>
      <c r="AP339" s="43">
        <f t="shared" si="312"/>
        <v>0</v>
      </c>
      <c r="AQ339" s="43">
        <f t="shared" si="313"/>
        <v>-7007442.2366909012</v>
      </c>
      <c r="AR339" s="43">
        <f t="shared" si="314"/>
        <v>-7007442.2366909012</v>
      </c>
      <c r="AS339" s="3"/>
      <c r="AT339" s="43">
        <f t="shared" si="315"/>
        <v>0</v>
      </c>
      <c r="AU339" s="43">
        <f t="shared" si="315"/>
        <v>0</v>
      </c>
      <c r="AV339" s="43">
        <f t="shared" si="315"/>
        <v>0</v>
      </c>
      <c r="AW339" s="43">
        <f t="shared" si="315"/>
        <v>-70074.422366909013</v>
      </c>
      <c r="AX339" s="43">
        <f t="shared" si="315"/>
        <v>-72446.301415184149</v>
      </c>
      <c r="AY339" s="3"/>
      <c r="AZ339" s="47">
        <f t="shared" si="316"/>
        <v>0</v>
      </c>
      <c r="BA339" s="47">
        <f t="shared" si="317"/>
        <v>0</v>
      </c>
      <c r="BB339" s="47">
        <f t="shared" si="318"/>
        <v>0</v>
      </c>
      <c r="BC339" s="47">
        <f t="shared" si="319"/>
        <v>-336357.22736116324</v>
      </c>
      <c r="BD339" s="47">
        <f t="shared" si="320"/>
        <v>-338729.10640943842</v>
      </c>
    </row>
    <row r="340" spans="1:56" ht="13.5" customHeight="1">
      <c r="A340" s="227"/>
      <c r="C340" s="48"/>
      <c r="E340" s="48"/>
      <c r="F340" s="153"/>
      <c r="AR340" s="88"/>
    </row>
    <row r="341" spans="1:56" s="33" customFormat="1" ht="13">
      <c r="A341" s="96"/>
      <c r="B341" s="33" t="s">
        <v>882</v>
      </c>
      <c r="J341" s="33" t="s">
        <v>878</v>
      </c>
    </row>
    <row r="342" spans="1:56" s="34" customFormat="1" ht="13">
      <c r="A342" s="97"/>
      <c r="D342" s="35" t="s">
        <v>879</v>
      </c>
      <c r="J342" s="99">
        <v>2022</v>
      </c>
      <c r="K342" s="99">
        <v>2023</v>
      </c>
      <c r="L342" s="99">
        <v>2024</v>
      </c>
      <c r="M342" s="99">
        <v>2025</v>
      </c>
      <c r="N342" s="99">
        <v>2026</v>
      </c>
    </row>
    <row r="343" spans="1:56" ht="13">
      <c r="C343" s="48"/>
      <c r="E343" s="48"/>
      <c r="AR343" s="88"/>
    </row>
    <row r="344" spans="1:56" ht="13">
      <c r="B344" s="3" t="s">
        <v>883</v>
      </c>
      <c r="C344" s="48"/>
      <c r="D344" s="3">
        <v>2020</v>
      </c>
      <c r="E344" s="48"/>
      <c r="J344" s="47">
        <f t="shared" ref="J344:N346" si="321">SUMIFS(AZ$217:AZ$339, $H$217:$H$339,$D344)</f>
        <v>9233560.7003606651</v>
      </c>
      <c r="K344" s="47">
        <f t="shared" si="321"/>
        <v>8555993.2364601251</v>
      </c>
      <c r="L344" s="47">
        <f t="shared" si="321"/>
        <v>8778487.873406047</v>
      </c>
      <c r="M344" s="47">
        <f t="shared" si="321"/>
        <v>8193399.1175383404</v>
      </c>
      <c r="N344" s="47">
        <f t="shared" si="321"/>
        <v>7644008.4104809426</v>
      </c>
      <c r="P344" s="5"/>
      <c r="AR344" s="88"/>
    </row>
    <row r="345" spans="1:56" ht="13">
      <c r="B345" s="3" t="s">
        <v>883</v>
      </c>
      <c r="C345" s="48"/>
      <c r="D345" s="3">
        <v>2021</v>
      </c>
      <c r="E345" s="48"/>
      <c r="J345" s="47">
        <f t="shared" si="321"/>
        <v>8497419.0957247205</v>
      </c>
      <c r="K345" s="47">
        <f t="shared" si="321"/>
        <v>7585714.20728698</v>
      </c>
      <c r="L345" s="47">
        <f t="shared" si="321"/>
        <v>7687390.3961598752</v>
      </c>
      <c r="M345" s="47">
        <f t="shared" si="321"/>
        <v>7485666.0735283894</v>
      </c>
      <c r="N345" s="47">
        <f t="shared" si="321"/>
        <v>6597119.75333496</v>
      </c>
      <c r="AR345" s="88"/>
    </row>
    <row r="346" spans="1:56" ht="13">
      <c r="B346" s="3" t="s">
        <v>883</v>
      </c>
      <c r="C346" s="48"/>
      <c r="D346" s="3">
        <v>2022</v>
      </c>
      <c r="E346" s="48"/>
      <c r="J346" s="47">
        <f t="shared" si="321"/>
        <v>4782494.0361667611</v>
      </c>
      <c r="K346" s="47">
        <f t="shared" si="321"/>
        <v>5962998.5874395613</v>
      </c>
      <c r="L346" s="47">
        <f t="shared" si="321"/>
        <v>6213032.0444317097</v>
      </c>
      <c r="M346" s="47">
        <f t="shared" si="321"/>
        <v>6054783.3855633335</v>
      </c>
      <c r="N346" s="47">
        <f t="shared" si="321"/>
        <v>5919429.8624747666</v>
      </c>
      <c r="AR346" s="88"/>
    </row>
    <row r="347" spans="1:56" ht="13">
      <c r="B347" s="3" t="s">
        <v>883</v>
      </c>
      <c r="C347" s="48"/>
      <c r="D347" s="3">
        <v>2023</v>
      </c>
      <c r="E347" s="48"/>
      <c r="J347" s="95"/>
      <c r="K347" s="47">
        <f>SUMIFS(BA$217:BA$339, $H$217:$H$339,$D347)</f>
        <v>3602822.9773279438</v>
      </c>
      <c r="L347" s="47">
        <f>SUMIFS(BB$217:BB$339, $H$217:$H$339,$D347)</f>
        <v>4804946.7147781905</v>
      </c>
      <c r="M347" s="47">
        <f>SUMIFS(BC$217:BC$339, $H$217:$H$339,$D347)</f>
        <v>4699913.7718138332</v>
      </c>
      <c r="N347" s="47">
        <f>SUMIFS(BD$217:BD$339, $H$217:$H$339,$D347)</f>
        <v>4606438.8534539137</v>
      </c>
      <c r="AR347" s="88"/>
    </row>
    <row r="348" spans="1:56" ht="13">
      <c r="B348" s="3" t="s">
        <v>883</v>
      </c>
      <c r="C348" s="48"/>
      <c r="D348" s="3">
        <v>2024</v>
      </c>
      <c r="E348" s="48"/>
      <c r="J348" s="95"/>
      <c r="K348" s="95"/>
      <c r="L348" s="47">
        <f>SUMIFS(BB$217:BB$339, $H$217:$H$339,$D348)</f>
        <v>5899286.5445526922</v>
      </c>
      <c r="M348" s="47">
        <f>SUMIFS(BC$217:BC$339, $H$217:$H$339,$D348)</f>
        <v>7279687.9881038954</v>
      </c>
      <c r="N348" s="47">
        <f>SUMIFS(BD$217:BD$339, $H$217:$H$339,$D348)</f>
        <v>7085480.2243359182</v>
      </c>
      <c r="AR348" s="88"/>
    </row>
    <row r="349" spans="1:56" ht="13">
      <c r="B349" s="3" t="s">
        <v>883</v>
      </c>
      <c r="C349" s="48"/>
      <c r="D349" s="3">
        <v>2025</v>
      </c>
      <c r="E349" s="48"/>
      <c r="J349" s="95"/>
      <c r="K349" s="95"/>
      <c r="L349" s="95"/>
      <c r="M349" s="47">
        <f>SUMIFS(BC$217:BC$339, $H$217:$H$339,$D349)</f>
        <v>6998868.2382917339</v>
      </c>
      <c r="N349" s="47">
        <f>SUMIFS(BD$217:BD$339, $H$217:$H$339,$D349)</f>
        <v>8637747.8544522878</v>
      </c>
      <c r="AR349" s="88"/>
    </row>
    <row r="350" spans="1:56" ht="13">
      <c r="B350" s="3" t="s">
        <v>883</v>
      </c>
      <c r="C350" s="48"/>
      <c r="D350" s="3">
        <v>2026</v>
      </c>
      <c r="E350" s="48"/>
      <c r="J350" s="95"/>
      <c r="K350" s="95"/>
      <c r="L350" s="95"/>
      <c r="M350" s="95"/>
      <c r="N350" s="95"/>
      <c r="AR350" s="88"/>
    </row>
    <row r="352" spans="1:56" s="8" customFormat="1" ht="13">
      <c r="A352" s="148"/>
      <c r="B352" s="8" t="s">
        <v>884</v>
      </c>
      <c r="D352" s="8" t="s">
        <v>184</v>
      </c>
      <c r="J352" s="46">
        <v>2022</v>
      </c>
      <c r="K352" s="46">
        <v>2023</v>
      </c>
      <c r="L352" s="46">
        <v>2024</v>
      </c>
      <c r="M352" s="46">
        <v>2025</v>
      </c>
      <c r="N352" s="46">
        <v>2026</v>
      </c>
      <c r="O352" s="46">
        <v>2027</v>
      </c>
    </row>
    <row r="354" spans="2:15">
      <c r="B354" s="3" t="s">
        <v>885</v>
      </c>
      <c r="D354" s="3" t="s">
        <v>189</v>
      </c>
      <c r="J354" s="47">
        <f t="shared" ref="J354:N356" si="322">J344-J205</f>
        <v>-12756559.43889554</v>
      </c>
      <c r="K354" s="47">
        <f t="shared" si="322"/>
        <v>-11018374.816815039</v>
      </c>
      <c r="L354" s="47">
        <f t="shared" si="322"/>
        <v>-10839203.388769312</v>
      </c>
      <c r="M354" s="47">
        <f t="shared" si="322"/>
        <v>-9184753.292657651</v>
      </c>
      <c r="N354" s="47">
        <f t="shared" si="322"/>
        <v>-7789752.885051636</v>
      </c>
      <c r="O354" s="95"/>
    </row>
    <row r="355" spans="2:15">
      <c r="B355" s="3" t="s">
        <v>886</v>
      </c>
      <c r="D355" s="3" t="s">
        <v>189</v>
      </c>
      <c r="J355" s="47">
        <f t="shared" si="322"/>
        <v>-13837484.211981896</v>
      </c>
      <c r="K355" s="47">
        <f t="shared" si="322"/>
        <v>-12505574.939146273</v>
      </c>
      <c r="L355" s="47">
        <f t="shared" si="322"/>
        <v>-12477143.420360353</v>
      </c>
      <c r="M355" s="47">
        <f t="shared" si="322"/>
        <v>-11944801.475117594</v>
      </c>
      <c r="N355" s="47">
        <f t="shared" si="322"/>
        <v>-10738764.065285737</v>
      </c>
      <c r="O355" s="95"/>
    </row>
    <row r="356" spans="2:15">
      <c r="B356" s="3" t="s">
        <v>887</v>
      </c>
      <c r="D356" s="3" t="s">
        <v>189</v>
      </c>
      <c r="J356" s="47">
        <f t="shared" si="322"/>
        <v>-11332587.168613983</v>
      </c>
      <c r="K356" s="47">
        <f t="shared" si="322"/>
        <v>-15705466.585948357</v>
      </c>
      <c r="L356" s="47">
        <f t="shared" si="322"/>
        <v>-14925157.671221215</v>
      </c>
      <c r="M356" s="47">
        <f t="shared" si="322"/>
        <v>-14237662.265062112</v>
      </c>
      <c r="N356" s="47">
        <f t="shared" si="322"/>
        <v>-13714084.274515573</v>
      </c>
      <c r="O356" s="95"/>
    </row>
    <row r="357" spans="2:15">
      <c r="B357" s="3" t="s">
        <v>888</v>
      </c>
      <c r="D357" s="3" t="s">
        <v>189</v>
      </c>
      <c r="J357" s="95"/>
      <c r="K357" s="47">
        <f>K347-K208</f>
        <v>-12510056.89822061</v>
      </c>
      <c r="L357" s="47">
        <f>L347-L208</f>
        <v>-18170099.194502197</v>
      </c>
      <c r="M357" s="47">
        <f>M347-M208</f>
        <v>-16632374.35250546</v>
      </c>
      <c r="N357" s="47">
        <f>N347-N208</f>
        <v>-15891143.500042981</v>
      </c>
      <c r="O357" s="95"/>
    </row>
    <row r="358" spans="2:15">
      <c r="B358" s="3" t="s">
        <v>889</v>
      </c>
      <c r="D358" s="3" t="s">
        <v>189</v>
      </c>
      <c r="J358" s="95"/>
      <c r="K358" s="95"/>
      <c r="L358" s="47">
        <f>L348-L209</f>
        <v>-11488590.38723753</v>
      </c>
      <c r="M358" s="47">
        <f>M348-M209</f>
        <v>-15878320.322108783</v>
      </c>
      <c r="N358" s="47">
        <f>N348-N209</f>
        <v>-14428275.80711663</v>
      </c>
      <c r="O358" s="95"/>
    </row>
    <row r="359" spans="2:15">
      <c r="B359" s="3" t="s">
        <v>890</v>
      </c>
      <c r="D359" s="3" t="s">
        <v>189</v>
      </c>
      <c r="J359" s="95"/>
      <c r="K359" s="95"/>
      <c r="L359" s="95"/>
      <c r="M359" s="47">
        <f>M349-M210</f>
        <v>-10613868.717980396</v>
      </c>
      <c r="N359" s="47">
        <f>N349-N210</f>
        <v>-14841975.79848033</v>
      </c>
      <c r="O359" s="95"/>
    </row>
    <row r="360" spans="2:15">
      <c r="B360" s="3" t="s">
        <v>891</v>
      </c>
      <c r="D360" s="3" t="s">
        <v>189</v>
      </c>
      <c r="J360" s="95"/>
      <c r="K360" s="95"/>
      <c r="L360" s="95"/>
      <c r="M360" s="95"/>
      <c r="N360" s="95"/>
      <c r="O360" s="95"/>
    </row>
    <row r="362" spans="2:15">
      <c r="B362" s="3" t="s">
        <v>892</v>
      </c>
      <c r="D362" s="3" t="s">
        <v>189</v>
      </c>
      <c r="J362" s="47">
        <f>J354</f>
        <v>-12756559.43889554</v>
      </c>
      <c r="K362" s="47">
        <f>K354+K355+J355*K33</f>
        <v>-37638183.652182847</v>
      </c>
      <c r="L362" s="43">
        <f>L354+L355+L356+K356*L34+J356*L33</f>
        <v>-66596798.198202893</v>
      </c>
      <c r="M362" s="43">
        <f>SUM(M354:M357)+L357*M35+K357*M34+J357*M33</f>
        <v>-85362788.839800075</v>
      </c>
      <c r="N362" s="47">
        <f>SUM(N354:N358)+M358*N36+L358*N35+K358*N34+J358*N33</f>
        <v>-92141688.170288146</v>
      </c>
      <c r="O362" s="338">
        <f>M359*O36+N359*O37</f>
        <v>-27025999.470454138</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532"/>
  <sheetViews>
    <sheetView showGridLines="0" zoomScale="85" zoomScaleNormal="85" workbookViewId="0">
      <pane xSplit="4" ySplit="11" topLeftCell="E12" activePane="bottomRight" state="frozen"/>
      <selection pane="topRight" activeCell="E1" sqref="E1"/>
      <selection pane="bottomLeft" activeCell="A11" sqref="A11"/>
      <selection pane="bottomRight" activeCell="E12" sqref="E12"/>
    </sheetView>
  </sheetViews>
  <sheetFormatPr defaultColWidth="13.54296875" defaultRowHeight="12.5"/>
  <cols>
    <col min="1" max="1" width="2.54296875" style="3" customWidth="1"/>
    <col min="2" max="2" width="59.81640625" style="3" customWidth="1"/>
    <col min="3" max="3" width="2.54296875" style="3" customWidth="1"/>
    <col min="4" max="4" width="36.453125" style="3" customWidth="1"/>
    <col min="5" max="5" width="2.54296875" style="3" customWidth="1"/>
    <col min="6" max="6" width="27.1796875" style="3" bestFit="1" customWidth="1"/>
    <col min="7" max="7" width="29" style="3" bestFit="1" customWidth="1"/>
    <col min="8" max="8" width="23.1796875" style="3" customWidth="1"/>
    <col min="9" max="9" width="31.1796875" style="3" customWidth="1"/>
    <col min="10" max="11" width="23.1796875" style="3" customWidth="1"/>
    <col min="12" max="12" width="15.54296875" style="3" customWidth="1"/>
    <col min="13" max="13" width="21.453125" style="3" customWidth="1"/>
    <col min="14" max="14" width="33.54296875" style="3" bestFit="1" customWidth="1"/>
    <col min="15" max="15" width="2.54296875" style="3" customWidth="1"/>
    <col min="16" max="17" width="14.453125" style="3" customWidth="1"/>
    <col min="18" max="18" width="15" style="3" customWidth="1"/>
    <col min="19" max="19" width="15.54296875" style="3" customWidth="1"/>
    <col min="20" max="20" width="13.54296875" style="3" customWidth="1"/>
    <col min="21" max="21" width="2.54296875" style="3" customWidth="1"/>
    <col min="22" max="22" width="12.54296875" style="3" customWidth="1"/>
    <col min="23" max="26" width="15.54296875" style="3" customWidth="1"/>
    <col min="27" max="27" width="2.54296875" style="3" customWidth="1"/>
    <col min="28" max="28" width="13.453125" style="3" customWidth="1"/>
    <col min="29" max="32" width="15.54296875" style="3" customWidth="1"/>
    <col min="33" max="33" width="2.54296875" style="3" customWidth="1"/>
    <col min="34" max="34" width="15" style="3" customWidth="1"/>
    <col min="35" max="38" width="15.54296875" style="3" customWidth="1"/>
    <col min="39" max="39" width="2.54296875" style="3" customWidth="1"/>
    <col min="40" max="40" width="14.1796875" style="3" bestFit="1" customWidth="1"/>
    <col min="41" max="44" width="13.54296875" style="3"/>
    <col min="52" max="52" width="15.54296875" style="3" customWidth="1"/>
    <col min="53" max="16384" width="13.54296875" style="3"/>
  </cols>
  <sheetData>
    <row r="2" spans="1:51" s="12" customFormat="1" ht="18">
      <c r="B2" s="12" t="s">
        <v>893</v>
      </c>
    </row>
    <row r="4" spans="1:51" ht="13">
      <c r="B4" s="16" t="s">
        <v>837</v>
      </c>
    </row>
    <row r="5" spans="1:51" ht="63.65" customHeight="1">
      <c r="B5" s="352" t="s">
        <v>894</v>
      </c>
      <c r="C5" s="352"/>
      <c r="D5" s="352"/>
      <c r="F5" s="183"/>
    </row>
    <row r="7" spans="1:51" ht="13">
      <c r="B7" s="360" t="s">
        <v>839</v>
      </c>
      <c r="C7" s="362"/>
      <c r="D7" s="362"/>
      <c r="F7" s="13"/>
      <c r="AS7" s="3"/>
      <c r="AT7" s="3"/>
      <c r="AU7" s="3"/>
      <c r="AV7" s="3"/>
      <c r="AW7" s="3"/>
      <c r="AX7" s="3"/>
      <c r="AY7" s="3"/>
    </row>
    <row r="8" spans="1:51" ht="67.400000000000006" customHeight="1">
      <c r="B8" s="352" t="s">
        <v>1094</v>
      </c>
      <c r="C8" s="352"/>
      <c r="D8" s="352"/>
      <c r="F8" s="13"/>
      <c r="AS8" s="3"/>
      <c r="AT8" s="3"/>
      <c r="AU8" s="3"/>
      <c r="AV8" s="3"/>
      <c r="AW8" s="3"/>
      <c r="AX8" s="3"/>
      <c r="AY8" s="3"/>
    </row>
    <row r="9" spans="1:51" ht="13.75" customHeight="1">
      <c r="B9" s="337"/>
      <c r="C9" s="337"/>
      <c r="D9" s="337"/>
      <c r="F9" s="13"/>
      <c r="AS9" s="3"/>
      <c r="AT9" s="3"/>
      <c r="AU9" s="3"/>
      <c r="AV9" s="3"/>
      <c r="AW9" s="3"/>
      <c r="AX9" s="3"/>
      <c r="AY9" s="3"/>
    </row>
    <row r="11" spans="1:51" s="8" customFormat="1" ht="13">
      <c r="B11" s="8" t="s">
        <v>143</v>
      </c>
      <c r="H11" s="53"/>
      <c r="I11" s="46"/>
      <c r="J11" s="53"/>
      <c r="K11" s="46"/>
      <c r="L11" s="46"/>
      <c r="M11" s="46"/>
    </row>
    <row r="13" spans="1:51" s="33" customFormat="1" ht="13">
      <c r="A13" s="96"/>
      <c r="B13" s="33" t="s">
        <v>841</v>
      </c>
    </row>
    <row r="14" spans="1:51" s="34" customFormat="1" ht="13">
      <c r="A14" s="97"/>
      <c r="B14" s="34" t="s">
        <v>143</v>
      </c>
      <c r="D14" s="34" t="s">
        <v>184</v>
      </c>
      <c r="F14" s="34" t="s">
        <v>185</v>
      </c>
      <c r="H14" s="99">
        <v>2022</v>
      </c>
      <c r="I14" s="99">
        <v>2023</v>
      </c>
      <c r="J14" s="99">
        <v>2024</v>
      </c>
      <c r="K14" s="99">
        <v>2025</v>
      </c>
      <c r="L14" s="99">
        <v>2026</v>
      </c>
      <c r="M14" s="99">
        <v>2027</v>
      </c>
    </row>
    <row r="15" spans="1:51" s="100" customFormat="1" ht="13">
      <c r="H15" s="101"/>
      <c r="I15" s="102"/>
      <c r="J15" s="101"/>
      <c r="K15" s="102"/>
      <c r="L15" s="102"/>
      <c r="Q15" s="102"/>
      <c r="U15" s="102"/>
      <c r="V15" s="102"/>
      <c r="W15" s="102"/>
      <c r="AA15" s="102"/>
      <c r="AB15" s="102"/>
      <c r="AC15" s="102"/>
    </row>
    <row r="16" spans="1:51" ht="13">
      <c r="B16" s="16" t="s">
        <v>190</v>
      </c>
    </row>
    <row r="17" spans="1:51">
      <c r="B17" s="146" t="s">
        <v>842</v>
      </c>
      <c r="D17" s="3" t="s">
        <v>188</v>
      </c>
      <c r="H17" s="138">
        <f>IF(ISBLANK('2. Parameters'!M23),'2. Parameters'!M19,'2. Parameters'!M23)</f>
        <v>4.1000000000000002E-2</v>
      </c>
      <c r="I17" s="138">
        <f>IF(ISBLANK('2. Parameters'!N23),'2. Parameters'!N19,'2. Parameters'!N23)</f>
        <v>5.0999999999999997E-2</v>
      </c>
      <c r="J17" s="138">
        <f>IF(ISBLANK('2. Parameters'!O23),'2. Parameters'!O19,'2. Parameters'!O23)</f>
        <v>5.0999999999999997E-2</v>
      </c>
      <c r="K17" s="138">
        <f>IF(ISBLANK('2. Parameters'!P23),'2. Parameters'!P19,'2. Parameters'!P23)</f>
        <v>5.5E-2</v>
      </c>
      <c r="L17" s="138">
        <f>IF(ISBLANK('2. Parameters'!Q23),'2. Parameters'!Q19,'2. Parameters'!Q23)</f>
        <v>3.7999999999999999E-2</v>
      </c>
      <c r="M17" s="10"/>
    </row>
    <row r="19" spans="1:51" ht="13">
      <c r="B19" s="16" t="s">
        <v>200</v>
      </c>
    </row>
    <row r="20" spans="1:51">
      <c r="B20" s="3" t="s">
        <v>200</v>
      </c>
      <c r="D20" s="3" t="s">
        <v>188</v>
      </c>
      <c r="F20" s="77">
        <f>'2. Parameters'!F27</f>
        <v>0.01</v>
      </c>
    </row>
    <row r="21" spans="1:51" s="89" customFormat="1">
      <c r="A21" s="3"/>
      <c r="F21" s="104"/>
    </row>
    <row r="22" spans="1:51" s="89" customFormat="1" ht="13">
      <c r="A22" s="3"/>
      <c r="B22" s="105" t="s">
        <v>225</v>
      </c>
      <c r="F22" s="104"/>
    </row>
    <row r="23" spans="1:51">
      <c r="B23" s="3" t="s">
        <v>225</v>
      </c>
      <c r="F23" s="106">
        <f>'2. Parameters'!F83</f>
        <v>1.3</v>
      </c>
    </row>
    <row r="25" spans="1:51" ht="13">
      <c r="B25" s="2" t="s">
        <v>226</v>
      </c>
    </row>
    <row r="26" spans="1:51">
      <c r="B26" s="3" t="s">
        <v>226</v>
      </c>
      <c r="D26" s="3" t="s">
        <v>188</v>
      </c>
      <c r="F26" s="78">
        <f>'2. Parameters'!F87</f>
        <v>0.1</v>
      </c>
    </row>
    <row r="28" spans="1:51" ht="13">
      <c r="B28" s="2" t="s">
        <v>227</v>
      </c>
    </row>
    <row r="29" spans="1:51">
      <c r="B29" s="3" t="s">
        <v>227</v>
      </c>
      <c r="D29" s="3" t="s">
        <v>188</v>
      </c>
      <c r="F29" s="78">
        <f>'2. Parameters'!F91</f>
        <v>0.9</v>
      </c>
    </row>
    <row r="31" spans="1:51" ht="13">
      <c r="B31" s="2" t="s">
        <v>224</v>
      </c>
      <c r="AS31" s="3"/>
      <c r="AT31" s="3"/>
      <c r="AU31" s="3"/>
      <c r="AV31" s="3"/>
      <c r="AW31" s="3"/>
      <c r="AX31" s="3"/>
      <c r="AY31" s="3"/>
    </row>
    <row r="32" spans="1:51">
      <c r="B32" s="3" t="s">
        <v>224</v>
      </c>
      <c r="D32" s="3" t="s">
        <v>188</v>
      </c>
      <c r="F32" s="147">
        <f>'2. Parameters'!F79</f>
        <v>1</v>
      </c>
      <c r="AS32" s="3"/>
      <c r="AT32" s="3"/>
      <c r="AU32" s="3"/>
      <c r="AV32" s="3"/>
      <c r="AW32" s="3"/>
      <c r="AX32" s="3"/>
      <c r="AY32" s="3"/>
    </row>
    <row r="33" spans="2:51">
      <c r="AS33" s="3"/>
      <c r="AT33" s="3"/>
      <c r="AU33" s="3"/>
      <c r="AV33" s="3"/>
      <c r="AW33" s="3"/>
      <c r="AX33" s="3"/>
      <c r="AY33" s="3"/>
    </row>
    <row r="34" spans="2:51" ht="13">
      <c r="B34" s="16" t="s">
        <v>220</v>
      </c>
    </row>
    <row r="35" spans="2:51">
      <c r="B35" s="28" t="s">
        <v>210</v>
      </c>
      <c r="D35" s="3" t="s">
        <v>843</v>
      </c>
      <c r="H35" s="32">
        <f>'2. Parameters'!M71</f>
        <v>1</v>
      </c>
      <c r="I35" s="32">
        <f>'2. Parameters'!N71</f>
        <v>1.02</v>
      </c>
      <c r="J35" s="32">
        <f>'2. Parameters'!O71</f>
        <v>1.0608</v>
      </c>
      <c r="K35" s="32">
        <f>'2. Parameters'!P71</f>
        <v>1.1350560000000001</v>
      </c>
      <c r="L35" s="32">
        <f>'2. Parameters'!Q71</f>
        <v>1.1918088000000002</v>
      </c>
      <c r="M35" s="32">
        <f>'2. Parameters'!R71</f>
        <v>1.2394811520000002</v>
      </c>
    </row>
    <row r="36" spans="2:51">
      <c r="B36" s="28" t="s">
        <v>211</v>
      </c>
      <c r="D36" s="3" t="s">
        <v>843</v>
      </c>
      <c r="H36" s="10"/>
      <c r="I36" s="32">
        <f>'2. Parameters'!N72</f>
        <v>1</v>
      </c>
      <c r="J36" s="32">
        <f>'2. Parameters'!O72</f>
        <v>1.04</v>
      </c>
      <c r="K36" s="32">
        <f>'2. Parameters'!P72</f>
        <v>1.1128</v>
      </c>
      <c r="L36" s="32">
        <f>'2. Parameters'!Q72</f>
        <v>1.1684400000000001</v>
      </c>
      <c r="M36" s="32">
        <f>'2. Parameters'!R72</f>
        <v>1.2151776000000003</v>
      </c>
    </row>
    <row r="37" spans="2:51">
      <c r="B37" s="28" t="s">
        <v>212</v>
      </c>
      <c r="D37" s="3" t="s">
        <v>843</v>
      </c>
      <c r="H37" s="10"/>
      <c r="I37" s="10"/>
      <c r="J37" s="32">
        <f>'2. Parameters'!O73</f>
        <v>1</v>
      </c>
      <c r="K37" s="32">
        <f>'2. Parameters'!P73</f>
        <v>1.07</v>
      </c>
      <c r="L37" s="32">
        <f>'2. Parameters'!Q73</f>
        <v>1.1235000000000002</v>
      </c>
      <c r="M37" s="32">
        <f>'2. Parameters'!R73</f>
        <v>1.1684400000000001</v>
      </c>
    </row>
    <row r="38" spans="2:51">
      <c r="B38" s="28" t="s">
        <v>213</v>
      </c>
      <c r="D38" s="3" t="s">
        <v>843</v>
      </c>
      <c r="H38" s="10"/>
      <c r="I38" s="10"/>
      <c r="J38" s="10"/>
      <c r="K38" s="32">
        <f>'2. Parameters'!P74</f>
        <v>1</v>
      </c>
      <c r="L38" s="32">
        <f>'2. Parameters'!Q74</f>
        <v>1.05</v>
      </c>
      <c r="M38" s="32">
        <f>'2. Parameters'!R74</f>
        <v>1.0920000000000001</v>
      </c>
    </row>
    <row r="39" spans="2:51">
      <c r="B39" s="28" t="s">
        <v>214</v>
      </c>
      <c r="D39" s="3" t="s">
        <v>843</v>
      </c>
      <c r="H39" s="10"/>
      <c r="I39" s="10"/>
      <c r="J39" s="10"/>
      <c r="K39" s="10"/>
      <c r="L39" s="32">
        <f>'2. Parameters'!Q75</f>
        <v>1</v>
      </c>
      <c r="M39" s="32">
        <f>'2. Parameters'!R75</f>
        <v>1.04</v>
      </c>
    </row>
    <row r="41" spans="2:51" ht="13">
      <c r="B41" s="2" t="s">
        <v>201</v>
      </c>
    </row>
    <row r="42" spans="2:51">
      <c r="B42" s="3" t="s">
        <v>846</v>
      </c>
      <c r="D42" s="3" t="s">
        <v>205</v>
      </c>
      <c r="H42" s="32">
        <f>'2. Parameters'!M40</f>
        <v>1</v>
      </c>
      <c r="I42" s="32">
        <f>'2. Parameters'!N40</f>
        <v>1.0620000000000001</v>
      </c>
      <c r="J42" s="32">
        <f>'2. Parameters'!O40</f>
        <v>1.1469600000000002</v>
      </c>
      <c r="K42" s="32">
        <f>'2. Parameters'!P40</f>
        <v>1.1790748800000002</v>
      </c>
      <c r="L42" s="32">
        <f>'2. Parameters'!Q40</f>
        <v>1.2238797254400002</v>
      </c>
      <c r="M42" s="10"/>
    </row>
    <row r="43" spans="2:51">
      <c r="B43" s="3" t="s">
        <v>847</v>
      </c>
      <c r="D43" s="3" t="s">
        <v>205</v>
      </c>
      <c r="H43" s="10"/>
      <c r="I43" s="32">
        <f>'2. Parameters'!N41</f>
        <v>1</v>
      </c>
      <c r="J43" s="32">
        <f>'2. Parameters'!O41</f>
        <v>1.08</v>
      </c>
      <c r="K43" s="32">
        <f>'2. Parameters'!P41</f>
        <v>1.1102400000000001</v>
      </c>
      <c r="L43" s="32">
        <f>'2. Parameters'!Q41</f>
        <v>1.1524291200000001</v>
      </c>
      <c r="M43" s="10"/>
    </row>
    <row r="44" spans="2:51">
      <c r="B44" s="3" t="s">
        <v>848</v>
      </c>
      <c r="D44" s="3" t="s">
        <v>205</v>
      </c>
      <c r="H44" s="10"/>
      <c r="I44" s="10"/>
      <c r="J44" s="32">
        <f>'2. Parameters'!O42</f>
        <v>1</v>
      </c>
      <c r="K44" s="32">
        <f>'2. Parameters'!P42</f>
        <v>1.028</v>
      </c>
      <c r="L44" s="32">
        <f>'2. Parameters'!Q42</f>
        <v>1.067064</v>
      </c>
      <c r="M44" s="10"/>
    </row>
    <row r="45" spans="2:51">
      <c r="B45" s="3" t="s">
        <v>849</v>
      </c>
      <c r="D45" s="3" t="s">
        <v>205</v>
      </c>
      <c r="H45" s="10"/>
      <c r="I45" s="10"/>
      <c r="J45" s="10"/>
      <c r="K45" s="32">
        <f>'2. Parameters'!P43</f>
        <v>1</v>
      </c>
      <c r="L45" s="32">
        <f>'2. Parameters'!Q43</f>
        <v>1.038</v>
      </c>
      <c r="M45" s="10"/>
    </row>
    <row r="46" spans="2:51">
      <c r="B46" s="3" t="s">
        <v>850</v>
      </c>
      <c r="D46" s="3" t="s">
        <v>205</v>
      </c>
      <c r="H46" s="10"/>
      <c r="I46" s="10"/>
      <c r="J46" s="10"/>
      <c r="K46" s="10"/>
      <c r="L46" s="32">
        <f>'2. Parameters'!Q44</f>
        <v>1</v>
      </c>
      <c r="M46" s="10"/>
    </row>
    <row r="48" spans="2:51" s="33" customFormat="1" ht="13">
      <c r="B48" s="33" t="s">
        <v>895</v>
      </c>
    </row>
    <row r="49" spans="1:51" s="36" customFormat="1" ht="13">
      <c r="P49" s="36" t="s">
        <v>855</v>
      </c>
      <c r="V49" s="36" t="s">
        <v>856</v>
      </c>
      <c r="AB49" s="36" t="s">
        <v>857</v>
      </c>
      <c r="AH49" s="36" t="s">
        <v>858</v>
      </c>
      <c r="AN49" s="36" t="s">
        <v>859</v>
      </c>
    </row>
    <row r="50" spans="1:51" s="39" customFormat="1" ht="13">
      <c r="B50" s="39" t="s">
        <v>862</v>
      </c>
      <c r="F50" s="39" t="s">
        <v>896</v>
      </c>
      <c r="G50" s="40" t="s">
        <v>522</v>
      </c>
      <c r="H50" s="40" t="s">
        <v>897</v>
      </c>
      <c r="I50" s="40" t="s">
        <v>864</v>
      </c>
      <c r="J50" s="39" t="s">
        <v>898</v>
      </c>
      <c r="K50" s="39" t="s">
        <v>354</v>
      </c>
      <c r="M50" s="39" t="s">
        <v>866</v>
      </c>
      <c r="N50" s="39" t="s">
        <v>899</v>
      </c>
      <c r="P50" s="45">
        <v>2022</v>
      </c>
      <c r="Q50" s="45">
        <v>2023</v>
      </c>
      <c r="R50" s="45">
        <v>2024</v>
      </c>
      <c r="S50" s="45">
        <v>2025</v>
      </c>
      <c r="T50" s="45">
        <v>2026</v>
      </c>
      <c r="V50" s="45">
        <v>2022</v>
      </c>
      <c r="W50" s="45">
        <v>2023</v>
      </c>
      <c r="X50" s="45">
        <v>2024</v>
      </c>
      <c r="Y50" s="45">
        <v>2025</v>
      </c>
      <c r="Z50" s="45">
        <v>2026</v>
      </c>
      <c r="AB50" s="45">
        <v>2022</v>
      </c>
      <c r="AC50" s="45">
        <v>2023</v>
      </c>
      <c r="AD50" s="45">
        <v>2024</v>
      </c>
      <c r="AE50" s="45">
        <v>2025</v>
      </c>
      <c r="AF50" s="45">
        <v>2026</v>
      </c>
      <c r="AH50" s="45">
        <v>2022</v>
      </c>
      <c r="AI50" s="45">
        <v>2023</v>
      </c>
      <c r="AJ50" s="45">
        <v>2024</v>
      </c>
      <c r="AK50" s="45">
        <v>2025</v>
      </c>
      <c r="AL50" s="45">
        <v>2026</v>
      </c>
      <c r="AN50" s="45">
        <v>2022</v>
      </c>
      <c r="AO50" s="45">
        <v>2023</v>
      </c>
      <c r="AP50" s="45">
        <v>2024</v>
      </c>
      <c r="AQ50" s="45">
        <v>2025</v>
      </c>
      <c r="AR50" s="45">
        <v>2026</v>
      </c>
    </row>
    <row r="51" spans="1:51" s="48" customFormat="1" ht="13">
      <c r="G51" s="49"/>
      <c r="H51" s="49"/>
      <c r="I51" s="49"/>
    </row>
    <row r="52" spans="1:51" ht="13">
      <c r="A52" s="48"/>
      <c r="B52" s="37">
        <f>'13. Desinvesteringen'!B335</f>
        <v>316</v>
      </c>
      <c r="C52" s="48"/>
      <c r="D52" s="48"/>
      <c r="E52" s="48"/>
      <c r="F52" s="42">
        <f>'5. Input GAW-waarde desinv.'!D11</f>
        <v>0</v>
      </c>
      <c r="G52" s="175">
        <f>'13. Desinvesteringen'!D335</f>
        <v>1949</v>
      </c>
      <c r="H52" s="175">
        <f>'13. Desinvesteringen'!G335</f>
        <v>2022</v>
      </c>
      <c r="I52" s="37" t="str">
        <f>'13. Desinvesteringen'!C335</f>
        <v>01 Regionale leidingen</v>
      </c>
      <c r="J52" s="164">
        <f>'13. Desinvesteringen'!F335</f>
        <v>0</v>
      </c>
      <c r="K52" s="38">
        <f>_xlfn.XLOOKUP(I52,'3. Input (des)investeringen '!$B$11:$B$89,'3. Input (des)investeringen '!$E$11:$E$89)</f>
        <v>1</v>
      </c>
      <c r="L52" s="48"/>
      <c r="M52" s="38">
        <f>_xlfn.XLOOKUP(I52,'3. Input (des)investeringen '!$B$11:$B$89,'3. Input (des)investeringen '!$D$11:$D$89,0)</f>
        <v>55</v>
      </c>
      <c r="N52" s="38">
        <f>IF($M52&gt;0, MAX(0,IF(G52&lt;2022,M52-2021+G52-0.5,M52)), 0)</f>
        <v>0</v>
      </c>
      <c r="P52" s="43">
        <f t="shared" ref="P52:T61" si="0">IF($M52&gt;0, IF(OR($G52&gt;P$50,$G52+$M52&lt;P$50),0,
VDB($F52,0,$N52,MAX(0,P$50-2022),MIN($N52,P$50-2021),$F$23,FALSE))*(1-$F$26), 0)</f>
        <v>0</v>
      </c>
      <c r="Q52" s="43">
        <f t="shared" si="0"/>
        <v>0</v>
      </c>
      <c r="R52" s="43">
        <f t="shared" si="0"/>
        <v>0</v>
      </c>
      <c r="S52" s="43">
        <f t="shared" si="0"/>
        <v>0</v>
      </c>
      <c r="T52" s="43">
        <f t="shared" si="0"/>
        <v>0</v>
      </c>
      <c r="V52" s="43">
        <f t="shared" ref="V52:V115" si="1">IF($M52&gt;0, IF(OR($G52&gt;V$50,$G52+$M52&lt;V$50),0,
VDB($F52,0,$N52,MAX(0,P$50-2022),MIN($N52,P$50-2021),1,FALSE))*$F$26, 0)</f>
        <v>0</v>
      </c>
      <c r="W52" s="43">
        <f t="shared" ref="W52:W115" si="2">IF($M52&gt;0, IF(OR($G52&gt;W$50,$G52+$M52&lt;W$50),0,
VDB($F52,0,$N52,MAX(0,Q$50-2022),MIN($N52,Q$50-2021),1,FALSE))*$F$26, 0)</f>
        <v>0</v>
      </c>
      <c r="X52" s="43">
        <f t="shared" ref="X52:X115" si="3">IF($M52&gt;0, IF(OR($G52&gt;X$50,$G52+$M52&lt;X$50),0,
VDB($F52,0,$N52,MAX(0,R$50-2022),MIN($N52,R$50-2021),1,FALSE))*$F$26, 0)</f>
        <v>0</v>
      </c>
      <c r="Y52" s="43">
        <f t="shared" ref="Y52:Y115" si="4">IF($M52&gt;0, IF(OR($G52&gt;Y$50,$G52+$M52&lt;Y$50),0,
VDB($F52,0,$N52,MAX(0,S$50-2022),MIN($N52,S$50-2021),1,FALSE))*$F$26, 0)</f>
        <v>0</v>
      </c>
      <c r="Z52" s="43">
        <f t="shared" ref="Z52:Z115" si="5">IF($M52&gt;0, IF(OR($G52&gt;Z$50,$G52+$M52&lt;Z$50),0,
VDB($F52,0,$N52,MAX(0,T$50-2022),MIN($N52,T$50-2021),1,FALSE))*$F$26, 0)</f>
        <v>0</v>
      </c>
      <c r="AB52" s="43">
        <f>P52+V52</f>
        <v>0</v>
      </c>
      <c r="AC52" s="43">
        <f>Q52+W52</f>
        <v>0</v>
      </c>
      <c r="AD52" s="43">
        <f>R52+X52</f>
        <v>0</v>
      </c>
      <c r="AE52" s="43">
        <f t="shared" ref="AE52:AF52" si="6">S52+Y52</f>
        <v>0</v>
      </c>
      <c r="AF52" s="43">
        <f t="shared" si="6"/>
        <v>0</v>
      </c>
      <c r="AH52" s="43">
        <f>IF($M52&gt;0, IF($M52&gt;0,IF(OR($G52&gt;AH$50,$G52+$M52&lt;=AH$50),0,IF(AH$50=2022,$F52-AB52,AG52-AB52))), $F52)</f>
        <v>0</v>
      </c>
      <c r="AI52" s="43">
        <f>IF($M52&gt;0, IF(OR($G52&gt;AI$50,$G52+$M52&lt;=AI$50),0,IF(AI$50=2022,$F52-AC52,AH52-AC52)), AH52)</f>
        <v>0</v>
      </c>
      <c r="AJ52" s="43">
        <f t="shared" ref="AJ52:AL52" si="7">IF($M52&gt;0, IF(OR($G52&gt;AJ$50,$G52+$M52&lt;=AJ$50),0,IF(AJ$50=2022,$F52-AD52,AI52-AD52)), AI52)</f>
        <v>0</v>
      </c>
      <c r="AK52" s="43">
        <f t="shared" si="7"/>
        <v>0</v>
      </c>
      <c r="AL52" s="43">
        <f t="shared" si="7"/>
        <v>0</v>
      </c>
      <c r="AN52" s="47">
        <f t="shared" ref="AN52" si="8">(AB52+AH52*H$17)*IF($K52=1,$F$32,1)</f>
        <v>0</v>
      </c>
      <c r="AO52" s="47">
        <f t="shared" ref="AO52" si="9">(AC52+AI52*I$17)*IF($K52=1,$F$32,1)</f>
        <v>0</v>
      </c>
      <c r="AP52" s="47">
        <f t="shared" ref="AP52" si="10">(AD52+AJ52*J$17)*IF($K52=1,$F$32,1)</f>
        <v>0</v>
      </c>
      <c r="AQ52" s="47">
        <f t="shared" ref="AQ52" si="11">(AE52+AK52*K$17)*IF($K52=1,$F$32,1)</f>
        <v>0</v>
      </c>
      <c r="AR52" s="43">
        <f t="shared" ref="AR52" si="12">(AF52+AL52*L$17)*IF($K52=1,$F$32,1)</f>
        <v>0</v>
      </c>
      <c r="AY52" s="3"/>
    </row>
    <row r="53" spans="1:51" ht="13">
      <c r="A53" s="48"/>
      <c r="B53" s="37">
        <f>'13. Desinvesteringen'!B336</f>
        <v>317</v>
      </c>
      <c r="C53" s="48"/>
      <c r="D53" s="48"/>
      <c r="E53" s="48"/>
      <c r="F53" s="42">
        <f>'5. Input GAW-waarde desinv.'!D12</f>
        <v>0</v>
      </c>
      <c r="G53" s="175">
        <f>'13. Desinvesteringen'!D336</f>
        <v>1951</v>
      </c>
      <c r="H53" s="175">
        <f>'13. Desinvesteringen'!G336</f>
        <v>2022</v>
      </c>
      <c r="I53" s="37" t="str">
        <f>'13. Desinvesteringen'!C336</f>
        <v>01 Regionale leidingen</v>
      </c>
      <c r="J53" s="164">
        <f>'13. Desinvesteringen'!F336</f>
        <v>0</v>
      </c>
      <c r="K53" s="38">
        <f>_xlfn.XLOOKUP(I53,'3. Input (des)investeringen '!$B$11:$B$89,'3. Input (des)investeringen '!$E$11:$E$89)</f>
        <v>1</v>
      </c>
      <c r="L53" s="48"/>
      <c r="M53" s="38">
        <f>_xlfn.XLOOKUP(I53,'3. Input (des)investeringen '!$B$11:$B$89,'3. Input (des)investeringen '!$D$11:$D$89,0)</f>
        <v>55</v>
      </c>
      <c r="N53" s="38">
        <f t="shared" ref="N53:N116" si="13">IF($M53&gt;0, MAX(0,IF(G53&lt;2022,M53-2021+G53-0.5,M53)), 0)</f>
        <v>0</v>
      </c>
      <c r="P53" s="43">
        <f t="shared" si="0"/>
        <v>0</v>
      </c>
      <c r="Q53" s="43">
        <f t="shared" si="0"/>
        <v>0</v>
      </c>
      <c r="R53" s="43">
        <f t="shared" si="0"/>
        <v>0</v>
      </c>
      <c r="S53" s="43">
        <f t="shared" si="0"/>
        <v>0</v>
      </c>
      <c r="T53" s="43">
        <f t="shared" si="0"/>
        <v>0</v>
      </c>
      <c r="V53" s="43">
        <f t="shared" si="1"/>
        <v>0</v>
      </c>
      <c r="W53" s="43">
        <f t="shared" si="2"/>
        <v>0</v>
      </c>
      <c r="X53" s="43">
        <f t="shared" si="3"/>
        <v>0</v>
      </c>
      <c r="Y53" s="43">
        <f t="shared" si="4"/>
        <v>0</v>
      </c>
      <c r="Z53" s="43">
        <f t="shared" si="5"/>
        <v>0</v>
      </c>
      <c r="AB53" s="43">
        <f t="shared" ref="AB53:AB116" si="14">P53+V53</f>
        <v>0</v>
      </c>
      <c r="AC53" s="43">
        <f t="shared" ref="AC53:AC116" si="15">Q53+W53</f>
        <v>0</v>
      </c>
      <c r="AD53" s="43">
        <f t="shared" ref="AD53:AD116" si="16">R53+X53</f>
        <v>0</v>
      </c>
      <c r="AE53" s="43">
        <f t="shared" ref="AE53:AE116" si="17">S53+Y53</f>
        <v>0</v>
      </c>
      <c r="AF53" s="43">
        <f t="shared" ref="AF53:AF116" si="18">T53+Z53</f>
        <v>0</v>
      </c>
      <c r="AH53" s="43">
        <f t="shared" ref="AH53:AH116" si="19">IF($M53&gt;0, IF($M53&gt;0,IF(OR($G53&gt;AH$50,$G53+$M53&lt;=AH$50),0,IF(AH$50=2022,$F53-AB53,AG53-AB53))), $F53)</f>
        <v>0</v>
      </c>
      <c r="AI53" s="43">
        <f t="shared" ref="AI53:AI116" si="20">IF($M53&gt;0, IF(OR($G53&gt;AI$50,$G53+$M53&lt;=AI$50),0,IF(AI$50=2022,$F53-AC53,AH53-AC53)), AH53)</f>
        <v>0</v>
      </c>
      <c r="AJ53" s="43">
        <f t="shared" ref="AJ53:AJ116" si="21">IF($M53&gt;0, IF(OR($G53&gt;AJ$50,$G53+$M53&lt;=AJ$50),0,IF(AJ$50=2022,$F53-AD53,AI53-AD53)), AI53)</f>
        <v>0</v>
      </c>
      <c r="AK53" s="43">
        <f t="shared" ref="AK53:AK116" si="22">IF($M53&gt;0, IF(OR($G53&gt;AK$50,$G53+$M53&lt;=AK$50),0,IF(AK$50=2022,$F53-AE53,AJ53-AE53)), AJ53)</f>
        <v>0</v>
      </c>
      <c r="AL53" s="43">
        <f t="shared" ref="AL53:AL116" si="23">IF($M53&gt;0, IF(OR($G53&gt;AL$50,$G53+$M53&lt;=AL$50),0,IF(AL$50=2022,$F53-AF53,AK53-AF53)), AK53)</f>
        <v>0</v>
      </c>
      <c r="AN53" s="47">
        <f t="shared" ref="AN53:AN116" si="24">(AB53+AH53*H$17)*IF($K53=1,$F$32,1)</f>
        <v>0</v>
      </c>
      <c r="AO53" s="47">
        <f t="shared" ref="AO53:AO116" si="25">(AC53+AI53*I$17)*IF($K53=1,$F$32,1)</f>
        <v>0</v>
      </c>
      <c r="AP53" s="47">
        <f t="shared" ref="AP53:AP116" si="26">(AD53+AJ53*J$17)*IF($K53=1,$F$32,1)</f>
        <v>0</v>
      </c>
      <c r="AQ53" s="47">
        <f t="shared" ref="AQ53:AQ116" si="27">(AE53+AK53*K$17)*IF($K53=1,$F$32,1)</f>
        <v>0</v>
      </c>
      <c r="AR53" s="43">
        <f t="shared" ref="AR53:AR116" si="28">(AF53+AL53*L$17)*IF($K53=1,$F$32,1)</f>
        <v>0</v>
      </c>
      <c r="AY53" s="3"/>
    </row>
    <row r="54" spans="1:51" ht="13">
      <c r="A54" s="48"/>
      <c r="B54" s="37">
        <f>'13. Desinvesteringen'!B337</f>
        <v>318</v>
      </c>
      <c r="C54" s="48"/>
      <c r="D54" s="48"/>
      <c r="E54" s="48"/>
      <c r="F54" s="42">
        <f>'5. Input GAW-waarde desinv.'!D13</f>
        <v>0</v>
      </c>
      <c r="G54" s="175">
        <f>'13. Desinvesteringen'!D337</f>
        <v>1955</v>
      </c>
      <c r="H54" s="175">
        <f>'13. Desinvesteringen'!G337</f>
        <v>2022</v>
      </c>
      <c r="I54" s="37" t="str">
        <f>'13. Desinvesteringen'!C337</f>
        <v>01 Regionale leidingen</v>
      </c>
      <c r="J54" s="164">
        <f>'13. Desinvesteringen'!F337</f>
        <v>0</v>
      </c>
      <c r="K54" s="38">
        <f>_xlfn.XLOOKUP(I54,'3. Input (des)investeringen '!$B$11:$B$89,'3. Input (des)investeringen '!$E$11:$E$89)</f>
        <v>1</v>
      </c>
      <c r="L54" s="48"/>
      <c r="M54" s="38">
        <f>_xlfn.XLOOKUP(I54,'3. Input (des)investeringen '!$B$11:$B$89,'3. Input (des)investeringen '!$D$11:$D$89,0)</f>
        <v>55</v>
      </c>
      <c r="N54" s="38">
        <f t="shared" si="13"/>
        <v>0</v>
      </c>
      <c r="P54" s="43">
        <f t="shared" si="0"/>
        <v>0</v>
      </c>
      <c r="Q54" s="43">
        <f t="shared" si="0"/>
        <v>0</v>
      </c>
      <c r="R54" s="43">
        <f t="shared" si="0"/>
        <v>0</v>
      </c>
      <c r="S54" s="43">
        <f t="shared" si="0"/>
        <v>0</v>
      </c>
      <c r="T54" s="43">
        <f t="shared" si="0"/>
        <v>0</v>
      </c>
      <c r="V54" s="43">
        <f t="shared" si="1"/>
        <v>0</v>
      </c>
      <c r="W54" s="43">
        <f t="shared" si="2"/>
        <v>0</v>
      </c>
      <c r="X54" s="43">
        <f t="shared" si="3"/>
        <v>0</v>
      </c>
      <c r="Y54" s="43">
        <f t="shared" si="4"/>
        <v>0</v>
      </c>
      <c r="Z54" s="43">
        <f t="shared" si="5"/>
        <v>0</v>
      </c>
      <c r="AB54" s="43">
        <f t="shared" si="14"/>
        <v>0</v>
      </c>
      <c r="AC54" s="43">
        <f t="shared" si="15"/>
        <v>0</v>
      </c>
      <c r="AD54" s="43">
        <f t="shared" si="16"/>
        <v>0</v>
      </c>
      <c r="AE54" s="43">
        <f t="shared" si="17"/>
        <v>0</v>
      </c>
      <c r="AF54" s="43">
        <f t="shared" si="18"/>
        <v>0</v>
      </c>
      <c r="AH54" s="43">
        <f t="shared" si="19"/>
        <v>0</v>
      </c>
      <c r="AI54" s="43">
        <f t="shared" si="20"/>
        <v>0</v>
      </c>
      <c r="AJ54" s="43">
        <f t="shared" si="21"/>
        <v>0</v>
      </c>
      <c r="AK54" s="43">
        <f t="shared" si="22"/>
        <v>0</v>
      </c>
      <c r="AL54" s="43">
        <f t="shared" si="23"/>
        <v>0</v>
      </c>
      <c r="AN54" s="47">
        <f t="shared" si="24"/>
        <v>0</v>
      </c>
      <c r="AO54" s="47">
        <f t="shared" si="25"/>
        <v>0</v>
      </c>
      <c r="AP54" s="47">
        <f t="shared" si="26"/>
        <v>0</v>
      </c>
      <c r="AQ54" s="47">
        <f t="shared" si="27"/>
        <v>0</v>
      </c>
      <c r="AR54" s="43">
        <f t="shared" si="28"/>
        <v>0</v>
      </c>
      <c r="AY54" s="3"/>
    </row>
    <row r="55" spans="1:51" ht="13">
      <c r="A55" s="48"/>
      <c r="B55" s="37">
        <f>'13. Desinvesteringen'!B338</f>
        <v>319</v>
      </c>
      <c r="C55" s="48"/>
      <c r="D55" s="48"/>
      <c r="E55" s="48"/>
      <c r="F55" s="42">
        <f>'5. Input GAW-waarde desinv.'!D14</f>
        <v>0</v>
      </c>
      <c r="G55" s="175">
        <f>'13. Desinvesteringen'!D338</f>
        <v>1960</v>
      </c>
      <c r="H55" s="175">
        <f>'13. Desinvesteringen'!G338</f>
        <v>2022</v>
      </c>
      <c r="I55" s="37" t="str">
        <f>'13. Desinvesteringen'!C338</f>
        <v>01 Regionale leidingen</v>
      </c>
      <c r="J55" s="164">
        <f>'13. Desinvesteringen'!F338</f>
        <v>0</v>
      </c>
      <c r="K55" s="38">
        <f>_xlfn.XLOOKUP(I55,'3. Input (des)investeringen '!$B$11:$B$89,'3. Input (des)investeringen '!$E$11:$E$89)</f>
        <v>1</v>
      </c>
      <c r="L55" s="48"/>
      <c r="M55" s="38">
        <f>_xlfn.XLOOKUP(I55,'3. Input (des)investeringen '!$B$11:$B$89,'3. Input (des)investeringen '!$D$11:$D$89,0)</f>
        <v>55</v>
      </c>
      <c r="N55" s="38">
        <f t="shared" si="13"/>
        <v>0</v>
      </c>
      <c r="P55" s="43">
        <f t="shared" si="0"/>
        <v>0</v>
      </c>
      <c r="Q55" s="43">
        <f t="shared" si="0"/>
        <v>0</v>
      </c>
      <c r="R55" s="43">
        <f t="shared" si="0"/>
        <v>0</v>
      </c>
      <c r="S55" s="43">
        <f t="shared" si="0"/>
        <v>0</v>
      </c>
      <c r="T55" s="43">
        <f t="shared" si="0"/>
        <v>0</v>
      </c>
      <c r="V55" s="43">
        <f t="shared" si="1"/>
        <v>0</v>
      </c>
      <c r="W55" s="43">
        <f t="shared" si="2"/>
        <v>0</v>
      </c>
      <c r="X55" s="43">
        <f t="shared" si="3"/>
        <v>0</v>
      </c>
      <c r="Y55" s="43">
        <f t="shared" si="4"/>
        <v>0</v>
      </c>
      <c r="Z55" s="43">
        <f t="shared" si="5"/>
        <v>0</v>
      </c>
      <c r="AB55" s="43">
        <f t="shared" si="14"/>
        <v>0</v>
      </c>
      <c r="AC55" s="43">
        <f t="shared" si="15"/>
        <v>0</v>
      </c>
      <c r="AD55" s="43">
        <f t="shared" si="16"/>
        <v>0</v>
      </c>
      <c r="AE55" s="43">
        <f t="shared" si="17"/>
        <v>0</v>
      </c>
      <c r="AF55" s="43">
        <f t="shared" si="18"/>
        <v>0</v>
      </c>
      <c r="AH55" s="43">
        <f t="shared" si="19"/>
        <v>0</v>
      </c>
      <c r="AI55" s="43">
        <f t="shared" si="20"/>
        <v>0</v>
      </c>
      <c r="AJ55" s="43">
        <f t="shared" si="21"/>
        <v>0</v>
      </c>
      <c r="AK55" s="43">
        <f t="shared" si="22"/>
        <v>0</v>
      </c>
      <c r="AL55" s="43">
        <f t="shared" si="23"/>
        <v>0</v>
      </c>
      <c r="AN55" s="47">
        <f t="shared" si="24"/>
        <v>0</v>
      </c>
      <c r="AO55" s="47">
        <f t="shared" si="25"/>
        <v>0</v>
      </c>
      <c r="AP55" s="47">
        <f t="shared" si="26"/>
        <v>0</v>
      </c>
      <c r="AQ55" s="47">
        <f t="shared" si="27"/>
        <v>0</v>
      </c>
      <c r="AR55" s="43">
        <f t="shared" si="28"/>
        <v>0</v>
      </c>
      <c r="AY55" s="3"/>
    </row>
    <row r="56" spans="1:51" ht="13">
      <c r="A56" s="48"/>
      <c r="B56" s="37">
        <f>'13. Desinvesteringen'!B339</f>
        <v>320</v>
      </c>
      <c r="C56" s="48"/>
      <c r="D56" s="48"/>
      <c r="E56" s="48"/>
      <c r="F56" s="42">
        <f>'5. Input GAW-waarde desinv.'!D15</f>
        <v>0</v>
      </c>
      <c r="G56" s="175">
        <f>'13. Desinvesteringen'!D339</f>
        <v>1964</v>
      </c>
      <c r="H56" s="175">
        <f>'13. Desinvesteringen'!G339</f>
        <v>2022</v>
      </c>
      <c r="I56" s="37" t="str">
        <f>'13. Desinvesteringen'!C339</f>
        <v>01 Regionale leidingen</v>
      </c>
      <c r="J56" s="164">
        <f>'13. Desinvesteringen'!F339</f>
        <v>0</v>
      </c>
      <c r="K56" s="38">
        <f>_xlfn.XLOOKUP(I56,'3. Input (des)investeringen '!$B$11:$B$89,'3. Input (des)investeringen '!$E$11:$E$89)</f>
        <v>1</v>
      </c>
      <c r="L56" s="48"/>
      <c r="M56" s="38">
        <f>_xlfn.XLOOKUP(I56,'3. Input (des)investeringen '!$B$11:$B$89,'3. Input (des)investeringen '!$D$11:$D$89,0)</f>
        <v>55</v>
      </c>
      <c r="N56" s="38">
        <f t="shared" si="13"/>
        <v>0</v>
      </c>
      <c r="P56" s="43">
        <f t="shared" si="0"/>
        <v>0</v>
      </c>
      <c r="Q56" s="43">
        <f t="shared" si="0"/>
        <v>0</v>
      </c>
      <c r="R56" s="43">
        <f t="shared" si="0"/>
        <v>0</v>
      </c>
      <c r="S56" s="43">
        <f t="shared" si="0"/>
        <v>0</v>
      </c>
      <c r="T56" s="43">
        <f t="shared" si="0"/>
        <v>0</v>
      </c>
      <c r="V56" s="43">
        <f t="shared" si="1"/>
        <v>0</v>
      </c>
      <c r="W56" s="43">
        <f t="shared" si="2"/>
        <v>0</v>
      </c>
      <c r="X56" s="43">
        <f t="shared" si="3"/>
        <v>0</v>
      </c>
      <c r="Y56" s="43">
        <f t="shared" si="4"/>
        <v>0</v>
      </c>
      <c r="Z56" s="43">
        <f t="shared" si="5"/>
        <v>0</v>
      </c>
      <c r="AB56" s="43">
        <f t="shared" si="14"/>
        <v>0</v>
      </c>
      <c r="AC56" s="43">
        <f t="shared" si="15"/>
        <v>0</v>
      </c>
      <c r="AD56" s="43">
        <f t="shared" si="16"/>
        <v>0</v>
      </c>
      <c r="AE56" s="43">
        <f t="shared" si="17"/>
        <v>0</v>
      </c>
      <c r="AF56" s="43">
        <f t="shared" si="18"/>
        <v>0</v>
      </c>
      <c r="AH56" s="43">
        <f t="shared" si="19"/>
        <v>0</v>
      </c>
      <c r="AI56" s="43">
        <f t="shared" si="20"/>
        <v>0</v>
      </c>
      <c r="AJ56" s="43">
        <f t="shared" si="21"/>
        <v>0</v>
      </c>
      <c r="AK56" s="43">
        <f t="shared" si="22"/>
        <v>0</v>
      </c>
      <c r="AL56" s="43">
        <f t="shared" si="23"/>
        <v>0</v>
      </c>
      <c r="AN56" s="47">
        <f t="shared" si="24"/>
        <v>0</v>
      </c>
      <c r="AO56" s="47">
        <f t="shared" si="25"/>
        <v>0</v>
      </c>
      <c r="AP56" s="47">
        <f t="shared" si="26"/>
        <v>0</v>
      </c>
      <c r="AQ56" s="47">
        <f t="shared" si="27"/>
        <v>0</v>
      </c>
      <c r="AR56" s="43">
        <f t="shared" si="28"/>
        <v>0</v>
      </c>
      <c r="AY56" s="3"/>
    </row>
    <row r="57" spans="1:51" ht="13">
      <c r="A57" s="48"/>
      <c r="B57" s="37">
        <f>'13. Desinvesteringen'!B340</f>
        <v>321</v>
      </c>
      <c r="C57" s="48"/>
      <c r="D57" s="48"/>
      <c r="E57" s="48"/>
      <c r="F57" s="42">
        <f>'5. Input GAW-waarde desinv.'!D16</f>
        <v>0</v>
      </c>
      <c r="G57" s="175">
        <f>'13. Desinvesteringen'!D340</f>
        <v>1965</v>
      </c>
      <c r="H57" s="175">
        <f>'13. Desinvesteringen'!G340</f>
        <v>2022</v>
      </c>
      <c r="I57" s="37" t="str">
        <f>'13. Desinvesteringen'!C340</f>
        <v>01 Regionale leidingen</v>
      </c>
      <c r="J57" s="164">
        <f>'13. Desinvesteringen'!F340</f>
        <v>0</v>
      </c>
      <c r="K57" s="38">
        <f>_xlfn.XLOOKUP(I57,'3. Input (des)investeringen '!$B$11:$B$89,'3. Input (des)investeringen '!$E$11:$E$89)</f>
        <v>1</v>
      </c>
      <c r="L57" s="48"/>
      <c r="M57" s="38">
        <f>_xlfn.XLOOKUP(I57,'3. Input (des)investeringen '!$B$11:$B$89,'3. Input (des)investeringen '!$D$11:$D$89,0)</f>
        <v>55</v>
      </c>
      <c r="N57" s="38">
        <f t="shared" si="13"/>
        <v>0</v>
      </c>
      <c r="P57" s="43">
        <f t="shared" si="0"/>
        <v>0</v>
      </c>
      <c r="Q57" s="43">
        <f t="shared" si="0"/>
        <v>0</v>
      </c>
      <c r="R57" s="43">
        <f t="shared" si="0"/>
        <v>0</v>
      </c>
      <c r="S57" s="43">
        <f t="shared" si="0"/>
        <v>0</v>
      </c>
      <c r="T57" s="43">
        <f t="shared" si="0"/>
        <v>0</v>
      </c>
      <c r="V57" s="43">
        <f t="shared" si="1"/>
        <v>0</v>
      </c>
      <c r="W57" s="43">
        <f t="shared" si="2"/>
        <v>0</v>
      </c>
      <c r="X57" s="43">
        <f t="shared" si="3"/>
        <v>0</v>
      </c>
      <c r="Y57" s="43">
        <f t="shared" si="4"/>
        <v>0</v>
      </c>
      <c r="Z57" s="43">
        <f t="shared" si="5"/>
        <v>0</v>
      </c>
      <c r="AB57" s="43">
        <f t="shared" si="14"/>
        <v>0</v>
      </c>
      <c r="AC57" s="43">
        <f t="shared" si="15"/>
        <v>0</v>
      </c>
      <c r="AD57" s="43">
        <f t="shared" si="16"/>
        <v>0</v>
      </c>
      <c r="AE57" s="43">
        <f t="shared" si="17"/>
        <v>0</v>
      </c>
      <c r="AF57" s="43">
        <f t="shared" si="18"/>
        <v>0</v>
      </c>
      <c r="AH57" s="43">
        <f t="shared" si="19"/>
        <v>0</v>
      </c>
      <c r="AI57" s="43">
        <f t="shared" si="20"/>
        <v>0</v>
      </c>
      <c r="AJ57" s="43">
        <f t="shared" si="21"/>
        <v>0</v>
      </c>
      <c r="AK57" s="43">
        <f t="shared" si="22"/>
        <v>0</v>
      </c>
      <c r="AL57" s="43">
        <f t="shared" si="23"/>
        <v>0</v>
      </c>
      <c r="AN57" s="47">
        <f t="shared" si="24"/>
        <v>0</v>
      </c>
      <c r="AO57" s="47">
        <f t="shared" si="25"/>
        <v>0</v>
      </c>
      <c r="AP57" s="47">
        <f t="shared" si="26"/>
        <v>0</v>
      </c>
      <c r="AQ57" s="47">
        <f t="shared" si="27"/>
        <v>0</v>
      </c>
      <c r="AR57" s="43">
        <f t="shared" si="28"/>
        <v>0</v>
      </c>
      <c r="AY57" s="3"/>
    </row>
    <row r="58" spans="1:51" ht="13">
      <c r="A58" s="48"/>
      <c r="B58" s="37">
        <f>'13. Desinvesteringen'!B341</f>
        <v>322</v>
      </c>
      <c r="C58" s="48"/>
      <c r="D58" s="48"/>
      <c r="E58" s="48"/>
      <c r="F58" s="42">
        <f>'5. Input GAW-waarde desinv.'!D17</f>
        <v>0</v>
      </c>
      <c r="G58" s="175">
        <f>'13. Desinvesteringen'!D341</f>
        <v>1966</v>
      </c>
      <c r="H58" s="175">
        <f>'13. Desinvesteringen'!G341</f>
        <v>2022</v>
      </c>
      <c r="I58" s="37" t="str">
        <f>'13. Desinvesteringen'!C341</f>
        <v>01 Regionale leidingen</v>
      </c>
      <c r="J58" s="164">
        <f>'13. Desinvesteringen'!F341</f>
        <v>0</v>
      </c>
      <c r="K58" s="38">
        <f>_xlfn.XLOOKUP(I58,'3. Input (des)investeringen '!$B$11:$B$89,'3. Input (des)investeringen '!$E$11:$E$89)</f>
        <v>1</v>
      </c>
      <c r="L58" s="48"/>
      <c r="M58" s="38">
        <f>_xlfn.XLOOKUP(I58,'3. Input (des)investeringen '!$B$11:$B$89,'3. Input (des)investeringen '!$D$11:$D$89,0)</f>
        <v>55</v>
      </c>
      <c r="N58" s="38">
        <f t="shared" si="13"/>
        <v>0</v>
      </c>
      <c r="P58" s="43">
        <f t="shared" si="0"/>
        <v>0</v>
      </c>
      <c r="Q58" s="43">
        <f t="shared" si="0"/>
        <v>0</v>
      </c>
      <c r="R58" s="43">
        <f t="shared" si="0"/>
        <v>0</v>
      </c>
      <c r="S58" s="43">
        <f t="shared" si="0"/>
        <v>0</v>
      </c>
      <c r="T58" s="43">
        <f t="shared" si="0"/>
        <v>0</v>
      </c>
      <c r="V58" s="43">
        <f t="shared" si="1"/>
        <v>0</v>
      </c>
      <c r="W58" s="43">
        <f t="shared" si="2"/>
        <v>0</v>
      </c>
      <c r="X58" s="43">
        <f t="shared" si="3"/>
        <v>0</v>
      </c>
      <c r="Y58" s="43">
        <f t="shared" si="4"/>
        <v>0</v>
      </c>
      <c r="Z58" s="43">
        <f t="shared" si="5"/>
        <v>0</v>
      </c>
      <c r="AB58" s="43">
        <f t="shared" si="14"/>
        <v>0</v>
      </c>
      <c r="AC58" s="43">
        <f t="shared" si="15"/>
        <v>0</v>
      </c>
      <c r="AD58" s="43">
        <f t="shared" si="16"/>
        <v>0</v>
      </c>
      <c r="AE58" s="43">
        <f t="shared" si="17"/>
        <v>0</v>
      </c>
      <c r="AF58" s="43">
        <f t="shared" si="18"/>
        <v>0</v>
      </c>
      <c r="AH58" s="43">
        <f t="shared" si="19"/>
        <v>0</v>
      </c>
      <c r="AI58" s="43">
        <f t="shared" si="20"/>
        <v>0</v>
      </c>
      <c r="AJ58" s="43">
        <f t="shared" si="21"/>
        <v>0</v>
      </c>
      <c r="AK58" s="43">
        <f t="shared" si="22"/>
        <v>0</v>
      </c>
      <c r="AL58" s="43">
        <f t="shared" si="23"/>
        <v>0</v>
      </c>
      <c r="AN58" s="47">
        <f t="shared" si="24"/>
        <v>0</v>
      </c>
      <c r="AO58" s="47">
        <f t="shared" si="25"/>
        <v>0</v>
      </c>
      <c r="AP58" s="47">
        <f t="shared" si="26"/>
        <v>0</v>
      </c>
      <c r="AQ58" s="47">
        <f t="shared" si="27"/>
        <v>0</v>
      </c>
      <c r="AR58" s="43">
        <f t="shared" si="28"/>
        <v>0</v>
      </c>
      <c r="AY58" s="3"/>
    </row>
    <row r="59" spans="1:51" ht="13">
      <c r="A59" s="48"/>
      <c r="B59" s="37">
        <f>'13. Desinvesteringen'!B342</f>
        <v>323</v>
      </c>
      <c r="C59" s="48"/>
      <c r="D59" s="48"/>
      <c r="E59" s="48"/>
      <c r="F59" s="42">
        <f>'5. Input GAW-waarde desinv.'!D18</f>
        <v>4800.0618690721003</v>
      </c>
      <c r="G59" s="175">
        <f>'13. Desinvesteringen'!D342</f>
        <v>1967</v>
      </c>
      <c r="H59" s="175">
        <f>'13. Desinvesteringen'!G342</f>
        <v>2022</v>
      </c>
      <c r="I59" s="37" t="str">
        <f>'13. Desinvesteringen'!C342</f>
        <v>01 Regionale leidingen</v>
      </c>
      <c r="J59" s="164">
        <f>'13. Desinvesteringen'!F342</f>
        <v>0</v>
      </c>
      <c r="K59" s="38">
        <f>_xlfn.XLOOKUP(I59,'3. Input (des)investeringen '!$B$11:$B$89,'3. Input (des)investeringen '!$E$11:$E$89)</f>
        <v>1</v>
      </c>
      <c r="L59" s="48"/>
      <c r="M59" s="38">
        <f>_xlfn.XLOOKUP(I59,'3. Input (des)investeringen '!$B$11:$B$89,'3. Input (des)investeringen '!$D$11:$D$89,0)</f>
        <v>55</v>
      </c>
      <c r="N59" s="38">
        <f t="shared" si="13"/>
        <v>0.5</v>
      </c>
      <c r="P59" s="43">
        <f t="shared" si="0"/>
        <v>4320.0556821648906</v>
      </c>
      <c r="Q59" s="43">
        <f t="shared" si="0"/>
        <v>0</v>
      </c>
      <c r="R59" s="43">
        <f t="shared" si="0"/>
        <v>0</v>
      </c>
      <c r="S59" s="43">
        <f t="shared" si="0"/>
        <v>0</v>
      </c>
      <c r="T59" s="43">
        <f t="shared" si="0"/>
        <v>0</v>
      </c>
      <c r="V59" s="43">
        <f t="shared" si="1"/>
        <v>480.00618690721006</v>
      </c>
      <c r="W59" s="43">
        <f t="shared" si="2"/>
        <v>0</v>
      </c>
      <c r="X59" s="43">
        <f t="shared" si="3"/>
        <v>0</v>
      </c>
      <c r="Y59" s="43">
        <f t="shared" si="4"/>
        <v>0</v>
      </c>
      <c r="Z59" s="43">
        <f t="shared" si="5"/>
        <v>0</v>
      </c>
      <c r="AB59" s="43">
        <f t="shared" si="14"/>
        <v>4800.0618690721003</v>
      </c>
      <c r="AC59" s="43">
        <f t="shared" si="15"/>
        <v>0</v>
      </c>
      <c r="AD59" s="43">
        <f t="shared" si="16"/>
        <v>0</v>
      </c>
      <c r="AE59" s="43">
        <f t="shared" si="17"/>
        <v>0</v>
      </c>
      <c r="AF59" s="43">
        <f t="shared" si="18"/>
        <v>0</v>
      </c>
      <c r="AH59" s="43">
        <f t="shared" si="19"/>
        <v>0</v>
      </c>
      <c r="AI59" s="43">
        <f t="shared" si="20"/>
        <v>0</v>
      </c>
      <c r="AJ59" s="43">
        <f t="shared" si="21"/>
        <v>0</v>
      </c>
      <c r="AK59" s="43">
        <f t="shared" si="22"/>
        <v>0</v>
      </c>
      <c r="AL59" s="43">
        <f t="shared" si="23"/>
        <v>0</v>
      </c>
      <c r="AN59" s="47">
        <f t="shared" si="24"/>
        <v>4800.0618690721003</v>
      </c>
      <c r="AO59" s="47">
        <f t="shared" si="25"/>
        <v>0</v>
      </c>
      <c r="AP59" s="47">
        <f t="shared" si="26"/>
        <v>0</v>
      </c>
      <c r="AQ59" s="47">
        <f t="shared" si="27"/>
        <v>0</v>
      </c>
      <c r="AR59" s="43">
        <f t="shared" si="28"/>
        <v>0</v>
      </c>
      <c r="AY59" s="3"/>
    </row>
    <row r="60" spans="1:51" ht="13">
      <c r="A60" s="48"/>
      <c r="B60" s="37">
        <f>'13. Desinvesteringen'!B343</f>
        <v>324</v>
      </c>
      <c r="C60" s="48"/>
      <c r="D60" s="48"/>
      <c r="E60" s="48"/>
      <c r="F60" s="42">
        <f>'5. Input GAW-waarde desinv.'!D19</f>
        <v>7362.4523493487277</v>
      </c>
      <c r="G60" s="175">
        <f>'13. Desinvesteringen'!D343</f>
        <v>1968</v>
      </c>
      <c r="H60" s="175">
        <f>'13. Desinvesteringen'!G343</f>
        <v>2022</v>
      </c>
      <c r="I60" s="37" t="str">
        <f>'13. Desinvesteringen'!C343</f>
        <v>01 Regionale leidingen</v>
      </c>
      <c r="J60" s="164">
        <f>'13. Desinvesteringen'!F343</f>
        <v>0</v>
      </c>
      <c r="K60" s="38">
        <f>_xlfn.XLOOKUP(I60,'3. Input (des)investeringen '!$B$11:$B$89,'3. Input (des)investeringen '!$E$11:$E$89)</f>
        <v>1</v>
      </c>
      <c r="L60" s="48"/>
      <c r="M60" s="38">
        <f>_xlfn.XLOOKUP(I60,'3. Input (des)investeringen '!$B$11:$B$89,'3. Input (des)investeringen '!$D$11:$D$89,0)</f>
        <v>55</v>
      </c>
      <c r="N60" s="38">
        <f t="shared" si="13"/>
        <v>1.5</v>
      </c>
      <c r="P60" s="43">
        <f t="shared" si="0"/>
        <v>5742.7128324920077</v>
      </c>
      <c r="Q60" s="43">
        <f t="shared" si="0"/>
        <v>883.49428192184735</v>
      </c>
      <c r="R60" s="43">
        <f t="shared" si="0"/>
        <v>0</v>
      </c>
      <c r="S60" s="43">
        <f t="shared" si="0"/>
        <v>0</v>
      </c>
      <c r="T60" s="43">
        <f t="shared" si="0"/>
        <v>0</v>
      </c>
      <c r="V60" s="43">
        <f t="shared" si="1"/>
        <v>490.83015662324851</v>
      </c>
      <c r="W60" s="43">
        <f t="shared" si="2"/>
        <v>245.41507831162426</v>
      </c>
      <c r="X60" s="43">
        <f t="shared" si="3"/>
        <v>0</v>
      </c>
      <c r="Y60" s="43">
        <f t="shared" si="4"/>
        <v>0</v>
      </c>
      <c r="Z60" s="43">
        <f t="shared" si="5"/>
        <v>0</v>
      </c>
      <c r="AB60" s="43">
        <f t="shared" si="14"/>
        <v>6233.5429891152562</v>
      </c>
      <c r="AC60" s="43">
        <f t="shared" si="15"/>
        <v>1128.9093602334715</v>
      </c>
      <c r="AD60" s="43">
        <f t="shared" si="16"/>
        <v>0</v>
      </c>
      <c r="AE60" s="43">
        <f t="shared" si="17"/>
        <v>0</v>
      </c>
      <c r="AF60" s="43">
        <f t="shared" si="18"/>
        <v>0</v>
      </c>
      <c r="AH60" s="43">
        <f t="shared" si="19"/>
        <v>1128.9093602334715</v>
      </c>
      <c r="AI60" s="43">
        <f t="shared" si="20"/>
        <v>0</v>
      </c>
      <c r="AJ60" s="43">
        <f t="shared" si="21"/>
        <v>0</v>
      </c>
      <c r="AK60" s="43">
        <f t="shared" si="22"/>
        <v>0</v>
      </c>
      <c r="AL60" s="43">
        <f t="shared" si="23"/>
        <v>0</v>
      </c>
      <c r="AN60" s="47">
        <f t="shared" si="24"/>
        <v>6279.8282728848289</v>
      </c>
      <c r="AO60" s="47">
        <f t="shared" si="25"/>
        <v>1128.9093602334715</v>
      </c>
      <c r="AP60" s="47">
        <f t="shared" si="26"/>
        <v>0</v>
      </c>
      <c r="AQ60" s="47">
        <f t="shared" si="27"/>
        <v>0</v>
      </c>
      <c r="AR60" s="43">
        <f t="shared" si="28"/>
        <v>0</v>
      </c>
      <c r="AY60" s="3"/>
    </row>
    <row r="61" spans="1:51" ht="13">
      <c r="A61" s="48"/>
      <c r="B61" s="37">
        <f>'13. Desinvesteringen'!B344</f>
        <v>325</v>
      </c>
      <c r="C61" s="48"/>
      <c r="D61" s="48"/>
      <c r="E61" s="48"/>
      <c r="F61" s="42">
        <f>'5. Input GAW-waarde desinv.'!D20</f>
        <v>19106.465971183679</v>
      </c>
      <c r="G61" s="175">
        <f>'13. Desinvesteringen'!D344</f>
        <v>1969</v>
      </c>
      <c r="H61" s="175">
        <f>'13. Desinvesteringen'!G344</f>
        <v>2022</v>
      </c>
      <c r="I61" s="37" t="str">
        <f>'13. Desinvesteringen'!C344</f>
        <v>01 Regionale leidingen</v>
      </c>
      <c r="J61" s="164">
        <f>'13. Desinvesteringen'!F344</f>
        <v>0</v>
      </c>
      <c r="K61" s="38">
        <f>_xlfn.XLOOKUP(I61,'3. Input (des)investeringen '!$B$11:$B$89,'3. Input (des)investeringen '!$E$11:$E$89)</f>
        <v>1</v>
      </c>
      <c r="L61" s="48"/>
      <c r="M61" s="38">
        <f>_xlfn.XLOOKUP(I61,'3. Input (des)investeringen '!$B$11:$B$89,'3. Input (des)investeringen '!$D$11:$D$89,0)</f>
        <v>55</v>
      </c>
      <c r="N61" s="38">
        <f t="shared" si="13"/>
        <v>2.5</v>
      </c>
      <c r="P61" s="43">
        <f t="shared" si="0"/>
        <v>8941.8260745139614</v>
      </c>
      <c r="Q61" s="43">
        <f t="shared" si="0"/>
        <v>5502.6621997009006</v>
      </c>
      <c r="R61" s="43">
        <f t="shared" si="0"/>
        <v>2751.3310998504503</v>
      </c>
      <c r="S61" s="43">
        <f t="shared" si="0"/>
        <v>0</v>
      </c>
      <c r="T61" s="43">
        <f t="shared" si="0"/>
        <v>0</v>
      </c>
      <c r="V61" s="43">
        <f t="shared" si="1"/>
        <v>764.25863884734724</v>
      </c>
      <c r="W61" s="43">
        <f t="shared" si="2"/>
        <v>764.25863884734724</v>
      </c>
      <c r="X61" s="43">
        <f t="shared" si="3"/>
        <v>382.12931942367362</v>
      </c>
      <c r="Y61" s="43">
        <f t="shared" si="4"/>
        <v>0</v>
      </c>
      <c r="Z61" s="43">
        <f t="shared" si="5"/>
        <v>0</v>
      </c>
      <c r="AB61" s="43">
        <f t="shared" si="14"/>
        <v>9706.0847133613079</v>
      </c>
      <c r="AC61" s="43">
        <f t="shared" si="15"/>
        <v>6266.920838548248</v>
      </c>
      <c r="AD61" s="43">
        <f t="shared" si="16"/>
        <v>3133.460419274124</v>
      </c>
      <c r="AE61" s="43">
        <f t="shared" si="17"/>
        <v>0</v>
      </c>
      <c r="AF61" s="43">
        <f t="shared" si="18"/>
        <v>0</v>
      </c>
      <c r="AH61" s="43">
        <f t="shared" si="19"/>
        <v>9400.3812578223715</v>
      </c>
      <c r="AI61" s="43">
        <f t="shared" si="20"/>
        <v>3133.4604192741235</v>
      </c>
      <c r="AJ61" s="43">
        <f t="shared" si="21"/>
        <v>0</v>
      </c>
      <c r="AK61" s="43">
        <f t="shared" si="22"/>
        <v>0</v>
      </c>
      <c r="AL61" s="43">
        <f t="shared" si="23"/>
        <v>0</v>
      </c>
      <c r="AN61" s="47">
        <f t="shared" si="24"/>
        <v>10091.500344932025</v>
      </c>
      <c r="AO61" s="47">
        <f t="shared" si="25"/>
        <v>6426.7273199312285</v>
      </c>
      <c r="AP61" s="47">
        <f t="shared" si="26"/>
        <v>3133.460419274124</v>
      </c>
      <c r="AQ61" s="47">
        <f t="shared" si="27"/>
        <v>0</v>
      </c>
      <c r="AR61" s="43">
        <f t="shared" si="28"/>
        <v>0</v>
      </c>
      <c r="AY61" s="3"/>
    </row>
    <row r="62" spans="1:51" ht="13">
      <c r="A62" s="48"/>
      <c r="B62" s="37">
        <f>'13. Desinvesteringen'!B345</f>
        <v>326</v>
      </c>
      <c r="C62" s="48"/>
      <c r="D62" s="48"/>
      <c r="E62" s="48"/>
      <c r="F62" s="42">
        <f>'5. Input GAW-waarde desinv.'!D21</f>
        <v>34361.047919882221</v>
      </c>
      <c r="G62" s="175">
        <f>'13. Desinvesteringen'!D345</f>
        <v>1970</v>
      </c>
      <c r="H62" s="175">
        <f>'13. Desinvesteringen'!G345</f>
        <v>2022</v>
      </c>
      <c r="I62" s="37" t="str">
        <f>'13. Desinvesteringen'!C345</f>
        <v>01 Regionale leidingen</v>
      </c>
      <c r="J62" s="164">
        <f>'13. Desinvesteringen'!F345</f>
        <v>0</v>
      </c>
      <c r="K62" s="38">
        <f>_xlfn.XLOOKUP(I62,'3. Input (des)investeringen '!$B$11:$B$89,'3. Input (des)investeringen '!$E$11:$E$89)</f>
        <v>1</v>
      </c>
      <c r="L62" s="48"/>
      <c r="M62" s="38">
        <f>_xlfn.XLOOKUP(I62,'3. Input (des)investeringen '!$B$11:$B$89,'3. Input (des)investeringen '!$D$11:$D$89,0)</f>
        <v>55</v>
      </c>
      <c r="N62" s="38">
        <f t="shared" si="13"/>
        <v>3.5</v>
      </c>
      <c r="P62" s="43">
        <f t="shared" ref="P62:T71" si="29">IF($M62&gt;0, IF(OR($G62&gt;P$50,$G62+$M62&lt;P$50),0,
VDB($F62,0,$N62,MAX(0,P$50-2022),MIN($N62,P$50-2021),$F$23,FALSE))*(1-$F$26), 0)</f>
        <v>11486.407447503487</v>
      </c>
      <c r="Q62" s="43">
        <f t="shared" si="29"/>
        <v>7775.4142721562039</v>
      </c>
      <c r="R62" s="43">
        <f t="shared" si="29"/>
        <v>7775.4142721562039</v>
      </c>
      <c r="S62" s="43">
        <f t="shared" si="29"/>
        <v>3887.7071360781019</v>
      </c>
      <c r="T62" s="43">
        <f t="shared" si="29"/>
        <v>0</v>
      </c>
      <c r="V62" s="43">
        <f t="shared" si="1"/>
        <v>981.74422628234925</v>
      </c>
      <c r="W62" s="43">
        <f t="shared" si="2"/>
        <v>981.74422628234936</v>
      </c>
      <c r="X62" s="43">
        <f t="shared" si="3"/>
        <v>981.74422628234936</v>
      </c>
      <c r="Y62" s="43">
        <f t="shared" si="4"/>
        <v>490.87211314117468</v>
      </c>
      <c r="Z62" s="43">
        <f t="shared" si="5"/>
        <v>0</v>
      </c>
      <c r="AB62" s="43">
        <f t="shared" si="14"/>
        <v>12468.151673785836</v>
      </c>
      <c r="AC62" s="43">
        <f t="shared" si="15"/>
        <v>8757.1584984385536</v>
      </c>
      <c r="AD62" s="43">
        <f t="shared" si="16"/>
        <v>8757.1584984385536</v>
      </c>
      <c r="AE62" s="43">
        <f t="shared" si="17"/>
        <v>4378.5792492192768</v>
      </c>
      <c r="AF62" s="43">
        <f t="shared" si="18"/>
        <v>0</v>
      </c>
      <c r="AH62" s="43">
        <f t="shared" si="19"/>
        <v>21892.896246096385</v>
      </c>
      <c r="AI62" s="43">
        <f t="shared" si="20"/>
        <v>13135.737747657831</v>
      </c>
      <c r="AJ62" s="43">
        <f t="shared" si="21"/>
        <v>4378.5792492192777</v>
      </c>
      <c r="AK62" s="43">
        <f t="shared" si="22"/>
        <v>0</v>
      </c>
      <c r="AL62" s="43">
        <f t="shared" si="23"/>
        <v>0</v>
      </c>
      <c r="AN62" s="47">
        <f t="shared" si="24"/>
        <v>13365.760419875789</v>
      </c>
      <c r="AO62" s="47">
        <f t="shared" si="25"/>
        <v>9427.0811235691035</v>
      </c>
      <c r="AP62" s="47">
        <f t="shared" si="26"/>
        <v>8980.4660401487363</v>
      </c>
      <c r="AQ62" s="47">
        <f t="shared" si="27"/>
        <v>4378.5792492192768</v>
      </c>
      <c r="AR62" s="43">
        <f t="shared" si="28"/>
        <v>0</v>
      </c>
      <c r="AY62" s="3"/>
    </row>
    <row r="63" spans="1:51" ht="13">
      <c r="A63" s="48"/>
      <c r="B63" s="37">
        <f>'13. Desinvesteringen'!B346</f>
        <v>327</v>
      </c>
      <c r="C63" s="48"/>
      <c r="D63" s="48"/>
      <c r="E63" s="48"/>
      <c r="F63" s="42">
        <f>'5. Input GAW-waarde desinv.'!D22</f>
        <v>24689.78297700132</v>
      </c>
      <c r="G63" s="175">
        <f>'13. Desinvesteringen'!D346</f>
        <v>1971</v>
      </c>
      <c r="H63" s="175">
        <f>'13. Desinvesteringen'!G346</f>
        <v>2022</v>
      </c>
      <c r="I63" s="37" t="str">
        <f>'13. Desinvesteringen'!C346</f>
        <v>01 Regionale leidingen</v>
      </c>
      <c r="J63" s="164">
        <f>'13. Desinvesteringen'!F346</f>
        <v>0</v>
      </c>
      <c r="K63" s="38">
        <f>_xlfn.XLOOKUP(I63,'3. Input (des)investeringen '!$B$11:$B$89,'3. Input (des)investeringen '!$E$11:$E$89)</f>
        <v>1</v>
      </c>
      <c r="L63" s="48"/>
      <c r="M63" s="38">
        <f>_xlfn.XLOOKUP(I63,'3. Input (des)investeringen '!$B$11:$B$89,'3. Input (des)investeringen '!$D$11:$D$89,0)</f>
        <v>55</v>
      </c>
      <c r="N63" s="38">
        <f t="shared" si="13"/>
        <v>4.5</v>
      </c>
      <c r="P63" s="43">
        <f t="shared" si="29"/>
        <v>6419.343574020344</v>
      </c>
      <c r="Q63" s="43">
        <f t="shared" si="29"/>
        <v>4564.8665415255773</v>
      </c>
      <c r="R63" s="43">
        <f t="shared" si="29"/>
        <v>4494.6378255021073</v>
      </c>
      <c r="S63" s="43">
        <f t="shared" si="29"/>
        <v>4494.6378255021073</v>
      </c>
      <c r="T63" s="43">
        <f t="shared" si="29"/>
        <v>2247.3189127510536</v>
      </c>
      <c r="V63" s="43">
        <f t="shared" si="1"/>
        <v>548.66184393336266</v>
      </c>
      <c r="W63" s="43">
        <f t="shared" si="2"/>
        <v>548.66184393336277</v>
      </c>
      <c r="X63" s="43">
        <f t="shared" si="3"/>
        <v>548.66184393336277</v>
      </c>
      <c r="Y63" s="43">
        <f t="shared" si="4"/>
        <v>548.66184393336277</v>
      </c>
      <c r="Z63" s="43">
        <f t="shared" si="5"/>
        <v>274.33092196668139</v>
      </c>
      <c r="AB63" s="43">
        <f t="shared" si="14"/>
        <v>6968.0054179537065</v>
      </c>
      <c r="AC63" s="43">
        <f t="shared" si="15"/>
        <v>5113.5283854589397</v>
      </c>
      <c r="AD63" s="43">
        <f t="shared" si="16"/>
        <v>5043.2996694354697</v>
      </c>
      <c r="AE63" s="43">
        <f t="shared" si="17"/>
        <v>5043.2996694354697</v>
      </c>
      <c r="AF63" s="43">
        <f t="shared" si="18"/>
        <v>2521.6498347177348</v>
      </c>
      <c r="AH63" s="43">
        <f t="shared" si="19"/>
        <v>17721.777559047612</v>
      </c>
      <c r="AI63" s="43">
        <f t="shared" si="20"/>
        <v>12608.249173588672</v>
      </c>
      <c r="AJ63" s="43">
        <f t="shared" si="21"/>
        <v>7564.9495041532027</v>
      </c>
      <c r="AK63" s="43">
        <f t="shared" si="22"/>
        <v>2521.649834717733</v>
      </c>
      <c r="AL63" s="43">
        <f t="shared" si="23"/>
        <v>0</v>
      </c>
      <c r="AN63" s="47">
        <f t="shared" si="24"/>
        <v>7694.5982978746588</v>
      </c>
      <c r="AO63" s="47">
        <f t="shared" si="25"/>
        <v>5756.5490933119618</v>
      </c>
      <c r="AP63" s="47">
        <f t="shared" si="26"/>
        <v>5429.1120941472827</v>
      </c>
      <c r="AQ63" s="47">
        <f t="shared" si="27"/>
        <v>5181.9904103449453</v>
      </c>
      <c r="AR63" s="43">
        <f t="shared" si="28"/>
        <v>2521.6498347177348</v>
      </c>
      <c r="AY63" s="3"/>
    </row>
    <row r="64" spans="1:51" ht="13">
      <c r="A64" s="48"/>
      <c r="B64" s="37">
        <f>'13. Desinvesteringen'!B347</f>
        <v>328</v>
      </c>
      <c r="C64" s="48"/>
      <c r="D64" s="48"/>
      <c r="E64" s="48"/>
      <c r="F64" s="42">
        <f>'5. Input GAW-waarde desinv.'!D23</f>
        <v>84795.96142136406</v>
      </c>
      <c r="G64" s="175">
        <f>'13. Desinvesteringen'!D347</f>
        <v>1972</v>
      </c>
      <c r="H64" s="175">
        <f>'13. Desinvesteringen'!G347</f>
        <v>2022</v>
      </c>
      <c r="I64" s="37" t="str">
        <f>'13. Desinvesteringen'!C347</f>
        <v>01 Regionale leidingen</v>
      </c>
      <c r="J64" s="164">
        <f>'13. Desinvesteringen'!F347</f>
        <v>0</v>
      </c>
      <c r="K64" s="38">
        <f>_xlfn.XLOOKUP(I64,'3. Input (des)investeringen '!$B$11:$B$89,'3. Input (des)investeringen '!$E$11:$E$89)</f>
        <v>1</v>
      </c>
      <c r="L64" s="48"/>
      <c r="M64" s="38">
        <f>_xlfn.XLOOKUP(I64,'3. Input (des)investeringen '!$B$11:$B$89,'3. Input (des)investeringen '!$D$11:$D$89,0)</f>
        <v>55</v>
      </c>
      <c r="N64" s="38">
        <f t="shared" si="13"/>
        <v>5.5</v>
      </c>
      <c r="P64" s="43">
        <f t="shared" si="29"/>
        <v>18038.413611453812</v>
      </c>
      <c r="Q64" s="43">
        <f t="shared" si="29"/>
        <v>13774.788576019271</v>
      </c>
      <c r="R64" s="43">
        <f t="shared" si="29"/>
        <v>12715.189454787022</v>
      </c>
      <c r="S64" s="43">
        <f t="shared" si="29"/>
        <v>12715.189454787022</v>
      </c>
      <c r="T64" s="43">
        <f t="shared" si="29"/>
        <v>12715.189454787022</v>
      </c>
      <c r="V64" s="43">
        <f t="shared" si="1"/>
        <v>1541.7447531157104</v>
      </c>
      <c r="W64" s="43">
        <f t="shared" si="2"/>
        <v>1541.7447531157104</v>
      </c>
      <c r="X64" s="43">
        <f t="shared" si="3"/>
        <v>1541.7447531157104</v>
      </c>
      <c r="Y64" s="43">
        <f t="shared" si="4"/>
        <v>1541.7447531157104</v>
      </c>
      <c r="Z64" s="43">
        <f t="shared" si="5"/>
        <v>1541.7447531157104</v>
      </c>
      <c r="AB64" s="43">
        <f t="shared" si="14"/>
        <v>19580.158364569521</v>
      </c>
      <c r="AC64" s="43">
        <f t="shared" si="15"/>
        <v>15316.533329134982</v>
      </c>
      <c r="AD64" s="43">
        <f t="shared" si="16"/>
        <v>14256.934207902732</v>
      </c>
      <c r="AE64" s="43">
        <f t="shared" si="17"/>
        <v>14256.934207902732</v>
      </c>
      <c r="AF64" s="43">
        <f t="shared" si="18"/>
        <v>14256.934207902732</v>
      </c>
      <c r="AH64" s="43">
        <f t="shared" si="19"/>
        <v>65215.803056794539</v>
      </c>
      <c r="AI64" s="43">
        <f t="shared" si="20"/>
        <v>49899.269727659557</v>
      </c>
      <c r="AJ64" s="43">
        <f t="shared" si="21"/>
        <v>35642.335519756823</v>
      </c>
      <c r="AK64" s="43">
        <f t="shared" si="22"/>
        <v>21385.40131185409</v>
      </c>
      <c r="AL64" s="43">
        <f t="shared" si="23"/>
        <v>7128.4671039513578</v>
      </c>
      <c r="AN64" s="47">
        <f t="shared" si="24"/>
        <v>22254.006289898098</v>
      </c>
      <c r="AO64" s="47">
        <f t="shared" si="25"/>
        <v>17861.396085245618</v>
      </c>
      <c r="AP64" s="47">
        <f t="shared" si="26"/>
        <v>16074.693319410329</v>
      </c>
      <c r="AQ64" s="47">
        <f t="shared" si="27"/>
        <v>15433.131280054708</v>
      </c>
      <c r="AR64" s="43">
        <f t="shared" si="28"/>
        <v>14527.815957852883</v>
      </c>
      <c r="AY64" s="3"/>
    </row>
    <row r="65" spans="1:51" ht="13">
      <c r="A65" s="48"/>
      <c r="B65" s="37">
        <f>'13. Desinvesteringen'!B348</f>
        <v>329</v>
      </c>
      <c r="C65" s="48"/>
      <c r="D65" s="48"/>
      <c r="E65" s="48"/>
      <c r="F65" s="42">
        <f>'5. Input GAW-waarde desinv.'!D24</f>
        <v>73143.543504977206</v>
      </c>
      <c r="G65" s="175">
        <f>'13. Desinvesteringen'!D348</f>
        <v>1973</v>
      </c>
      <c r="H65" s="175">
        <f>'13. Desinvesteringen'!G348</f>
        <v>2022</v>
      </c>
      <c r="I65" s="37" t="str">
        <f>'13. Desinvesteringen'!C348</f>
        <v>01 Regionale leidingen</v>
      </c>
      <c r="J65" s="164">
        <f>'13. Desinvesteringen'!F348</f>
        <v>0</v>
      </c>
      <c r="K65" s="38">
        <f>_xlfn.XLOOKUP(I65,'3. Input (des)investeringen '!$B$11:$B$89,'3. Input (des)investeringen '!$E$11:$E$89)</f>
        <v>1</v>
      </c>
      <c r="L65" s="48"/>
      <c r="M65" s="38">
        <f>_xlfn.XLOOKUP(I65,'3. Input (des)investeringen '!$B$11:$B$89,'3. Input (des)investeringen '!$D$11:$D$89,0)</f>
        <v>55</v>
      </c>
      <c r="N65" s="38">
        <f t="shared" si="13"/>
        <v>6.5</v>
      </c>
      <c r="P65" s="43">
        <f t="shared" si="29"/>
        <v>13165.837830895898</v>
      </c>
      <c r="Q65" s="43">
        <f t="shared" si="29"/>
        <v>10532.670264716719</v>
      </c>
      <c r="R65" s="43">
        <f t="shared" si="29"/>
        <v>9362.3735686370837</v>
      </c>
      <c r="S65" s="43">
        <f t="shared" si="29"/>
        <v>9362.3735686370837</v>
      </c>
      <c r="T65" s="43">
        <f t="shared" si="29"/>
        <v>9362.3735686370837</v>
      </c>
      <c r="V65" s="43">
        <f t="shared" si="1"/>
        <v>1125.285284691957</v>
      </c>
      <c r="W65" s="43">
        <f t="shared" si="2"/>
        <v>1125.285284691957</v>
      </c>
      <c r="X65" s="43">
        <f t="shared" si="3"/>
        <v>1125.285284691957</v>
      </c>
      <c r="Y65" s="43">
        <f t="shared" si="4"/>
        <v>1125.285284691957</v>
      </c>
      <c r="Z65" s="43">
        <f t="shared" si="5"/>
        <v>1125.285284691957</v>
      </c>
      <c r="AB65" s="43">
        <f t="shared" si="14"/>
        <v>14291.123115587856</v>
      </c>
      <c r="AC65" s="43">
        <f t="shared" si="15"/>
        <v>11657.955549408676</v>
      </c>
      <c r="AD65" s="43">
        <f t="shared" si="16"/>
        <v>10487.658853329041</v>
      </c>
      <c r="AE65" s="43">
        <f t="shared" si="17"/>
        <v>10487.658853329041</v>
      </c>
      <c r="AF65" s="43">
        <f t="shared" si="18"/>
        <v>10487.658853329041</v>
      </c>
      <c r="AH65" s="43">
        <f t="shared" si="19"/>
        <v>58852.42038938935</v>
      </c>
      <c r="AI65" s="43">
        <f t="shared" si="20"/>
        <v>47194.464839980676</v>
      </c>
      <c r="AJ65" s="43">
        <f t="shared" si="21"/>
        <v>36706.805986651634</v>
      </c>
      <c r="AK65" s="43">
        <f t="shared" si="22"/>
        <v>26219.147133322593</v>
      </c>
      <c r="AL65" s="43">
        <f t="shared" si="23"/>
        <v>15731.488279993551</v>
      </c>
      <c r="AN65" s="47">
        <f t="shared" si="24"/>
        <v>16704.072351552819</v>
      </c>
      <c r="AO65" s="47">
        <f t="shared" si="25"/>
        <v>14064.873256247691</v>
      </c>
      <c r="AP65" s="47">
        <f t="shared" si="26"/>
        <v>12359.705958648276</v>
      </c>
      <c r="AQ65" s="47">
        <f t="shared" si="27"/>
        <v>11929.711945661784</v>
      </c>
      <c r="AR65" s="43">
        <f t="shared" si="28"/>
        <v>11085.455407968797</v>
      </c>
      <c r="AY65" s="3"/>
    </row>
    <row r="66" spans="1:51" ht="13">
      <c r="A66" s="48"/>
      <c r="B66" s="37">
        <f>'13. Desinvesteringen'!B349</f>
        <v>330</v>
      </c>
      <c r="C66" s="48"/>
      <c r="D66" s="48"/>
      <c r="E66" s="48"/>
      <c r="F66" s="42">
        <f>'5. Input GAW-waarde desinv.'!D25</f>
        <v>28650.688160986421</v>
      </c>
      <c r="G66" s="175">
        <f>'13. Desinvesteringen'!D349</f>
        <v>1974</v>
      </c>
      <c r="H66" s="175">
        <f>'13. Desinvesteringen'!G349</f>
        <v>2022</v>
      </c>
      <c r="I66" s="37" t="str">
        <f>'13. Desinvesteringen'!C349</f>
        <v>01 Regionale leidingen</v>
      </c>
      <c r="J66" s="164">
        <f>'13. Desinvesteringen'!F349</f>
        <v>0</v>
      </c>
      <c r="K66" s="38">
        <f>_xlfn.XLOOKUP(I66,'3. Input (des)investeringen '!$B$11:$B$89,'3. Input (des)investeringen '!$E$11:$E$89)</f>
        <v>1</v>
      </c>
      <c r="L66" s="48"/>
      <c r="M66" s="38">
        <f>_xlfn.XLOOKUP(I66,'3. Input (des)investeringen '!$B$11:$B$89,'3. Input (des)investeringen '!$D$11:$D$89,0)</f>
        <v>55</v>
      </c>
      <c r="N66" s="38">
        <f t="shared" si="13"/>
        <v>7.5</v>
      </c>
      <c r="P66" s="43">
        <f t="shared" si="29"/>
        <v>4469.5073531138823</v>
      </c>
      <c r="Q66" s="43">
        <f t="shared" si="29"/>
        <v>3694.7927452408089</v>
      </c>
      <c r="R66" s="43">
        <f t="shared" si="29"/>
        <v>3203.8762266423801</v>
      </c>
      <c r="S66" s="43">
        <f t="shared" si="29"/>
        <v>3203.8762266423801</v>
      </c>
      <c r="T66" s="43">
        <f t="shared" si="29"/>
        <v>3203.8762266423801</v>
      </c>
      <c r="V66" s="43">
        <f t="shared" si="1"/>
        <v>382.00917547981896</v>
      </c>
      <c r="W66" s="43">
        <f t="shared" si="2"/>
        <v>382.00917547981902</v>
      </c>
      <c r="X66" s="43">
        <f t="shared" si="3"/>
        <v>382.00917547981902</v>
      </c>
      <c r="Y66" s="43">
        <f t="shared" si="4"/>
        <v>382.00917547981902</v>
      </c>
      <c r="Z66" s="43">
        <f t="shared" si="5"/>
        <v>382.00917547981902</v>
      </c>
      <c r="AB66" s="43">
        <f t="shared" si="14"/>
        <v>4851.516528593701</v>
      </c>
      <c r="AC66" s="43">
        <f t="shared" si="15"/>
        <v>4076.801920720628</v>
      </c>
      <c r="AD66" s="43">
        <f t="shared" si="16"/>
        <v>3585.8854021221991</v>
      </c>
      <c r="AE66" s="43">
        <f t="shared" si="17"/>
        <v>3585.8854021221991</v>
      </c>
      <c r="AF66" s="43">
        <f t="shared" si="18"/>
        <v>3585.8854021221991</v>
      </c>
      <c r="AH66" s="43">
        <f t="shared" si="19"/>
        <v>23799.171632392721</v>
      </c>
      <c r="AI66" s="43">
        <f t="shared" si="20"/>
        <v>19722.369711672094</v>
      </c>
      <c r="AJ66" s="43">
        <f t="shared" si="21"/>
        <v>16136.484309549895</v>
      </c>
      <c r="AK66" s="43">
        <f t="shared" si="22"/>
        <v>12550.598907427695</v>
      </c>
      <c r="AL66" s="43">
        <f t="shared" si="23"/>
        <v>8964.7135053054953</v>
      </c>
      <c r="AN66" s="47">
        <f t="shared" si="24"/>
        <v>5827.2825655218021</v>
      </c>
      <c r="AO66" s="47">
        <f t="shared" si="25"/>
        <v>5082.6427760159049</v>
      </c>
      <c r="AP66" s="47">
        <f t="shared" si="26"/>
        <v>4408.8461019092438</v>
      </c>
      <c r="AQ66" s="47">
        <f t="shared" si="27"/>
        <v>4276.1683420307227</v>
      </c>
      <c r="AR66" s="43">
        <f t="shared" si="28"/>
        <v>3926.5445153238079</v>
      </c>
      <c r="AY66" s="3"/>
    </row>
    <row r="67" spans="1:51" ht="13">
      <c r="A67" s="48"/>
      <c r="B67" s="37">
        <f>'13. Desinvesteringen'!B350</f>
        <v>331</v>
      </c>
      <c r="C67" s="48"/>
      <c r="D67" s="48"/>
      <c r="E67" s="48"/>
      <c r="F67" s="42">
        <f>'5. Input GAW-waarde desinv.'!D26</f>
        <v>22915.340357348177</v>
      </c>
      <c r="G67" s="175">
        <f>'13. Desinvesteringen'!D350</f>
        <v>1975</v>
      </c>
      <c r="H67" s="175">
        <f>'13. Desinvesteringen'!G350</f>
        <v>2022</v>
      </c>
      <c r="I67" s="37" t="str">
        <f>'13. Desinvesteringen'!C350</f>
        <v>01 Regionale leidingen</v>
      </c>
      <c r="J67" s="164">
        <f>'13. Desinvesteringen'!F350</f>
        <v>0</v>
      </c>
      <c r="K67" s="38">
        <f>_xlfn.XLOOKUP(I67,'3. Input (des)investeringen '!$B$11:$B$89,'3. Input (des)investeringen '!$E$11:$E$89)</f>
        <v>1</v>
      </c>
      <c r="L67" s="48"/>
      <c r="M67" s="38">
        <f>_xlfn.XLOOKUP(I67,'3. Input (des)investeringen '!$B$11:$B$89,'3. Input (des)investeringen '!$D$11:$D$89,0)</f>
        <v>55</v>
      </c>
      <c r="N67" s="38">
        <f t="shared" si="13"/>
        <v>8.5</v>
      </c>
      <c r="P67" s="43">
        <f t="shared" si="29"/>
        <v>3154.2292021291023</v>
      </c>
      <c r="Q67" s="43">
        <f t="shared" si="29"/>
        <v>2671.8176770975924</v>
      </c>
      <c r="R67" s="43">
        <f t="shared" si="29"/>
        <v>2276.5783757517943</v>
      </c>
      <c r="S67" s="43">
        <f t="shared" si="29"/>
        <v>2276.5783757517943</v>
      </c>
      <c r="T67" s="43">
        <f t="shared" si="29"/>
        <v>2276.5783757517943</v>
      </c>
      <c r="V67" s="43">
        <f t="shared" si="1"/>
        <v>269.59223949821387</v>
      </c>
      <c r="W67" s="43">
        <f t="shared" si="2"/>
        <v>269.59223949821387</v>
      </c>
      <c r="X67" s="43">
        <f t="shared" si="3"/>
        <v>269.59223949821387</v>
      </c>
      <c r="Y67" s="43">
        <f t="shared" si="4"/>
        <v>269.59223949821387</v>
      </c>
      <c r="Z67" s="43">
        <f t="shared" si="5"/>
        <v>269.59223949821387</v>
      </c>
      <c r="AB67" s="43">
        <f t="shared" si="14"/>
        <v>3423.8214416273163</v>
      </c>
      <c r="AC67" s="43">
        <f t="shared" si="15"/>
        <v>2941.4099165958064</v>
      </c>
      <c r="AD67" s="43">
        <f t="shared" si="16"/>
        <v>2546.1706152500083</v>
      </c>
      <c r="AE67" s="43">
        <f t="shared" si="17"/>
        <v>2546.1706152500083</v>
      </c>
      <c r="AF67" s="43">
        <f t="shared" si="18"/>
        <v>2546.1706152500083</v>
      </c>
      <c r="AH67" s="43">
        <f t="shared" si="19"/>
        <v>19491.518915720862</v>
      </c>
      <c r="AI67" s="43">
        <f t="shared" si="20"/>
        <v>16550.108999125056</v>
      </c>
      <c r="AJ67" s="43">
        <f t="shared" si="21"/>
        <v>14003.938383875047</v>
      </c>
      <c r="AK67" s="43">
        <f t="shared" si="22"/>
        <v>11457.767768625039</v>
      </c>
      <c r="AL67" s="43">
        <f t="shared" si="23"/>
        <v>8911.5971533750308</v>
      </c>
      <c r="AN67" s="47">
        <f t="shared" si="24"/>
        <v>4222.9737171718716</v>
      </c>
      <c r="AO67" s="47">
        <f t="shared" si="25"/>
        <v>3785.4654755511842</v>
      </c>
      <c r="AP67" s="47">
        <f t="shared" si="26"/>
        <v>3260.3714728276354</v>
      </c>
      <c r="AQ67" s="47">
        <f t="shared" si="27"/>
        <v>3176.3478425243857</v>
      </c>
      <c r="AR67" s="43">
        <f t="shared" si="28"/>
        <v>2884.8113070782592</v>
      </c>
      <c r="AY67" s="3"/>
    </row>
    <row r="68" spans="1:51" ht="13">
      <c r="A68" s="48"/>
      <c r="B68" s="37">
        <f>'13. Desinvesteringen'!B351</f>
        <v>332</v>
      </c>
      <c r="C68" s="48"/>
      <c r="D68" s="48"/>
      <c r="E68" s="48"/>
      <c r="F68" s="42">
        <f>'5. Input GAW-waarde desinv.'!D27</f>
        <v>52322.526677778427</v>
      </c>
      <c r="G68" s="175">
        <f>'13. Desinvesteringen'!D351</f>
        <v>1976</v>
      </c>
      <c r="H68" s="175">
        <f>'13. Desinvesteringen'!G351</f>
        <v>2022</v>
      </c>
      <c r="I68" s="37" t="str">
        <f>'13. Desinvesteringen'!C351</f>
        <v>01 Regionale leidingen</v>
      </c>
      <c r="J68" s="164">
        <f>'13. Desinvesteringen'!F351</f>
        <v>0</v>
      </c>
      <c r="K68" s="38">
        <f>_xlfn.XLOOKUP(I68,'3. Input (des)investeringen '!$B$11:$B$89,'3. Input (des)investeringen '!$E$11:$E$89)</f>
        <v>1</v>
      </c>
      <c r="L68" s="48"/>
      <c r="M68" s="38">
        <f>_xlfn.XLOOKUP(I68,'3. Input (des)investeringen '!$B$11:$B$89,'3. Input (des)investeringen '!$D$11:$D$89,0)</f>
        <v>55</v>
      </c>
      <c r="N68" s="38">
        <f t="shared" si="13"/>
        <v>9.5</v>
      </c>
      <c r="P68" s="43">
        <f t="shared" si="29"/>
        <v>6443.9322329474489</v>
      </c>
      <c r="Q68" s="43">
        <f t="shared" si="29"/>
        <v>5562.1309800177987</v>
      </c>
      <c r="R68" s="43">
        <f t="shared" si="29"/>
        <v>4800.9972669627305</v>
      </c>
      <c r="S68" s="43">
        <f t="shared" si="29"/>
        <v>4658.9559277034778</v>
      </c>
      <c r="T68" s="43">
        <f t="shared" si="29"/>
        <v>4658.9559277034778</v>
      </c>
      <c r="V68" s="43">
        <f t="shared" si="1"/>
        <v>550.76343871345716</v>
      </c>
      <c r="W68" s="43">
        <f t="shared" si="2"/>
        <v>550.76343871345716</v>
      </c>
      <c r="X68" s="43">
        <f t="shared" si="3"/>
        <v>550.76343871345716</v>
      </c>
      <c r="Y68" s="43">
        <f t="shared" si="4"/>
        <v>550.76343871345716</v>
      </c>
      <c r="Z68" s="43">
        <f t="shared" si="5"/>
        <v>550.76343871345716</v>
      </c>
      <c r="AB68" s="43">
        <f t="shared" si="14"/>
        <v>6994.6956716609056</v>
      </c>
      <c r="AC68" s="43">
        <f t="shared" si="15"/>
        <v>6112.8944187312554</v>
      </c>
      <c r="AD68" s="43">
        <f t="shared" si="16"/>
        <v>5351.7607056761881</v>
      </c>
      <c r="AE68" s="43">
        <f t="shared" si="17"/>
        <v>5209.7193664169354</v>
      </c>
      <c r="AF68" s="43">
        <f t="shared" si="18"/>
        <v>5209.7193664169354</v>
      </c>
      <c r="AH68" s="43">
        <f t="shared" si="19"/>
        <v>45327.831006117522</v>
      </c>
      <c r="AI68" s="43">
        <f t="shared" si="20"/>
        <v>39214.93658738627</v>
      </c>
      <c r="AJ68" s="43">
        <f t="shared" si="21"/>
        <v>33863.175881710078</v>
      </c>
      <c r="AK68" s="43">
        <f t="shared" si="22"/>
        <v>28653.456515293143</v>
      </c>
      <c r="AL68" s="43">
        <f t="shared" si="23"/>
        <v>23443.737148876207</v>
      </c>
      <c r="AN68" s="47">
        <f t="shared" si="24"/>
        <v>8853.1367429117236</v>
      </c>
      <c r="AO68" s="47">
        <f t="shared" si="25"/>
        <v>8112.8561846879547</v>
      </c>
      <c r="AP68" s="47">
        <f t="shared" si="26"/>
        <v>7078.7826756434024</v>
      </c>
      <c r="AQ68" s="47">
        <f t="shared" si="27"/>
        <v>6785.6594747580584</v>
      </c>
      <c r="AR68" s="43">
        <f t="shared" si="28"/>
        <v>6100.581378074231</v>
      </c>
      <c r="AY68" s="3"/>
    </row>
    <row r="69" spans="1:51" ht="13">
      <c r="A69" s="48"/>
      <c r="B69" s="37">
        <f>'13. Desinvesteringen'!B352</f>
        <v>333</v>
      </c>
      <c r="C69" s="48"/>
      <c r="D69" s="48"/>
      <c r="E69" s="48"/>
      <c r="F69" s="42">
        <f>'5. Input GAW-waarde desinv.'!D28</f>
        <v>22168.241432612802</v>
      </c>
      <c r="G69" s="175">
        <f>'13. Desinvesteringen'!D352</f>
        <v>1977</v>
      </c>
      <c r="H69" s="175">
        <f>'13. Desinvesteringen'!G352</f>
        <v>2022</v>
      </c>
      <c r="I69" s="37" t="str">
        <f>'13. Desinvesteringen'!C352</f>
        <v>01 Regionale leidingen</v>
      </c>
      <c r="J69" s="164">
        <f>'13. Desinvesteringen'!F352</f>
        <v>0</v>
      </c>
      <c r="K69" s="38">
        <f>_xlfn.XLOOKUP(I69,'3. Input (des)investeringen '!$B$11:$B$89,'3. Input (des)investeringen '!$E$11:$E$89)</f>
        <v>1</v>
      </c>
      <c r="L69" s="48"/>
      <c r="M69" s="38">
        <f>_xlfn.XLOOKUP(I69,'3. Input (des)investeringen '!$B$11:$B$89,'3. Input (des)investeringen '!$D$11:$D$89,0)</f>
        <v>55</v>
      </c>
      <c r="N69" s="38">
        <f t="shared" si="13"/>
        <v>10.5</v>
      </c>
      <c r="P69" s="43">
        <f t="shared" si="29"/>
        <v>2470.1754739197127</v>
      </c>
      <c r="Q69" s="43">
        <f t="shared" si="29"/>
        <v>2164.3442247677481</v>
      </c>
      <c r="R69" s="43">
        <f t="shared" si="29"/>
        <v>1896.3777969393602</v>
      </c>
      <c r="S69" s="43">
        <f t="shared" si="29"/>
        <v>1789.4026391632935</v>
      </c>
      <c r="T69" s="43">
        <f t="shared" si="29"/>
        <v>1789.4026391632935</v>
      </c>
      <c r="V69" s="43">
        <f t="shared" si="1"/>
        <v>211.12610888202667</v>
      </c>
      <c r="W69" s="43">
        <f t="shared" si="2"/>
        <v>211.12610888202673</v>
      </c>
      <c r="X69" s="43">
        <f t="shared" si="3"/>
        <v>211.12610888202673</v>
      </c>
      <c r="Y69" s="43">
        <f t="shared" si="4"/>
        <v>211.12610888202673</v>
      </c>
      <c r="Z69" s="43">
        <f t="shared" si="5"/>
        <v>211.12610888202673</v>
      </c>
      <c r="AB69" s="43">
        <f t="shared" si="14"/>
        <v>2681.3015828017392</v>
      </c>
      <c r="AC69" s="43">
        <f t="shared" si="15"/>
        <v>2375.4703336497746</v>
      </c>
      <c r="AD69" s="43">
        <f t="shared" si="16"/>
        <v>2107.503905821387</v>
      </c>
      <c r="AE69" s="43">
        <f t="shared" si="17"/>
        <v>2000.5287480453203</v>
      </c>
      <c r="AF69" s="43">
        <f t="shared" si="18"/>
        <v>2000.5287480453203</v>
      </c>
      <c r="AH69" s="43">
        <f t="shared" si="19"/>
        <v>19486.939849811064</v>
      </c>
      <c r="AI69" s="43">
        <f t="shared" si="20"/>
        <v>17111.469516161291</v>
      </c>
      <c r="AJ69" s="43">
        <f t="shared" si="21"/>
        <v>15003.965610339903</v>
      </c>
      <c r="AK69" s="43">
        <f t="shared" si="22"/>
        <v>13003.436862294582</v>
      </c>
      <c r="AL69" s="43">
        <f t="shared" si="23"/>
        <v>11002.908114249261</v>
      </c>
      <c r="AN69" s="47">
        <f t="shared" si="24"/>
        <v>3480.266116643993</v>
      </c>
      <c r="AO69" s="47">
        <f t="shared" si="25"/>
        <v>3248.1552789740003</v>
      </c>
      <c r="AP69" s="47">
        <f t="shared" si="26"/>
        <v>2872.706151948722</v>
      </c>
      <c r="AQ69" s="47">
        <f t="shared" si="27"/>
        <v>2715.7177754715221</v>
      </c>
      <c r="AR69" s="43">
        <f t="shared" si="28"/>
        <v>2418.6392563867921</v>
      </c>
      <c r="AY69" s="3"/>
    </row>
    <row r="70" spans="1:51" ht="13">
      <c r="A70" s="48"/>
      <c r="B70" s="37">
        <f>'13. Desinvesteringen'!B353</f>
        <v>334</v>
      </c>
      <c r="C70" s="48"/>
      <c r="D70" s="48"/>
      <c r="E70" s="48"/>
      <c r="F70" s="42">
        <f>'5. Input GAW-waarde desinv.'!D29</f>
        <v>74293.951826154895</v>
      </c>
      <c r="G70" s="175">
        <f>'13. Desinvesteringen'!D353</f>
        <v>1980</v>
      </c>
      <c r="H70" s="175">
        <f>'13. Desinvesteringen'!G353</f>
        <v>2022</v>
      </c>
      <c r="I70" s="37" t="str">
        <f>'13. Desinvesteringen'!C353</f>
        <v>01 Regionale leidingen</v>
      </c>
      <c r="J70" s="164">
        <f>'13. Desinvesteringen'!F353</f>
        <v>0</v>
      </c>
      <c r="K70" s="38">
        <f>_xlfn.XLOOKUP(I70,'3. Input (des)investeringen '!$B$11:$B$89,'3. Input (des)investeringen '!$E$11:$E$89)</f>
        <v>1</v>
      </c>
      <c r="L70" s="48"/>
      <c r="M70" s="38">
        <f>_xlfn.XLOOKUP(I70,'3. Input (des)investeringen '!$B$11:$B$89,'3. Input (des)investeringen '!$D$11:$D$89,0)</f>
        <v>55</v>
      </c>
      <c r="N70" s="38">
        <f t="shared" si="13"/>
        <v>13.5</v>
      </c>
      <c r="P70" s="43">
        <f t="shared" si="29"/>
        <v>6438.8091582667575</v>
      </c>
      <c r="Q70" s="43">
        <f t="shared" si="29"/>
        <v>5818.7756837669958</v>
      </c>
      <c r="R70" s="43">
        <f t="shared" si="29"/>
        <v>5258.4491364412843</v>
      </c>
      <c r="S70" s="43">
        <f t="shared" si="29"/>
        <v>4752.0799603395308</v>
      </c>
      <c r="T70" s="43">
        <f t="shared" si="29"/>
        <v>4694.3623899710346</v>
      </c>
      <c r="V70" s="43">
        <f t="shared" si="1"/>
        <v>550.32556908262893</v>
      </c>
      <c r="W70" s="43">
        <f t="shared" si="2"/>
        <v>550.32556908262893</v>
      </c>
      <c r="X70" s="43">
        <f t="shared" si="3"/>
        <v>550.32556908262893</v>
      </c>
      <c r="Y70" s="43">
        <f t="shared" si="4"/>
        <v>550.32556908262893</v>
      </c>
      <c r="Z70" s="43">
        <f t="shared" si="5"/>
        <v>550.32556908262893</v>
      </c>
      <c r="AB70" s="43">
        <f t="shared" si="14"/>
        <v>6989.1347273493866</v>
      </c>
      <c r="AC70" s="43">
        <f t="shared" si="15"/>
        <v>6369.1012528496249</v>
      </c>
      <c r="AD70" s="43">
        <f t="shared" si="16"/>
        <v>5808.7747055239133</v>
      </c>
      <c r="AE70" s="43">
        <f t="shared" si="17"/>
        <v>5302.4055294221598</v>
      </c>
      <c r="AF70" s="43">
        <f t="shared" si="18"/>
        <v>5244.6879590536637</v>
      </c>
      <c r="AH70" s="43">
        <f t="shared" si="19"/>
        <v>67304.817098805506</v>
      </c>
      <c r="AI70" s="43">
        <f t="shared" si="20"/>
        <v>60935.715845955885</v>
      </c>
      <c r="AJ70" s="43">
        <f t="shared" si="21"/>
        <v>55126.941140431969</v>
      </c>
      <c r="AK70" s="43">
        <f t="shared" si="22"/>
        <v>49824.535611009807</v>
      </c>
      <c r="AL70" s="43">
        <f t="shared" si="23"/>
        <v>44579.847651956145</v>
      </c>
      <c r="AN70" s="47">
        <f t="shared" si="24"/>
        <v>9748.6322284004127</v>
      </c>
      <c r="AO70" s="47">
        <f t="shared" si="25"/>
        <v>9476.8227609933747</v>
      </c>
      <c r="AP70" s="47">
        <f t="shared" si="26"/>
        <v>8620.2487036859438</v>
      </c>
      <c r="AQ70" s="47">
        <f t="shared" si="27"/>
        <v>8042.7549880276993</v>
      </c>
      <c r="AR70" s="43">
        <f t="shared" si="28"/>
        <v>6938.7221698279973</v>
      </c>
      <c r="AY70" s="3"/>
    </row>
    <row r="71" spans="1:51" ht="13">
      <c r="A71" s="48"/>
      <c r="B71" s="37">
        <f>'13. Desinvesteringen'!B354</f>
        <v>335</v>
      </c>
      <c r="C71" s="48"/>
      <c r="D71" s="48"/>
      <c r="E71" s="48"/>
      <c r="F71" s="42">
        <f>'5. Input GAW-waarde desinv.'!D30</f>
        <v>357.48421114725051</v>
      </c>
      <c r="G71" s="175">
        <f>'13. Desinvesteringen'!D354</f>
        <v>1986</v>
      </c>
      <c r="H71" s="175">
        <f>'13. Desinvesteringen'!G354</f>
        <v>2022</v>
      </c>
      <c r="I71" s="37" t="str">
        <f>'13. Desinvesteringen'!C354</f>
        <v>01 Regionale leidingen</v>
      </c>
      <c r="J71" s="164">
        <f>'13. Desinvesteringen'!F354</f>
        <v>0</v>
      </c>
      <c r="K71" s="38">
        <f>_xlfn.XLOOKUP(I71,'3. Input (des)investeringen '!$B$11:$B$89,'3. Input (des)investeringen '!$E$11:$E$89)</f>
        <v>1</v>
      </c>
      <c r="L71" s="48"/>
      <c r="M71" s="38">
        <f>_xlfn.XLOOKUP(I71,'3. Input (des)investeringen '!$B$11:$B$89,'3. Input (des)investeringen '!$D$11:$D$89,0)</f>
        <v>55</v>
      </c>
      <c r="N71" s="38">
        <f t="shared" si="13"/>
        <v>19.5</v>
      </c>
      <c r="P71" s="43">
        <f t="shared" si="29"/>
        <v>21.44905266883503</v>
      </c>
      <c r="Q71" s="43">
        <f t="shared" si="29"/>
        <v>20.019115824246029</v>
      </c>
      <c r="R71" s="43">
        <f t="shared" si="29"/>
        <v>18.684508102629628</v>
      </c>
      <c r="S71" s="43">
        <f t="shared" si="29"/>
        <v>17.438874229120984</v>
      </c>
      <c r="T71" s="43">
        <f t="shared" si="29"/>
        <v>16.276282613846252</v>
      </c>
      <c r="V71" s="43">
        <f t="shared" si="1"/>
        <v>1.833252364857695</v>
      </c>
      <c r="W71" s="43">
        <f t="shared" si="2"/>
        <v>1.833252364857695</v>
      </c>
      <c r="X71" s="43">
        <f t="shared" si="3"/>
        <v>1.833252364857695</v>
      </c>
      <c r="Y71" s="43">
        <f t="shared" si="4"/>
        <v>1.833252364857695</v>
      </c>
      <c r="Z71" s="43">
        <f t="shared" si="5"/>
        <v>1.833252364857695</v>
      </c>
      <c r="AB71" s="43">
        <f t="shared" si="14"/>
        <v>23.282305033692726</v>
      </c>
      <c r="AC71" s="43">
        <f t="shared" si="15"/>
        <v>21.852368189103725</v>
      </c>
      <c r="AD71" s="43">
        <f t="shared" si="16"/>
        <v>20.517760467487324</v>
      </c>
      <c r="AE71" s="43">
        <f t="shared" si="17"/>
        <v>19.27212659397868</v>
      </c>
      <c r="AF71" s="43">
        <f t="shared" si="18"/>
        <v>18.109534978703948</v>
      </c>
      <c r="AH71" s="43">
        <f t="shared" si="19"/>
        <v>334.20190611355775</v>
      </c>
      <c r="AI71" s="43">
        <f t="shared" si="20"/>
        <v>312.34953792445401</v>
      </c>
      <c r="AJ71" s="43">
        <f t="shared" si="21"/>
        <v>291.83177745696668</v>
      </c>
      <c r="AK71" s="43">
        <f t="shared" si="22"/>
        <v>272.55965086298801</v>
      </c>
      <c r="AL71" s="43">
        <f t="shared" si="23"/>
        <v>254.45011588428406</v>
      </c>
      <c r="AN71" s="47">
        <f t="shared" si="24"/>
        <v>36.984583184348594</v>
      </c>
      <c r="AO71" s="47">
        <f t="shared" si="25"/>
        <v>37.782194623250881</v>
      </c>
      <c r="AP71" s="47">
        <f t="shared" si="26"/>
        <v>35.401181117792625</v>
      </c>
      <c r="AQ71" s="47">
        <f t="shared" si="27"/>
        <v>34.262907391443022</v>
      </c>
      <c r="AR71" s="43">
        <f t="shared" si="28"/>
        <v>27.778639382306743</v>
      </c>
      <c r="AY71" s="3"/>
    </row>
    <row r="72" spans="1:51" ht="13">
      <c r="A72" s="48"/>
      <c r="B72" s="37">
        <f>'13. Desinvesteringen'!B355</f>
        <v>336</v>
      </c>
      <c r="C72" s="48"/>
      <c r="D72" s="48"/>
      <c r="E72" s="48"/>
      <c r="F72" s="42">
        <f>'5. Input GAW-waarde desinv.'!D31</f>
        <v>38915.650783577308</v>
      </c>
      <c r="G72" s="175">
        <f>'13. Desinvesteringen'!D355</f>
        <v>1987</v>
      </c>
      <c r="H72" s="175">
        <f>'13. Desinvesteringen'!G355</f>
        <v>2022</v>
      </c>
      <c r="I72" s="37" t="str">
        <f>'13. Desinvesteringen'!C355</f>
        <v>01 Regionale leidingen</v>
      </c>
      <c r="J72" s="164">
        <f>'13. Desinvesteringen'!F355</f>
        <v>0</v>
      </c>
      <c r="K72" s="38">
        <f>_xlfn.XLOOKUP(I72,'3. Input (des)investeringen '!$B$11:$B$89,'3. Input (des)investeringen '!$E$11:$E$89)</f>
        <v>1</v>
      </c>
      <c r="L72" s="48"/>
      <c r="M72" s="38">
        <f>_xlfn.XLOOKUP(I72,'3. Input (des)investeringen '!$B$11:$B$89,'3. Input (des)investeringen '!$D$11:$D$89,0)</f>
        <v>55</v>
      </c>
      <c r="N72" s="38">
        <f t="shared" si="13"/>
        <v>20.5</v>
      </c>
      <c r="P72" s="43">
        <f t="shared" ref="P72:T81" si="30">IF($M72&gt;0, IF(OR($G72&gt;P$50,$G72+$M72&lt;P$50),0,
VDB($F72,0,$N72,MAX(0,P$50-2022),MIN($N72,P$50-2021),$F$23,FALSE))*(1-$F$26), 0)</f>
        <v>2221.0395813066075</v>
      </c>
      <c r="Q72" s="43">
        <f t="shared" si="30"/>
        <v>2080.1931688335053</v>
      </c>
      <c r="R72" s="43">
        <f t="shared" si="30"/>
        <v>1948.2784800782101</v>
      </c>
      <c r="S72" s="43">
        <f t="shared" si="30"/>
        <v>1824.7291130488604</v>
      </c>
      <c r="T72" s="43">
        <f t="shared" si="30"/>
        <v>1709.0145839286888</v>
      </c>
      <c r="V72" s="43">
        <f t="shared" si="1"/>
        <v>189.83244284671858</v>
      </c>
      <c r="W72" s="43">
        <f t="shared" si="2"/>
        <v>189.83244284671855</v>
      </c>
      <c r="X72" s="43">
        <f t="shared" si="3"/>
        <v>189.83244284671855</v>
      </c>
      <c r="Y72" s="43">
        <f t="shared" si="4"/>
        <v>189.83244284671855</v>
      </c>
      <c r="Z72" s="43">
        <f t="shared" si="5"/>
        <v>189.83244284671855</v>
      </c>
      <c r="AB72" s="43">
        <f t="shared" si="14"/>
        <v>2410.872024153326</v>
      </c>
      <c r="AC72" s="43">
        <f t="shared" si="15"/>
        <v>2270.0256116802238</v>
      </c>
      <c r="AD72" s="43">
        <f t="shared" si="16"/>
        <v>2138.1109229249287</v>
      </c>
      <c r="AE72" s="43">
        <f t="shared" si="17"/>
        <v>2014.561555895579</v>
      </c>
      <c r="AF72" s="43">
        <f t="shared" si="18"/>
        <v>1898.8470267754074</v>
      </c>
      <c r="AH72" s="43">
        <f t="shared" si="19"/>
        <v>36504.778759423985</v>
      </c>
      <c r="AI72" s="43">
        <f t="shared" si="20"/>
        <v>34234.753147743759</v>
      </c>
      <c r="AJ72" s="43">
        <f t="shared" si="21"/>
        <v>32096.642224818832</v>
      </c>
      <c r="AK72" s="43">
        <f t="shared" si="22"/>
        <v>30082.080668923252</v>
      </c>
      <c r="AL72" s="43">
        <f t="shared" si="23"/>
        <v>28183.233642147847</v>
      </c>
      <c r="AN72" s="47">
        <f t="shared" si="24"/>
        <v>3907.5679532897093</v>
      </c>
      <c r="AO72" s="47">
        <f t="shared" si="25"/>
        <v>4015.9980222151553</v>
      </c>
      <c r="AP72" s="47">
        <f t="shared" si="26"/>
        <v>3775.0396763906892</v>
      </c>
      <c r="AQ72" s="47">
        <f t="shared" si="27"/>
        <v>3669.0759926863579</v>
      </c>
      <c r="AR72" s="43">
        <f t="shared" si="28"/>
        <v>2969.8099051770255</v>
      </c>
      <c r="AY72" s="3"/>
    </row>
    <row r="73" spans="1:51" ht="13">
      <c r="A73" s="48"/>
      <c r="B73" s="37">
        <f>'13. Desinvesteringen'!B356</f>
        <v>337</v>
      </c>
      <c r="C73" s="48"/>
      <c r="D73" s="48"/>
      <c r="E73" s="48"/>
      <c r="F73" s="42">
        <f>'5. Input GAW-waarde desinv.'!D32</f>
        <v>22545.342886393813</v>
      </c>
      <c r="G73" s="175">
        <f>'13. Desinvesteringen'!D356</f>
        <v>1991</v>
      </c>
      <c r="H73" s="175">
        <f>'13. Desinvesteringen'!G356</f>
        <v>2022</v>
      </c>
      <c r="I73" s="37" t="str">
        <f>'13. Desinvesteringen'!C356</f>
        <v>01 Regionale leidingen</v>
      </c>
      <c r="J73" s="164">
        <f>'13. Desinvesteringen'!F356</f>
        <v>0</v>
      </c>
      <c r="K73" s="38">
        <f>_xlfn.XLOOKUP(I73,'3. Input (des)investeringen '!$B$11:$B$89,'3. Input (des)investeringen '!$E$11:$E$89)</f>
        <v>1</v>
      </c>
      <c r="L73" s="48"/>
      <c r="M73" s="38">
        <f>_xlfn.XLOOKUP(I73,'3. Input (des)investeringen '!$B$11:$B$89,'3. Input (des)investeringen '!$D$11:$D$89,0)</f>
        <v>55</v>
      </c>
      <c r="N73" s="38">
        <f t="shared" si="13"/>
        <v>24.5</v>
      </c>
      <c r="P73" s="43">
        <f t="shared" si="30"/>
        <v>1076.6551500849291</v>
      </c>
      <c r="Q73" s="43">
        <f t="shared" si="30"/>
        <v>1019.5265094681778</v>
      </c>
      <c r="R73" s="43">
        <f t="shared" si="30"/>
        <v>965.42918447598879</v>
      </c>
      <c r="S73" s="43">
        <f t="shared" si="30"/>
        <v>914.20232978950764</v>
      </c>
      <c r="T73" s="43">
        <f t="shared" si="30"/>
        <v>865.69363473945202</v>
      </c>
      <c r="V73" s="43">
        <f t="shared" si="1"/>
        <v>92.02180769956658</v>
      </c>
      <c r="W73" s="43">
        <f t="shared" si="2"/>
        <v>92.021807699566594</v>
      </c>
      <c r="X73" s="43">
        <f t="shared" si="3"/>
        <v>92.021807699566594</v>
      </c>
      <c r="Y73" s="43">
        <f t="shared" si="4"/>
        <v>92.021807699566594</v>
      </c>
      <c r="Z73" s="43">
        <f t="shared" si="5"/>
        <v>92.021807699566594</v>
      </c>
      <c r="AB73" s="43">
        <f t="shared" si="14"/>
        <v>1168.6769577844957</v>
      </c>
      <c r="AC73" s="43">
        <f t="shared" si="15"/>
        <v>1111.5483171677445</v>
      </c>
      <c r="AD73" s="43">
        <f t="shared" si="16"/>
        <v>1057.4509921755555</v>
      </c>
      <c r="AE73" s="43">
        <f t="shared" si="17"/>
        <v>1006.2241374890742</v>
      </c>
      <c r="AF73" s="43">
        <f t="shared" si="18"/>
        <v>957.7154424390186</v>
      </c>
      <c r="AH73" s="43">
        <f t="shared" si="19"/>
        <v>21376.665928609316</v>
      </c>
      <c r="AI73" s="43">
        <f t="shared" si="20"/>
        <v>20265.117611441572</v>
      </c>
      <c r="AJ73" s="43">
        <f t="shared" si="21"/>
        <v>19207.666619266016</v>
      </c>
      <c r="AK73" s="43">
        <f t="shared" si="22"/>
        <v>18201.442481776943</v>
      </c>
      <c r="AL73" s="43">
        <f t="shared" si="23"/>
        <v>17243.727039337926</v>
      </c>
      <c r="AN73" s="47">
        <f t="shared" si="24"/>
        <v>2045.1202608574777</v>
      </c>
      <c r="AO73" s="47">
        <f t="shared" si="25"/>
        <v>2145.0693153512648</v>
      </c>
      <c r="AP73" s="47">
        <f t="shared" si="26"/>
        <v>2037.0419897581223</v>
      </c>
      <c r="AQ73" s="47">
        <f t="shared" si="27"/>
        <v>2007.3034739868062</v>
      </c>
      <c r="AR73" s="43">
        <f t="shared" si="28"/>
        <v>1612.9770699338596</v>
      </c>
      <c r="AY73" s="3"/>
    </row>
    <row r="74" spans="1:51" ht="13">
      <c r="A74" s="48"/>
      <c r="B74" s="37">
        <f>'13. Desinvesteringen'!B357</f>
        <v>338</v>
      </c>
      <c r="C74" s="48"/>
      <c r="D74" s="48"/>
      <c r="E74" s="48"/>
      <c r="F74" s="42">
        <f>'5. Input GAW-waarde desinv.'!D33</f>
        <v>91128.347042326975</v>
      </c>
      <c r="G74" s="175">
        <f>'13. Desinvesteringen'!D357</f>
        <v>1994</v>
      </c>
      <c r="H74" s="175">
        <f>'13. Desinvesteringen'!G357</f>
        <v>2022</v>
      </c>
      <c r="I74" s="37" t="str">
        <f>'13. Desinvesteringen'!C357</f>
        <v>01 Regionale leidingen</v>
      </c>
      <c r="J74" s="164">
        <f>'13. Desinvesteringen'!F357</f>
        <v>0</v>
      </c>
      <c r="K74" s="38">
        <f>_xlfn.XLOOKUP(I74,'3. Input (des)investeringen '!$B$11:$B$89,'3. Input (des)investeringen '!$E$11:$E$89)</f>
        <v>1</v>
      </c>
      <c r="L74" s="48"/>
      <c r="M74" s="38">
        <f>_xlfn.XLOOKUP(I74,'3. Input (des)investeringen '!$B$11:$B$89,'3. Input (des)investeringen '!$D$11:$D$89,0)</f>
        <v>55</v>
      </c>
      <c r="N74" s="38">
        <f t="shared" si="13"/>
        <v>27.5</v>
      </c>
      <c r="P74" s="43">
        <f t="shared" si="30"/>
        <v>3877.0969468917297</v>
      </c>
      <c r="Q74" s="43">
        <f t="shared" si="30"/>
        <v>3693.8160003113935</v>
      </c>
      <c r="R74" s="43">
        <f t="shared" si="30"/>
        <v>3519.1992439330365</v>
      </c>
      <c r="S74" s="43">
        <f t="shared" si="30"/>
        <v>3352.837097856202</v>
      </c>
      <c r="T74" s="43">
        <f t="shared" si="30"/>
        <v>3194.3393441393632</v>
      </c>
      <c r="V74" s="43">
        <f t="shared" si="1"/>
        <v>331.37580742664358</v>
      </c>
      <c r="W74" s="43">
        <f t="shared" si="2"/>
        <v>331.37580742664363</v>
      </c>
      <c r="X74" s="43">
        <f t="shared" si="3"/>
        <v>331.37580742664363</v>
      </c>
      <c r="Y74" s="43">
        <f t="shared" si="4"/>
        <v>331.37580742664363</v>
      </c>
      <c r="Z74" s="43">
        <f t="shared" si="5"/>
        <v>331.37580742664363</v>
      </c>
      <c r="AB74" s="43">
        <f t="shared" si="14"/>
        <v>4208.4727543183735</v>
      </c>
      <c r="AC74" s="43">
        <f t="shared" si="15"/>
        <v>4025.1918077380369</v>
      </c>
      <c r="AD74" s="43">
        <f t="shared" si="16"/>
        <v>3850.5750513596804</v>
      </c>
      <c r="AE74" s="43">
        <f t="shared" si="17"/>
        <v>3684.2129052828459</v>
      </c>
      <c r="AF74" s="43">
        <f t="shared" si="18"/>
        <v>3525.7151515660071</v>
      </c>
      <c r="AH74" s="43">
        <f t="shared" si="19"/>
        <v>86919.874288008607</v>
      </c>
      <c r="AI74" s="43">
        <f t="shared" si="20"/>
        <v>82894.682480270567</v>
      </c>
      <c r="AJ74" s="43">
        <f t="shared" si="21"/>
        <v>79044.10742891088</v>
      </c>
      <c r="AK74" s="43">
        <f t="shared" si="22"/>
        <v>75359.894523628027</v>
      </c>
      <c r="AL74" s="43">
        <f t="shared" si="23"/>
        <v>71834.179372062019</v>
      </c>
      <c r="AN74" s="47">
        <f t="shared" si="24"/>
        <v>7772.1876001267265</v>
      </c>
      <c r="AO74" s="47">
        <f t="shared" si="25"/>
        <v>8252.8206142318359</v>
      </c>
      <c r="AP74" s="47">
        <f t="shared" si="26"/>
        <v>7881.8245302341347</v>
      </c>
      <c r="AQ74" s="47">
        <f t="shared" si="27"/>
        <v>7829.0071040823877</v>
      </c>
      <c r="AR74" s="43">
        <f t="shared" si="28"/>
        <v>6255.413967704364</v>
      </c>
      <c r="AY74" s="3"/>
    </row>
    <row r="75" spans="1:51" ht="13">
      <c r="A75" s="48"/>
      <c r="B75" s="37">
        <f>'13. Desinvesteringen'!B358</f>
        <v>339</v>
      </c>
      <c r="C75" s="48"/>
      <c r="D75" s="48"/>
      <c r="E75" s="48"/>
      <c r="F75" s="42">
        <f>'5. Input GAW-waarde desinv.'!D34</f>
        <v>19475.506076320318</v>
      </c>
      <c r="G75" s="175">
        <f>'13. Desinvesteringen'!D358</f>
        <v>1995</v>
      </c>
      <c r="H75" s="175">
        <f>'13. Desinvesteringen'!G358</f>
        <v>2022</v>
      </c>
      <c r="I75" s="37" t="str">
        <f>'13. Desinvesteringen'!C358</f>
        <v>01 Regionale leidingen</v>
      </c>
      <c r="J75" s="164">
        <f>'13. Desinvesteringen'!F358</f>
        <v>0</v>
      </c>
      <c r="K75" s="38">
        <f>_xlfn.XLOOKUP(I75,'3. Input (des)investeringen '!$B$11:$B$89,'3. Input (des)investeringen '!$E$11:$E$89)</f>
        <v>1</v>
      </c>
      <c r="L75" s="48"/>
      <c r="M75" s="38">
        <f>_xlfn.XLOOKUP(I75,'3. Input (des)investeringen '!$B$11:$B$89,'3. Input (des)investeringen '!$D$11:$D$89,0)</f>
        <v>55</v>
      </c>
      <c r="N75" s="38">
        <f t="shared" si="13"/>
        <v>28.5</v>
      </c>
      <c r="P75" s="43">
        <f t="shared" si="30"/>
        <v>799.52077576472891</v>
      </c>
      <c r="Q75" s="43">
        <f t="shared" si="30"/>
        <v>763.05140704563598</v>
      </c>
      <c r="R75" s="43">
        <f t="shared" si="30"/>
        <v>728.24555339092285</v>
      </c>
      <c r="S75" s="43">
        <f t="shared" si="30"/>
        <v>695.02733516607361</v>
      </c>
      <c r="T75" s="43">
        <f t="shared" si="30"/>
        <v>663.3243339128843</v>
      </c>
      <c r="V75" s="43">
        <f t="shared" si="1"/>
        <v>68.335109039720422</v>
      </c>
      <c r="W75" s="43">
        <f t="shared" si="2"/>
        <v>68.335109039720422</v>
      </c>
      <c r="X75" s="43">
        <f t="shared" si="3"/>
        <v>68.335109039720422</v>
      </c>
      <c r="Y75" s="43">
        <f t="shared" si="4"/>
        <v>68.335109039720422</v>
      </c>
      <c r="Z75" s="43">
        <f t="shared" si="5"/>
        <v>68.335109039720422</v>
      </c>
      <c r="AB75" s="43">
        <f t="shared" si="14"/>
        <v>867.85588480444937</v>
      </c>
      <c r="AC75" s="43">
        <f t="shared" si="15"/>
        <v>831.38651608535645</v>
      </c>
      <c r="AD75" s="43">
        <f t="shared" si="16"/>
        <v>796.58066243064332</v>
      </c>
      <c r="AE75" s="43">
        <f t="shared" si="17"/>
        <v>763.36244420579408</v>
      </c>
      <c r="AF75" s="43">
        <f t="shared" si="18"/>
        <v>731.65944295260476</v>
      </c>
      <c r="AH75" s="43">
        <f t="shared" si="19"/>
        <v>18607.65019151587</v>
      </c>
      <c r="AI75" s="43">
        <f t="shared" si="20"/>
        <v>17776.263675430513</v>
      </c>
      <c r="AJ75" s="43">
        <f t="shared" si="21"/>
        <v>16979.683012999871</v>
      </c>
      <c r="AK75" s="43">
        <f t="shared" si="22"/>
        <v>16216.320568794077</v>
      </c>
      <c r="AL75" s="43">
        <f t="shared" si="23"/>
        <v>15484.661125841472</v>
      </c>
      <c r="AN75" s="47">
        <f t="shared" si="24"/>
        <v>1630.7695426566002</v>
      </c>
      <c r="AO75" s="47">
        <f t="shared" si="25"/>
        <v>1737.9759635323126</v>
      </c>
      <c r="AP75" s="47">
        <f t="shared" si="26"/>
        <v>1662.5444960936366</v>
      </c>
      <c r="AQ75" s="47">
        <f t="shared" si="27"/>
        <v>1655.2600754894684</v>
      </c>
      <c r="AR75" s="43">
        <f t="shared" si="28"/>
        <v>1320.0765657345805</v>
      </c>
      <c r="AY75" s="3"/>
    </row>
    <row r="76" spans="1:51" ht="13">
      <c r="A76" s="48"/>
      <c r="B76" s="37">
        <f>'13. Desinvesteringen'!B359</f>
        <v>340</v>
      </c>
      <c r="C76" s="48"/>
      <c r="D76" s="48"/>
      <c r="E76" s="48"/>
      <c r="F76" s="42">
        <f>'5. Input GAW-waarde desinv.'!D35</f>
        <v>4265.7894840755598</v>
      </c>
      <c r="G76" s="175">
        <f>'13. Desinvesteringen'!D359</f>
        <v>1997</v>
      </c>
      <c r="H76" s="175">
        <f>'13. Desinvesteringen'!G359</f>
        <v>2022</v>
      </c>
      <c r="I76" s="37" t="str">
        <f>'13. Desinvesteringen'!C359</f>
        <v>01 Regionale leidingen</v>
      </c>
      <c r="J76" s="164">
        <f>'13. Desinvesteringen'!F359</f>
        <v>0</v>
      </c>
      <c r="K76" s="38">
        <f>_xlfn.XLOOKUP(I76,'3. Input (des)investeringen '!$B$11:$B$89,'3. Input (des)investeringen '!$E$11:$E$89)</f>
        <v>1</v>
      </c>
      <c r="L76" s="48"/>
      <c r="M76" s="38">
        <f>_xlfn.XLOOKUP(I76,'3. Input (des)investeringen '!$B$11:$B$89,'3. Input (des)investeringen '!$D$11:$D$89,0)</f>
        <v>55</v>
      </c>
      <c r="N76" s="38">
        <f t="shared" si="13"/>
        <v>30.5</v>
      </c>
      <c r="P76" s="43">
        <f t="shared" si="30"/>
        <v>163.63848184814444</v>
      </c>
      <c r="Q76" s="43">
        <f t="shared" si="30"/>
        <v>156.6637268841252</v>
      </c>
      <c r="R76" s="43">
        <f t="shared" si="30"/>
        <v>149.98625655791653</v>
      </c>
      <c r="S76" s="43">
        <f t="shared" si="30"/>
        <v>143.59339972102177</v>
      </c>
      <c r="T76" s="43">
        <f t="shared" si="30"/>
        <v>137.47302530668313</v>
      </c>
      <c r="V76" s="43">
        <f t="shared" si="1"/>
        <v>13.986195029755933</v>
      </c>
      <c r="W76" s="43">
        <f t="shared" si="2"/>
        <v>13.986195029755937</v>
      </c>
      <c r="X76" s="43">
        <f t="shared" si="3"/>
        <v>13.986195029755937</v>
      </c>
      <c r="Y76" s="43">
        <f t="shared" si="4"/>
        <v>13.986195029755937</v>
      </c>
      <c r="Z76" s="43">
        <f t="shared" si="5"/>
        <v>13.986195029755937</v>
      </c>
      <c r="AB76" s="43">
        <f t="shared" si="14"/>
        <v>177.62467687790036</v>
      </c>
      <c r="AC76" s="43">
        <f t="shared" si="15"/>
        <v>170.64992191388114</v>
      </c>
      <c r="AD76" s="43">
        <f t="shared" si="16"/>
        <v>163.97245158767248</v>
      </c>
      <c r="AE76" s="43">
        <f t="shared" si="17"/>
        <v>157.57959475077772</v>
      </c>
      <c r="AF76" s="43">
        <f t="shared" si="18"/>
        <v>151.45922033643907</v>
      </c>
      <c r="AH76" s="43">
        <f t="shared" si="19"/>
        <v>4088.1648071976597</v>
      </c>
      <c r="AI76" s="43">
        <f t="shared" si="20"/>
        <v>3917.5148852837783</v>
      </c>
      <c r="AJ76" s="43">
        <f t="shared" si="21"/>
        <v>3753.5424336961059</v>
      </c>
      <c r="AK76" s="43">
        <f t="shared" si="22"/>
        <v>3595.9628389453283</v>
      </c>
      <c r="AL76" s="43">
        <f t="shared" si="23"/>
        <v>3444.5036186088892</v>
      </c>
      <c r="AN76" s="47">
        <f t="shared" si="24"/>
        <v>345.23943397300445</v>
      </c>
      <c r="AO76" s="47">
        <f t="shared" si="25"/>
        <v>370.44318106335379</v>
      </c>
      <c r="AP76" s="47">
        <f t="shared" si="26"/>
        <v>355.40311570617388</v>
      </c>
      <c r="AQ76" s="47">
        <f t="shared" si="27"/>
        <v>355.35755089277075</v>
      </c>
      <c r="AR76" s="43">
        <f t="shared" si="28"/>
        <v>282.35035784357683</v>
      </c>
      <c r="AY76" s="3"/>
    </row>
    <row r="77" spans="1:51" ht="13">
      <c r="A77" s="48"/>
      <c r="B77" s="37">
        <f>'13. Desinvesteringen'!B360</f>
        <v>341</v>
      </c>
      <c r="C77" s="48"/>
      <c r="D77" s="48"/>
      <c r="E77" s="48"/>
      <c r="F77" s="42">
        <f>'5. Input GAW-waarde desinv.'!D36</f>
        <v>6065.0353725967525</v>
      </c>
      <c r="G77" s="175">
        <f>'13. Desinvesteringen'!D360</f>
        <v>2001</v>
      </c>
      <c r="H77" s="175">
        <f>'13. Desinvesteringen'!G360</f>
        <v>2022</v>
      </c>
      <c r="I77" s="37" t="str">
        <f>'13. Desinvesteringen'!C360</f>
        <v>01 Regionale leidingen</v>
      </c>
      <c r="J77" s="164">
        <f>'13. Desinvesteringen'!F360</f>
        <v>0</v>
      </c>
      <c r="K77" s="38">
        <f>_xlfn.XLOOKUP(I77,'3. Input (des)investeringen '!$B$11:$B$89,'3. Input (des)investeringen '!$E$11:$E$89)</f>
        <v>1</v>
      </c>
      <c r="L77" s="48"/>
      <c r="M77" s="38">
        <f>_xlfn.XLOOKUP(I77,'3. Input (des)investeringen '!$B$11:$B$89,'3. Input (des)investeringen '!$D$11:$D$89,0)</f>
        <v>55</v>
      </c>
      <c r="N77" s="38">
        <f t="shared" si="13"/>
        <v>34.5</v>
      </c>
      <c r="P77" s="43">
        <f t="shared" si="30"/>
        <v>205.6838082880638</v>
      </c>
      <c r="Q77" s="43">
        <f t="shared" si="30"/>
        <v>197.93340391778895</v>
      </c>
      <c r="R77" s="43">
        <f t="shared" si="30"/>
        <v>190.47504377016213</v>
      </c>
      <c r="S77" s="43">
        <f t="shared" si="30"/>
        <v>183.29772328027195</v>
      </c>
      <c r="T77" s="43">
        <f t="shared" si="30"/>
        <v>176.39085254797183</v>
      </c>
      <c r="V77" s="43">
        <f t="shared" si="1"/>
        <v>17.579812674193487</v>
      </c>
      <c r="W77" s="43">
        <f t="shared" si="2"/>
        <v>17.579812674193487</v>
      </c>
      <c r="X77" s="43">
        <f t="shared" si="3"/>
        <v>17.579812674193487</v>
      </c>
      <c r="Y77" s="43">
        <f t="shared" si="4"/>
        <v>17.579812674193487</v>
      </c>
      <c r="Z77" s="43">
        <f t="shared" si="5"/>
        <v>17.579812674193487</v>
      </c>
      <c r="AB77" s="43">
        <f t="shared" si="14"/>
        <v>223.26362096225728</v>
      </c>
      <c r="AC77" s="43">
        <f t="shared" si="15"/>
        <v>215.51321659198243</v>
      </c>
      <c r="AD77" s="43">
        <f t="shared" si="16"/>
        <v>208.05485644435561</v>
      </c>
      <c r="AE77" s="43">
        <f t="shared" si="17"/>
        <v>200.87753595446543</v>
      </c>
      <c r="AF77" s="43">
        <f t="shared" si="18"/>
        <v>193.97066522216531</v>
      </c>
      <c r="AH77" s="43">
        <f t="shared" si="19"/>
        <v>5841.7717516344956</v>
      </c>
      <c r="AI77" s="43">
        <f t="shared" si="20"/>
        <v>5626.2585350425134</v>
      </c>
      <c r="AJ77" s="43">
        <f t="shared" si="21"/>
        <v>5418.2036785981581</v>
      </c>
      <c r="AK77" s="43">
        <f t="shared" si="22"/>
        <v>5217.3261426436929</v>
      </c>
      <c r="AL77" s="43">
        <f t="shared" si="23"/>
        <v>5023.3554774215272</v>
      </c>
      <c r="AN77" s="47">
        <f t="shared" si="24"/>
        <v>462.77626277927163</v>
      </c>
      <c r="AO77" s="47">
        <f t="shared" si="25"/>
        <v>502.45240187915061</v>
      </c>
      <c r="AP77" s="47">
        <f t="shared" si="26"/>
        <v>484.38324405286164</v>
      </c>
      <c r="AQ77" s="47">
        <f t="shared" si="27"/>
        <v>487.83047379986857</v>
      </c>
      <c r="AR77" s="43">
        <f t="shared" si="28"/>
        <v>384.85817336418336</v>
      </c>
      <c r="AY77" s="3"/>
    </row>
    <row r="78" spans="1:51" ht="13">
      <c r="A78" s="48"/>
      <c r="B78" s="37">
        <f>'13. Desinvesteringen'!B361</f>
        <v>342</v>
      </c>
      <c r="C78" s="48"/>
      <c r="D78" s="48"/>
      <c r="E78" s="48"/>
      <c r="F78" s="42">
        <f>'5. Input GAW-waarde desinv.'!D37</f>
        <v>3963.0132452867715</v>
      </c>
      <c r="G78" s="175">
        <f>'13. Desinvesteringen'!D361</f>
        <v>2002</v>
      </c>
      <c r="H78" s="175">
        <f>'13. Desinvesteringen'!G361</f>
        <v>2022</v>
      </c>
      <c r="I78" s="37" t="str">
        <f>'13. Desinvesteringen'!C361</f>
        <v>01 Regionale leidingen</v>
      </c>
      <c r="J78" s="164">
        <f>'13. Desinvesteringen'!F361</f>
        <v>0</v>
      </c>
      <c r="K78" s="38">
        <f>_xlfn.XLOOKUP(I78,'3. Input (des)investeringen '!$B$11:$B$89,'3. Input (des)investeringen '!$E$11:$E$89)</f>
        <v>1</v>
      </c>
      <c r="L78" s="48"/>
      <c r="M78" s="38">
        <f>_xlfn.XLOOKUP(I78,'3. Input (des)investeringen '!$B$11:$B$89,'3. Input (des)investeringen '!$D$11:$D$89,0)</f>
        <v>55</v>
      </c>
      <c r="N78" s="38">
        <f t="shared" si="13"/>
        <v>35.5</v>
      </c>
      <c r="P78" s="43">
        <f t="shared" si="30"/>
        <v>130.61198583057811</v>
      </c>
      <c r="Q78" s="43">
        <f t="shared" si="30"/>
        <v>125.82901170157102</v>
      </c>
      <c r="R78" s="43">
        <f t="shared" si="30"/>
        <v>121.22118873785151</v>
      </c>
      <c r="S78" s="43">
        <f t="shared" si="30"/>
        <v>116.78210295308513</v>
      </c>
      <c r="T78" s="43">
        <f t="shared" si="30"/>
        <v>112.50557523931016</v>
      </c>
      <c r="V78" s="43">
        <f t="shared" si="1"/>
        <v>11.163417592357105</v>
      </c>
      <c r="W78" s="43">
        <f t="shared" si="2"/>
        <v>11.163417592357103</v>
      </c>
      <c r="X78" s="43">
        <f t="shared" si="3"/>
        <v>11.163417592357103</v>
      </c>
      <c r="Y78" s="43">
        <f t="shared" si="4"/>
        <v>11.163417592357103</v>
      </c>
      <c r="Z78" s="43">
        <f t="shared" si="5"/>
        <v>11.163417592357103</v>
      </c>
      <c r="AB78" s="43">
        <f t="shared" si="14"/>
        <v>141.7754034229352</v>
      </c>
      <c r="AC78" s="43">
        <f t="shared" si="15"/>
        <v>136.99242929392813</v>
      </c>
      <c r="AD78" s="43">
        <f t="shared" si="16"/>
        <v>132.38460633020861</v>
      </c>
      <c r="AE78" s="43">
        <f t="shared" si="17"/>
        <v>127.94552054544224</v>
      </c>
      <c r="AF78" s="43">
        <f t="shared" si="18"/>
        <v>123.66899283166727</v>
      </c>
      <c r="AH78" s="43">
        <f t="shared" si="19"/>
        <v>3821.2378418638364</v>
      </c>
      <c r="AI78" s="43">
        <f t="shared" si="20"/>
        <v>3684.2454125699082</v>
      </c>
      <c r="AJ78" s="43">
        <f t="shared" si="21"/>
        <v>3551.8608062396997</v>
      </c>
      <c r="AK78" s="43">
        <f t="shared" si="22"/>
        <v>3423.9152856942574</v>
      </c>
      <c r="AL78" s="43">
        <f t="shared" si="23"/>
        <v>3300.2462928625901</v>
      </c>
      <c r="AN78" s="47">
        <f t="shared" si="24"/>
        <v>298.44615493935248</v>
      </c>
      <c r="AO78" s="47">
        <f t="shared" si="25"/>
        <v>324.88894533499342</v>
      </c>
      <c r="AP78" s="47">
        <f t="shared" si="26"/>
        <v>313.52950744843326</v>
      </c>
      <c r="AQ78" s="47">
        <f t="shared" si="27"/>
        <v>316.26086125862639</v>
      </c>
      <c r="AR78" s="43">
        <f t="shared" si="28"/>
        <v>249.07835196044567</v>
      </c>
      <c r="AY78" s="3"/>
    </row>
    <row r="79" spans="1:51" ht="13">
      <c r="A79" s="48"/>
      <c r="B79" s="37">
        <f>'13. Desinvesteringen'!B362</f>
        <v>343</v>
      </c>
      <c r="C79" s="48"/>
      <c r="D79" s="48"/>
      <c r="E79" s="48"/>
      <c r="F79" s="42">
        <f>'5. Input GAW-waarde desinv.'!D38</f>
        <v>99386.826026262308</v>
      </c>
      <c r="G79" s="175">
        <f>'13. Desinvesteringen'!D362</f>
        <v>2004</v>
      </c>
      <c r="H79" s="175">
        <f>'13. Desinvesteringen'!G362</f>
        <v>2022</v>
      </c>
      <c r="I79" s="37" t="str">
        <f>'13. Desinvesteringen'!C362</f>
        <v>01 Regionale leidingen</v>
      </c>
      <c r="J79" s="164">
        <f>'13. Desinvesteringen'!F362</f>
        <v>0</v>
      </c>
      <c r="K79" s="38">
        <f>_xlfn.XLOOKUP(I79,'3. Input (des)investeringen '!$B$11:$B$89,'3. Input (des)investeringen '!$E$11:$E$89)</f>
        <v>1</v>
      </c>
      <c r="L79" s="48"/>
      <c r="M79" s="38">
        <f>_xlfn.XLOOKUP(I79,'3. Input (des)investeringen '!$B$11:$B$89,'3. Input (des)investeringen '!$D$11:$D$89,0)</f>
        <v>55</v>
      </c>
      <c r="N79" s="38">
        <f t="shared" si="13"/>
        <v>37.5</v>
      </c>
      <c r="P79" s="43">
        <f t="shared" si="30"/>
        <v>3100.8689720193838</v>
      </c>
      <c r="Q79" s="43">
        <f t="shared" si="30"/>
        <v>2993.3721809893782</v>
      </c>
      <c r="R79" s="43">
        <f t="shared" si="30"/>
        <v>2889.6019453817466</v>
      </c>
      <c r="S79" s="43">
        <f t="shared" si="30"/>
        <v>2789.4290779418461</v>
      </c>
      <c r="T79" s="43">
        <f t="shared" si="30"/>
        <v>2692.7288699065289</v>
      </c>
      <c r="V79" s="43">
        <f t="shared" si="1"/>
        <v>265.03153607003281</v>
      </c>
      <c r="W79" s="43">
        <f t="shared" si="2"/>
        <v>265.03153607003281</v>
      </c>
      <c r="X79" s="43">
        <f t="shared" si="3"/>
        <v>265.03153607003281</v>
      </c>
      <c r="Y79" s="43">
        <f t="shared" si="4"/>
        <v>265.03153607003281</v>
      </c>
      <c r="Z79" s="43">
        <f t="shared" si="5"/>
        <v>265.03153607003281</v>
      </c>
      <c r="AB79" s="43">
        <f t="shared" si="14"/>
        <v>3365.9005080894167</v>
      </c>
      <c r="AC79" s="43">
        <f t="shared" si="15"/>
        <v>3258.4037170594111</v>
      </c>
      <c r="AD79" s="43">
        <f t="shared" si="16"/>
        <v>3154.6334814517795</v>
      </c>
      <c r="AE79" s="43">
        <f t="shared" si="17"/>
        <v>3054.460614011879</v>
      </c>
      <c r="AF79" s="43">
        <f t="shared" si="18"/>
        <v>2957.7604059765617</v>
      </c>
      <c r="AH79" s="43">
        <f t="shared" si="19"/>
        <v>96020.925518172895</v>
      </c>
      <c r="AI79" s="43">
        <f t="shared" si="20"/>
        <v>92762.521801113486</v>
      </c>
      <c r="AJ79" s="43">
        <f t="shared" si="21"/>
        <v>89607.88831966171</v>
      </c>
      <c r="AK79" s="43">
        <f t="shared" si="22"/>
        <v>86553.427705649825</v>
      </c>
      <c r="AL79" s="43">
        <f t="shared" si="23"/>
        <v>83595.667299673267</v>
      </c>
      <c r="AN79" s="47">
        <f t="shared" si="24"/>
        <v>7302.7584543345056</v>
      </c>
      <c r="AO79" s="47">
        <f t="shared" si="25"/>
        <v>7989.2923289161981</v>
      </c>
      <c r="AP79" s="47">
        <f t="shared" si="26"/>
        <v>7724.6357857545263</v>
      </c>
      <c r="AQ79" s="47">
        <f t="shared" si="27"/>
        <v>7814.8991378226201</v>
      </c>
      <c r="AR79" s="43">
        <f t="shared" si="28"/>
        <v>6134.3957633641458</v>
      </c>
      <c r="AY79" s="3"/>
    </row>
    <row r="80" spans="1:51" ht="13">
      <c r="A80" s="48"/>
      <c r="B80" s="37">
        <f>'13. Desinvesteringen'!B363</f>
        <v>344</v>
      </c>
      <c r="C80" s="48"/>
      <c r="D80" s="48"/>
      <c r="E80" s="48"/>
      <c r="F80" s="42">
        <f>'5. Input GAW-waarde desinv.'!D39</f>
        <v>21724.935672167638</v>
      </c>
      <c r="G80" s="175">
        <f>'13. Desinvesteringen'!D363</f>
        <v>2005</v>
      </c>
      <c r="H80" s="175">
        <f>'13. Desinvesteringen'!G363</f>
        <v>2022</v>
      </c>
      <c r="I80" s="37" t="str">
        <f>'13. Desinvesteringen'!C363</f>
        <v>01 Regionale leidingen</v>
      </c>
      <c r="J80" s="164">
        <f>'13. Desinvesteringen'!F363</f>
        <v>0</v>
      </c>
      <c r="K80" s="38">
        <f>_xlfn.XLOOKUP(I80,'3. Input (des)investeringen '!$B$11:$B$89,'3. Input (des)investeringen '!$E$11:$E$89)</f>
        <v>1</v>
      </c>
      <c r="L80" s="48"/>
      <c r="M80" s="38">
        <f>_xlfn.XLOOKUP(I80,'3. Input (des)investeringen '!$B$11:$B$89,'3. Input (des)investeringen '!$D$11:$D$89,0)</f>
        <v>55</v>
      </c>
      <c r="N80" s="38">
        <f t="shared" si="13"/>
        <v>38.5</v>
      </c>
      <c r="P80" s="43">
        <f t="shared" si="30"/>
        <v>660.21233081652315</v>
      </c>
      <c r="Q80" s="43">
        <f t="shared" si="30"/>
        <v>637.91944691882236</v>
      </c>
      <c r="R80" s="43">
        <f t="shared" si="30"/>
        <v>616.37930975013478</v>
      </c>
      <c r="S80" s="43">
        <f t="shared" si="30"/>
        <v>595.56650188844196</v>
      </c>
      <c r="T80" s="43">
        <f t="shared" si="30"/>
        <v>575.45646416233865</v>
      </c>
      <c r="V80" s="43">
        <f t="shared" si="1"/>
        <v>56.428404343292577</v>
      </c>
      <c r="W80" s="43">
        <f t="shared" si="2"/>
        <v>56.428404343292563</v>
      </c>
      <c r="X80" s="43">
        <f t="shared" si="3"/>
        <v>56.428404343292563</v>
      </c>
      <c r="Y80" s="43">
        <f t="shared" si="4"/>
        <v>56.428404343292563</v>
      </c>
      <c r="Z80" s="43">
        <f t="shared" si="5"/>
        <v>56.428404343292563</v>
      </c>
      <c r="AB80" s="43">
        <f t="shared" si="14"/>
        <v>716.64073515981568</v>
      </c>
      <c r="AC80" s="43">
        <f t="shared" si="15"/>
        <v>694.34785126211489</v>
      </c>
      <c r="AD80" s="43">
        <f t="shared" si="16"/>
        <v>672.80771409342731</v>
      </c>
      <c r="AE80" s="43">
        <f t="shared" si="17"/>
        <v>651.99490623173449</v>
      </c>
      <c r="AF80" s="43">
        <f t="shared" si="18"/>
        <v>631.88486850563118</v>
      </c>
      <c r="AH80" s="43">
        <f t="shared" si="19"/>
        <v>21008.29493700782</v>
      </c>
      <c r="AI80" s="43">
        <f t="shared" si="20"/>
        <v>20313.947085745705</v>
      </c>
      <c r="AJ80" s="43">
        <f t="shared" si="21"/>
        <v>19641.13937165228</v>
      </c>
      <c r="AK80" s="43">
        <f t="shared" si="22"/>
        <v>18989.144465420544</v>
      </c>
      <c r="AL80" s="43">
        <f t="shared" si="23"/>
        <v>18357.259596914912</v>
      </c>
      <c r="AN80" s="47">
        <f t="shared" si="24"/>
        <v>1577.9808275771363</v>
      </c>
      <c r="AO80" s="47">
        <f t="shared" si="25"/>
        <v>1730.3591526351456</v>
      </c>
      <c r="AP80" s="47">
        <f t="shared" si="26"/>
        <v>1674.5058220476935</v>
      </c>
      <c r="AQ80" s="47">
        <f t="shared" si="27"/>
        <v>1696.3978518298645</v>
      </c>
      <c r="AR80" s="43">
        <f t="shared" si="28"/>
        <v>1329.4607331883976</v>
      </c>
      <c r="AY80" s="3"/>
    </row>
    <row r="81" spans="1:51" ht="13">
      <c r="A81" s="48"/>
      <c r="B81" s="37">
        <f>'13. Desinvesteringen'!B364</f>
        <v>345</v>
      </c>
      <c r="C81" s="48"/>
      <c r="D81" s="48"/>
      <c r="E81" s="48"/>
      <c r="F81" s="42">
        <f>'5. Input GAW-waarde desinv.'!D40</f>
        <v>354150.64233630133</v>
      </c>
      <c r="G81" s="175">
        <f>'13. Desinvesteringen'!D364</f>
        <v>2009</v>
      </c>
      <c r="H81" s="175">
        <f>'13. Desinvesteringen'!G364</f>
        <v>2022</v>
      </c>
      <c r="I81" s="37" t="str">
        <f>'13. Desinvesteringen'!C364</f>
        <v>01 Regionale leidingen</v>
      </c>
      <c r="J81" s="164">
        <f>'13. Desinvesteringen'!F364</f>
        <v>0</v>
      </c>
      <c r="K81" s="38">
        <f>_xlfn.XLOOKUP(I81,'3. Input (des)investeringen '!$B$11:$B$89,'3. Input (des)investeringen '!$E$11:$E$89)</f>
        <v>1</v>
      </c>
      <c r="L81" s="48"/>
      <c r="M81" s="38">
        <f>_xlfn.XLOOKUP(I81,'3. Input (des)investeringen '!$B$11:$B$89,'3. Input (des)investeringen '!$D$11:$D$89,0)</f>
        <v>55</v>
      </c>
      <c r="N81" s="38">
        <f t="shared" si="13"/>
        <v>42.5</v>
      </c>
      <c r="P81" s="43">
        <f t="shared" si="30"/>
        <v>9749.5588596111193</v>
      </c>
      <c r="Q81" s="43">
        <f t="shared" si="30"/>
        <v>9451.3370591994844</v>
      </c>
      <c r="R81" s="43">
        <f t="shared" si="30"/>
        <v>9162.2373373886767</v>
      </c>
      <c r="S81" s="43">
        <f t="shared" si="30"/>
        <v>8881.9806658920825</v>
      </c>
      <c r="T81" s="43">
        <f t="shared" si="30"/>
        <v>8610.2965514059724</v>
      </c>
      <c r="V81" s="43">
        <f t="shared" si="1"/>
        <v>833.29562902659154</v>
      </c>
      <c r="W81" s="43">
        <f t="shared" si="2"/>
        <v>833.29562902659154</v>
      </c>
      <c r="X81" s="43">
        <f t="shared" si="3"/>
        <v>833.29562902659154</v>
      </c>
      <c r="Y81" s="43">
        <f t="shared" si="4"/>
        <v>833.29562902659154</v>
      </c>
      <c r="Z81" s="43">
        <f t="shared" si="5"/>
        <v>833.29562902659154</v>
      </c>
      <c r="AB81" s="43">
        <f t="shared" si="14"/>
        <v>10582.854488637711</v>
      </c>
      <c r="AC81" s="43">
        <f t="shared" si="15"/>
        <v>10284.632688226076</v>
      </c>
      <c r="AD81" s="43">
        <f t="shared" si="16"/>
        <v>9995.5329664152687</v>
      </c>
      <c r="AE81" s="43">
        <f t="shared" si="17"/>
        <v>9715.2762949186745</v>
      </c>
      <c r="AF81" s="43">
        <f t="shared" si="18"/>
        <v>9443.5921804325644</v>
      </c>
      <c r="AH81" s="43">
        <f t="shared" si="19"/>
        <v>343567.78784766363</v>
      </c>
      <c r="AI81" s="43">
        <f t="shared" si="20"/>
        <v>333283.15515943756</v>
      </c>
      <c r="AJ81" s="43">
        <f t="shared" si="21"/>
        <v>323287.62219302228</v>
      </c>
      <c r="AK81" s="43">
        <f t="shared" si="22"/>
        <v>313572.34589810361</v>
      </c>
      <c r="AL81" s="43">
        <f t="shared" si="23"/>
        <v>304128.75371767103</v>
      </c>
      <c r="AN81" s="47">
        <f t="shared" si="24"/>
        <v>24669.133790391919</v>
      </c>
      <c r="AO81" s="47">
        <f t="shared" si="25"/>
        <v>27282.073601357391</v>
      </c>
      <c r="AP81" s="47">
        <f t="shared" si="26"/>
        <v>26483.201698259407</v>
      </c>
      <c r="AQ81" s="47">
        <f t="shared" si="27"/>
        <v>26961.755319314376</v>
      </c>
      <c r="AR81" s="43">
        <f t="shared" si="28"/>
        <v>21000.484821704064</v>
      </c>
      <c r="AY81" s="3"/>
    </row>
    <row r="82" spans="1:51" ht="13">
      <c r="A82" s="48"/>
      <c r="B82" s="37">
        <f>'13. Desinvesteringen'!B365</f>
        <v>346</v>
      </c>
      <c r="C82" s="48"/>
      <c r="D82" s="48"/>
      <c r="E82" s="48"/>
      <c r="F82" s="42">
        <f>'5. Input GAW-waarde desinv.'!D41</f>
        <v>152476.71374613314</v>
      </c>
      <c r="G82" s="175">
        <f>'13. Desinvesteringen'!D365</f>
        <v>2010</v>
      </c>
      <c r="H82" s="175">
        <f>'13. Desinvesteringen'!G365</f>
        <v>2022</v>
      </c>
      <c r="I82" s="37" t="str">
        <f>'13. Desinvesteringen'!C365</f>
        <v>01 Regionale leidingen</v>
      </c>
      <c r="J82" s="164">
        <f>'13. Desinvesteringen'!F365</f>
        <v>0</v>
      </c>
      <c r="K82" s="38">
        <f>_xlfn.XLOOKUP(I82,'3. Input (des)investeringen '!$B$11:$B$89,'3. Input (des)investeringen '!$E$11:$E$89)</f>
        <v>1</v>
      </c>
      <c r="L82" s="48"/>
      <c r="M82" s="38">
        <f>_xlfn.XLOOKUP(I82,'3. Input (des)investeringen '!$B$11:$B$89,'3. Input (des)investeringen '!$D$11:$D$89,0)</f>
        <v>55</v>
      </c>
      <c r="N82" s="38">
        <f t="shared" si="13"/>
        <v>43.5</v>
      </c>
      <c r="P82" s="43">
        <f t="shared" ref="P82:T91" si="31">IF($M82&gt;0, IF(OR($G82&gt;P$50,$G82+$M82&lt;P$50),0,
VDB($F82,0,$N82,MAX(0,P$50-2022),MIN($N82,P$50-2021),$F$23,FALSE))*(1-$F$26), 0)</f>
        <v>4101.0978179994436</v>
      </c>
      <c r="Q82" s="43">
        <f t="shared" si="31"/>
        <v>3978.5362740132528</v>
      </c>
      <c r="R82" s="43">
        <f t="shared" si="31"/>
        <v>3859.6374888128566</v>
      </c>
      <c r="S82" s="43">
        <f t="shared" si="31"/>
        <v>3744.2920006414374</v>
      </c>
      <c r="T82" s="43">
        <f t="shared" si="31"/>
        <v>3632.3936190130726</v>
      </c>
      <c r="V82" s="43">
        <f t="shared" si="1"/>
        <v>350.52118102559348</v>
      </c>
      <c r="W82" s="43">
        <f t="shared" si="2"/>
        <v>350.52118102559342</v>
      </c>
      <c r="X82" s="43">
        <f t="shared" si="3"/>
        <v>350.52118102559342</v>
      </c>
      <c r="Y82" s="43">
        <f t="shared" si="4"/>
        <v>350.52118102559342</v>
      </c>
      <c r="Z82" s="43">
        <f t="shared" si="5"/>
        <v>350.52118102559342</v>
      </c>
      <c r="AB82" s="43">
        <f t="shared" si="14"/>
        <v>4451.6189990250368</v>
      </c>
      <c r="AC82" s="43">
        <f t="shared" si="15"/>
        <v>4329.0574550388465</v>
      </c>
      <c r="AD82" s="43">
        <f t="shared" si="16"/>
        <v>4210.1586698384499</v>
      </c>
      <c r="AE82" s="43">
        <f t="shared" si="17"/>
        <v>4094.8131816670307</v>
      </c>
      <c r="AF82" s="43">
        <f t="shared" si="18"/>
        <v>3982.9148000386658</v>
      </c>
      <c r="AH82" s="43">
        <f t="shared" si="19"/>
        <v>148025.09474710812</v>
      </c>
      <c r="AI82" s="43">
        <f t="shared" si="20"/>
        <v>143696.03729206926</v>
      </c>
      <c r="AJ82" s="43">
        <f t="shared" si="21"/>
        <v>139485.87862223081</v>
      </c>
      <c r="AK82" s="43">
        <f t="shared" si="22"/>
        <v>135391.06544056378</v>
      </c>
      <c r="AL82" s="43">
        <f t="shared" si="23"/>
        <v>131408.1506405251</v>
      </c>
      <c r="AN82" s="47">
        <f t="shared" si="24"/>
        <v>10520.647883656471</v>
      </c>
      <c r="AO82" s="47">
        <f t="shared" si="25"/>
        <v>11657.555356934379</v>
      </c>
      <c r="AP82" s="47">
        <f t="shared" si="26"/>
        <v>11323.938479572222</v>
      </c>
      <c r="AQ82" s="47">
        <f t="shared" si="27"/>
        <v>11541.321780898039</v>
      </c>
      <c r="AR82" s="43">
        <f t="shared" si="28"/>
        <v>8976.424524378619</v>
      </c>
      <c r="AY82" s="3"/>
    </row>
    <row r="83" spans="1:51" ht="13">
      <c r="A83" s="48"/>
      <c r="B83" s="37">
        <f>'13. Desinvesteringen'!B366</f>
        <v>347</v>
      </c>
      <c r="C83" s="48"/>
      <c r="D83" s="48"/>
      <c r="E83" s="48"/>
      <c r="F83" s="42">
        <f>'5. Input GAW-waarde desinv.'!D42</f>
        <v>56089.001773568591</v>
      </c>
      <c r="G83" s="175">
        <f>'13. Desinvesteringen'!D366</f>
        <v>2011</v>
      </c>
      <c r="H83" s="175">
        <f>'13. Desinvesteringen'!G366</f>
        <v>2022</v>
      </c>
      <c r="I83" s="37" t="str">
        <f>'13. Desinvesteringen'!C366</f>
        <v>01 Regionale leidingen</v>
      </c>
      <c r="J83" s="164">
        <f>'13. Desinvesteringen'!F366</f>
        <v>0</v>
      </c>
      <c r="K83" s="38">
        <f>_xlfn.XLOOKUP(I83,'3. Input (des)investeringen '!$B$11:$B$89,'3. Input (des)investeringen '!$E$11:$E$89)</f>
        <v>1</v>
      </c>
      <c r="L83" s="48"/>
      <c r="M83" s="38">
        <f>_xlfn.XLOOKUP(I83,'3. Input (des)investeringen '!$B$11:$B$89,'3. Input (des)investeringen '!$D$11:$D$89,0)</f>
        <v>55</v>
      </c>
      <c r="N83" s="38">
        <f t="shared" si="13"/>
        <v>44.5</v>
      </c>
      <c r="P83" s="43">
        <f t="shared" si="31"/>
        <v>1474.6995971927024</v>
      </c>
      <c r="Q83" s="43">
        <f t="shared" si="31"/>
        <v>1431.6184853646012</v>
      </c>
      <c r="R83" s="43">
        <f t="shared" si="31"/>
        <v>1389.7959228708037</v>
      </c>
      <c r="S83" s="43">
        <f t="shared" si="31"/>
        <v>1349.1951431015443</v>
      </c>
      <c r="T83" s="43">
        <f t="shared" si="31"/>
        <v>1309.7804535277912</v>
      </c>
      <c r="V83" s="43">
        <f t="shared" si="1"/>
        <v>126.04270061476089</v>
      </c>
      <c r="W83" s="43">
        <f t="shared" si="2"/>
        <v>126.04270061476089</v>
      </c>
      <c r="X83" s="43">
        <f t="shared" si="3"/>
        <v>126.04270061476089</v>
      </c>
      <c r="Y83" s="43">
        <f t="shared" si="4"/>
        <v>126.04270061476089</v>
      </c>
      <c r="Z83" s="43">
        <f t="shared" si="5"/>
        <v>126.04270061476089</v>
      </c>
      <c r="AB83" s="43">
        <f t="shared" si="14"/>
        <v>1600.7422978074633</v>
      </c>
      <c r="AC83" s="43">
        <f t="shared" si="15"/>
        <v>1557.661185979362</v>
      </c>
      <c r="AD83" s="43">
        <f t="shared" si="16"/>
        <v>1515.8386234855645</v>
      </c>
      <c r="AE83" s="43">
        <f t="shared" si="17"/>
        <v>1475.2378437163052</v>
      </c>
      <c r="AF83" s="43">
        <f t="shared" si="18"/>
        <v>1435.8231541425521</v>
      </c>
      <c r="AH83" s="43">
        <f t="shared" si="19"/>
        <v>54488.25947576113</v>
      </c>
      <c r="AI83" s="43">
        <f t="shared" si="20"/>
        <v>52930.598289781767</v>
      </c>
      <c r="AJ83" s="43">
        <f t="shared" si="21"/>
        <v>51414.759666296202</v>
      </c>
      <c r="AK83" s="43">
        <f t="shared" si="22"/>
        <v>49939.521822579896</v>
      </c>
      <c r="AL83" s="43">
        <f t="shared" si="23"/>
        <v>48503.698668437341</v>
      </c>
      <c r="AN83" s="47">
        <f t="shared" si="24"/>
        <v>3834.7609363136698</v>
      </c>
      <c r="AO83" s="47">
        <f t="shared" si="25"/>
        <v>4257.121698758232</v>
      </c>
      <c r="AP83" s="47">
        <f t="shared" si="26"/>
        <v>4137.991366466671</v>
      </c>
      <c r="AQ83" s="47">
        <f t="shared" si="27"/>
        <v>4221.9115439582001</v>
      </c>
      <c r="AR83" s="43">
        <f t="shared" si="28"/>
        <v>3278.9637035431711</v>
      </c>
      <c r="AY83" s="3"/>
    </row>
    <row r="84" spans="1:51" ht="13">
      <c r="A84" s="48"/>
      <c r="B84" s="37">
        <f>'13. Desinvesteringen'!B367</f>
        <v>348</v>
      </c>
      <c r="C84" s="48"/>
      <c r="D84" s="48"/>
      <c r="E84" s="48"/>
      <c r="F84" s="42">
        <f>'5. Input GAW-waarde desinv.'!D43</f>
        <v>89195.270846924876</v>
      </c>
      <c r="G84" s="175">
        <f>'13. Desinvesteringen'!D367</f>
        <v>2012</v>
      </c>
      <c r="H84" s="175">
        <f>'13. Desinvesteringen'!G367</f>
        <v>2022</v>
      </c>
      <c r="I84" s="37" t="str">
        <f>'13. Desinvesteringen'!C367</f>
        <v>01 Regionale leidingen</v>
      </c>
      <c r="J84" s="164">
        <f>'13. Desinvesteringen'!F367</f>
        <v>0</v>
      </c>
      <c r="K84" s="38">
        <f>_xlfn.XLOOKUP(I84,'3. Input (des)investeringen '!$B$11:$B$89,'3. Input (des)investeringen '!$E$11:$E$89)</f>
        <v>1</v>
      </c>
      <c r="L84" s="48"/>
      <c r="M84" s="38">
        <f>_xlfn.XLOOKUP(I84,'3. Input (des)investeringen '!$B$11:$B$89,'3. Input (des)investeringen '!$D$11:$D$89,0)</f>
        <v>55</v>
      </c>
      <c r="N84" s="38">
        <f t="shared" si="13"/>
        <v>45.5</v>
      </c>
      <c r="P84" s="43">
        <f t="shared" si="31"/>
        <v>2293.5926789209257</v>
      </c>
      <c r="Q84" s="43">
        <f t="shared" si="31"/>
        <v>2228.061459523185</v>
      </c>
      <c r="R84" s="43">
        <f t="shared" si="31"/>
        <v>2164.4025606796654</v>
      </c>
      <c r="S84" s="43">
        <f t="shared" si="31"/>
        <v>2102.5624875173889</v>
      </c>
      <c r="T84" s="43">
        <f t="shared" si="31"/>
        <v>2042.4892735883207</v>
      </c>
      <c r="V84" s="43">
        <f t="shared" si="1"/>
        <v>196.03356230093382</v>
      </c>
      <c r="W84" s="43">
        <f t="shared" si="2"/>
        <v>196.0335623009338</v>
      </c>
      <c r="X84" s="43">
        <f t="shared" si="3"/>
        <v>196.0335623009338</v>
      </c>
      <c r="Y84" s="43">
        <f t="shared" si="4"/>
        <v>196.0335623009338</v>
      </c>
      <c r="Z84" s="43">
        <f t="shared" si="5"/>
        <v>196.0335623009338</v>
      </c>
      <c r="AB84" s="43">
        <f t="shared" si="14"/>
        <v>2489.6262412218593</v>
      </c>
      <c r="AC84" s="43">
        <f t="shared" si="15"/>
        <v>2424.0950218241187</v>
      </c>
      <c r="AD84" s="43">
        <f t="shared" si="16"/>
        <v>2360.4361229805991</v>
      </c>
      <c r="AE84" s="43">
        <f t="shared" si="17"/>
        <v>2298.5960498183226</v>
      </c>
      <c r="AF84" s="43">
        <f t="shared" si="18"/>
        <v>2238.5228358892546</v>
      </c>
      <c r="AH84" s="43">
        <f t="shared" si="19"/>
        <v>86705.644605703012</v>
      </c>
      <c r="AI84" s="43">
        <f t="shared" si="20"/>
        <v>84281.549583878892</v>
      </c>
      <c r="AJ84" s="43">
        <f t="shared" si="21"/>
        <v>81921.113460898297</v>
      </c>
      <c r="AK84" s="43">
        <f t="shared" si="22"/>
        <v>79622.517411079971</v>
      </c>
      <c r="AL84" s="43">
        <f t="shared" si="23"/>
        <v>77383.994575190722</v>
      </c>
      <c r="AN84" s="47">
        <f t="shared" si="24"/>
        <v>6044.557670055683</v>
      </c>
      <c r="AO84" s="47">
        <f t="shared" si="25"/>
        <v>6722.4540506019421</v>
      </c>
      <c r="AP84" s="47">
        <f t="shared" si="26"/>
        <v>6538.412909486412</v>
      </c>
      <c r="AQ84" s="47">
        <f t="shared" si="27"/>
        <v>6677.8345074277204</v>
      </c>
      <c r="AR84" s="43">
        <f t="shared" si="28"/>
        <v>5179.114629746502</v>
      </c>
      <c r="AY84" s="3"/>
    </row>
    <row r="85" spans="1:51" ht="13">
      <c r="A85" s="48"/>
      <c r="B85" s="37">
        <f>'13. Desinvesteringen'!B368</f>
        <v>349</v>
      </c>
      <c r="C85" s="48"/>
      <c r="D85" s="48"/>
      <c r="E85" s="48"/>
      <c r="F85" s="42">
        <f>'5. Input GAW-waarde desinv.'!D44</f>
        <v>160239.08891040052</v>
      </c>
      <c r="G85" s="175">
        <f>'13. Desinvesteringen'!D368</f>
        <v>2013</v>
      </c>
      <c r="H85" s="175">
        <f>'13. Desinvesteringen'!G368</f>
        <v>2022</v>
      </c>
      <c r="I85" s="37" t="str">
        <f>'13. Desinvesteringen'!C368</f>
        <v>01 Regionale leidingen</v>
      </c>
      <c r="J85" s="164">
        <f>'13. Desinvesteringen'!F368</f>
        <v>0</v>
      </c>
      <c r="K85" s="38">
        <f>_xlfn.XLOOKUP(I85,'3. Input (des)investeringen '!$B$11:$B$89,'3. Input (des)investeringen '!$E$11:$E$89)</f>
        <v>1</v>
      </c>
      <c r="L85" s="48"/>
      <c r="M85" s="38">
        <f>_xlfn.XLOOKUP(I85,'3. Input (des)investeringen '!$B$11:$B$89,'3. Input (des)investeringen '!$D$11:$D$89,0)</f>
        <v>55</v>
      </c>
      <c r="N85" s="38">
        <f t="shared" si="13"/>
        <v>46.5</v>
      </c>
      <c r="P85" s="43">
        <f t="shared" si="31"/>
        <v>4031.8222371004008</v>
      </c>
      <c r="Q85" s="43">
        <f t="shared" si="31"/>
        <v>3919.104626170712</v>
      </c>
      <c r="R85" s="43">
        <f t="shared" si="31"/>
        <v>3809.5382602777672</v>
      </c>
      <c r="S85" s="43">
        <f t="shared" si="31"/>
        <v>3703.0350400979587</v>
      </c>
      <c r="T85" s="43">
        <f t="shared" si="31"/>
        <v>3599.5093292995211</v>
      </c>
      <c r="V85" s="43">
        <f t="shared" si="1"/>
        <v>344.60019120516245</v>
      </c>
      <c r="W85" s="43">
        <f t="shared" si="2"/>
        <v>344.60019120516239</v>
      </c>
      <c r="X85" s="43">
        <f t="shared" si="3"/>
        <v>344.60019120516239</v>
      </c>
      <c r="Y85" s="43">
        <f t="shared" si="4"/>
        <v>344.60019120516239</v>
      </c>
      <c r="Z85" s="43">
        <f t="shared" si="5"/>
        <v>344.60019120516239</v>
      </c>
      <c r="AB85" s="43">
        <f t="shared" si="14"/>
        <v>4376.4224283055628</v>
      </c>
      <c r="AC85" s="43">
        <f t="shared" si="15"/>
        <v>4263.704817375874</v>
      </c>
      <c r="AD85" s="43">
        <f t="shared" si="16"/>
        <v>4154.1384514829297</v>
      </c>
      <c r="AE85" s="43">
        <f t="shared" si="17"/>
        <v>4047.6352313031211</v>
      </c>
      <c r="AF85" s="43">
        <f t="shared" si="18"/>
        <v>3944.1095205046836</v>
      </c>
      <c r="AH85" s="43">
        <f t="shared" si="19"/>
        <v>155862.66648209497</v>
      </c>
      <c r="AI85" s="43">
        <f t="shared" si="20"/>
        <v>151598.9616647191</v>
      </c>
      <c r="AJ85" s="43">
        <f t="shared" si="21"/>
        <v>147444.82321323617</v>
      </c>
      <c r="AK85" s="43">
        <f t="shared" si="22"/>
        <v>143397.18798193306</v>
      </c>
      <c r="AL85" s="43">
        <f t="shared" si="23"/>
        <v>139453.07846142838</v>
      </c>
      <c r="AN85" s="47">
        <f t="shared" si="24"/>
        <v>10766.791754071457</v>
      </c>
      <c r="AO85" s="47">
        <f t="shared" si="25"/>
        <v>11995.251862276547</v>
      </c>
      <c r="AP85" s="47">
        <f t="shared" si="26"/>
        <v>11673.824435357974</v>
      </c>
      <c r="AQ85" s="47">
        <f t="shared" si="27"/>
        <v>11934.480570309439</v>
      </c>
      <c r="AR85" s="43">
        <f t="shared" si="28"/>
        <v>9243.3265020389626</v>
      </c>
      <c r="AY85" s="3"/>
    </row>
    <row r="86" spans="1:51" ht="13">
      <c r="A86" s="48"/>
      <c r="B86" s="37">
        <f>'13. Desinvesteringen'!B369</f>
        <v>350</v>
      </c>
      <c r="C86" s="48"/>
      <c r="D86" s="48"/>
      <c r="E86" s="48"/>
      <c r="F86" s="42">
        <f>'5. Input GAW-waarde desinv.'!D45</f>
        <v>0</v>
      </c>
      <c r="G86" s="175">
        <f>'13. Desinvesteringen'!D369</f>
        <v>1965</v>
      </c>
      <c r="H86" s="175">
        <f>'13. Desinvesteringen'!G369</f>
        <v>2022</v>
      </c>
      <c r="I86" s="37" t="str">
        <f>'13. Desinvesteringen'!C369</f>
        <v>02 Gasontvangststations</v>
      </c>
      <c r="J86" s="164">
        <f>'13. Desinvesteringen'!F369</f>
        <v>0</v>
      </c>
      <c r="K86" s="38">
        <f>_xlfn.XLOOKUP(I86,'3. Input (des)investeringen '!$B$11:$B$89,'3. Input (des)investeringen '!$E$11:$E$89)</f>
        <v>0</v>
      </c>
      <c r="L86" s="48"/>
      <c r="M86" s="38">
        <f>_xlfn.XLOOKUP(I86,'3. Input (des)investeringen '!$B$11:$B$89,'3. Input (des)investeringen '!$D$11:$D$89,0)</f>
        <v>30</v>
      </c>
      <c r="N86" s="38">
        <f t="shared" si="13"/>
        <v>0</v>
      </c>
      <c r="P86" s="43">
        <f t="shared" si="31"/>
        <v>0</v>
      </c>
      <c r="Q86" s="43">
        <f t="shared" si="31"/>
        <v>0</v>
      </c>
      <c r="R86" s="43">
        <f t="shared" si="31"/>
        <v>0</v>
      </c>
      <c r="S86" s="43">
        <f t="shared" si="31"/>
        <v>0</v>
      </c>
      <c r="T86" s="43">
        <f t="shared" si="31"/>
        <v>0</v>
      </c>
      <c r="V86" s="43">
        <f t="shared" si="1"/>
        <v>0</v>
      </c>
      <c r="W86" s="43">
        <f t="shared" si="2"/>
        <v>0</v>
      </c>
      <c r="X86" s="43">
        <f t="shared" si="3"/>
        <v>0</v>
      </c>
      <c r="Y86" s="43">
        <f t="shared" si="4"/>
        <v>0</v>
      </c>
      <c r="Z86" s="43">
        <f t="shared" si="5"/>
        <v>0</v>
      </c>
      <c r="AB86" s="43">
        <f t="shared" si="14"/>
        <v>0</v>
      </c>
      <c r="AC86" s="43">
        <f t="shared" si="15"/>
        <v>0</v>
      </c>
      <c r="AD86" s="43">
        <f t="shared" si="16"/>
        <v>0</v>
      </c>
      <c r="AE86" s="43">
        <f t="shared" si="17"/>
        <v>0</v>
      </c>
      <c r="AF86" s="43">
        <f t="shared" si="18"/>
        <v>0</v>
      </c>
      <c r="AH86" s="43">
        <f t="shared" si="19"/>
        <v>0</v>
      </c>
      <c r="AI86" s="43">
        <f t="shared" si="20"/>
        <v>0</v>
      </c>
      <c r="AJ86" s="43">
        <f t="shared" si="21"/>
        <v>0</v>
      </c>
      <c r="AK86" s="43">
        <f t="shared" si="22"/>
        <v>0</v>
      </c>
      <c r="AL86" s="43">
        <f t="shared" si="23"/>
        <v>0</v>
      </c>
      <c r="AN86" s="47">
        <f t="shared" si="24"/>
        <v>0</v>
      </c>
      <c r="AO86" s="47">
        <f t="shared" si="25"/>
        <v>0</v>
      </c>
      <c r="AP86" s="47">
        <f t="shared" si="26"/>
        <v>0</v>
      </c>
      <c r="AQ86" s="47">
        <f t="shared" si="27"/>
        <v>0</v>
      </c>
      <c r="AR86" s="43">
        <f t="shared" si="28"/>
        <v>0</v>
      </c>
      <c r="AY86" s="3"/>
    </row>
    <row r="87" spans="1:51" ht="13">
      <c r="A87" s="48"/>
      <c r="B87" s="37">
        <f>'13. Desinvesteringen'!B370</f>
        <v>351</v>
      </c>
      <c r="C87" s="48"/>
      <c r="D87" s="48"/>
      <c r="E87" s="48"/>
      <c r="F87" s="42">
        <f>'5. Input GAW-waarde desinv.'!D46</f>
        <v>0</v>
      </c>
      <c r="G87" s="175">
        <f>'13. Desinvesteringen'!D370</f>
        <v>1966</v>
      </c>
      <c r="H87" s="175">
        <f>'13. Desinvesteringen'!G370</f>
        <v>2022</v>
      </c>
      <c r="I87" s="37" t="str">
        <f>'13. Desinvesteringen'!C370</f>
        <v>02 Gasontvangststations</v>
      </c>
      <c r="J87" s="164">
        <f>'13. Desinvesteringen'!F370</f>
        <v>0</v>
      </c>
      <c r="K87" s="38">
        <f>_xlfn.XLOOKUP(I87,'3. Input (des)investeringen '!$B$11:$B$89,'3. Input (des)investeringen '!$E$11:$E$89)</f>
        <v>0</v>
      </c>
      <c r="L87" s="48"/>
      <c r="M87" s="38">
        <f>_xlfn.XLOOKUP(I87,'3. Input (des)investeringen '!$B$11:$B$89,'3. Input (des)investeringen '!$D$11:$D$89,0)</f>
        <v>30</v>
      </c>
      <c r="N87" s="38">
        <f t="shared" si="13"/>
        <v>0</v>
      </c>
      <c r="P87" s="43">
        <f t="shared" si="31"/>
        <v>0</v>
      </c>
      <c r="Q87" s="43">
        <f t="shared" si="31"/>
        <v>0</v>
      </c>
      <c r="R87" s="43">
        <f t="shared" si="31"/>
        <v>0</v>
      </c>
      <c r="S87" s="43">
        <f t="shared" si="31"/>
        <v>0</v>
      </c>
      <c r="T87" s="43">
        <f t="shared" si="31"/>
        <v>0</v>
      </c>
      <c r="V87" s="43">
        <f t="shared" si="1"/>
        <v>0</v>
      </c>
      <c r="W87" s="43">
        <f t="shared" si="2"/>
        <v>0</v>
      </c>
      <c r="X87" s="43">
        <f t="shared" si="3"/>
        <v>0</v>
      </c>
      <c r="Y87" s="43">
        <f t="shared" si="4"/>
        <v>0</v>
      </c>
      <c r="Z87" s="43">
        <f t="shared" si="5"/>
        <v>0</v>
      </c>
      <c r="AB87" s="43">
        <f t="shared" si="14"/>
        <v>0</v>
      </c>
      <c r="AC87" s="43">
        <f t="shared" si="15"/>
        <v>0</v>
      </c>
      <c r="AD87" s="43">
        <f t="shared" si="16"/>
        <v>0</v>
      </c>
      <c r="AE87" s="43">
        <f t="shared" si="17"/>
        <v>0</v>
      </c>
      <c r="AF87" s="43">
        <f t="shared" si="18"/>
        <v>0</v>
      </c>
      <c r="AH87" s="43">
        <f t="shared" si="19"/>
        <v>0</v>
      </c>
      <c r="AI87" s="43">
        <f t="shared" si="20"/>
        <v>0</v>
      </c>
      <c r="AJ87" s="43">
        <f t="shared" si="21"/>
        <v>0</v>
      </c>
      <c r="AK87" s="43">
        <f t="shared" si="22"/>
        <v>0</v>
      </c>
      <c r="AL87" s="43">
        <f t="shared" si="23"/>
        <v>0</v>
      </c>
      <c r="AN87" s="47">
        <f t="shared" si="24"/>
        <v>0</v>
      </c>
      <c r="AO87" s="47">
        <f t="shared" si="25"/>
        <v>0</v>
      </c>
      <c r="AP87" s="47">
        <f t="shared" si="26"/>
        <v>0</v>
      </c>
      <c r="AQ87" s="47">
        <f t="shared" si="27"/>
        <v>0</v>
      </c>
      <c r="AR87" s="43">
        <f t="shared" si="28"/>
        <v>0</v>
      </c>
      <c r="AY87" s="3"/>
    </row>
    <row r="88" spans="1:51" ht="13">
      <c r="A88" s="48"/>
      <c r="B88" s="37">
        <f>'13. Desinvesteringen'!B371</f>
        <v>352</v>
      </c>
      <c r="C88" s="48"/>
      <c r="D88" s="48"/>
      <c r="E88" s="48"/>
      <c r="F88" s="42">
        <f>'5. Input GAW-waarde desinv.'!D47</f>
        <v>0</v>
      </c>
      <c r="G88" s="175">
        <f>'13. Desinvesteringen'!D371</f>
        <v>1967</v>
      </c>
      <c r="H88" s="175">
        <f>'13. Desinvesteringen'!G371</f>
        <v>2022</v>
      </c>
      <c r="I88" s="37" t="str">
        <f>'13. Desinvesteringen'!C371</f>
        <v>02 Gasontvangststations</v>
      </c>
      <c r="J88" s="164">
        <f>'13. Desinvesteringen'!F371</f>
        <v>0</v>
      </c>
      <c r="K88" s="38">
        <f>_xlfn.XLOOKUP(I88,'3. Input (des)investeringen '!$B$11:$B$89,'3. Input (des)investeringen '!$E$11:$E$89)</f>
        <v>0</v>
      </c>
      <c r="L88" s="48"/>
      <c r="M88" s="38">
        <f>_xlfn.XLOOKUP(I88,'3. Input (des)investeringen '!$B$11:$B$89,'3. Input (des)investeringen '!$D$11:$D$89,0)</f>
        <v>30</v>
      </c>
      <c r="N88" s="38">
        <f t="shared" si="13"/>
        <v>0</v>
      </c>
      <c r="P88" s="43">
        <f t="shared" si="31"/>
        <v>0</v>
      </c>
      <c r="Q88" s="43">
        <f t="shared" si="31"/>
        <v>0</v>
      </c>
      <c r="R88" s="43">
        <f t="shared" si="31"/>
        <v>0</v>
      </c>
      <c r="S88" s="43">
        <f t="shared" si="31"/>
        <v>0</v>
      </c>
      <c r="T88" s="43">
        <f t="shared" si="31"/>
        <v>0</v>
      </c>
      <c r="V88" s="43">
        <f t="shared" si="1"/>
        <v>0</v>
      </c>
      <c r="W88" s="43">
        <f t="shared" si="2"/>
        <v>0</v>
      </c>
      <c r="X88" s="43">
        <f t="shared" si="3"/>
        <v>0</v>
      </c>
      <c r="Y88" s="43">
        <f t="shared" si="4"/>
        <v>0</v>
      </c>
      <c r="Z88" s="43">
        <f t="shared" si="5"/>
        <v>0</v>
      </c>
      <c r="AB88" s="43">
        <f t="shared" si="14"/>
        <v>0</v>
      </c>
      <c r="AC88" s="43">
        <f t="shared" si="15"/>
        <v>0</v>
      </c>
      <c r="AD88" s="43">
        <f t="shared" si="16"/>
        <v>0</v>
      </c>
      <c r="AE88" s="43">
        <f t="shared" si="17"/>
        <v>0</v>
      </c>
      <c r="AF88" s="43">
        <f t="shared" si="18"/>
        <v>0</v>
      </c>
      <c r="AH88" s="43">
        <f t="shared" si="19"/>
        <v>0</v>
      </c>
      <c r="AI88" s="43">
        <f t="shared" si="20"/>
        <v>0</v>
      </c>
      <c r="AJ88" s="43">
        <f t="shared" si="21"/>
        <v>0</v>
      </c>
      <c r="AK88" s="43">
        <f t="shared" si="22"/>
        <v>0</v>
      </c>
      <c r="AL88" s="43">
        <f t="shared" si="23"/>
        <v>0</v>
      </c>
      <c r="AN88" s="47">
        <f t="shared" si="24"/>
        <v>0</v>
      </c>
      <c r="AO88" s="47">
        <f t="shared" si="25"/>
        <v>0</v>
      </c>
      <c r="AP88" s="47">
        <f t="shared" si="26"/>
        <v>0</v>
      </c>
      <c r="AQ88" s="47">
        <f t="shared" si="27"/>
        <v>0</v>
      </c>
      <c r="AR88" s="43">
        <f t="shared" si="28"/>
        <v>0</v>
      </c>
      <c r="AY88" s="3"/>
    </row>
    <row r="89" spans="1:51" ht="13">
      <c r="A89" s="48"/>
      <c r="B89" s="37">
        <f>'13. Desinvesteringen'!B372</f>
        <v>353</v>
      </c>
      <c r="C89" s="48"/>
      <c r="D89" s="48"/>
      <c r="E89" s="48"/>
      <c r="F89" s="42">
        <f>'5. Input GAW-waarde desinv.'!D48</f>
        <v>0</v>
      </c>
      <c r="G89" s="175">
        <f>'13. Desinvesteringen'!D372</f>
        <v>1968</v>
      </c>
      <c r="H89" s="175">
        <f>'13. Desinvesteringen'!G372</f>
        <v>2022</v>
      </c>
      <c r="I89" s="37" t="str">
        <f>'13. Desinvesteringen'!C372</f>
        <v>02 Gasontvangststations</v>
      </c>
      <c r="J89" s="164">
        <f>'13. Desinvesteringen'!F372</f>
        <v>0</v>
      </c>
      <c r="K89" s="38">
        <f>_xlfn.XLOOKUP(I89,'3. Input (des)investeringen '!$B$11:$B$89,'3. Input (des)investeringen '!$E$11:$E$89)</f>
        <v>0</v>
      </c>
      <c r="L89" s="48"/>
      <c r="M89" s="38">
        <f>_xlfn.XLOOKUP(I89,'3. Input (des)investeringen '!$B$11:$B$89,'3. Input (des)investeringen '!$D$11:$D$89,0)</f>
        <v>30</v>
      </c>
      <c r="N89" s="38">
        <f t="shared" si="13"/>
        <v>0</v>
      </c>
      <c r="P89" s="43">
        <f t="shared" si="31"/>
        <v>0</v>
      </c>
      <c r="Q89" s="43">
        <f t="shared" si="31"/>
        <v>0</v>
      </c>
      <c r="R89" s="43">
        <f t="shared" si="31"/>
        <v>0</v>
      </c>
      <c r="S89" s="43">
        <f t="shared" si="31"/>
        <v>0</v>
      </c>
      <c r="T89" s="43">
        <f t="shared" si="31"/>
        <v>0</v>
      </c>
      <c r="V89" s="43">
        <f t="shared" si="1"/>
        <v>0</v>
      </c>
      <c r="W89" s="43">
        <f t="shared" si="2"/>
        <v>0</v>
      </c>
      <c r="X89" s="43">
        <f t="shared" si="3"/>
        <v>0</v>
      </c>
      <c r="Y89" s="43">
        <f t="shared" si="4"/>
        <v>0</v>
      </c>
      <c r="Z89" s="43">
        <f t="shared" si="5"/>
        <v>0</v>
      </c>
      <c r="AB89" s="43">
        <f t="shared" si="14"/>
        <v>0</v>
      </c>
      <c r="AC89" s="43">
        <f t="shared" si="15"/>
        <v>0</v>
      </c>
      <c r="AD89" s="43">
        <f t="shared" si="16"/>
        <v>0</v>
      </c>
      <c r="AE89" s="43">
        <f t="shared" si="17"/>
        <v>0</v>
      </c>
      <c r="AF89" s="43">
        <f t="shared" si="18"/>
        <v>0</v>
      </c>
      <c r="AH89" s="43">
        <f t="shared" si="19"/>
        <v>0</v>
      </c>
      <c r="AI89" s="43">
        <f t="shared" si="20"/>
        <v>0</v>
      </c>
      <c r="AJ89" s="43">
        <f t="shared" si="21"/>
        <v>0</v>
      </c>
      <c r="AK89" s="43">
        <f t="shared" si="22"/>
        <v>0</v>
      </c>
      <c r="AL89" s="43">
        <f t="shared" si="23"/>
        <v>0</v>
      </c>
      <c r="AN89" s="47">
        <f t="shared" si="24"/>
        <v>0</v>
      </c>
      <c r="AO89" s="47">
        <f t="shared" si="25"/>
        <v>0</v>
      </c>
      <c r="AP89" s="47">
        <f t="shared" si="26"/>
        <v>0</v>
      </c>
      <c r="AQ89" s="47">
        <f t="shared" si="27"/>
        <v>0</v>
      </c>
      <c r="AR89" s="43">
        <f t="shared" si="28"/>
        <v>0</v>
      </c>
      <c r="AY89" s="3"/>
    </row>
    <row r="90" spans="1:51" ht="13">
      <c r="A90" s="48"/>
      <c r="B90" s="37">
        <f>'13. Desinvesteringen'!B373</f>
        <v>354</v>
      </c>
      <c r="C90" s="48"/>
      <c r="D90" s="48"/>
      <c r="E90" s="48"/>
      <c r="F90" s="42">
        <f>'5. Input GAW-waarde desinv.'!D49</f>
        <v>0</v>
      </c>
      <c r="G90" s="175">
        <f>'13. Desinvesteringen'!D373</f>
        <v>1969</v>
      </c>
      <c r="H90" s="175">
        <f>'13. Desinvesteringen'!G373</f>
        <v>2022</v>
      </c>
      <c r="I90" s="37" t="str">
        <f>'13. Desinvesteringen'!C373</f>
        <v>02 Gasontvangststations</v>
      </c>
      <c r="J90" s="164">
        <f>'13. Desinvesteringen'!F373</f>
        <v>0</v>
      </c>
      <c r="K90" s="38">
        <f>_xlfn.XLOOKUP(I90,'3. Input (des)investeringen '!$B$11:$B$89,'3. Input (des)investeringen '!$E$11:$E$89)</f>
        <v>0</v>
      </c>
      <c r="L90" s="48"/>
      <c r="M90" s="38">
        <f>_xlfn.XLOOKUP(I90,'3. Input (des)investeringen '!$B$11:$B$89,'3. Input (des)investeringen '!$D$11:$D$89,0)</f>
        <v>30</v>
      </c>
      <c r="N90" s="38">
        <f t="shared" si="13"/>
        <v>0</v>
      </c>
      <c r="P90" s="43">
        <f t="shared" si="31"/>
        <v>0</v>
      </c>
      <c r="Q90" s="43">
        <f t="shared" si="31"/>
        <v>0</v>
      </c>
      <c r="R90" s="43">
        <f t="shared" si="31"/>
        <v>0</v>
      </c>
      <c r="S90" s="43">
        <f t="shared" si="31"/>
        <v>0</v>
      </c>
      <c r="T90" s="43">
        <f t="shared" si="31"/>
        <v>0</v>
      </c>
      <c r="V90" s="43">
        <f t="shared" si="1"/>
        <v>0</v>
      </c>
      <c r="W90" s="43">
        <f t="shared" si="2"/>
        <v>0</v>
      </c>
      <c r="X90" s="43">
        <f t="shared" si="3"/>
        <v>0</v>
      </c>
      <c r="Y90" s="43">
        <f t="shared" si="4"/>
        <v>0</v>
      </c>
      <c r="Z90" s="43">
        <f t="shared" si="5"/>
        <v>0</v>
      </c>
      <c r="AB90" s="43">
        <f t="shared" si="14"/>
        <v>0</v>
      </c>
      <c r="AC90" s="43">
        <f t="shared" si="15"/>
        <v>0</v>
      </c>
      <c r="AD90" s="43">
        <f t="shared" si="16"/>
        <v>0</v>
      </c>
      <c r="AE90" s="43">
        <f t="shared" si="17"/>
        <v>0</v>
      </c>
      <c r="AF90" s="43">
        <f t="shared" si="18"/>
        <v>0</v>
      </c>
      <c r="AH90" s="43">
        <f t="shared" si="19"/>
        <v>0</v>
      </c>
      <c r="AI90" s="43">
        <f t="shared" si="20"/>
        <v>0</v>
      </c>
      <c r="AJ90" s="43">
        <f t="shared" si="21"/>
        <v>0</v>
      </c>
      <c r="AK90" s="43">
        <f t="shared" si="22"/>
        <v>0</v>
      </c>
      <c r="AL90" s="43">
        <f t="shared" si="23"/>
        <v>0</v>
      </c>
      <c r="AN90" s="47">
        <f t="shared" si="24"/>
        <v>0</v>
      </c>
      <c r="AO90" s="47">
        <f t="shared" si="25"/>
        <v>0</v>
      </c>
      <c r="AP90" s="47">
        <f t="shared" si="26"/>
        <v>0</v>
      </c>
      <c r="AQ90" s="47">
        <f t="shared" si="27"/>
        <v>0</v>
      </c>
      <c r="AR90" s="43">
        <f t="shared" si="28"/>
        <v>0</v>
      </c>
      <c r="AY90" s="3"/>
    </row>
    <row r="91" spans="1:51" ht="13">
      <c r="A91" s="48"/>
      <c r="B91" s="37">
        <f>'13. Desinvesteringen'!B374</f>
        <v>355</v>
      </c>
      <c r="C91" s="48"/>
      <c r="D91" s="48"/>
      <c r="E91" s="48"/>
      <c r="F91" s="42">
        <f>'5. Input GAW-waarde desinv.'!D50</f>
        <v>0</v>
      </c>
      <c r="G91" s="175">
        <f>'13. Desinvesteringen'!D374</f>
        <v>1970</v>
      </c>
      <c r="H91" s="175">
        <f>'13. Desinvesteringen'!G374</f>
        <v>2022</v>
      </c>
      <c r="I91" s="37" t="str">
        <f>'13. Desinvesteringen'!C374</f>
        <v>02 Gasontvangststations</v>
      </c>
      <c r="J91" s="164">
        <f>'13. Desinvesteringen'!F374</f>
        <v>0</v>
      </c>
      <c r="K91" s="38">
        <f>_xlfn.XLOOKUP(I91,'3. Input (des)investeringen '!$B$11:$B$89,'3. Input (des)investeringen '!$E$11:$E$89)</f>
        <v>0</v>
      </c>
      <c r="L91" s="48"/>
      <c r="M91" s="38">
        <f>_xlfn.XLOOKUP(I91,'3. Input (des)investeringen '!$B$11:$B$89,'3. Input (des)investeringen '!$D$11:$D$89,0)</f>
        <v>30</v>
      </c>
      <c r="N91" s="38">
        <f t="shared" si="13"/>
        <v>0</v>
      </c>
      <c r="P91" s="43">
        <f t="shared" si="31"/>
        <v>0</v>
      </c>
      <c r="Q91" s="43">
        <f t="shared" si="31"/>
        <v>0</v>
      </c>
      <c r="R91" s="43">
        <f t="shared" si="31"/>
        <v>0</v>
      </c>
      <c r="S91" s="43">
        <f t="shared" si="31"/>
        <v>0</v>
      </c>
      <c r="T91" s="43">
        <f t="shared" si="31"/>
        <v>0</v>
      </c>
      <c r="V91" s="43">
        <f t="shared" si="1"/>
        <v>0</v>
      </c>
      <c r="W91" s="43">
        <f t="shared" si="2"/>
        <v>0</v>
      </c>
      <c r="X91" s="43">
        <f t="shared" si="3"/>
        <v>0</v>
      </c>
      <c r="Y91" s="43">
        <f t="shared" si="4"/>
        <v>0</v>
      </c>
      <c r="Z91" s="43">
        <f t="shared" si="5"/>
        <v>0</v>
      </c>
      <c r="AB91" s="43">
        <f t="shared" si="14"/>
        <v>0</v>
      </c>
      <c r="AC91" s="43">
        <f t="shared" si="15"/>
        <v>0</v>
      </c>
      <c r="AD91" s="43">
        <f t="shared" si="16"/>
        <v>0</v>
      </c>
      <c r="AE91" s="43">
        <f t="shared" si="17"/>
        <v>0</v>
      </c>
      <c r="AF91" s="43">
        <f t="shared" si="18"/>
        <v>0</v>
      </c>
      <c r="AH91" s="43">
        <f t="shared" si="19"/>
        <v>0</v>
      </c>
      <c r="AI91" s="43">
        <f t="shared" si="20"/>
        <v>0</v>
      </c>
      <c r="AJ91" s="43">
        <f t="shared" si="21"/>
        <v>0</v>
      </c>
      <c r="AK91" s="43">
        <f t="shared" si="22"/>
        <v>0</v>
      </c>
      <c r="AL91" s="43">
        <f t="shared" si="23"/>
        <v>0</v>
      </c>
      <c r="AN91" s="47">
        <f t="shared" si="24"/>
        <v>0</v>
      </c>
      <c r="AO91" s="47">
        <f t="shared" si="25"/>
        <v>0</v>
      </c>
      <c r="AP91" s="47">
        <f t="shared" si="26"/>
        <v>0</v>
      </c>
      <c r="AQ91" s="47">
        <f t="shared" si="27"/>
        <v>0</v>
      </c>
      <c r="AR91" s="43">
        <f t="shared" si="28"/>
        <v>0</v>
      </c>
      <c r="AY91" s="3"/>
    </row>
    <row r="92" spans="1:51" ht="13">
      <c r="A92" s="48"/>
      <c r="B92" s="37">
        <f>'13. Desinvesteringen'!B375</f>
        <v>356</v>
      </c>
      <c r="C92" s="48"/>
      <c r="D92" s="48"/>
      <c r="E92" s="48"/>
      <c r="F92" s="42">
        <f>'5. Input GAW-waarde desinv.'!D51</f>
        <v>0</v>
      </c>
      <c r="G92" s="175">
        <f>'13. Desinvesteringen'!D375</f>
        <v>1971</v>
      </c>
      <c r="H92" s="175">
        <f>'13. Desinvesteringen'!G375</f>
        <v>2022</v>
      </c>
      <c r="I92" s="37" t="str">
        <f>'13. Desinvesteringen'!C375</f>
        <v>02 Gasontvangststations</v>
      </c>
      <c r="J92" s="164">
        <f>'13. Desinvesteringen'!F375</f>
        <v>0</v>
      </c>
      <c r="K92" s="38">
        <f>_xlfn.XLOOKUP(I92,'3. Input (des)investeringen '!$B$11:$B$89,'3. Input (des)investeringen '!$E$11:$E$89)</f>
        <v>0</v>
      </c>
      <c r="L92" s="48"/>
      <c r="M92" s="38">
        <f>_xlfn.XLOOKUP(I92,'3. Input (des)investeringen '!$B$11:$B$89,'3. Input (des)investeringen '!$D$11:$D$89,0)</f>
        <v>30</v>
      </c>
      <c r="N92" s="38">
        <f t="shared" si="13"/>
        <v>0</v>
      </c>
      <c r="P92" s="43">
        <f t="shared" ref="P92:T101" si="32">IF($M92&gt;0, IF(OR($G92&gt;P$50,$G92+$M92&lt;P$50),0,
VDB($F92,0,$N92,MAX(0,P$50-2022),MIN($N92,P$50-2021),$F$23,FALSE))*(1-$F$26), 0)</f>
        <v>0</v>
      </c>
      <c r="Q92" s="43">
        <f t="shared" si="32"/>
        <v>0</v>
      </c>
      <c r="R92" s="43">
        <f t="shared" si="32"/>
        <v>0</v>
      </c>
      <c r="S92" s="43">
        <f t="shared" si="32"/>
        <v>0</v>
      </c>
      <c r="T92" s="43">
        <f t="shared" si="32"/>
        <v>0</v>
      </c>
      <c r="V92" s="43">
        <f t="shared" si="1"/>
        <v>0</v>
      </c>
      <c r="W92" s="43">
        <f t="shared" si="2"/>
        <v>0</v>
      </c>
      <c r="X92" s="43">
        <f t="shared" si="3"/>
        <v>0</v>
      </c>
      <c r="Y92" s="43">
        <f t="shared" si="4"/>
        <v>0</v>
      </c>
      <c r="Z92" s="43">
        <f t="shared" si="5"/>
        <v>0</v>
      </c>
      <c r="AB92" s="43">
        <f t="shared" si="14"/>
        <v>0</v>
      </c>
      <c r="AC92" s="43">
        <f t="shared" si="15"/>
        <v>0</v>
      </c>
      <c r="AD92" s="43">
        <f t="shared" si="16"/>
        <v>0</v>
      </c>
      <c r="AE92" s="43">
        <f t="shared" si="17"/>
        <v>0</v>
      </c>
      <c r="AF92" s="43">
        <f t="shared" si="18"/>
        <v>0</v>
      </c>
      <c r="AH92" s="43">
        <f t="shared" si="19"/>
        <v>0</v>
      </c>
      <c r="AI92" s="43">
        <f t="shared" si="20"/>
        <v>0</v>
      </c>
      <c r="AJ92" s="43">
        <f t="shared" si="21"/>
        <v>0</v>
      </c>
      <c r="AK92" s="43">
        <f t="shared" si="22"/>
        <v>0</v>
      </c>
      <c r="AL92" s="43">
        <f t="shared" si="23"/>
        <v>0</v>
      </c>
      <c r="AN92" s="47">
        <f t="shared" si="24"/>
        <v>0</v>
      </c>
      <c r="AO92" s="47">
        <f t="shared" si="25"/>
        <v>0</v>
      </c>
      <c r="AP92" s="47">
        <f t="shared" si="26"/>
        <v>0</v>
      </c>
      <c r="AQ92" s="47">
        <f t="shared" si="27"/>
        <v>0</v>
      </c>
      <c r="AR92" s="43">
        <f t="shared" si="28"/>
        <v>0</v>
      </c>
      <c r="AY92" s="3"/>
    </row>
    <row r="93" spans="1:51" ht="13">
      <c r="A93" s="48"/>
      <c r="B93" s="37">
        <f>'13. Desinvesteringen'!B376</f>
        <v>357</v>
      </c>
      <c r="C93" s="48"/>
      <c r="D93" s="48"/>
      <c r="E93" s="48"/>
      <c r="F93" s="42">
        <f>'5. Input GAW-waarde desinv.'!D52</f>
        <v>0</v>
      </c>
      <c r="G93" s="175">
        <f>'13. Desinvesteringen'!D376</f>
        <v>1972</v>
      </c>
      <c r="H93" s="175">
        <f>'13. Desinvesteringen'!G376</f>
        <v>2022</v>
      </c>
      <c r="I93" s="37" t="str">
        <f>'13. Desinvesteringen'!C376</f>
        <v>02 Gasontvangststations</v>
      </c>
      <c r="J93" s="164">
        <f>'13. Desinvesteringen'!F376</f>
        <v>0</v>
      </c>
      <c r="K93" s="38">
        <f>_xlfn.XLOOKUP(I93,'3. Input (des)investeringen '!$B$11:$B$89,'3. Input (des)investeringen '!$E$11:$E$89)</f>
        <v>0</v>
      </c>
      <c r="L93" s="48"/>
      <c r="M93" s="38">
        <f>_xlfn.XLOOKUP(I93,'3. Input (des)investeringen '!$B$11:$B$89,'3. Input (des)investeringen '!$D$11:$D$89,0)</f>
        <v>30</v>
      </c>
      <c r="N93" s="38">
        <f t="shared" si="13"/>
        <v>0</v>
      </c>
      <c r="P93" s="43">
        <f t="shared" si="32"/>
        <v>0</v>
      </c>
      <c r="Q93" s="43">
        <f t="shared" si="32"/>
        <v>0</v>
      </c>
      <c r="R93" s="43">
        <f t="shared" si="32"/>
        <v>0</v>
      </c>
      <c r="S93" s="43">
        <f t="shared" si="32"/>
        <v>0</v>
      </c>
      <c r="T93" s="43">
        <f t="shared" si="32"/>
        <v>0</v>
      </c>
      <c r="V93" s="43">
        <f t="shared" si="1"/>
        <v>0</v>
      </c>
      <c r="W93" s="43">
        <f t="shared" si="2"/>
        <v>0</v>
      </c>
      <c r="X93" s="43">
        <f t="shared" si="3"/>
        <v>0</v>
      </c>
      <c r="Y93" s="43">
        <f t="shared" si="4"/>
        <v>0</v>
      </c>
      <c r="Z93" s="43">
        <f t="shared" si="5"/>
        <v>0</v>
      </c>
      <c r="AB93" s="43">
        <f t="shared" si="14"/>
        <v>0</v>
      </c>
      <c r="AC93" s="43">
        <f t="shared" si="15"/>
        <v>0</v>
      </c>
      <c r="AD93" s="43">
        <f t="shared" si="16"/>
        <v>0</v>
      </c>
      <c r="AE93" s="43">
        <f t="shared" si="17"/>
        <v>0</v>
      </c>
      <c r="AF93" s="43">
        <f t="shared" si="18"/>
        <v>0</v>
      </c>
      <c r="AH93" s="43">
        <f t="shared" si="19"/>
        <v>0</v>
      </c>
      <c r="AI93" s="43">
        <f t="shared" si="20"/>
        <v>0</v>
      </c>
      <c r="AJ93" s="43">
        <f t="shared" si="21"/>
        <v>0</v>
      </c>
      <c r="AK93" s="43">
        <f t="shared" si="22"/>
        <v>0</v>
      </c>
      <c r="AL93" s="43">
        <f t="shared" si="23"/>
        <v>0</v>
      </c>
      <c r="AN93" s="47">
        <f t="shared" si="24"/>
        <v>0</v>
      </c>
      <c r="AO93" s="47">
        <f t="shared" si="25"/>
        <v>0</v>
      </c>
      <c r="AP93" s="47">
        <f t="shared" si="26"/>
        <v>0</v>
      </c>
      <c r="AQ93" s="47">
        <f t="shared" si="27"/>
        <v>0</v>
      </c>
      <c r="AR93" s="43">
        <f t="shared" si="28"/>
        <v>0</v>
      </c>
      <c r="AY93" s="3"/>
    </row>
    <row r="94" spans="1:51" ht="13">
      <c r="A94" s="48"/>
      <c r="B94" s="37">
        <f>'13. Desinvesteringen'!B377</f>
        <v>358</v>
      </c>
      <c r="C94" s="48"/>
      <c r="D94" s="48"/>
      <c r="E94" s="48"/>
      <c r="F94" s="42">
        <f>'5. Input GAW-waarde desinv.'!D53</f>
        <v>0</v>
      </c>
      <c r="G94" s="175">
        <f>'13. Desinvesteringen'!D377</f>
        <v>1973</v>
      </c>
      <c r="H94" s="175">
        <f>'13. Desinvesteringen'!G377</f>
        <v>2022</v>
      </c>
      <c r="I94" s="37" t="str">
        <f>'13. Desinvesteringen'!C377</f>
        <v>02 Gasontvangststations</v>
      </c>
      <c r="J94" s="164">
        <f>'13. Desinvesteringen'!F377</f>
        <v>0</v>
      </c>
      <c r="K94" s="38">
        <f>_xlfn.XLOOKUP(I94,'3. Input (des)investeringen '!$B$11:$B$89,'3. Input (des)investeringen '!$E$11:$E$89)</f>
        <v>0</v>
      </c>
      <c r="L94" s="48"/>
      <c r="M94" s="38">
        <f>_xlfn.XLOOKUP(I94,'3. Input (des)investeringen '!$B$11:$B$89,'3. Input (des)investeringen '!$D$11:$D$89,0)</f>
        <v>30</v>
      </c>
      <c r="N94" s="38">
        <f t="shared" si="13"/>
        <v>0</v>
      </c>
      <c r="P94" s="43">
        <f t="shared" si="32"/>
        <v>0</v>
      </c>
      <c r="Q94" s="43">
        <f t="shared" si="32"/>
        <v>0</v>
      </c>
      <c r="R94" s="43">
        <f t="shared" si="32"/>
        <v>0</v>
      </c>
      <c r="S94" s="43">
        <f t="shared" si="32"/>
        <v>0</v>
      </c>
      <c r="T94" s="43">
        <f t="shared" si="32"/>
        <v>0</v>
      </c>
      <c r="V94" s="43">
        <f t="shared" si="1"/>
        <v>0</v>
      </c>
      <c r="W94" s="43">
        <f t="shared" si="2"/>
        <v>0</v>
      </c>
      <c r="X94" s="43">
        <f t="shared" si="3"/>
        <v>0</v>
      </c>
      <c r="Y94" s="43">
        <f t="shared" si="4"/>
        <v>0</v>
      </c>
      <c r="Z94" s="43">
        <f t="shared" si="5"/>
        <v>0</v>
      </c>
      <c r="AB94" s="43">
        <f t="shared" si="14"/>
        <v>0</v>
      </c>
      <c r="AC94" s="43">
        <f t="shared" si="15"/>
        <v>0</v>
      </c>
      <c r="AD94" s="43">
        <f t="shared" si="16"/>
        <v>0</v>
      </c>
      <c r="AE94" s="43">
        <f t="shared" si="17"/>
        <v>0</v>
      </c>
      <c r="AF94" s="43">
        <f t="shared" si="18"/>
        <v>0</v>
      </c>
      <c r="AH94" s="43">
        <f t="shared" si="19"/>
        <v>0</v>
      </c>
      <c r="AI94" s="43">
        <f t="shared" si="20"/>
        <v>0</v>
      </c>
      <c r="AJ94" s="43">
        <f t="shared" si="21"/>
        <v>0</v>
      </c>
      <c r="AK94" s="43">
        <f t="shared" si="22"/>
        <v>0</v>
      </c>
      <c r="AL94" s="43">
        <f t="shared" si="23"/>
        <v>0</v>
      </c>
      <c r="AN94" s="47">
        <f t="shared" si="24"/>
        <v>0</v>
      </c>
      <c r="AO94" s="47">
        <f t="shared" si="25"/>
        <v>0</v>
      </c>
      <c r="AP94" s="47">
        <f t="shared" si="26"/>
        <v>0</v>
      </c>
      <c r="AQ94" s="47">
        <f t="shared" si="27"/>
        <v>0</v>
      </c>
      <c r="AR94" s="43">
        <f t="shared" si="28"/>
        <v>0</v>
      </c>
      <c r="AY94" s="3"/>
    </row>
    <row r="95" spans="1:51" ht="13">
      <c r="A95" s="48"/>
      <c r="B95" s="37">
        <f>'13. Desinvesteringen'!B378</f>
        <v>359</v>
      </c>
      <c r="C95" s="48"/>
      <c r="D95" s="48"/>
      <c r="E95" s="48"/>
      <c r="F95" s="42">
        <f>'5. Input GAW-waarde desinv.'!D54</f>
        <v>0</v>
      </c>
      <c r="G95" s="175">
        <f>'13. Desinvesteringen'!D378</f>
        <v>1974</v>
      </c>
      <c r="H95" s="175">
        <f>'13. Desinvesteringen'!G378</f>
        <v>2022</v>
      </c>
      <c r="I95" s="37" t="str">
        <f>'13. Desinvesteringen'!C378</f>
        <v>02 Gasontvangststations</v>
      </c>
      <c r="J95" s="164">
        <f>'13. Desinvesteringen'!F378</f>
        <v>0</v>
      </c>
      <c r="K95" s="38">
        <f>_xlfn.XLOOKUP(I95,'3. Input (des)investeringen '!$B$11:$B$89,'3. Input (des)investeringen '!$E$11:$E$89)</f>
        <v>0</v>
      </c>
      <c r="L95" s="48"/>
      <c r="M95" s="38">
        <f>_xlfn.XLOOKUP(I95,'3. Input (des)investeringen '!$B$11:$B$89,'3. Input (des)investeringen '!$D$11:$D$89,0)</f>
        <v>30</v>
      </c>
      <c r="N95" s="38">
        <f t="shared" si="13"/>
        <v>0</v>
      </c>
      <c r="P95" s="43">
        <f t="shared" si="32"/>
        <v>0</v>
      </c>
      <c r="Q95" s="43">
        <f t="shared" si="32"/>
        <v>0</v>
      </c>
      <c r="R95" s="43">
        <f t="shared" si="32"/>
        <v>0</v>
      </c>
      <c r="S95" s="43">
        <f t="shared" si="32"/>
        <v>0</v>
      </c>
      <c r="T95" s="43">
        <f t="shared" si="32"/>
        <v>0</v>
      </c>
      <c r="V95" s="43">
        <f t="shared" si="1"/>
        <v>0</v>
      </c>
      <c r="W95" s="43">
        <f t="shared" si="2"/>
        <v>0</v>
      </c>
      <c r="X95" s="43">
        <f t="shared" si="3"/>
        <v>0</v>
      </c>
      <c r="Y95" s="43">
        <f t="shared" si="4"/>
        <v>0</v>
      </c>
      <c r="Z95" s="43">
        <f t="shared" si="5"/>
        <v>0</v>
      </c>
      <c r="AB95" s="43">
        <f t="shared" si="14"/>
        <v>0</v>
      </c>
      <c r="AC95" s="43">
        <f t="shared" si="15"/>
        <v>0</v>
      </c>
      <c r="AD95" s="43">
        <f t="shared" si="16"/>
        <v>0</v>
      </c>
      <c r="AE95" s="43">
        <f t="shared" si="17"/>
        <v>0</v>
      </c>
      <c r="AF95" s="43">
        <f t="shared" si="18"/>
        <v>0</v>
      </c>
      <c r="AH95" s="43">
        <f t="shared" si="19"/>
        <v>0</v>
      </c>
      <c r="AI95" s="43">
        <f t="shared" si="20"/>
        <v>0</v>
      </c>
      <c r="AJ95" s="43">
        <f t="shared" si="21"/>
        <v>0</v>
      </c>
      <c r="AK95" s="43">
        <f t="shared" si="22"/>
        <v>0</v>
      </c>
      <c r="AL95" s="43">
        <f t="shared" si="23"/>
        <v>0</v>
      </c>
      <c r="AN95" s="47">
        <f t="shared" si="24"/>
        <v>0</v>
      </c>
      <c r="AO95" s="47">
        <f t="shared" si="25"/>
        <v>0</v>
      </c>
      <c r="AP95" s="47">
        <f t="shared" si="26"/>
        <v>0</v>
      </c>
      <c r="AQ95" s="47">
        <f t="shared" si="27"/>
        <v>0</v>
      </c>
      <c r="AR95" s="43">
        <f t="shared" si="28"/>
        <v>0</v>
      </c>
      <c r="AY95" s="3"/>
    </row>
    <row r="96" spans="1:51" ht="13">
      <c r="A96" s="48"/>
      <c r="B96" s="37">
        <f>'13. Desinvesteringen'!B379</f>
        <v>360</v>
      </c>
      <c r="C96" s="48"/>
      <c r="D96" s="48"/>
      <c r="E96" s="48"/>
      <c r="F96" s="42">
        <f>'5. Input GAW-waarde desinv.'!D55</f>
        <v>0</v>
      </c>
      <c r="G96" s="175">
        <f>'13. Desinvesteringen'!D379</f>
        <v>1975</v>
      </c>
      <c r="H96" s="175">
        <f>'13. Desinvesteringen'!G379</f>
        <v>2022</v>
      </c>
      <c r="I96" s="37" t="str">
        <f>'13. Desinvesteringen'!C379</f>
        <v>02 Gasontvangststations</v>
      </c>
      <c r="J96" s="164">
        <f>'13. Desinvesteringen'!F379</f>
        <v>0</v>
      </c>
      <c r="K96" s="38">
        <f>_xlfn.XLOOKUP(I96,'3. Input (des)investeringen '!$B$11:$B$89,'3. Input (des)investeringen '!$E$11:$E$89)</f>
        <v>0</v>
      </c>
      <c r="L96" s="48"/>
      <c r="M96" s="38">
        <f>_xlfn.XLOOKUP(I96,'3. Input (des)investeringen '!$B$11:$B$89,'3. Input (des)investeringen '!$D$11:$D$89,0)</f>
        <v>30</v>
      </c>
      <c r="N96" s="38">
        <f t="shared" si="13"/>
        <v>0</v>
      </c>
      <c r="P96" s="43">
        <f t="shared" si="32"/>
        <v>0</v>
      </c>
      <c r="Q96" s="43">
        <f t="shared" si="32"/>
        <v>0</v>
      </c>
      <c r="R96" s="43">
        <f t="shared" si="32"/>
        <v>0</v>
      </c>
      <c r="S96" s="43">
        <f t="shared" si="32"/>
        <v>0</v>
      </c>
      <c r="T96" s="43">
        <f t="shared" si="32"/>
        <v>0</v>
      </c>
      <c r="V96" s="43">
        <f t="shared" si="1"/>
        <v>0</v>
      </c>
      <c r="W96" s="43">
        <f t="shared" si="2"/>
        <v>0</v>
      </c>
      <c r="X96" s="43">
        <f t="shared" si="3"/>
        <v>0</v>
      </c>
      <c r="Y96" s="43">
        <f t="shared" si="4"/>
        <v>0</v>
      </c>
      <c r="Z96" s="43">
        <f t="shared" si="5"/>
        <v>0</v>
      </c>
      <c r="AB96" s="43">
        <f t="shared" si="14"/>
        <v>0</v>
      </c>
      <c r="AC96" s="43">
        <f t="shared" si="15"/>
        <v>0</v>
      </c>
      <c r="AD96" s="43">
        <f t="shared" si="16"/>
        <v>0</v>
      </c>
      <c r="AE96" s="43">
        <f t="shared" si="17"/>
        <v>0</v>
      </c>
      <c r="AF96" s="43">
        <f t="shared" si="18"/>
        <v>0</v>
      </c>
      <c r="AH96" s="43">
        <f t="shared" si="19"/>
        <v>0</v>
      </c>
      <c r="AI96" s="43">
        <f t="shared" si="20"/>
        <v>0</v>
      </c>
      <c r="AJ96" s="43">
        <f t="shared" si="21"/>
        <v>0</v>
      </c>
      <c r="AK96" s="43">
        <f t="shared" si="22"/>
        <v>0</v>
      </c>
      <c r="AL96" s="43">
        <f t="shared" si="23"/>
        <v>0</v>
      </c>
      <c r="AN96" s="47">
        <f t="shared" si="24"/>
        <v>0</v>
      </c>
      <c r="AO96" s="47">
        <f t="shared" si="25"/>
        <v>0</v>
      </c>
      <c r="AP96" s="47">
        <f t="shared" si="26"/>
        <v>0</v>
      </c>
      <c r="AQ96" s="47">
        <f t="shared" si="27"/>
        <v>0</v>
      </c>
      <c r="AR96" s="43">
        <f t="shared" si="28"/>
        <v>0</v>
      </c>
      <c r="AY96" s="3"/>
    </row>
    <row r="97" spans="1:51" ht="13">
      <c r="A97" s="48"/>
      <c r="B97" s="37">
        <f>'13. Desinvesteringen'!B380</f>
        <v>361</v>
      </c>
      <c r="C97" s="48"/>
      <c r="D97" s="48"/>
      <c r="E97" s="48"/>
      <c r="F97" s="42">
        <f>'5. Input GAW-waarde desinv.'!D56</f>
        <v>0</v>
      </c>
      <c r="G97" s="175">
        <f>'13. Desinvesteringen'!D380</f>
        <v>1976</v>
      </c>
      <c r="H97" s="175">
        <f>'13. Desinvesteringen'!G380</f>
        <v>2022</v>
      </c>
      <c r="I97" s="37" t="str">
        <f>'13. Desinvesteringen'!C380</f>
        <v>02 Gasontvangststations</v>
      </c>
      <c r="J97" s="164">
        <f>'13. Desinvesteringen'!F380</f>
        <v>0</v>
      </c>
      <c r="K97" s="38">
        <f>_xlfn.XLOOKUP(I97,'3. Input (des)investeringen '!$B$11:$B$89,'3. Input (des)investeringen '!$E$11:$E$89)</f>
        <v>0</v>
      </c>
      <c r="L97" s="48"/>
      <c r="M97" s="38">
        <f>_xlfn.XLOOKUP(I97,'3. Input (des)investeringen '!$B$11:$B$89,'3. Input (des)investeringen '!$D$11:$D$89,0)</f>
        <v>30</v>
      </c>
      <c r="N97" s="38">
        <f t="shared" si="13"/>
        <v>0</v>
      </c>
      <c r="P97" s="43">
        <f t="shared" si="32"/>
        <v>0</v>
      </c>
      <c r="Q97" s="43">
        <f t="shared" si="32"/>
        <v>0</v>
      </c>
      <c r="R97" s="43">
        <f t="shared" si="32"/>
        <v>0</v>
      </c>
      <c r="S97" s="43">
        <f t="shared" si="32"/>
        <v>0</v>
      </c>
      <c r="T97" s="43">
        <f t="shared" si="32"/>
        <v>0</v>
      </c>
      <c r="V97" s="43">
        <f t="shared" si="1"/>
        <v>0</v>
      </c>
      <c r="W97" s="43">
        <f t="shared" si="2"/>
        <v>0</v>
      </c>
      <c r="X97" s="43">
        <f t="shared" si="3"/>
        <v>0</v>
      </c>
      <c r="Y97" s="43">
        <f t="shared" si="4"/>
        <v>0</v>
      </c>
      <c r="Z97" s="43">
        <f t="shared" si="5"/>
        <v>0</v>
      </c>
      <c r="AB97" s="43">
        <f t="shared" si="14"/>
        <v>0</v>
      </c>
      <c r="AC97" s="43">
        <f t="shared" si="15"/>
        <v>0</v>
      </c>
      <c r="AD97" s="43">
        <f t="shared" si="16"/>
        <v>0</v>
      </c>
      <c r="AE97" s="43">
        <f t="shared" si="17"/>
        <v>0</v>
      </c>
      <c r="AF97" s="43">
        <f t="shared" si="18"/>
        <v>0</v>
      </c>
      <c r="AH97" s="43">
        <f t="shared" si="19"/>
        <v>0</v>
      </c>
      <c r="AI97" s="43">
        <f t="shared" si="20"/>
        <v>0</v>
      </c>
      <c r="AJ97" s="43">
        <f t="shared" si="21"/>
        <v>0</v>
      </c>
      <c r="AK97" s="43">
        <f t="shared" si="22"/>
        <v>0</v>
      </c>
      <c r="AL97" s="43">
        <f t="shared" si="23"/>
        <v>0</v>
      </c>
      <c r="AN97" s="47">
        <f t="shared" si="24"/>
        <v>0</v>
      </c>
      <c r="AO97" s="47">
        <f t="shared" si="25"/>
        <v>0</v>
      </c>
      <c r="AP97" s="47">
        <f t="shared" si="26"/>
        <v>0</v>
      </c>
      <c r="AQ97" s="47">
        <f t="shared" si="27"/>
        <v>0</v>
      </c>
      <c r="AR97" s="43">
        <f t="shared" si="28"/>
        <v>0</v>
      </c>
      <c r="AY97" s="3"/>
    </row>
    <row r="98" spans="1:51" ht="13">
      <c r="A98" s="48"/>
      <c r="B98" s="37">
        <f>'13. Desinvesteringen'!B381</f>
        <v>362</v>
      </c>
      <c r="C98" s="48"/>
      <c r="D98" s="48"/>
      <c r="E98" s="48"/>
      <c r="F98" s="42">
        <f>'5. Input GAW-waarde desinv.'!D57</f>
        <v>0</v>
      </c>
      <c r="G98" s="175">
        <f>'13. Desinvesteringen'!D381</f>
        <v>1977</v>
      </c>
      <c r="H98" s="175">
        <f>'13. Desinvesteringen'!G381</f>
        <v>2022</v>
      </c>
      <c r="I98" s="37" t="str">
        <f>'13. Desinvesteringen'!C381</f>
        <v>02 Gasontvangststations</v>
      </c>
      <c r="J98" s="164">
        <f>'13. Desinvesteringen'!F381</f>
        <v>0</v>
      </c>
      <c r="K98" s="38">
        <f>_xlfn.XLOOKUP(I98,'3. Input (des)investeringen '!$B$11:$B$89,'3. Input (des)investeringen '!$E$11:$E$89)</f>
        <v>0</v>
      </c>
      <c r="L98" s="48"/>
      <c r="M98" s="38">
        <f>_xlfn.XLOOKUP(I98,'3. Input (des)investeringen '!$B$11:$B$89,'3. Input (des)investeringen '!$D$11:$D$89,0)</f>
        <v>30</v>
      </c>
      <c r="N98" s="38">
        <f t="shared" si="13"/>
        <v>0</v>
      </c>
      <c r="P98" s="43">
        <f t="shared" si="32"/>
        <v>0</v>
      </c>
      <c r="Q98" s="43">
        <f t="shared" si="32"/>
        <v>0</v>
      </c>
      <c r="R98" s="43">
        <f t="shared" si="32"/>
        <v>0</v>
      </c>
      <c r="S98" s="43">
        <f t="shared" si="32"/>
        <v>0</v>
      </c>
      <c r="T98" s="43">
        <f t="shared" si="32"/>
        <v>0</v>
      </c>
      <c r="V98" s="43">
        <f t="shared" si="1"/>
        <v>0</v>
      </c>
      <c r="W98" s="43">
        <f t="shared" si="2"/>
        <v>0</v>
      </c>
      <c r="X98" s="43">
        <f t="shared" si="3"/>
        <v>0</v>
      </c>
      <c r="Y98" s="43">
        <f t="shared" si="4"/>
        <v>0</v>
      </c>
      <c r="Z98" s="43">
        <f t="shared" si="5"/>
        <v>0</v>
      </c>
      <c r="AB98" s="43">
        <f t="shared" si="14"/>
        <v>0</v>
      </c>
      <c r="AC98" s="43">
        <f t="shared" si="15"/>
        <v>0</v>
      </c>
      <c r="AD98" s="43">
        <f t="shared" si="16"/>
        <v>0</v>
      </c>
      <c r="AE98" s="43">
        <f t="shared" si="17"/>
        <v>0</v>
      </c>
      <c r="AF98" s="43">
        <f t="shared" si="18"/>
        <v>0</v>
      </c>
      <c r="AH98" s="43">
        <f t="shared" si="19"/>
        <v>0</v>
      </c>
      <c r="AI98" s="43">
        <f t="shared" si="20"/>
        <v>0</v>
      </c>
      <c r="AJ98" s="43">
        <f t="shared" si="21"/>
        <v>0</v>
      </c>
      <c r="AK98" s="43">
        <f t="shared" si="22"/>
        <v>0</v>
      </c>
      <c r="AL98" s="43">
        <f t="shared" si="23"/>
        <v>0</v>
      </c>
      <c r="AN98" s="47">
        <f t="shared" si="24"/>
        <v>0</v>
      </c>
      <c r="AO98" s="47">
        <f t="shared" si="25"/>
        <v>0</v>
      </c>
      <c r="AP98" s="47">
        <f t="shared" si="26"/>
        <v>0</v>
      </c>
      <c r="AQ98" s="47">
        <f t="shared" si="27"/>
        <v>0</v>
      </c>
      <c r="AR98" s="43">
        <f t="shared" si="28"/>
        <v>0</v>
      </c>
      <c r="AY98" s="3"/>
    </row>
    <row r="99" spans="1:51" ht="13">
      <c r="A99" s="48"/>
      <c r="B99" s="37">
        <f>'13. Desinvesteringen'!B382</f>
        <v>363</v>
      </c>
      <c r="C99" s="48"/>
      <c r="D99" s="48"/>
      <c r="E99" s="48"/>
      <c r="F99" s="42">
        <f>'5. Input GAW-waarde desinv.'!D58</f>
        <v>0</v>
      </c>
      <c r="G99" s="175">
        <f>'13. Desinvesteringen'!D382</f>
        <v>1979</v>
      </c>
      <c r="H99" s="175">
        <f>'13. Desinvesteringen'!G382</f>
        <v>2022</v>
      </c>
      <c r="I99" s="37" t="str">
        <f>'13. Desinvesteringen'!C382</f>
        <v>02 Gasontvangststations</v>
      </c>
      <c r="J99" s="164">
        <f>'13. Desinvesteringen'!F382</f>
        <v>0</v>
      </c>
      <c r="K99" s="38">
        <f>_xlfn.XLOOKUP(I99,'3. Input (des)investeringen '!$B$11:$B$89,'3. Input (des)investeringen '!$E$11:$E$89)</f>
        <v>0</v>
      </c>
      <c r="L99" s="48"/>
      <c r="M99" s="38">
        <f>_xlfn.XLOOKUP(I99,'3. Input (des)investeringen '!$B$11:$B$89,'3. Input (des)investeringen '!$D$11:$D$89,0)</f>
        <v>30</v>
      </c>
      <c r="N99" s="38">
        <f t="shared" si="13"/>
        <v>0</v>
      </c>
      <c r="P99" s="43">
        <f t="shared" si="32"/>
        <v>0</v>
      </c>
      <c r="Q99" s="43">
        <f t="shared" si="32"/>
        <v>0</v>
      </c>
      <c r="R99" s="43">
        <f t="shared" si="32"/>
        <v>0</v>
      </c>
      <c r="S99" s="43">
        <f t="shared" si="32"/>
        <v>0</v>
      </c>
      <c r="T99" s="43">
        <f t="shared" si="32"/>
        <v>0</v>
      </c>
      <c r="V99" s="43">
        <f t="shared" si="1"/>
        <v>0</v>
      </c>
      <c r="W99" s="43">
        <f t="shared" si="2"/>
        <v>0</v>
      </c>
      <c r="X99" s="43">
        <f t="shared" si="3"/>
        <v>0</v>
      </c>
      <c r="Y99" s="43">
        <f t="shared" si="4"/>
        <v>0</v>
      </c>
      <c r="Z99" s="43">
        <f t="shared" si="5"/>
        <v>0</v>
      </c>
      <c r="AB99" s="43">
        <f t="shared" si="14"/>
        <v>0</v>
      </c>
      <c r="AC99" s="43">
        <f t="shared" si="15"/>
        <v>0</v>
      </c>
      <c r="AD99" s="43">
        <f t="shared" si="16"/>
        <v>0</v>
      </c>
      <c r="AE99" s="43">
        <f t="shared" si="17"/>
        <v>0</v>
      </c>
      <c r="AF99" s="43">
        <f t="shared" si="18"/>
        <v>0</v>
      </c>
      <c r="AH99" s="43">
        <f t="shared" si="19"/>
        <v>0</v>
      </c>
      <c r="AI99" s="43">
        <f t="shared" si="20"/>
        <v>0</v>
      </c>
      <c r="AJ99" s="43">
        <f t="shared" si="21"/>
        <v>0</v>
      </c>
      <c r="AK99" s="43">
        <f t="shared" si="22"/>
        <v>0</v>
      </c>
      <c r="AL99" s="43">
        <f t="shared" si="23"/>
        <v>0</v>
      </c>
      <c r="AN99" s="47">
        <f t="shared" si="24"/>
        <v>0</v>
      </c>
      <c r="AO99" s="47">
        <f t="shared" si="25"/>
        <v>0</v>
      </c>
      <c r="AP99" s="47">
        <f t="shared" si="26"/>
        <v>0</v>
      </c>
      <c r="AQ99" s="47">
        <f t="shared" si="27"/>
        <v>0</v>
      </c>
      <c r="AR99" s="43">
        <f t="shared" si="28"/>
        <v>0</v>
      </c>
      <c r="AY99" s="3"/>
    </row>
    <row r="100" spans="1:51" ht="13">
      <c r="A100" s="48"/>
      <c r="B100" s="37">
        <f>'13. Desinvesteringen'!B383</f>
        <v>364</v>
      </c>
      <c r="C100" s="48"/>
      <c r="D100" s="48"/>
      <c r="E100" s="48"/>
      <c r="F100" s="42">
        <f>'5. Input GAW-waarde desinv.'!D59</f>
        <v>0</v>
      </c>
      <c r="G100" s="175">
        <f>'13. Desinvesteringen'!D383</f>
        <v>1980</v>
      </c>
      <c r="H100" s="175">
        <f>'13. Desinvesteringen'!G383</f>
        <v>2022</v>
      </c>
      <c r="I100" s="37" t="str">
        <f>'13. Desinvesteringen'!C383</f>
        <v>02 Gasontvangststations</v>
      </c>
      <c r="J100" s="164">
        <f>'13. Desinvesteringen'!F383</f>
        <v>0</v>
      </c>
      <c r="K100" s="38">
        <f>_xlfn.XLOOKUP(I100,'3. Input (des)investeringen '!$B$11:$B$89,'3. Input (des)investeringen '!$E$11:$E$89)</f>
        <v>0</v>
      </c>
      <c r="L100" s="48"/>
      <c r="M100" s="38">
        <f>_xlfn.XLOOKUP(I100,'3. Input (des)investeringen '!$B$11:$B$89,'3. Input (des)investeringen '!$D$11:$D$89,0)</f>
        <v>30</v>
      </c>
      <c r="N100" s="38">
        <f t="shared" si="13"/>
        <v>0</v>
      </c>
      <c r="P100" s="43">
        <f t="shared" si="32"/>
        <v>0</v>
      </c>
      <c r="Q100" s="43">
        <f t="shared" si="32"/>
        <v>0</v>
      </c>
      <c r="R100" s="43">
        <f t="shared" si="32"/>
        <v>0</v>
      </c>
      <c r="S100" s="43">
        <f t="shared" si="32"/>
        <v>0</v>
      </c>
      <c r="T100" s="43">
        <f t="shared" si="32"/>
        <v>0</v>
      </c>
      <c r="V100" s="43">
        <f t="shared" si="1"/>
        <v>0</v>
      </c>
      <c r="W100" s="43">
        <f t="shared" si="2"/>
        <v>0</v>
      </c>
      <c r="X100" s="43">
        <f t="shared" si="3"/>
        <v>0</v>
      </c>
      <c r="Y100" s="43">
        <f t="shared" si="4"/>
        <v>0</v>
      </c>
      <c r="Z100" s="43">
        <f t="shared" si="5"/>
        <v>0</v>
      </c>
      <c r="AB100" s="43">
        <f t="shared" si="14"/>
        <v>0</v>
      </c>
      <c r="AC100" s="43">
        <f t="shared" si="15"/>
        <v>0</v>
      </c>
      <c r="AD100" s="43">
        <f t="shared" si="16"/>
        <v>0</v>
      </c>
      <c r="AE100" s="43">
        <f t="shared" si="17"/>
        <v>0</v>
      </c>
      <c r="AF100" s="43">
        <f t="shared" si="18"/>
        <v>0</v>
      </c>
      <c r="AH100" s="43">
        <f t="shared" si="19"/>
        <v>0</v>
      </c>
      <c r="AI100" s="43">
        <f t="shared" si="20"/>
        <v>0</v>
      </c>
      <c r="AJ100" s="43">
        <f t="shared" si="21"/>
        <v>0</v>
      </c>
      <c r="AK100" s="43">
        <f t="shared" si="22"/>
        <v>0</v>
      </c>
      <c r="AL100" s="43">
        <f t="shared" si="23"/>
        <v>0</v>
      </c>
      <c r="AN100" s="47">
        <f t="shared" si="24"/>
        <v>0</v>
      </c>
      <c r="AO100" s="47">
        <f t="shared" si="25"/>
        <v>0</v>
      </c>
      <c r="AP100" s="47">
        <f t="shared" si="26"/>
        <v>0</v>
      </c>
      <c r="AQ100" s="47">
        <f t="shared" si="27"/>
        <v>0</v>
      </c>
      <c r="AR100" s="43">
        <f t="shared" si="28"/>
        <v>0</v>
      </c>
      <c r="AY100" s="3"/>
    </row>
    <row r="101" spans="1:51" ht="13">
      <c r="A101" s="48"/>
      <c r="B101" s="37">
        <f>'13. Desinvesteringen'!B384</f>
        <v>365</v>
      </c>
      <c r="C101" s="48"/>
      <c r="D101" s="48"/>
      <c r="E101" s="48"/>
      <c r="F101" s="42">
        <f>'5. Input GAW-waarde desinv.'!D60</f>
        <v>0</v>
      </c>
      <c r="G101" s="175">
        <f>'13. Desinvesteringen'!D384</f>
        <v>1981</v>
      </c>
      <c r="H101" s="175">
        <f>'13. Desinvesteringen'!G384</f>
        <v>2022</v>
      </c>
      <c r="I101" s="37" t="str">
        <f>'13. Desinvesteringen'!C384</f>
        <v>02 Gasontvangststations</v>
      </c>
      <c r="J101" s="164">
        <f>'13. Desinvesteringen'!F384</f>
        <v>0</v>
      </c>
      <c r="K101" s="38">
        <f>_xlfn.XLOOKUP(I101,'3. Input (des)investeringen '!$B$11:$B$89,'3. Input (des)investeringen '!$E$11:$E$89)</f>
        <v>0</v>
      </c>
      <c r="L101" s="48"/>
      <c r="M101" s="38">
        <f>_xlfn.XLOOKUP(I101,'3. Input (des)investeringen '!$B$11:$B$89,'3. Input (des)investeringen '!$D$11:$D$89,0)</f>
        <v>30</v>
      </c>
      <c r="N101" s="38">
        <f t="shared" si="13"/>
        <v>0</v>
      </c>
      <c r="P101" s="43">
        <f t="shared" si="32"/>
        <v>0</v>
      </c>
      <c r="Q101" s="43">
        <f t="shared" si="32"/>
        <v>0</v>
      </c>
      <c r="R101" s="43">
        <f t="shared" si="32"/>
        <v>0</v>
      </c>
      <c r="S101" s="43">
        <f t="shared" si="32"/>
        <v>0</v>
      </c>
      <c r="T101" s="43">
        <f t="shared" si="32"/>
        <v>0</v>
      </c>
      <c r="V101" s="43">
        <f t="shared" si="1"/>
        <v>0</v>
      </c>
      <c r="W101" s="43">
        <f t="shared" si="2"/>
        <v>0</v>
      </c>
      <c r="X101" s="43">
        <f t="shared" si="3"/>
        <v>0</v>
      </c>
      <c r="Y101" s="43">
        <f t="shared" si="4"/>
        <v>0</v>
      </c>
      <c r="Z101" s="43">
        <f t="shared" si="5"/>
        <v>0</v>
      </c>
      <c r="AB101" s="43">
        <f t="shared" si="14"/>
        <v>0</v>
      </c>
      <c r="AC101" s="43">
        <f t="shared" si="15"/>
        <v>0</v>
      </c>
      <c r="AD101" s="43">
        <f t="shared" si="16"/>
        <v>0</v>
      </c>
      <c r="AE101" s="43">
        <f t="shared" si="17"/>
        <v>0</v>
      </c>
      <c r="AF101" s="43">
        <f t="shared" si="18"/>
        <v>0</v>
      </c>
      <c r="AH101" s="43">
        <f t="shared" si="19"/>
        <v>0</v>
      </c>
      <c r="AI101" s="43">
        <f t="shared" si="20"/>
        <v>0</v>
      </c>
      <c r="AJ101" s="43">
        <f t="shared" si="21"/>
        <v>0</v>
      </c>
      <c r="AK101" s="43">
        <f t="shared" si="22"/>
        <v>0</v>
      </c>
      <c r="AL101" s="43">
        <f t="shared" si="23"/>
        <v>0</v>
      </c>
      <c r="AN101" s="47">
        <f t="shared" si="24"/>
        <v>0</v>
      </c>
      <c r="AO101" s="47">
        <f t="shared" si="25"/>
        <v>0</v>
      </c>
      <c r="AP101" s="47">
        <f t="shared" si="26"/>
        <v>0</v>
      </c>
      <c r="AQ101" s="47">
        <f t="shared" si="27"/>
        <v>0</v>
      </c>
      <c r="AR101" s="43">
        <f t="shared" si="28"/>
        <v>0</v>
      </c>
      <c r="AY101" s="3"/>
    </row>
    <row r="102" spans="1:51" ht="13">
      <c r="A102" s="48"/>
      <c r="B102" s="37">
        <f>'13. Desinvesteringen'!B385</f>
        <v>366</v>
      </c>
      <c r="C102" s="48"/>
      <c r="D102" s="48"/>
      <c r="E102" s="48"/>
      <c r="F102" s="42">
        <f>'5. Input GAW-waarde desinv.'!D61</f>
        <v>0</v>
      </c>
      <c r="G102" s="175">
        <f>'13. Desinvesteringen'!D385</f>
        <v>1982</v>
      </c>
      <c r="H102" s="175">
        <f>'13. Desinvesteringen'!G385</f>
        <v>2022</v>
      </c>
      <c r="I102" s="37" t="str">
        <f>'13. Desinvesteringen'!C385</f>
        <v>02 Gasontvangststations</v>
      </c>
      <c r="J102" s="164">
        <f>'13. Desinvesteringen'!F385</f>
        <v>0</v>
      </c>
      <c r="K102" s="38">
        <f>_xlfn.XLOOKUP(I102,'3. Input (des)investeringen '!$B$11:$B$89,'3. Input (des)investeringen '!$E$11:$E$89)</f>
        <v>0</v>
      </c>
      <c r="L102" s="48"/>
      <c r="M102" s="38">
        <f>_xlfn.XLOOKUP(I102,'3. Input (des)investeringen '!$B$11:$B$89,'3. Input (des)investeringen '!$D$11:$D$89,0)</f>
        <v>30</v>
      </c>
      <c r="N102" s="38">
        <f t="shared" si="13"/>
        <v>0</v>
      </c>
      <c r="P102" s="43">
        <f t="shared" ref="P102:T111" si="33">IF($M102&gt;0, IF(OR($G102&gt;P$50,$G102+$M102&lt;P$50),0,
VDB($F102,0,$N102,MAX(0,P$50-2022),MIN($N102,P$50-2021),$F$23,FALSE))*(1-$F$26), 0)</f>
        <v>0</v>
      </c>
      <c r="Q102" s="43">
        <f t="shared" si="33"/>
        <v>0</v>
      </c>
      <c r="R102" s="43">
        <f t="shared" si="33"/>
        <v>0</v>
      </c>
      <c r="S102" s="43">
        <f t="shared" si="33"/>
        <v>0</v>
      </c>
      <c r="T102" s="43">
        <f t="shared" si="33"/>
        <v>0</v>
      </c>
      <c r="V102" s="43">
        <f t="shared" si="1"/>
        <v>0</v>
      </c>
      <c r="W102" s="43">
        <f t="shared" si="2"/>
        <v>0</v>
      </c>
      <c r="X102" s="43">
        <f t="shared" si="3"/>
        <v>0</v>
      </c>
      <c r="Y102" s="43">
        <f t="shared" si="4"/>
        <v>0</v>
      </c>
      <c r="Z102" s="43">
        <f t="shared" si="5"/>
        <v>0</v>
      </c>
      <c r="AB102" s="43">
        <f t="shared" si="14"/>
        <v>0</v>
      </c>
      <c r="AC102" s="43">
        <f t="shared" si="15"/>
        <v>0</v>
      </c>
      <c r="AD102" s="43">
        <f t="shared" si="16"/>
        <v>0</v>
      </c>
      <c r="AE102" s="43">
        <f t="shared" si="17"/>
        <v>0</v>
      </c>
      <c r="AF102" s="43">
        <f t="shared" si="18"/>
        <v>0</v>
      </c>
      <c r="AH102" s="43">
        <f t="shared" si="19"/>
        <v>0</v>
      </c>
      <c r="AI102" s="43">
        <f t="shared" si="20"/>
        <v>0</v>
      </c>
      <c r="AJ102" s="43">
        <f t="shared" si="21"/>
        <v>0</v>
      </c>
      <c r="AK102" s="43">
        <f t="shared" si="22"/>
        <v>0</v>
      </c>
      <c r="AL102" s="43">
        <f t="shared" si="23"/>
        <v>0</v>
      </c>
      <c r="AN102" s="47">
        <f t="shared" si="24"/>
        <v>0</v>
      </c>
      <c r="AO102" s="47">
        <f t="shared" si="25"/>
        <v>0</v>
      </c>
      <c r="AP102" s="47">
        <f t="shared" si="26"/>
        <v>0</v>
      </c>
      <c r="AQ102" s="47">
        <f t="shared" si="27"/>
        <v>0</v>
      </c>
      <c r="AR102" s="43">
        <f t="shared" si="28"/>
        <v>0</v>
      </c>
      <c r="AY102" s="3"/>
    </row>
    <row r="103" spans="1:51" ht="13">
      <c r="A103" s="48"/>
      <c r="B103" s="37">
        <f>'13. Desinvesteringen'!B386</f>
        <v>367</v>
      </c>
      <c r="C103" s="48"/>
      <c r="D103" s="48"/>
      <c r="E103" s="48"/>
      <c r="F103" s="42">
        <f>'5. Input GAW-waarde desinv.'!D62</f>
        <v>0</v>
      </c>
      <c r="G103" s="175">
        <f>'13. Desinvesteringen'!D386</f>
        <v>1984</v>
      </c>
      <c r="H103" s="175">
        <f>'13. Desinvesteringen'!G386</f>
        <v>2022</v>
      </c>
      <c r="I103" s="37" t="str">
        <f>'13. Desinvesteringen'!C386</f>
        <v>02 Gasontvangststations</v>
      </c>
      <c r="J103" s="164">
        <f>'13. Desinvesteringen'!F386</f>
        <v>0</v>
      </c>
      <c r="K103" s="38">
        <f>_xlfn.XLOOKUP(I103,'3. Input (des)investeringen '!$B$11:$B$89,'3. Input (des)investeringen '!$E$11:$E$89)</f>
        <v>0</v>
      </c>
      <c r="L103" s="48"/>
      <c r="M103" s="38">
        <f>_xlfn.XLOOKUP(I103,'3. Input (des)investeringen '!$B$11:$B$89,'3. Input (des)investeringen '!$D$11:$D$89,0)</f>
        <v>30</v>
      </c>
      <c r="N103" s="38">
        <f t="shared" si="13"/>
        <v>0</v>
      </c>
      <c r="P103" s="43">
        <f t="shared" si="33"/>
        <v>0</v>
      </c>
      <c r="Q103" s="43">
        <f t="shared" si="33"/>
        <v>0</v>
      </c>
      <c r="R103" s="43">
        <f t="shared" si="33"/>
        <v>0</v>
      </c>
      <c r="S103" s="43">
        <f t="shared" si="33"/>
        <v>0</v>
      </c>
      <c r="T103" s="43">
        <f t="shared" si="33"/>
        <v>0</v>
      </c>
      <c r="V103" s="43">
        <f t="shared" si="1"/>
        <v>0</v>
      </c>
      <c r="W103" s="43">
        <f t="shared" si="2"/>
        <v>0</v>
      </c>
      <c r="X103" s="43">
        <f t="shared" si="3"/>
        <v>0</v>
      </c>
      <c r="Y103" s="43">
        <f t="shared" si="4"/>
        <v>0</v>
      </c>
      <c r="Z103" s="43">
        <f t="shared" si="5"/>
        <v>0</v>
      </c>
      <c r="AB103" s="43">
        <f t="shared" si="14"/>
        <v>0</v>
      </c>
      <c r="AC103" s="43">
        <f t="shared" si="15"/>
        <v>0</v>
      </c>
      <c r="AD103" s="43">
        <f t="shared" si="16"/>
        <v>0</v>
      </c>
      <c r="AE103" s="43">
        <f t="shared" si="17"/>
        <v>0</v>
      </c>
      <c r="AF103" s="43">
        <f t="shared" si="18"/>
        <v>0</v>
      </c>
      <c r="AH103" s="43">
        <f t="shared" si="19"/>
        <v>0</v>
      </c>
      <c r="AI103" s="43">
        <f t="shared" si="20"/>
        <v>0</v>
      </c>
      <c r="AJ103" s="43">
        <f t="shared" si="21"/>
        <v>0</v>
      </c>
      <c r="AK103" s="43">
        <f t="shared" si="22"/>
        <v>0</v>
      </c>
      <c r="AL103" s="43">
        <f t="shared" si="23"/>
        <v>0</v>
      </c>
      <c r="AN103" s="47">
        <f t="shared" si="24"/>
        <v>0</v>
      </c>
      <c r="AO103" s="47">
        <f t="shared" si="25"/>
        <v>0</v>
      </c>
      <c r="AP103" s="47">
        <f t="shared" si="26"/>
        <v>0</v>
      </c>
      <c r="AQ103" s="47">
        <f t="shared" si="27"/>
        <v>0</v>
      </c>
      <c r="AR103" s="43">
        <f t="shared" si="28"/>
        <v>0</v>
      </c>
      <c r="AY103" s="3"/>
    </row>
    <row r="104" spans="1:51" ht="13">
      <c r="A104" s="48"/>
      <c r="B104" s="37">
        <f>'13. Desinvesteringen'!B387</f>
        <v>368</v>
      </c>
      <c r="C104" s="48"/>
      <c r="D104" s="48"/>
      <c r="E104" s="48"/>
      <c r="F104" s="42">
        <f>'5. Input GAW-waarde desinv.'!D63</f>
        <v>0</v>
      </c>
      <c r="G104" s="175">
        <f>'13. Desinvesteringen'!D387</f>
        <v>1989</v>
      </c>
      <c r="H104" s="175">
        <f>'13. Desinvesteringen'!G387</f>
        <v>2022</v>
      </c>
      <c r="I104" s="37" t="str">
        <f>'13. Desinvesteringen'!C387</f>
        <v>02 Gasontvangststations</v>
      </c>
      <c r="J104" s="164">
        <f>'13. Desinvesteringen'!F387</f>
        <v>0</v>
      </c>
      <c r="K104" s="38">
        <f>_xlfn.XLOOKUP(I104,'3. Input (des)investeringen '!$B$11:$B$89,'3. Input (des)investeringen '!$E$11:$E$89)</f>
        <v>0</v>
      </c>
      <c r="L104" s="48"/>
      <c r="M104" s="38">
        <f>_xlfn.XLOOKUP(I104,'3. Input (des)investeringen '!$B$11:$B$89,'3. Input (des)investeringen '!$D$11:$D$89,0)</f>
        <v>30</v>
      </c>
      <c r="N104" s="38">
        <f t="shared" si="13"/>
        <v>0</v>
      </c>
      <c r="P104" s="43">
        <f t="shared" si="33"/>
        <v>0</v>
      </c>
      <c r="Q104" s="43">
        <f t="shared" si="33"/>
        <v>0</v>
      </c>
      <c r="R104" s="43">
        <f t="shared" si="33"/>
        <v>0</v>
      </c>
      <c r="S104" s="43">
        <f t="shared" si="33"/>
        <v>0</v>
      </c>
      <c r="T104" s="43">
        <f t="shared" si="33"/>
        <v>0</v>
      </c>
      <c r="V104" s="43">
        <f t="shared" si="1"/>
        <v>0</v>
      </c>
      <c r="W104" s="43">
        <f t="shared" si="2"/>
        <v>0</v>
      </c>
      <c r="X104" s="43">
        <f t="shared" si="3"/>
        <v>0</v>
      </c>
      <c r="Y104" s="43">
        <f t="shared" si="4"/>
        <v>0</v>
      </c>
      <c r="Z104" s="43">
        <f t="shared" si="5"/>
        <v>0</v>
      </c>
      <c r="AB104" s="43">
        <f t="shared" si="14"/>
        <v>0</v>
      </c>
      <c r="AC104" s="43">
        <f t="shared" si="15"/>
        <v>0</v>
      </c>
      <c r="AD104" s="43">
        <f t="shared" si="16"/>
        <v>0</v>
      </c>
      <c r="AE104" s="43">
        <f t="shared" si="17"/>
        <v>0</v>
      </c>
      <c r="AF104" s="43">
        <f t="shared" si="18"/>
        <v>0</v>
      </c>
      <c r="AH104" s="43">
        <f t="shared" si="19"/>
        <v>0</v>
      </c>
      <c r="AI104" s="43">
        <f t="shared" si="20"/>
        <v>0</v>
      </c>
      <c r="AJ104" s="43">
        <f t="shared" si="21"/>
        <v>0</v>
      </c>
      <c r="AK104" s="43">
        <f t="shared" si="22"/>
        <v>0</v>
      </c>
      <c r="AL104" s="43">
        <f t="shared" si="23"/>
        <v>0</v>
      </c>
      <c r="AN104" s="47">
        <f t="shared" si="24"/>
        <v>0</v>
      </c>
      <c r="AO104" s="47">
        <f t="shared" si="25"/>
        <v>0</v>
      </c>
      <c r="AP104" s="47">
        <f t="shared" si="26"/>
        <v>0</v>
      </c>
      <c r="AQ104" s="47">
        <f t="shared" si="27"/>
        <v>0</v>
      </c>
      <c r="AR104" s="43">
        <f t="shared" si="28"/>
        <v>0</v>
      </c>
      <c r="AY104" s="3"/>
    </row>
    <row r="105" spans="1:51" ht="13">
      <c r="A105" s="48"/>
      <c r="B105" s="37">
        <f>'13. Desinvesteringen'!B388</f>
        <v>369</v>
      </c>
      <c r="C105" s="48"/>
      <c r="D105" s="48"/>
      <c r="E105" s="48"/>
      <c r="F105" s="42">
        <f>'5. Input GAW-waarde desinv.'!D64</f>
        <v>0</v>
      </c>
      <c r="G105" s="175">
        <f>'13. Desinvesteringen'!D388</f>
        <v>1990</v>
      </c>
      <c r="H105" s="175">
        <f>'13. Desinvesteringen'!G388</f>
        <v>2022</v>
      </c>
      <c r="I105" s="37" t="str">
        <f>'13. Desinvesteringen'!C388</f>
        <v>02 Gasontvangststations</v>
      </c>
      <c r="J105" s="164">
        <f>'13. Desinvesteringen'!F388</f>
        <v>0</v>
      </c>
      <c r="K105" s="38">
        <f>_xlfn.XLOOKUP(I105,'3. Input (des)investeringen '!$B$11:$B$89,'3. Input (des)investeringen '!$E$11:$E$89)</f>
        <v>0</v>
      </c>
      <c r="L105" s="48"/>
      <c r="M105" s="38">
        <f>_xlfn.XLOOKUP(I105,'3. Input (des)investeringen '!$B$11:$B$89,'3. Input (des)investeringen '!$D$11:$D$89,0)</f>
        <v>30</v>
      </c>
      <c r="N105" s="38">
        <f t="shared" si="13"/>
        <v>0</v>
      </c>
      <c r="P105" s="43">
        <f t="shared" si="33"/>
        <v>0</v>
      </c>
      <c r="Q105" s="43">
        <f t="shared" si="33"/>
        <v>0</v>
      </c>
      <c r="R105" s="43">
        <f t="shared" si="33"/>
        <v>0</v>
      </c>
      <c r="S105" s="43">
        <f t="shared" si="33"/>
        <v>0</v>
      </c>
      <c r="T105" s="43">
        <f t="shared" si="33"/>
        <v>0</v>
      </c>
      <c r="V105" s="43">
        <f t="shared" si="1"/>
        <v>0</v>
      </c>
      <c r="W105" s="43">
        <f t="shared" si="2"/>
        <v>0</v>
      </c>
      <c r="X105" s="43">
        <f t="shared" si="3"/>
        <v>0</v>
      </c>
      <c r="Y105" s="43">
        <f t="shared" si="4"/>
        <v>0</v>
      </c>
      <c r="Z105" s="43">
        <f t="shared" si="5"/>
        <v>0</v>
      </c>
      <c r="AB105" s="43">
        <f t="shared" si="14"/>
        <v>0</v>
      </c>
      <c r="AC105" s="43">
        <f t="shared" si="15"/>
        <v>0</v>
      </c>
      <c r="AD105" s="43">
        <f t="shared" si="16"/>
        <v>0</v>
      </c>
      <c r="AE105" s="43">
        <f t="shared" si="17"/>
        <v>0</v>
      </c>
      <c r="AF105" s="43">
        <f t="shared" si="18"/>
        <v>0</v>
      </c>
      <c r="AH105" s="43">
        <f t="shared" si="19"/>
        <v>0</v>
      </c>
      <c r="AI105" s="43">
        <f t="shared" si="20"/>
        <v>0</v>
      </c>
      <c r="AJ105" s="43">
        <f t="shared" si="21"/>
        <v>0</v>
      </c>
      <c r="AK105" s="43">
        <f t="shared" si="22"/>
        <v>0</v>
      </c>
      <c r="AL105" s="43">
        <f t="shared" si="23"/>
        <v>0</v>
      </c>
      <c r="AN105" s="47">
        <f t="shared" si="24"/>
        <v>0</v>
      </c>
      <c r="AO105" s="47">
        <f t="shared" si="25"/>
        <v>0</v>
      </c>
      <c r="AP105" s="47">
        <f t="shared" si="26"/>
        <v>0</v>
      </c>
      <c r="AQ105" s="47">
        <f t="shared" si="27"/>
        <v>0</v>
      </c>
      <c r="AR105" s="43">
        <f t="shared" si="28"/>
        <v>0</v>
      </c>
      <c r="AY105" s="3"/>
    </row>
    <row r="106" spans="1:51" ht="13">
      <c r="A106" s="48"/>
      <c r="B106" s="37">
        <f>'13. Desinvesteringen'!B389</f>
        <v>370</v>
      </c>
      <c r="C106" s="48"/>
      <c r="D106" s="48"/>
      <c r="E106" s="48"/>
      <c r="F106" s="42">
        <f>'5. Input GAW-waarde desinv.'!D65</f>
        <v>0</v>
      </c>
      <c r="G106" s="175">
        <f>'13. Desinvesteringen'!D389</f>
        <v>1991</v>
      </c>
      <c r="H106" s="175">
        <f>'13. Desinvesteringen'!G389</f>
        <v>2022</v>
      </c>
      <c r="I106" s="37" t="str">
        <f>'13. Desinvesteringen'!C389</f>
        <v>02 Gasontvangststations</v>
      </c>
      <c r="J106" s="164">
        <f>'13. Desinvesteringen'!F389</f>
        <v>0</v>
      </c>
      <c r="K106" s="38">
        <f>_xlfn.XLOOKUP(I106,'3. Input (des)investeringen '!$B$11:$B$89,'3. Input (des)investeringen '!$E$11:$E$89)</f>
        <v>0</v>
      </c>
      <c r="L106" s="48"/>
      <c r="M106" s="38">
        <f>_xlfn.XLOOKUP(I106,'3. Input (des)investeringen '!$B$11:$B$89,'3. Input (des)investeringen '!$D$11:$D$89,0)</f>
        <v>30</v>
      </c>
      <c r="N106" s="38">
        <f t="shared" si="13"/>
        <v>0</v>
      </c>
      <c r="P106" s="43">
        <f t="shared" si="33"/>
        <v>0</v>
      </c>
      <c r="Q106" s="43">
        <f t="shared" si="33"/>
        <v>0</v>
      </c>
      <c r="R106" s="43">
        <f t="shared" si="33"/>
        <v>0</v>
      </c>
      <c r="S106" s="43">
        <f t="shared" si="33"/>
        <v>0</v>
      </c>
      <c r="T106" s="43">
        <f t="shared" si="33"/>
        <v>0</v>
      </c>
      <c r="V106" s="43">
        <f t="shared" si="1"/>
        <v>0</v>
      </c>
      <c r="W106" s="43">
        <f t="shared" si="2"/>
        <v>0</v>
      </c>
      <c r="X106" s="43">
        <f t="shared" si="3"/>
        <v>0</v>
      </c>
      <c r="Y106" s="43">
        <f t="shared" si="4"/>
        <v>0</v>
      </c>
      <c r="Z106" s="43">
        <f t="shared" si="5"/>
        <v>0</v>
      </c>
      <c r="AB106" s="43">
        <f t="shared" si="14"/>
        <v>0</v>
      </c>
      <c r="AC106" s="43">
        <f t="shared" si="15"/>
        <v>0</v>
      </c>
      <c r="AD106" s="43">
        <f t="shared" si="16"/>
        <v>0</v>
      </c>
      <c r="AE106" s="43">
        <f t="shared" si="17"/>
        <v>0</v>
      </c>
      <c r="AF106" s="43">
        <f t="shared" si="18"/>
        <v>0</v>
      </c>
      <c r="AH106" s="43">
        <f t="shared" si="19"/>
        <v>0</v>
      </c>
      <c r="AI106" s="43">
        <f t="shared" si="20"/>
        <v>0</v>
      </c>
      <c r="AJ106" s="43">
        <f t="shared" si="21"/>
        <v>0</v>
      </c>
      <c r="AK106" s="43">
        <f t="shared" si="22"/>
        <v>0</v>
      </c>
      <c r="AL106" s="43">
        <f t="shared" si="23"/>
        <v>0</v>
      </c>
      <c r="AN106" s="47">
        <f t="shared" si="24"/>
        <v>0</v>
      </c>
      <c r="AO106" s="47">
        <f t="shared" si="25"/>
        <v>0</v>
      </c>
      <c r="AP106" s="47">
        <f t="shared" si="26"/>
        <v>0</v>
      </c>
      <c r="AQ106" s="47">
        <f t="shared" si="27"/>
        <v>0</v>
      </c>
      <c r="AR106" s="43">
        <f t="shared" si="28"/>
        <v>0</v>
      </c>
      <c r="AY106" s="3"/>
    </row>
    <row r="107" spans="1:51" ht="13">
      <c r="A107" s="48"/>
      <c r="B107" s="37">
        <f>'13. Desinvesteringen'!B390</f>
        <v>371</v>
      </c>
      <c r="C107" s="48"/>
      <c r="D107" s="48"/>
      <c r="E107" s="48"/>
      <c r="F107" s="42">
        <f>'5. Input GAW-waarde desinv.'!D66</f>
        <v>646.89002615775189</v>
      </c>
      <c r="G107" s="175">
        <f>'13. Desinvesteringen'!D390</f>
        <v>1992</v>
      </c>
      <c r="H107" s="175">
        <f>'13. Desinvesteringen'!G390</f>
        <v>2022</v>
      </c>
      <c r="I107" s="37" t="str">
        <f>'13. Desinvesteringen'!C390</f>
        <v>02 Gasontvangststations</v>
      </c>
      <c r="J107" s="164">
        <f>'13. Desinvesteringen'!F390</f>
        <v>0</v>
      </c>
      <c r="K107" s="38">
        <f>_xlfn.XLOOKUP(I107,'3. Input (des)investeringen '!$B$11:$B$89,'3. Input (des)investeringen '!$E$11:$E$89)</f>
        <v>0</v>
      </c>
      <c r="L107" s="48"/>
      <c r="M107" s="38">
        <f>_xlfn.XLOOKUP(I107,'3. Input (des)investeringen '!$B$11:$B$89,'3. Input (des)investeringen '!$D$11:$D$89,0)</f>
        <v>30</v>
      </c>
      <c r="N107" s="38">
        <f t="shared" si="13"/>
        <v>0.5</v>
      </c>
      <c r="P107" s="43">
        <f t="shared" si="33"/>
        <v>582.20102354197672</v>
      </c>
      <c r="Q107" s="43">
        <f t="shared" si="33"/>
        <v>0</v>
      </c>
      <c r="R107" s="43">
        <f t="shared" si="33"/>
        <v>0</v>
      </c>
      <c r="S107" s="43">
        <f t="shared" si="33"/>
        <v>0</v>
      </c>
      <c r="T107" s="43">
        <f t="shared" si="33"/>
        <v>0</v>
      </c>
      <c r="V107" s="43">
        <f t="shared" si="1"/>
        <v>64.689002615775195</v>
      </c>
      <c r="W107" s="43">
        <f t="shared" si="2"/>
        <v>0</v>
      </c>
      <c r="X107" s="43">
        <f t="shared" si="3"/>
        <v>0</v>
      </c>
      <c r="Y107" s="43">
        <f t="shared" si="4"/>
        <v>0</v>
      </c>
      <c r="Z107" s="43">
        <f t="shared" si="5"/>
        <v>0</v>
      </c>
      <c r="AB107" s="43">
        <f t="shared" si="14"/>
        <v>646.89002615775189</v>
      </c>
      <c r="AC107" s="43">
        <f t="shared" si="15"/>
        <v>0</v>
      </c>
      <c r="AD107" s="43">
        <f t="shared" si="16"/>
        <v>0</v>
      </c>
      <c r="AE107" s="43">
        <f t="shared" si="17"/>
        <v>0</v>
      </c>
      <c r="AF107" s="43">
        <f t="shared" si="18"/>
        <v>0</v>
      </c>
      <c r="AH107" s="43">
        <f t="shared" si="19"/>
        <v>0</v>
      </c>
      <c r="AI107" s="43">
        <f t="shared" si="20"/>
        <v>0</v>
      </c>
      <c r="AJ107" s="43">
        <f t="shared" si="21"/>
        <v>0</v>
      </c>
      <c r="AK107" s="43">
        <f t="shared" si="22"/>
        <v>0</v>
      </c>
      <c r="AL107" s="43">
        <f t="shared" si="23"/>
        <v>0</v>
      </c>
      <c r="AN107" s="47">
        <f t="shared" si="24"/>
        <v>646.89002615775189</v>
      </c>
      <c r="AO107" s="47">
        <f t="shared" si="25"/>
        <v>0</v>
      </c>
      <c r="AP107" s="47">
        <f t="shared" si="26"/>
        <v>0</v>
      </c>
      <c r="AQ107" s="47">
        <f t="shared" si="27"/>
        <v>0</v>
      </c>
      <c r="AR107" s="43">
        <f t="shared" si="28"/>
        <v>0</v>
      </c>
      <c r="AY107" s="3"/>
    </row>
    <row r="108" spans="1:51" ht="13">
      <c r="A108" s="48"/>
      <c r="B108" s="37">
        <f>'13. Desinvesteringen'!B391</f>
        <v>372</v>
      </c>
      <c r="C108" s="48"/>
      <c r="D108" s="48"/>
      <c r="E108" s="48"/>
      <c r="F108" s="42">
        <f>'5. Input GAW-waarde desinv.'!D67</f>
        <v>1357.7574875549008</v>
      </c>
      <c r="G108" s="175">
        <f>'13. Desinvesteringen'!D391</f>
        <v>1993</v>
      </c>
      <c r="H108" s="175">
        <f>'13. Desinvesteringen'!G391</f>
        <v>2022</v>
      </c>
      <c r="I108" s="37" t="str">
        <f>'13. Desinvesteringen'!C391</f>
        <v>02 Gasontvangststations</v>
      </c>
      <c r="J108" s="164">
        <f>'13. Desinvesteringen'!F391</f>
        <v>0</v>
      </c>
      <c r="K108" s="38">
        <f>_xlfn.XLOOKUP(I108,'3. Input (des)investeringen '!$B$11:$B$89,'3. Input (des)investeringen '!$E$11:$E$89)</f>
        <v>0</v>
      </c>
      <c r="L108" s="48"/>
      <c r="M108" s="38">
        <f>_xlfn.XLOOKUP(I108,'3. Input (des)investeringen '!$B$11:$B$89,'3. Input (des)investeringen '!$D$11:$D$89,0)</f>
        <v>30</v>
      </c>
      <c r="N108" s="38">
        <f t="shared" si="13"/>
        <v>1.5</v>
      </c>
      <c r="P108" s="43">
        <f t="shared" si="33"/>
        <v>1059.0508402928226</v>
      </c>
      <c r="Q108" s="43">
        <f t="shared" si="33"/>
        <v>162.93089850658814</v>
      </c>
      <c r="R108" s="43">
        <f t="shared" si="33"/>
        <v>0</v>
      </c>
      <c r="S108" s="43">
        <f t="shared" si="33"/>
        <v>0</v>
      </c>
      <c r="T108" s="43">
        <f t="shared" si="33"/>
        <v>0</v>
      </c>
      <c r="V108" s="43">
        <f t="shared" si="1"/>
        <v>90.517165836993399</v>
      </c>
      <c r="W108" s="43">
        <f t="shared" si="2"/>
        <v>45.2585829184967</v>
      </c>
      <c r="X108" s="43">
        <f t="shared" si="3"/>
        <v>0</v>
      </c>
      <c r="Y108" s="43">
        <f t="shared" si="4"/>
        <v>0</v>
      </c>
      <c r="Z108" s="43">
        <f t="shared" si="5"/>
        <v>0</v>
      </c>
      <c r="AB108" s="43">
        <f t="shared" si="14"/>
        <v>1149.568006129816</v>
      </c>
      <c r="AC108" s="43">
        <f t="shared" si="15"/>
        <v>208.18948142508484</v>
      </c>
      <c r="AD108" s="43">
        <f t="shared" si="16"/>
        <v>0</v>
      </c>
      <c r="AE108" s="43">
        <f t="shared" si="17"/>
        <v>0</v>
      </c>
      <c r="AF108" s="43">
        <f t="shared" si="18"/>
        <v>0</v>
      </c>
      <c r="AH108" s="43">
        <f t="shared" si="19"/>
        <v>208.18948142508475</v>
      </c>
      <c r="AI108" s="43">
        <f t="shared" si="20"/>
        <v>0</v>
      </c>
      <c r="AJ108" s="43">
        <f t="shared" si="21"/>
        <v>0</v>
      </c>
      <c r="AK108" s="43">
        <f t="shared" si="22"/>
        <v>0</v>
      </c>
      <c r="AL108" s="43">
        <f t="shared" si="23"/>
        <v>0</v>
      </c>
      <c r="AN108" s="47">
        <f t="shared" si="24"/>
        <v>1158.1037748682445</v>
      </c>
      <c r="AO108" s="47">
        <f t="shared" si="25"/>
        <v>208.18948142508484</v>
      </c>
      <c r="AP108" s="47">
        <f t="shared" si="26"/>
        <v>0</v>
      </c>
      <c r="AQ108" s="47">
        <f t="shared" si="27"/>
        <v>0</v>
      </c>
      <c r="AR108" s="43">
        <f t="shared" si="28"/>
        <v>0</v>
      </c>
      <c r="AY108" s="3"/>
    </row>
    <row r="109" spans="1:51" ht="13">
      <c r="A109" s="48"/>
      <c r="B109" s="37">
        <f>'13. Desinvesteringen'!B392</f>
        <v>373</v>
      </c>
      <c r="C109" s="48"/>
      <c r="D109" s="48"/>
      <c r="E109" s="48"/>
      <c r="F109" s="42">
        <f>'5. Input GAW-waarde desinv.'!D68</f>
        <v>7195.5569834638591</v>
      </c>
      <c r="G109" s="175">
        <f>'13. Desinvesteringen'!D392</f>
        <v>1994</v>
      </c>
      <c r="H109" s="175">
        <f>'13. Desinvesteringen'!G392</f>
        <v>2022</v>
      </c>
      <c r="I109" s="37" t="str">
        <f>'13. Desinvesteringen'!C392</f>
        <v>02 Gasontvangststations</v>
      </c>
      <c r="J109" s="164">
        <f>'13. Desinvesteringen'!F392</f>
        <v>0</v>
      </c>
      <c r="K109" s="38">
        <f>_xlfn.XLOOKUP(I109,'3. Input (des)investeringen '!$B$11:$B$89,'3. Input (des)investeringen '!$E$11:$E$89)</f>
        <v>0</v>
      </c>
      <c r="L109" s="48"/>
      <c r="M109" s="38">
        <f>_xlfn.XLOOKUP(I109,'3. Input (des)investeringen '!$B$11:$B$89,'3. Input (des)investeringen '!$D$11:$D$89,0)</f>
        <v>30</v>
      </c>
      <c r="N109" s="38">
        <f t="shared" si="13"/>
        <v>2.5</v>
      </c>
      <c r="P109" s="43">
        <f t="shared" si="33"/>
        <v>3367.5206682610865</v>
      </c>
      <c r="Q109" s="43">
        <f t="shared" si="33"/>
        <v>2072.3204112375911</v>
      </c>
      <c r="R109" s="43">
        <f t="shared" si="33"/>
        <v>1036.1602056187955</v>
      </c>
      <c r="S109" s="43">
        <f t="shared" si="33"/>
        <v>0</v>
      </c>
      <c r="T109" s="43">
        <f t="shared" si="33"/>
        <v>0</v>
      </c>
      <c r="V109" s="43">
        <f t="shared" si="1"/>
        <v>287.82227933855438</v>
      </c>
      <c r="W109" s="43">
        <f t="shared" si="2"/>
        <v>287.82227933855432</v>
      </c>
      <c r="X109" s="43">
        <f t="shared" si="3"/>
        <v>143.91113966927716</v>
      </c>
      <c r="Y109" s="43">
        <f t="shared" si="4"/>
        <v>0</v>
      </c>
      <c r="Z109" s="43">
        <f t="shared" si="5"/>
        <v>0</v>
      </c>
      <c r="AB109" s="43">
        <f t="shared" si="14"/>
        <v>3655.3429475996409</v>
      </c>
      <c r="AC109" s="43">
        <f t="shared" si="15"/>
        <v>2360.1426905761455</v>
      </c>
      <c r="AD109" s="43">
        <f t="shared" si="16"/>
        <v>1180.0713452880727</v>
      </c>
      <c r="AE109" s="43">
        <f t="shared" si="17"/>
        <v>0</v>
      </c>
      <c r="AF109" s="43">
        <f t="shared" si="18"/>
        <v>0</v>
      </c>
      <c r="AH109" s="43">
        <f t="shared" si="19"/>
        <v>3540.2140358642182</v>
      </c>
      <c r="AI109" s="43">
        <f t="shared" si="20"/>
        <v>1180.0713452880727</v>
      </c>
      <c r="AJ109" s="43">
        <f t="shared" si="21"/>
        <v>0</v>
      </c>
      <c r="AK109" s="43">
        <f t="shared" si="22"/>
        <v>0</v>
      </c>
      <c r="AL109" s="43">
        <f t="shared" si="23"/>
        <v>0</v>
      </c>
      <c r="AN109" s="47">
        <f t="shared" si="24"/>
        <v>3800.4917230700739</v>
      </c>
      <c r="AO109" s="47">
        <f t="shared" si="25"/>
        <v>2420.326329185837</v>
      </c>
      <c r="AP109" s="47">
        <f t="shared" si="26"/>
        <v>1180.0713452880727</v>
      </c>
      <c r="AQ109" s="47">
        <f t="shared" si="27"/>
        <v>0</v>
      </c>
      <c r="AR109" s="43">
        <f t="shared" si="28"/>
        <v>0</v>
      </c>
      <c r="AY109" s="3"/>
    </row>
    <row r="110" spans="1:51" ht="13">
      <c r="A110" s="48"/>
      <c r="B110" s="37">
        <f>'13. Desinvesteringen'!B393</f>
        <v>374</v>
      </c>
      <c r="C110" s="48"/>
      <c r="D110" s="48"/>
      <c r="E110" s="48"/>
      <c r="F110" s="42">
        <f>'5. Input GAW-waarde desinv.'!D69</f>
        <v>11931.605633190833</v>
      </c>
      <c r="G110" s="175">
        <f>'13. Desinvesteringen'!D393</f>
        <v>1995</v>
      </c>
      <c r="H110" s="175">
        <f>'13. Desinvesteringen'!G393</f>
        <v>2022</v>
      </c>
      <c r="I110" s="37" t="str">
        <f>'13. Desinvesteringen'!C393</f>
        <v>02 Gasontvangststations</v>
      </c>
      <c r="J110" s="164">
        <f>'13. Desinvesteringen'!F393</f>
        <v>0</v>
      </c>
      <c r="K110" s="38">
        <f>_xlfn.XLOOKUP(I110,'3. Input (des)investeringen '!$B$11:$B$89,'3. Input (des)investeringen '!$E$11:$E$89)</f>
        <v>0</v>
      </c>
      <c r="L110" s="48"/>
      <c r="M110" s="38">
        <f>_xlfn.XLOOKUP(I110,'3. Input (des)investeringen '!$B$11:$B$89,'3. Input (des)investeringen '!$D$11:$D$89,0)</f>
        <v>30</v>
      </c>
      <c r="N110" s="38">
        <f t="shared" si="13"/>
        <v>3.5</v>
      </c>
      <c r="P110" s="43">
        <f t="shared" si="33"/>
        <v>3988.5653116666504</v>
      </c>
      <c r="Q110" s="43">
        <f t="shared" si="33"/>
        <v>2699.9519032820399</v>
      </c>
      <c r="R110" s="43">
        <f t="shared" si="33"/>
        <v>2699.9519032820399</v>
      </c>
      <c r="S110" s="43">
        <f t="shared" si="33"/>
        <v>1349.9759516410199</v>
      </c>
      <c r="T110" s="43">
        <f t="shared" si="33"/>
        <v>0</v>
      </c>
      <c r="V110" s="43">
        <f t="shared" si="1"/>
        <v>340.9030180911667</v>
      </c>
      <c r="W110" s="43">
        <f t="shared" si="2"/>
        <v>340.9030180911667</v>
      </c>
      <c r="X110" s="43">
        <f t="shared" si="3"/>
        <v>340.9030180911667</v>
      </c>
      <c r="Y110" s="43">
        <f t="shared" si="4"/>
        <v>170.45150904558335</v>
      </c>
      <c r="Z110" s="43">
        <f t="shared" si="5"/>
        <v>0</v>
      </c>
      <c r="AB110" s="43">
        <f t="shared" si="14"/>
        <v>4329.4683297578167</v>
      </c>
      <c r="AC110" s="43">
        <f t="shared" si="15"/>
        <v>3040.8549213732067</v>
      </c>
      <c r="AD110" s="43">
        <f t="shared" si="16"/>
        <v>3040.8549213732067</v>
      </c>
      <c r="AE110" s="43">
        <f t="shared" si="17"/>
        <v>1520.4274606866034</v>
      </c>
      <c r="AF110" s="43">
        <f t="shared" si="18"/>
        <v>0</v>
      </c>
      <c r="AH110" s="43">
        <f t="shared" si="19"/>
        <v>7602.1373034330163</v>
      </c>
      <c r="AI110" s="43">
        <f t="shared" si="20"/>
        <v>4561.2823820598096</v>
      </c>
      <c r="AJ110" s="43">
        <f t="shared" si="21"/>
        <v>1520.4274606866029</v>
      </c>
      <c r="AK110" s="43">
        <f t="shared" si="22"/>
        <v>0</v>
      </c>
      <c r="AL110" s="43">
        <f t="shared" si="23"/>
        <v>0</v>
      </c>
      <c r="AN110" s="47">
        <f t="shared" si="24"/>
        <v>4641.1559591985706</v>
      </c>
      <c r="AO110" s="47">
        <f t="shared" si="25"/>
        <v>3273.4803228582568</v>
      </c>
      <c r="AP110" s="47">
        <f t="shared" si="26"/>
        <v>3118.3967218682233</v>
      </c>
      <c r="AQ110" s="47">
        <f t="shared" si="27"/>
        <v>1520.4274606866034</v>
      </c>
      <c r="AR110" s="43">
        <f t="shared" si="28"/>
        <v>0</v>
      </c>
      <c r="AY110" s="3"/>
    </row>
    <row r="111" spans="1:51" ht="13">
      <c r="A111" s="48"/>
      <c r="B111" s="37">
        <f>'13. Desinvesteringen'!B394</f>
        <v>375</v>
      </c>
      <c r="C111" s="48"/>
      <c r="D111" s="48"/>
      <c r="E111" s="48"/>
      <c r="F111" s="42">
        <f>'5. Input GAW-waarde desinv.'!D70</f>
        <v>4008.6360537194205</v>
      </c>
      <c r="G111" s="175">
        <f>'13. Desinvesteringen'!D394</f>
        <v>1996</v>
      </c>
      <c r="H111" s="175">
        <f>'13. Desinvesteringen'!G394</f>
        <v>2022</v>
      </c>
      <c r="I111" s="37" t="str">
        <f>'13. Desinvesteringen'!C394</f>
        <v>02 Gasontvangststations</v>
      </c>
      <c r="J111" s="164">
        <f>'13. Desinvesteringen'!F394</f>
        <v>0</v>
      </c>
      <c r="K111" s="38">
        <f>_xlfn.XLOOKUP(I111,'3. Input (des)investeringen '!$B$11:$B$89,'3. Input (des)investeringen '!$E$11:$E$89)</f>
        <v>0</v>
      </c>
      <c r="L111" s="48"/>
      <c r="M111" s="38">
        <f>_xlfn.XLOOKUP(I111,'3. Input (des)investeringen '!$B$11:$B$89,'3. Input (des)investeringen '!$D$11:$D$89,0)</f>
        <v>30</v>
      </c>
      <c r="N111" s="38">
        <f t="shared" si="13"/>
        <v>4.5</v>
      </c>
      <c r="P111" s="43">
        <f t="shared" si="33"/>
        <v>1042.2453739670493</v>
      </c>
      <c r="Q111" s="43">
        <f t="shared" si="33"/>
        <v>741.15226593212401</v>
      </c>
      <c r="R111" s="43">
        <f t="shared" si="33"/>
        <v>729.74992337932213</v>
      </c>
      <c r="S111" s="43">
        <f t="shared" si="33"/>
        <v>729.74992337932213</v>
      </c>
      <c r="T111" s="43">
        <f t="shared" si="33"/>
        <v>364.87496168966106</v>
      </c>
      <c r="V111" s="43">
        <f t="shared" si="1"/>
        <v>89.080801193764898</v>
      </c>
      <c r="W111" s="43">
        <f t="shared" si="2"/>
        <v>89.080801193764898</v>
      </c>
      <c r="X111" s="43">
        <f t="shared" si="3"/>
        <v>89.080801193764898</v>
      </c>
      <c r="Y111" s="43">
        <f t="shared" si="4"/>
        <v>89.080801193764898</v>
      </c>
      <c r="Z111" s="43">
        <f t="shared" si="5"/>
        <v>44.540400596882449</v>
      </c>
      <c r="AB111" s="43">
        <f t="shared" si="14"/>
        <v>1131.3261751608143</v>
      </c>
      <c r="AC111" s="43">
        <f t="shared" si="15"/>
        <v>830.23306712588897</v>
      </c>
      <c r="AD111" s="43">
        <f t="shared" si="16"/>
        <v>818.83072457308708</v>
      </c>
      <c r="AE111" s="43">
        <f t="shared" si="17"/>
        <v>818.83072457308708</v>
      </c>
      <c r="AF111" s="43">
        <f t="shared" si="18"/>
        <v>409.41536228654354</v>
      </c>
      <c r="AH111" s="43">
        <f t="shared" si="19"/>
        <v>2877.3098785586062</v>
      </c>
      <c r="AI111" s="43">
        <f t="shared" si="20"/>
        <v>2047.0768114327172</v>
      </c>
      <c r="AJ111" s="43">
        <f t="shared" si="21"/>
        <v>1228.2460868596302</v>
      </c>
      <c r="AK111" s="43">
        <f t="shared" si="22"/>
        <v>409.41536228654309</v>
      </c>
      <c r="AL111" s="43">
        <f t="shared" si="23"/>
        <v>0</v>
      </c>
      <c r="AN111" s="47">
        <f t="shared" si="24"/>
        <v>1249.2958801817172</v>
      </c>
      <c r="AO111" s="47">
        <f t="shared" si="25"/>
        <v>934.6339845089575</v>
      </c>
      <c r="AP111" s="47">
        <f t="shared" si="26"/>
        <v>881.47127500292822</v>
      </c>
      <c r="AQ111" s="47">
        <f t="shared" si="27"/>
        <v>841.34856949884693</v>
      </c>
      <c r="AR111" s="43">
        <f t="shared" si="28"/>
        <v>409.41536228654354</v>
      </c>
      <c r="AY111" s="3"/>
    </row>
    <row r="112" spans="1:51" ht="13">
      <c r="A112" s="48"/>
      <c r="B112" s="37">
        <f>'13. Desinvesteringen'!B395</f>
        <v>376</v>
      </c>
      <c r="C112" s="48"/>
      <c r="D112" s="48"/>
      <c r="E112" s="48"/>
      <c r="F112" s="42">
        <f>'5. Input GAW-waarde desinv.'!D71</f>
        <v>4682.8462589200817</v>
      </c>
      <c r="G112" s="175">
        <f>'13. Desinvesteringen'!D395</f>
        <v>1997</v>
      </c>
      <c r="H112" s="175">
        <f>'13. Desinvesteringen'!G395</f>
        <v>2022</v>
      </c>
      <c r="I112" s="37" t="str">
        <f>'13. Desinvesteringen'!C395</f>
        <v>02 Gasontvangststations</v>
      </c>
      <c r="J112" s="164">
        <f>'13. Desinvesteringen'!F395</f>
        <v>0</v>
      </c>
      <c r="K112" s="38">
        <f>_xlfn.XLOOKUP(I112,'3. Input (des)investeringen '!$B$11:$B$89,'3. Input (des)investeringen '!$E$11:$E$89)</f>
        <v>0</v>
      </c>
      <c r="L112" s="48"/>
      <c r="M112" s="38">
        <f>_xlfn.XLOOKUP(I112,'3. Input (des)investeringen '!$B$11:$B$89,'3. Input (des)investeringen '!$D$11:$D$89,0)</f>
        <v>30</v>
      </c>
      <c r="N112" s="38">
        <f t="shared" si="13"/>
        <v>5.5</v>
      </c>
      <c r="P112" s="43">
        <f t="shared" ref="P112:T121" si="34">IF($M112&gt;0, IF(OR($G112&gt;P$50,$G112+$M112&lt;P$50),0,
VDB($F112,0,$N112,MAX(0,P$50-2022),MIN($N112,P$50-2021),$F$23,FALSE))*(1-$F$26), 0)</f>
        <v>996.169113261181</v>
      </c>
      <c r="Q112" s="43">
        <f t="shared" si="34"/>
        <v>760.71095921762912</v>
      </c>
      <c r="R112" s="43">
        <f t="shared" si="34"/>
        <v>702.19473158550386</v>
      </c>
      <c r="S112" s="43">
        <f t="shared" si="34"/>
        <v>702.19473158550386</v>
      </c>
      <c r="T112" s="43">
        <f t="shared" si="34"/>
        <v>702.19473158550386</v>
      </c>
      <c r="V112" s="43">
        <f t="shared" si="1"/>
        <v>85.142659253092404</v>
      </c>
      <c r="W112" s="43">
        <f t="shared" si="2"/>
        <v>85.142659253092404</v>
      </c>
      <c r="X112" s="43">
        <f t="shared" si="3"/>
        <v>85.142659253092404</v>
      </c>
      <c r="Y112" s="43">
        <f t="shared" si="4"/>
        <v>85.142659253092404</v>
      </c>
      <c r="Z112" s="43">
        <f t="shared" si="5"/>
        <v>85.142659253092404</v>
      </c>
      <c r="AB112" s="43">
        <f t="shared" si="14"/>
        <v>1081.3117725142733</v>
      </c>
      <c r="AC112" s="43">
        <f t="shared" si="15"/>
        <v>845.85361847072159</v>
      </c>
      <c r="AD112" s="43">
        <f t="shared" si="16"/>
        <v>787.33739083859632</v>
      </c>
      <c r="AE112" s="43">
        <f t="shared" si="17"/>
        <v>787.33739083859632</v>
      </c>
      <c r="AF112" s="43">
        <f t="shared" si="18"/>
        <v>787.33739083859632</v>
      </c>
      <c r="AH112" s="43">
        <f t="shared" si="19"/>
        <v>3601.5344864058084</v>
      </c>
      <c r="AI112" s="43">
        <f t="shared" si="20"/>
        <v>2755.680867935087</v>
      </c>
      <c r="AJ112" s="43">
        <f t="shared" si="21"/>
        <v>1968.3434770964907</v>
      </c>
      <c r="AK112" s="43">
        <f t="shared" si="22"/>
        <v>1181.0060862578944</v>
      </c>
      <c r="AL112" s="43">
        <f t="shared" si="23"/>
        <v>393.66869541929805</v>
      </c>
      <c r="AN112" s="47">
        <f t="shared" si="24"/>
        <v>1228.9746864569115</v>
      </c>
      <c r="AO112" s="47">
        <f t="shared" si="25"/>
        <v>986.39334273541101</v>
      </c>
      <c r="AP112" s="47">
        <f t="shared" si="26"/>
        <v>887.72290817051737</v>
      </c>
      <c r="AQ112" s="47">
        <f t="shared" si="27"/>
        <v>852.29272558278046</v>
      </c>
      <c r="AR112" s="43">
        <f t="shared" si="28"/>
        <v>802.29680126452968</v>
      </c>
      <c r="AY112" s="3"/>
    </row>
    <row r="113" spans="1:51" ht="13">
      <c r="A113" s="48"/>
      <c r="B113" s="37">
        <f>'13. Desinvesteringen'!B396</f>
        <v>377</v>
      </c>
      <c r="C113" s="48"/>
      <c r="D113" s="48"/>
      <c r="E113" s="48"/>
      <c r="F113" s="42">
        <f>'5. Input GAW-waarde desinv.'!D72</f>
        <v>4626.8552263726942</v>
      </c>
      <c r="G113" s="175">
        <f>'13. Desinvesteringen'!D396</f>
        <v>2000</v>
      </c>
      <c r="H113" s="175">
        <f>'13. Desinvesteringen'!G396</f>
        <v>2022</v>
      </c>
      <c r="I113" s="37" t="str">
        <f>'13. Desinvesteringen'!C396</f>
        <v>02 Gasontvangststations</v>
      </c>
      <c r="J113" s="164">
        <f>'13. Desinvesteringen'!F396</f>
        <v>0</v>
      </c>
      <c r="K113" s="38">
        <f>_xlfn.XLOOKUP(I113,'3. Input (des)investeringen '!$B$11:$B$89,'3. Input (des)investeringen '!$E$11:$E$89)</f>
        <v>0</v>
      </c>
      <c r="L113" s="48"/>
      <c r="M113" s="38">
        <f>_xlfn.XLOOKUP(I113,'3. Input (des)investeringen '!$B$11:$B$89,'3. Input (des)investeringen '!$D$11:$D$89,0)</f>
        <v>30</v>
      </c>
      <c r="N113" s="38">
        <f t="shared" si="13"/>
        <v>8.5</v>
      </c>
      <c r="P113" s="43">
        <f t="shared" si="34"/>
        <v>636.87301351247675</v>
      </c>
      <c r="Q113" s="43">
        <f t="shared" si="34"/>
        <v>539.46890556350968</v>
      </c>
      <c r="R113" s="43">
        <f t="shared" si="34"/>
        <v>459.66581302452897</v>
      </c>
      <c r="S113" s="43">
        <f t="shared" si="34"/>
        <v>459.66581302452897</v>
      </c>
      <c r="T113" s="43">
        <f t="shared" si="34"/>
        <v>459.66581302452897</v>
      </c>
      <c r="V113" s="43">
        <f t="shared" si="1"/>
        <v>54.433590898502281</v>
      </c>
      <c r="W113" s="43">
        <f t="shared" si="2"/>
        <v>54.433590898502295</v>
      </c>
      <c r="X113" s="43">
        <f t="shared" si="3"/>
        <v>54.433590898502295</v>
      </c>
      <c r="Y113" s="43">
        <f t="shared" si="4"/>
        <v>54.433590898502295</v>
      </c>
      <c r="Z113" s="43">
        <f t="shared" si="5"/>
        <v>54.433590898502295</v>
      </c>
      <c r="AB113" s="43">
        <f t="shared" si="14"/>
        <v>691.30660441097905</v>
      </c>
      <c r="AC113" s="43">
        <f t="shared" si="15"/>
        <v>593.90249646201198</v>
      </c>
      <c r="AD113" s="43">
        <f t="shared" si="16"/>
        <v>514.09940392303122</v>
      </c>
      <c r="AE113" s="43">
        <f t="shared" si="17"/>
        <v>514.09940392303122</v>
      </c>
      <c r="AF113" s="43">
        <f t="shared" si="18"/>
        <v>514.09940392303122</v>
      </c>
      <c r="AH113" s="43">
        <f t="shared" si="19"/>
        <v>3935.5486219617151</v>
      </c>
      <c r="AI113" s="43">
        <f t="shared" si="20"/>
        <v>3341.646125499703</v>
      </c>
      <c r="AJ113" s="43">
        <f t="shared" si="21"/>
        <v>2827.5467215766716</v>
      </c>
      <c r="AK113" s="43">
        <f t="shared" si="22"/>
        <v>2313.4473176536403</v>
      </c>
      <c r="AL113" s="43">
        <f t="shared" si="23"/>
        <v>1799.347913730609</v>
      </c>
      <c r="AN113" s="47">
        <f t="shared" si="24"/>
        <v>852.66409791140939</v>
      </c>
      <c r="AO113" s="47">
        <f t="shared" si="25"/>
        <v>764.32644886249682</v>
      </c>
      <c r="AP113" s="47">
        <f t="shared" si="26"/>
        <v>658.30428672344146</v>
      </c>
      <c r="AQ113" s="47">
        <f t="shared" si="27"/>
        <v>641.33900639398144</v>
      </c>
      <c r="AR113" s="43">
        <f t="shared" si="28"/>
        <v>582.4746246447944</v>
      </c>
      <c r="AY113" s="3"/>
    </row>
    <row r="114" spans="1:51" ht="13">
      <c r="A114" s="48"/>
      <c r="B114" s="37">
        <f>'13. Desinvesteringen'!B397</f>
        <v>378</v>
      </c>
      <c r="C114" s="48"/>
      <c r="D114" s="48"/>
      <c r="E114" s="48"/>
      <c r="F114" s="42">
        <f>'5. Input GAW-waarde desinv.'!D73</f>
        <v>4611.6740310663999</v>
      </c>
      <c r="G114" s="175">
        <f>'13. Desinvesteringen'!D397</f>
        <v>2002</v>
      </c>
      <c r="H114" s="175">
        <f>'13. Desinvesteringen'!G397</f>
        <v>2022</v>
      </c>
      <c r="I114" s="37" t="str">
        <f>'13. Desinvesteringen'!C397</f>
        <v>02 Gasontvangststations</v>
      </c>
      <c r="J114" s="164">
        <f>'13. Desinvesteringen'!F397</f>
        <v>0</v>
      </c>
      <c r="K114" s="38">
        <f>_xlfn.XLOOKUP(I114,'3. Input (des)investeringen '!$B$11:$B$89,'3. Input (des)investeringen '!$E$11:$E$89)</f>
        <v>0</v>
      </c>
      <c r="L114" s="48"/>
      <c r="M114" s="38">
        <f>_xlfn.XLOOKUP(I114,'3. Input (des)investeringen '!$B$11:$B$89,'3. Input (des)investeringen '!$D$11:$D$89,0)</f>
        <v>30</v>
      </c>
      <c r="N114" s="38">
        <f t="shared" si="13"/>
        <v>10.5</v>
      </c>
      <c r="P114" s="43">
        <f t="shared" si="34"/>
        <v>513.8722491759703</v>
      </c>
      <c r="Q114" s="43">
        <f t="shared" si="34"/>
        <v>450.24997070656451</v>
      </c>
      <c r="R114" s="43">
        <f t="shared" si="34"/>
        <v>394.50473623813264</v>
      </c>
      <c r="S114" s="43">
        <f t="shared" si="34"/>
        <v>372.25062291187896</v>
      </c>
      <c r="T114" s="43">
        <f t="shared" si="34"/>
        <v>372.25062291187896</v>
      </c>
      <c r="V114" s="43">
        <f t="shared" si="1"/>
        <v>43.920705057775244</v>
      </c>
      <c r="W114" s="43">
        <f t="shared" si="2"/>
        <v>43.920705057775244</v>
      </c>
      <c r="X114" s="43">
        <f t="shared" si="3"/>
        <v>43.920705057775244</v>
      </c>
      <c r="Y114" s="43">
        <f t="shared" si="4"/>
        <v>43.920705057775244</v>
      </c>
      <c r="Z114" s="43">
        <f t="shared" si="5"/>
        <v>43.920705057775244</v>
      </c>
      <c r="AB114" s="43">
        <f t="shared" si="14"/>
        <v>557.79295423374549</v>
      </c>
      <c r="AC114" s="43">
        <f t="shared" si="15"/>
        <v>494.17067576433976</v>
      </c>
      <c r="AD114" s="43">
        <f t="shared" si="16"/>
        <v>438.42544129590789</v>
      </c>
      <c r="AE114" s="43">
        <f t="shared" si="17"/>
        <v>416.17132796965421</v>
      </c>
      <c r="AF114" s="43">
        <f t="shared" si="18"/>
        <v>416.17132796965421</v>
      </c>
      <c r="AH114" s="43">
        <f t="shared" si="19"/>
        <v>4053.8810768326543</v>
      </c>
      <c r="AI114" s="43">
        <f t="shared" si="20"/>
        <v>3559.7104010683147</v>
      </c>
      <c r="AJ114" s="43">
        <f t="shared" si="21"/>
        <v>3121.2849597724066</v>
      </c>
      <c r="AK114" s="43">
        <f t="shared" si="22"/>
        <v>2705.1136318027525</v>
      </c>
      <c r="AL114" s="43">
        <f t="shared" si="23"/>
        <v>2288.9423038330983</v>
      </c>
      <c r="AN114" s="47">
        <f t="shared" si="24"/>
        <v>724.00207838388428</v>
      </c>
      <c r="AO114" s="47">
        <f t="shared" si="25"/>
        <v>675.71590621882376</v>
      </c>
      <c r="AP114" s="47">
        <f t="shared" si="26"/>
        <v>597.61097424430068</v>
      </c>
      <c r="AQ114" s="47">
        <f t="shared" si="27"/>
        <v>564.95257771880563</v>
      </c>
      <c r="AR114" s="43">
        <f t="shared" si="28"/>
        <v>503.15113551531192</v>
      </c>
      <c r="AY114" s="3"/>
    </row>
    <row r="115" spans="1:51" ht="13">
      <c r="A115" s="48"/>
      <c r="B115" s="37">
        <f>'13. Desinvesteringen'!B398</f>
        <v>379</v>
      </c>
      <c r="C115" s="48"/>
      <c r="D115" s="48"/>
      <c r="E115" s="48"/>
      <c r="F115" s="42">
        <f>'5. Input GAW-waarde desinv.'!D74</f>
        <v>19084.802391040361</v>
      </c>
      <c r="G115" s="175">
        <f>'13. Desinvesteringen'!D398</f>
        <v>2003</v>
      </c>
      <c r="H115" s="175">
        <f>'13. Desinvesteringen'!G398</f>
        <v>2022</v>
      </c>
      <c r="I115" s="37" t="str">
        <f>'13. Desinvesteringen'!C398</f>
        <v>02 Gasontvangststations</v>
      </c>
      <c r="J115" s="164">
        <f>'13. Desinvesteringen'!F398</f>
        <v>0</v>
      </c>
      <c r="K115" s="38">
        <f>_xlfn.XLOOKUP(I115,'3. Input (des)investeringen '!$B$11:$B$89,'3. Input (des)investeringen '!$E$11:$E$89)</f>
        <v>0</v>
      </c>
      <c r="L115" s="48"/>
      <c r="M115" s="38">
        <f>_xlfn.XLOOKUP(I115,'3. Input (des)investeringen '!$B$11:$B$89,'3. Input (des)investeringen '!$D$11:$D$89,0)</f>
        <v>30</v>
      </c>
      <c r="N115" s="38">
        <f t="shared" si="13"/>
        <v>11.5</v>
      </c>
      <c r="P115" s="43">
        <f t="shared" si="34"/>
        <v>1941.6711997841064</v>
      </c>
      <c r="Q115" s="43">
        <f t="shared" si="34"/>
        <v>1722.1779337215553</v>
      </c>
      <c r="R115" s="43">
        <f t="shared" si="34"/>
        <v>1527.4969499095535</v>
      </c>
      <c r="S115" s="43">
        <f t="shared" si="34"/>
        <v>1409.9971845318955</v>
      </c>
      <c r="T115" s="43">
        <f t="shared" si="34"/>
        <v>1409.9971845318955</v>
      </c>
      <c r="V115" s="43">
        <f t="shared" si="1"/>
        <v>165.95480340035098</v>
      </c>
      <c r="W115" s="43">
        <f t="shared" si="2"/>
        <v>165.95480340035098</v>
      </c>
      <c r="X115" s="43">
        <f t="shared" si="3"/>
        <v>165.95480340035098</v>
      </c>
      <c r="Y115" s="43">
        <f t="shared" si="4"/>
        <v>165.95480340035098</v>
      </c>
      <c r="Z115" s="43">
        <f t="shared" si="5"/>
        <v>165.95480340035098</v>
      </c>
      <c r="AB115" s="43">
        <f t="shared" si="14"/>
        <v>2107.6260031844572</v>
      </c>
      <c r="AC115" s="43">
        <f t="shared" si="15"/>
        <v>1888.1327371219063</v>
      </c>
      <c r="AD115" s="43">
        <f t="shared" si="16"/>
        <v>1693.4517533099045</v>
      </c>
      <c r="AE115" s="43">
        <f t="shared" si="17"/>
        <v>1575.9519879322465</v>
      </c>
      <c r="AF115" s="43">
        <f t="shared" si="18"/>
        <v>1575.9519879322465</v>
      </c>
      <c r="AH115" s="43">
        <f t="shared" si="19"/>
        <v>16977.176387855903</v>
      </c>
      <c r="AI115" s="43">
        <f t="shared" si="20"/>
        <v>15089.043650733996</v>
      </c>
      <c r="AJ115" s="43">
        <f t="shared" si="21"/>
        <v>13395.591897424092</v>
      </c>
      <c r="AK115" s="43">
        <f t="shared" si="22"/>
        <v>11819.639909491845</v>
      </c>
      <c r="AL115" s="43">
        <f t="shared" si="23"/>
        <v>10243.687921559598</v>
      </c>
      <c r="AN115" s="47">
        <f t="shared" si="24"/>
        <v>2803.6902350865494</v>
      </c>
      <c r="AO115" s="47">
        <f t="shared" si="25"/>
        <v>2657.6739633093403</v>
      </c>
      <c r="AP115" s="47">
        <f t="shared" si="26"/>
        <v>2376.6269400785332</v>
      </c>
      <c r="AQ115" s="47">
        <f t="shared" si="27"/>
        <v>2226.0321829542982</v>
      </c>
      <c r="AR115" s="43">
        <f t="shared" si="28"/>
        <v>1965.2121289515112</v>
      </c>
      <c r="AY115" s="3"/>
    </row>
    <row r="116" spans="1:51" ht="13">
      <c r="A116" s="48"/>
      <c r="B116" s="37">
        <f>'13. Desinvesteringen'!B399</f>
        <v>380</v>
      </c>
      <c r="C116" s="48"/>
      <c r="D116" s="48"/>
      <c r="E116" s="48"/>
      <c r="F116" s="42">
        <f>'5. Input GAW-waarde desinv.'!D75</f>
        <v>7912.0882258856245</v>
      </c>
      <c r="G116" s="175">
        <f>'13. Desinvesteringen'!D399</f>
        <v>2005</v>
      </c>
      <c r="H116" s="175">
        <f>'13. Desinvesteringen'!G399</f>
        <v>2022</v>
      </c>
      <c r="I116" s="37" t="str">
        <f>'13. Desinvesteringen'!C399</f>
        <v>02 Gasontvangststations</v>
      </c>
      <c r="J116" s="164">
        <f>'13. Desinvesteringen'!F399</f>
        <v>0</v>
      </c>
      <c r="K116" s="38">
        <f>_xlfn.XLOOKUP(I116,'3. Input (des)investeringen '!$B$11:$B$89,'3. Input (des)investeringen '!$E$11:$E$89)</f>
        <v>0</v>
      </c>
      <c r="L116" s="48"/>
      <c r="M116" s="38">
        <f>_xlfn.XLOOKUP(I116,'3. Input (des)investeringen '!$B$11:$B$89,'3. Input (des)investeringen '!$D$11:$D$89,0)</f>
        <v>30</v>
      </c>
      <c r="N116" s="38">
        <f t="shared" si="13"/>
        <v>13.5</v>
      </c>
      <c r="P116" s="43">
        <f t="shared" si="34"/>
        <v>685.71431291008741</v>
      </c>
      <c r="Q116" s="43">
        <f t="shared" si="34"/>
        <v>619.68256425948641</v>
      </c>
      <c r="R116" s="43">
        <f t="shared" si="34"/>
        <v>560.00942844190638</v>
      </c>
      <c r="S116" s="43">
        <f t="shared" si="34"/>
        <v>506.082594591945</v>
      </c>
      <c r="T116" s="43">
        <f t="shared" si="34"/>
        <v>499.93584243090925</v>
      </c>
      <c r="V116" s="43">
        <f t="shared" ref="V116:V179" si="35">IF($M116&gt;0, IF(OR($G116&gt;V$50,$G116+$M116&lt;V$50),0,
VDB($F116,0,$N116,MAX(0,P$50-2022),MIN($N116,P$50-2021),1,FALSE))*$F$26, 0)</f>
        <v>58.608060932486104</v>
      </c>
      <c r="W116" s="43">
        <f t="shared" ref="W116:W179" si="36">IF($M116&gt;0, IF(OR($G116&gt;W$50,$G116+$M116&lt;W$50),0,
VDB($F116,0,$N116,MAX(0,Q$50-2022),MIN($N116,Q$50-2021),1,FALSE))*$F$26, 0)</f>
        <v>58.608060932486104</v>
      </c>
      <c r="X116" s="43">
        <f t="shared" ref="X116:X179" si="37">IF($M116&gt;0, IF(OR($G116&gt;X$50,$G116+$M116&lt;X$50),0,
VDB($F116,0,$N116,MAX(0,R$50-2022),MIN($N116,R$50-2021),1,FALSE))*$F$26, 0)</f>
        <v>58.608060932486104</v>
      </c>
      <c r="Y116" s="43">
        <f t="shared" ref="Y116:Y179" si="38">IF($M116&gt;0, IF(OR($G116&gt;Y$50,$G116+$M116&lt;Y$50),0,
VDB($F116,0,$N116,MAX(0,S$50-2022),MIN($N116,S$50-2021),1,FALSE))*$F$26, 0)</f>
        <v>58.608060932486104</v>
      </c>
      <c r="Z116" s="43">
        <f t="shared" ref="Z116:Z179" si="39">IF($M116&gt;0, IF(OR($G116&gt;Z$50,$G116+$M116&lt;Z$50),0,
VDB($F116,0,$N116,MAX(0,T$50-2022),MIN($N116,T$50-2021),1,FALSE))*$F$26, 0)</f>
        <v>58.608060932486104</v>
      </c>
      <c r="AB116" s="43">
        <f t="shared" si="14"/>
        <v>744.32237384257348</v>
      </c>
      <c r="AC116" s="43">
        <f t="shared" si="15"/>
        <v>678.29062519197248</v>
      </c>
      <c r="AD116" s="43">
        <f t="shared" si="16"/>
        <v>618.61748937439245</v>
      </c>
      <c r="AE116" s="43">
        <f t="shared" si="17"/>
        <v>564.69065552443112</v>
      </c>
      <c r="AF116" s="43">
        <f t="shared" si="18"/>
        <v>558.54390336339532</v>
      </c>
      <c r="AH116" s="43">
        <f t="shared" si="19"/>
        <v>7167.7658520430514</v>
      </c>
      <c r="AI116" s="43">
        <f t="shared" si="20"/>
        <v>6489.4752268510792</v>
      </c>
      <c r="AJ116" s="43">
        <f t="shared" si="21"/>
        <v>5870.8577374766865</v>
      </c>
      <c r="AK116" s="43">
        <f t="shared" si="22"/>
        <v>5306.1670819522551</v>
      </c>
      <c r="AL116" s="43">
        <f t="shared" si="23"/>
        <v>4747.6231785888594</v>
      </c>
      <c r="AN116" s="47">
        <f t="shared" si="24"/>
        <v>1038.2007737763386</v>
      </c>
      <c r="AO116" s="47">
        <f t="shared" si="25"/>
        <v>1009.2538617613775</v>
      </c>
      <c r="AP116" s="47">
        <f t="shared" si="26"/>
        <v>918.03123398570347</v>
      </c>
      <c r="AQ116" s="47">
        <f t="shared" si="27"/>
        <v>856.52984503180517</v>
      </c>
      <c r="AR116" s="43">
        <f t="shared" si="28"/>
        <v>738.95358414977204</v>
      </c>
      <c r="AY116" s="3"/>
    </row>
    <row r="117" spans="1:51" ht="13">
      <c r="A117" s="48"/>
      <c r="B117" s="37">
        <f>'13. Desinvesteringen'!B400</f>
        <v>381</v>
      </c>
      <c r="C117" s="48"/>
      <c r="D117" s="48"/>
      <c r="E117" s="48"/>
      <c r="F117" s="42">
        <f>'5. Input GAW-waarde desinv.'!D76</f>
        <v>204757.05379307119</v>
      </c>
      <c r="G117" s="175">
        <f>'13. Desinvesteringen'!D400</f>
        <v>2007</v>
      </c>
      <c r="H117" s="175">
        <f>'13. Desinvesteringen'!G400</f>
        <v>2022</v>
      </c>
      <c r="I117" s="37" t="str">
        <f>'13. Desinvesteringen'!C400</f>
        <v>02 Gasontvangststations</v>
      </c>
      <c r="J117" s="164">
        <f>'13. Desinvesteringen'!F400</f>
        <v>0</v>
      </c>
      <c r="K117" s="38">
        <f>_xlfn.XLOOKUP(I117,'3. Input (des)investeringen '!$B$11:$B$89,'3. Input (des)investeringen '!$E$11:$E$89)</f>
        <v>0</v>
      </c>
      <c r="L117" s="48"/>
      <c r="M117" s="38">
        <f>_xlfn.XLOOKUP(I117,'3. Input (des)investeringen '!$B$11:$B$89,'3. Input (des)investeringen '!$D$11:$D$89,0)</f>
        <v>30</v>
      </c>
      <c r="N117" s="38">
        <f t="shared" ref="N117:N143" si="40">IF($M117&gt;0, MAX(0,IF(G117&lt;2022,M117-2021+G117-0.5,M117)), 0)</f>
        <v>15.5</v>
      </c>
      <c r="P117" s="43">
        <f t="shared" si="34"/>
        <v>15455.855028251181</v>
      </c>
      <c r="Q117" s="43">
        <f t="shared" si="34"/>
        <v>14159.557509752696</v>
      </c>
      <c r="R117" s="43">
        <f t="shared" si="34"/>
        <v>12971.981718612145</v>
      </c>
      <c r="S117" s="43">
        <f t="shared" si="34"/>
        <v>11884.009058341451</v>
      </c>
      <c r="T117" s="43">
        <f t="shared" si="34"/>
        <v>11287.821312939703</v>
      </c>
      <c r="V117" s="43">
        <f t="shared" si="35"/>
        <v>1321.0132502778788</v>
      </c>
      <c r="W117" s="43">
        <f t="shared" si="36"/>
        <v>1321.0132502778788</v>
      </c>
      <c r="X117" s="43">
        <f t="shared" si="37"/>
        <v>1321.0132502778788</v>
      </c>
      <c r="Y117" s="43">
        <f t="shared" si="38"/>
        <v>1321.0132502778788</v>
      </c>
      <c r="Z117" s="43">
        <f t="shared" si="39"/>
        <v>1321.0132502778788</v>
      </c>
      <c r="AB117" s="43">
        <f t="shared" ref="AB117:AB143" si="41">P117+V117</f>
        <v>16776.868278529058</v>
      </c>
      <c r="AC117" s="43">
        <f t="shared" ref="AC117:AC143" si="42">Q117+W117</f>
        <v>15480.570760030576</v>
      </c>
      <c r="AD117" s="43">
        <f t="shared" ref="AD117:AD143" si="43">R117+X117</f>
        <v>14292.994968890023</v>
      </c>
      <c r="AE117" s="43">
        <f t="shared" ref="AE117:AE143" si="44">S117+Y117</f>
        <v>13205.022308619329</v>
      </c>
      <c r="AF117" s="43">
        <f t="shared" ref="AF117:AF143" si="45">T117+Z117</f>
        <v>12608.834563217581</v>
      </c>
      <c r="AH117" s="43">
        <f t="shared" ref="AH117:AH143" si="46">IF($M117&gt;0, IF($M117&gt;0,IF(OR($G117&gt;AH$50,$G117+$M117&lt;=AH$50),0,IF(AH$50=2022,$F117-AB117,AG117-AB117))), $F117)</f>
        <v>187980.18551454213</v>
      </c>
      <c r="AI117" s="43">
        <f t="shared" ref="AI117:AI143" si="47">IF($M117&gt;0, IF(OR($G117&gt;AI$50,$G117+$M117&lt;=AI$50),0,IF(AI$50=2022,$F117-AC117,AH117-AC117)), AH117)</f>
        <v>172499.61475451157</v>
      </c>
      <c r="AJ117" s="43">
        <f t="shared" ref="AJ117:AJ143" si="48">IF($M117&gt;0, IF(OR($G117&gt;AJ$50,$G117+$M117&lt;=AJ$50),0,IF(AJ$50=2022,$F117-AD117,AI117-AD117)), AI117)</f>
        <v>158206.61978562153</v>
      </c>
      <c r="AK117" s="43">
        <f t="shared" ref="AK117:AK143" si="49">IF($M117&gt;0, IF(OR($G117&gt;AK$50,$G117+$M117&lt;=AK$50),0,IF(AK$50=2022,$F117-AE117,AJ117-AE117)), AJ117)</f>
        <v>145001.59747700219</v>
      </c>
      <c r="AL117" s="43">
        <f t="shared" ref="AL117:AL143" si="50">IF($M117&gt;0, IF(OR($G117&gt;AL$50,$G117+$M117&lt;=AL$50),0,IF(AL$50=2022,$F117-AF117,AK117-AF117)), AK117)</f>
        <v>132392.76291378459</v>
      </c>
      <c r="AN117" s="47">
        <f t="shared" ref="AN117:AN143" si="51">(AB117+AH117*H$17)*IF($K117=1,$F$32,1)</f>
        <v>24484.055884625286</v>
      </c>
      <c r="AO117" s="47">
        <f t="shared" ref="AO117:AO143" si="52">(AC117+AI117*I$17)*IF($K117=1,$F$32,1)</f>
        <v>24278.051112510664</v>
      </c>
      <c r="AP117" s="47">
        <f t="shared" ref="AP117:AP143" si="53">(AD117+AJ117*J$17)*IF($K117=1,$F$32,1)</f>
        <v>22361.532577956721</v>
      </c>
      <c r="AQ117" s="47">
        <f t="shared" ref="AQ117:AQ143" si="54">(AE117+AK117*K$17)*IF($K117=1,$F$32,1)</f>
        <v>21180.110169854448</v>
      </c>
      <c r="AR117" s="43">
        <f t="shared" ref="AR117:AR143" si="55">(AF117+AL117*L$17)*IF($K117=1,$F$32,1)</f>
        <v>17639.759553941396</v>
      </c>
      <c r="AY117" s="3"/>
    </row>
    <row r="118" spans="1:51" ht="13">
      <c r="A118" s="48"/>
      <c r="B118" s="37">
        <f>'13. Desinvesteringen'!B401</f>
        <v>382</v>
      </c>
      <c r="C118" s="48"/>
      <c r="D118" s="48"/>
      <c r="E118" s="48"/>
      <c r="F118" s="42">
        <f>'5. Input GAW-waarde desinv.'!D77</f>
        <v>114014.92388584625</v>
      </c>
      <c r="G118" s="175">
        <f>'13. Desinvesteringen'!D401</f>
        <v>2010</v>
      </c>
      <c r="H118" s="175">
        <f>'13. Desinvesteringen'!G401</f>
        <v>2022</v>
      </c>
      <c r="I118" s="37" t="str">
        <f>'13. Desinvesteringen'!C401</f>
        <v>02 Gasontvangststations</v>
      </c>
      <c r="J118" s="164">
        <f>'13. Desinvesteringen'!F401</f>
        <v>0</v>
      </c>
      <c r="K118" s="38">
        <f>_xlfn.XLOOKUP(I118,'3. Input (des)investeringen '!$B$11:$B$89,'3. Input (des)investeringen '!$E$11:$E$89)</f>
        <v>0</v>
      </c>
      <c r="L118" s="48"/>
      <c r="M118" s="38">
        <f>_xlfn.XLOOKUP(I118,'3. Input (des)investeringen '!$B$11:$B$89,'3. Input (des)investeringen '!$D$11:$D$89,0)</f>
        <v>30</v>
      </c>
      <c r="N118" s="38">
        <f t="shared" si="40"/>
        <v>18.5</v>
      </c>
      <c r="P118" s="43">
        <f t="shared" si="34"/>
        <v>7210.6735646724383</v>
      </c>
      <c r="Q118" s="43">
        <f t="shared" si="34"/>
        <v>6703.9775844522137</v>
      </c>
      <c r="R118" s="43">
        <f t="shared" si="34"/>
        <v>6232.887267706923</v>
      </c>
      <c r="S118" s="43">
        <f t="shared" si="34"/>
        <v>5794.9005948410313</v>
      </c>
      <c r="T118" s="43">
        <f t="shared" si="34"/>
        <v>5387.6913638522019</v>
      </c>
      <c r="V118" s="43">
        <f t="shared" si="35"/>
        <v>616.29688586943928</v>
      </c>
      <c r="W118" s="43">
        <f t="shared" si="36"/>
        <v>616.29688586943917</v>
      </c>
      <c r="X118" s="43">
        <f t="shared" si="37"/>
        <v>616.29688586943917</v>
      </c>
      <c r="Y118" s="43">
        <f t="shared" si="38"/>
        <v>616.29688586943917</v>
      </c>
      <c r="Z118" s="43">
        <f t="shared" si="39"/>
        <v>616.29688586943917</v>
      </c>
      <c r="AB118" s="43">
        <f t="shared" si="41"/>
        <v>7826.9704505418777</v>
      </c>
      <c r="AC118" s="43">
        <f t="shared" si="42"/>
        <v>7320.2744703216531</v>
      </c>
      <c r="AD118" s="43">
        <f t="shared" si="43"/>
        <v>6849.1841535763624</v>
      </c>
      <c r="AE118" s="43">
        <f t="shared" si="44"/>
        <v>6411.1974807104707</v>
      </c>
      <c r="AF118" s="43">
        <f t="shared" si="45"/>
        <v>6003.9882497216413</v>
      </c>
      <c r="AH118" s="43">
        <f t="shared" si="46"/>
        <v>106187.95343530437</v>
      </c>
      <c r="AI118" s="43">
        <f t="shared" si="47"/>
        <v>98867.678964982711</v>
      </c>
      <c r="AJ118" s="43">
        <f t="shared" si="48"/>
        <v>92018.494811406345</v>
      </c>
      <c r="AK118" s="43">
        <f t="shared" si="49"/>
        <v>85607.297330695874</v>
      </c>
      <c r="AL118" s="43">
        <f t="shared" si="50"/>
        <v>79603.309080974228</v>
      </c>
      <c r="AN118" s="47">
        <f t="shared" si="51"/>
        <v>12180.676541389357</v>
      </c>
      <c r="AO118" s="47">
        <f t="shared" si="52"/>
        <v>12362.526097535771</v>
      </c>
      <c r="AP118" s="47">
        <f t="shared" si="53"/>
        <v>11542.127388958084</v>
      </c>
      <c r="AQ118" s="47">
        <f t="shared" si="54"/>
        <v>11119.598833898744</v>
      </c>
      <c r="AR118" s="43">
        <f t="shared" si="55"/>
        <v>9028.9139947986623</v>
      </c>
      <c r="AY118" s="3"/>
    </row>
    <row r="119" spans="1:51" ht="13">
      <c r="A119" s="48"/>
      <c r="B119" s="37">
        <f>'13. Desinvesteringen'!B402</f>
        <v>383</v>
      </c>
      <c r="C119" s="48"/>
      <c r="D119" s="48"/>
      <c r="E119" s="48"/>
      <c r="F119" s="42">
        <f>'5. Input GAW-waarde desinv.'!D78</f>
        <v>32772.828513993481</v>
      </c>
      <c r="G119" s="175">
        <f>'13. Desinvesteringen'!D402</f>
        <v>2012</v>
      </c>
      <c r="H119" s="175">
        <f>'13. Desinvesteringen'!G402</f>
        <v>2022</v>
      </c>
      <c r="I119" s="37" t="str">
        <f>'13. Desinvesteringen'!C402</f>
        <v>02 Gasontvangststations</v>
      </c>
      <c r="J119" s="164">
        <f>'13. Desinvesteringen'!F402</f>
        <v>0</v>
      </c>
      <c r="K119" s="38">
        <f>_xlfn.XLOOKUP(I119,'3. Input (des)investeringen '!$B$11:$B$89,'3. Input (des)investeringen '!$E$11:$E$89)</f>
        <v>0</v>
      </c>
      <c r="L119" s="48"/>
      <c r="M119" s="38">
        <f>_xlfn.XLOOKUP(I119,'3. Input (des)investeringen '!$B$11:$B$89,'3. Input (des)investeringen '!$D$11:$D$89,0)</f>
        <v>30</v>
      </c>
      <c r="N119" s="38">
        <f t="shared" si="40"/>
        <v>20.5</v>
      </c>
      <c r="P119" s="43">
        <f t="shared" si="34"/>
        <v>1870.4492371401157</v>
      </c>
      <c r="Q119" s="43">
        <f t="shared" si="34"/>
        <v>1751.8353830775718</v>
      </c>
      <c r="R119" s="43">
        <f t="shared" si="34"/>
        <v>1640.7433831750918</v>
      </c>
      <c r="S119" s="43">
        <f t="shared" si="34"/>
        <v>1536.6962418030128</v>
      </c>
      <c r="T119" s="43">
        <f t="shared" si="34"/>
        <v>1439.247211835017</v>
      </c>
      <c r="V119" s="43">
        <f t="shared" si="35"/>
        <v>159.86745616582186</v>
      </c>
      <c r="W119" s="43">
        <f t="shared" si="36"/>
        <v>159.86745616582186</v>
      </c>
      <c r="X119" s="43">
        <f t="shared" si="37"/>
        <v>159.86745616582186</v>
      </c>
      <c r="Y119" s="43">
        <f t="shared" si="38"/>
        <v>159.86745616582186</v>
      </c>
      <c r="Z119" s="43">
        <f t="shared" si="39"/>
        <v>159.86745616582186</v>
      </c>
      <c r="AB119" s="43">
        <f t="shared" si="41"/>
        <v>2030.3166933059374</v>
      </c>
      <c r="AC119" s="43">
        <f t="shared" si="42"/>
        <v>1911.7028392433936</v>
      </c>
      <c r="AD119" s="43">
        <f t="shared" si="43"/>
        <v>1800.6108393409136</v>
      </c>
      <c r="AE119" s="43">
        <f t="shared" si="44"/>
        <v>1696.5636979688347</v>
      </c>
      <c r="AF119" s="43">
        <f t="shared" si="45"/>
        <v>1599.1146680008387</v>
      </c>
      <c r="AH119" s="43">
        <f t="shared" si="46"/>
        <v>30742.511820687545</v>
      </c>
      <c r="AI119" s="43">
        <f t="shared" si="47"/>
        <v>28830.808981444152</v>
      </c>
      <c r="AJ119" s="43">
        <f t="shared" si="48"/>
        <v>27030.19814210324</v>
      </c>
      <c r="AK119" s="43">
        <f t="shared" si="49"/>
        <v>25333.634444134404</v>
      </c>
      <c r="AL119" s="43">
        <f t="shared" si="50"/>
        <v>23734.519776133566</v>
      </c>
      <c r="AN119" s="47">
        <f t="shared" si="51"/>
        <v>3290.7596779541268</v>
      </c>
      <c r="AO119" s="47">
        <f t="shared" si="52"/>
        <v>3382.0740972970452</v>
      </c>
      <c r="AP119" s="47">
        <f t="shared" si="53"/>
        <v>3179.1509445881784</v>
      </c>
      <c r="AQ119" s="47">
        <f t="shared" si="54"/>
        <v>3089.9135923962267</v>
      </c>
      <c r="AR119" s="43">
        <f t="shared" si="55"/>
        <v>2501.0264194939141</v>
      </c>
      <c r="AY119" s="3"/>
    </row>
    <row r="120" spans="1:51" ht="13">
      <c r="A120" s="48"/>
      <c r="B120" s="37">
        <f>'13. Desinvesteringen'!B403</f>
        <v>384</v>
      </c>
      <c r="C120" s="48"/>
      <c r="D120" s="48"/>
      <c r="E120" s="48"/>
      <c r="F120" s="42">
        <f>'5. Input GAW-waarde desinv.'!D79</f>
        <v>0</v>
      </c>
      <c r="G120" s="175">
        <f>'13. Desinvesteringen'!D403</f>
        <v>1980</v>
      </c>
      <c r="H120" s="175">
        <f>'13. Desinvesteringen'!G403</f>
        <v>2022</v>
      </c>
      <c r="I120" s="37" t="str">
        <f>'13. Desinvesteringen'!C403</f>
        <v>06 Utiliteitsgebouwen</v>
      </c>
      <c r="J120" s="164">
        <f>'13. Desinvesteringen'!F403</f>
        <v>0</v>
      </c>
      <c r="K120" s="38">
        <f>_xlfn.XLOOKUP(I120,'3. Input (des)investeringen '!$B$11:$B$89,'3. Input (des)investeringen '!$E$11:$E$89)</f>
        <v>0</v>
      </c>
      <c r="L120" s="48"/>
      <c r="M120" s="38">
        <f>_xlfn.XLOOKUP(I120,'3. Input (des)investeringen '!$B$11:$B$89,'3. Input (des)investeringen '!$D$11:$D$89,0)</f>
        <v>30</v>
      </c>
      <c r="N120" s="38">
        <f t="shared" si="40"/>
        <v>0</v>
      </c>
      <c r="P120" s="43">
        <f t="shared" si="34"/>
        <v>0</v>
      </c>
      <c r="Q120" s="43">
        <f t="shared" si="34"/>
        <v>0</v>
      </c>
      <c r="R120" s="43">
        <f t="shared" si="34"/>
        <v>0</v>
      </c>
      <c r="S120" s="43">
        <f t="shared" si="34"/>
        <v>0</v>
      </c>
      <c r="T120" s="43">
        <f t="shared" si="34"/>
        <v>0</v>
      </c>
      <c r="V120" s="43">
        <f t="shared" si="35"/>
        <v>0</v>
      </c>
      <c r="W120" s="43">
        <f t="shared" si="36"/>
        <v>0</v>
      </c>
      <c r="X120" s="43">
        <f t="shared" si="37"/>
        <v>0</v>
      </c>
      <c r="Y120" s="43">
        <f t="shared" si="38"/>
        <v>0</v>
      </c>
      <c r="Z120" s="43">
        <f t="shared" si="39"/>
        <v>0</v>
      </c>
      <c r="AB120" s="43">
        <f t="shared" si="41"/>
        <v>0</v>
      </c>
      <c r="AC120" s="43">
        <f t="shared" si="42"/>
        <v>0</v>
      </c>
      <c r="AD120" s="43">
        <f t="shared" si="43"/>
        <v>0</v>
      </c>
      <c r="AE120" s="43">
        <f t="shared" si="44"/>
        <v>0</v>
      </c>
      <c r="AF120" s="43">
        <f t="shared" si="45"/>
        <v>0</v>
      </c>
      <c r="AH120" s="43">
        <f t="shared" si="46"/>
        <v>0</v>
      </c>
      <c r="AI120" s="43">
        <f t="shared" si="47"/>
        <v>0</v>
      </c>
      <c r="AJ120" s="43">
        <f t="shared" si="48"/>
        <v>0</v>
      </c>
      <c r="AK120" s="43">
        <f t="shared" si="49"/>
        <v>0</v>
      </c>
      <c r="AL120" s="43">
        <f t="shared" si="50"/>
        <v>0</v>
      </c>
      <c r="AN120" s="47">
        <f t="shared" si="51"/>
        <v>0</v>
      </c>
      <c r="AO120" s="47">
        <f t="shared" si="52"/>
        <v>0</v>
      </c>
      <c r="AP120" s="47">
        <f t="shared" si="53"/>
        <v>0</v>
      </c>
      <c r="AQ120" s="47">
        <f t="shared" si="54"/>
        <v>0</v>
      </c>
      <c r="AR120" s="43">
        <f t="shared" si="55"/>
        <v>0</v>
      </c>
      <c r="AY120" s="3"/>
    </row>
    <row r="121" spans="1:51" ht="13">
      <c r="A121" s="48"/>
      <c r="B121" s="37">
        <f>'13. Desinvesteringen'!B404</f>
        <v>385</v>
      </c>
      <c r="C121" s="48"/>
      <c r="D121" s="48"/>
      <c r="E121" s="48"/>
      <c r="F121" s="42">
        <f>'5. Input GAW-waarde desinv.'!D80</f>
        <v>0</v>
      </c>
      <c r="G121" s="175">
        <f>'13. Desinvesteringen'!D404</f>
        <v>1970</v>
      </c>
      <c r="H121" s="175">
        <f>'13. Desinvesteringen'!G404</f>
        <v>2022</v>
      </c>
      <c r="I121" s="37" t="str">
        <f>'13. Desinvesteringen'!C404</f>
        <v>15 Compressorstations (TT-BT-AT)</v>
      </c>
      <c r="J121" s="164">
        <f>'13. Desinvesteringen'!F404</f>
        <v>0</v>
      </c>
      <c r="K121" s="38">
        <f>_xlfn.XLOOKUP(I121,'3. Input (des)investeringen '!$B$11:$B$89,'3. Input (des)investeringen '!$E$11:$E$89)</f>
        <v>1</v>
      </c>
      <c r="L121" s="48"/>
      <c r="M121" s="38">
        <f>_xlfn.XLOOKUP(I121,'3. Input (des)investeringen '!$B$11:$B$89,'3. Input (des)investeringen '!$D$11:$D$89,0)</f>
        <v>30</v>
      </c>
      <c r="N121" s="38">
        <f t="shared" si="40"/>
        <v>0</v>
      </c>
      <c r="P121" s="43">
        <f t="shared" si="34"/>
        <v>0</v>
      </c>
      <c r="Q121" s="43">
        <f t="shared" si="34"/>
        <v>0</v>
      </c>
      <c r="R121" s="43">
        <f t="shared" si="34"/>
        <v>0</v>
      </c>
      <c r="S121" s="43">
        <f t="shared" si="34"/>
        <v>0</v>
      </c>
      <c r="T121" s="43">
        <f t="shared" si="34"/>
        <v>0</v>
      </c>
      <c r="V121" s="43">
        <f t="shared" si="35"/>
        <v>0</v>
      </c>
      <c r="W121" s="43">
        <f t="shared" si="36"/>
        <v>0</v>
      </c>
      <c r="X121" s="43">
        <f t="shared" si="37"/>
        <v>0</v>
      </c>
      <c r="Y121" s="43">
        <f t="shared" si="38"/>
        <v>0</v>
      </c>
      <c r="Z121" s="43">
        <f t="shared" si="39"/>
        <v>0</v>
      </c>
      <c r="AB121" s="43">
        <f t="shared" si="41"/>
        <v>0</v>
      </c>
      <c r="AC121" s="43">
        <f t="shared" si="42"/>
        <v>0</v>
      </c>
      <c r="AD121" s="43">
        <f t="shared" si="43"/>
        <v>0</v>
      </c>
      <c r="AE121" s="43">
        <f t="shared" si="44"/>
        <v>0</v>
      </c>
      <c r="AF121" s="43">
        <f t="shared" si="45"/>
        <v>0</v>
      </c>
      <c r="AH121" s="43">
        <f t="shared" si="46"/>
        <v>0</v>
      </c>
      <c r="AI121" s="43">
        <f t="shared" si="47"/>
        <v>0</v>
      </c>
      <c r="AJ121" s="43">
        <f t="shared" si="48"/>
        <v>0</v>
      </c>
      <c r="AK121" s="43">
        <f t="shared" si="49"/>
        <v>0</v>
      </c>
      <c r="AL121" s="43">
        <f t="shared" si="50"/>
        <v>0</v>
      </c>
      <c r="AN121" s="47">
        <f t="shared" si="51"/>
        <v>0</v>
      </c>
      <c r="AO121" s="47">
        <f t="shared" si="52"/>
        <v>0</v>
      </c>
      <c r="AP121" s="47">
        <f t="shared" si="53"/>
        <v>0</v>
      </c>
      <c r="AQ121" s="47">
        <f t="shared" si="54"/>
        <v>0</v>
      </c>
      <c r="AR121" s="43">
        <f t="shared" si="55"/>
        <v>0</v>
      </c>
      <c r="AY121" s="3"/>
    </row>
    <row r="122" spans="1:51" ht="13">
      <c r="A122" s="48"/>
      <c r="B122" s="37">
        <f>'13. Desinvesteringen'!B405</f>
        <v>386</v>
      </c>
      <c r="C122" s="48"/>
      <c r="D122" s="48"/>
      <c r="E122" s="48"/>
      <c r="F122" s="42">
        <f>'5. Input GAW-waarde desinv.'!D81</f>
        <v>0</v>
      </c>
      <c r="G122" s="175">
        <f>'13. Desinvesteringen'!D405</f>
        <v>1971</v>
      </c>
      <c r="H122" s="175">
        <f>'13. Desinvesteringen'!G405</f>
        <v>2022</v>
      </c>
      <c r="I122" s="37" t="str">
        <f>'13. Desinvesteringen'!C405</f>
        <v>15 Compressorstations (TT-BT-AT)</v>
      </c>
      <c r="J122" s="164">
        <f>'13. Desinvesteringen'!F405</f>
        <v>0</v>
      </c>
      <c r="K122" s="38">
        <f>_xlfn.XLOOKUP(I122,'3. Input (des)investeringen '!$B$11:$B$89,'3. Input (des)investeringen '!$E$11:$E$89)</f>
        <v>1</v>
      </c>
      <c r="L122" s="48"/>
      <c r="M122" s="38">
        <f>_xlfn.XLOOKUP(I122,'3. Input (des)investeringen '!$B$11:$B$89,'3. Input (des)investeringen '!$D$11:$D$89,0)</f>
        <v>30</v>
      </c>
      <c r="N122" s="38">
        <f t="shared" si="40"/>
        <v>0</v>
      </c>
      <c r="P122" s="43">
        <f t="shared" ref="P122:T131" si="56">IF($M122&gt;0, IF(OR($G122&gt;P$50,$G122+$M122&lt;P$50),0,
VDB($F122,0,$N122,MAX(0,P$50-2022),MIN($N122,P$50-2021),$F$23,FALSE))*(1-$F$26), 0)</f>
        <v>0</v>
      </c>
      <c r="Q122" s="43">
        <f t="shared" si="56"/>
        <v>0</v>
      </c>
      <c r="R122" s="43">
        <f t="shared" si="56"/>
        <v>0</v>
      </c>
      <c r="S122" s="43">
        <f t="shared" si="56"/>
        <v>0</v>
      </c>
      <c r="T122" s="43">
        <f t="shared" si="56"/>
        <v>0</v>
      </c>
      <c r="V122" s="43">
        <f t="shared" si="35"/>
        <v>0</v>
      </c>
      <c r="W122" s="43">
        <f t="shared" si="36"/>
        <v>0</v>
      </c>
      <c r="X122" s="43">
        <f t="shared" si="37"/>
        <v>0</v>
      </c>
      <c r="Y122" s="43">
        <f t="shared" si="38"/>
        <v>0</v>
      </c>
      <c r="Z122" s="43">
        <f t="shared" si="39"/>
        <v>0</v>
      </c>
      <c r="AB122" s="43">
        <f t="shared" si="41"/>
        <v>0</v>
      </c>
      <c r="AC122" s="43">
        <f t="shared" si="42"/>
        <v>0</v>
      </c>
      <c r="AD122" s="43">
        <f t="shared" si="43"/>
        <v>0</v>
      </c>
      <c r="AE122" s="43">
        <f t="shared" si="44"/>
        <v>0</v>
      </c>
      <c r="AF122" s="43">
        <f t="shared" si="45"/>
        <v>0</v>
      </c>
      <c r="AH122" s="43">
        <f t="shared" si="46"/>
        <v>0</v>
      </c>
      <c r="AI122" s="43">
        <f t="shared" si="47"/>
        <v>0</v>
      </c>
      <c r="AJ122" s="43">
        <f t="shared" si="48"/>
        <v>0</v>
      </c>
      <c r="AK122" s="43">
        <f t="shared" si="49"/>
        <v>0</v>
      </c>
      <c r="AL122" s="43">
        <f t="shared" si="50"/>
        <v>0</v>
      </c>
      <c r="AN122" s="47">
        <f t="shared" si="51"/>
        <v>0</v>
      </c>
      <c r="AO122" s="47">
        <f t="shared" si="52"/>
        <v>0</v>
      </c>
      <c r="AP122" s="47">
        <f t="shared" si="53"/>
        <v>0</v>
      </c>
      <c r="AQ122" s="47">
        <f t="shared" si="54"/>
        <v>0</v>
      </c>
      <c r="AR122" s="43">
        <f t="shared" si="55"/>
        <v>0</v>
      </c>
      <c r="AY122" s="3"/>
    </row>
    <row r="123" spans="1:51" ht="13">
      <c r="A123" s="48"/>
      <c r="B123" s="37">
        <f>'13. Desinvesteringen'!B406</f>
        <v>387</v>
      </c>
      <c r="C123" s="48"/>
      <c r="D123" s="48"/>
      <c r="E123" s="48"/>
      <c r="F123" s="42">
        <f>'5. Input GAW-waarde desinv.'!D82</f>
        <v>0</v>
      </c>
      <c r="G123" s="175">
        <f>'13. Desinvesteringen'!D406</f>
        <v>1974</v>
      </c>
      <c r="H123" s="175">
        <f>'13. Desinvesteringen'!G406</f>
        <v>2022</v>
      </c>
      <c r="I123" s="37" t="str">
        <f>'13. Desinvesteringen'!C406</f>
        <v>15 Compressorstations (TT-BT-AT)</v>
      </c>
      <c r="J123" s="164">
        <f>'13. Desinvesteringen'!F406</f>
        <v>0</v>
      </c>
      <c r="K123" s="38">
        <f>_xlfn.XLOOKUP(I123,'3. Input (des)investeringen '!$B$11:$B$89,'3. Input (des)investeringen '!$E$11:$E$89)</f>
        <v>1</v>
      </c>
      <c r="L123" s="48"/>
      <c r="M123" s="38">
        <f>_xlfn.XLOOKUP(I123,'3. Input (des)investeringen '!$B$11:$B$89,'3. Input (des)investeringen '!$D$11:$D$89,0)</f>
        <v>30</v>
      </c>
      <c r="N123" s="38">
        <f t="shared" si="40"/>
        <v>0</v>
      </c>
      <c r="P123" s="43">
        <f t="shared" si="56"/>
        <v>0</v>
      </c>
      <c r="Q123" s="43">
        <f t="shared" si="56"/>
        <v>0</v>
      </c>
      <c r="R123" s="43">
        <f t="shared" si="56"/>
        <v>0</v>
      </c>
      <c r="S123" s="43">
        <f t="shared" si="56"/>
        <v>0</v>
      </c>
      <c r="T123" s="43">
        <f t="shared" si="56"/>
        <v>0</v>
      </c>
      <c r="V123" s="43">
        <f t="shared" si="35"/>
        <v>0</v>
      </c>
      <c r="W123" s="43">
        <f t="shared" si="36"/>
        <v>0</v>
      </c>
      <c r="X123" s="43">
        <f t="shared" si="37"/>
        <v>0</v>
      </c>
      <c r="Y123" s="43">
        <f t="shared" si="38"/>
        <v>0</v>
      </c>
      <c r="Z123" s="43">
        <f t="shared" si="39"/>
        <v>0</v>
      </c>
      <c r="AB123" s="43">
        <f t="shared" si="41"/>
        <v>0</v>
      </c>
      <c r="AC123" s="43">
        <f t="shared" si="42"/>
        <v>0</v>
      </c>
      <c r="AD123" s="43">
        <f t="shared" si="43"/>
        <v>0</v>
      </c>
      <c r="AE123" s="43">
        <f t="shared" si="44"/>
        <v>0</v>
      </c>
      <c r="AF123" s="43">
        <f t="shared" si="45"/>
        <v>0</v>
      </c>
      <c r="AH123" s="43">
        <f t="shared" si="46"/>
        <v>0</v>
      </c>
      <c r="AI123" s="43">
        <f t="shared" si="47"/>
        <v>0</v>
      </c>
      <c r="AJ123" s="43">
        <f t="shared" si="48"/>
        <v>0</v>
      </c>
      <c r="AK123" s="43">
        <f t="shared" si="49"/>
        <v>0</v>
      </c>
      <c r="AL123" s="43">
        <f t="shared" si="50"/>
        <v>0</v>
      </c>
      <c r="AN123" s="47">
        <f t="shared" si="51"/>
        <v>0</v>
      </c>
      <c r="AO123" s="47">
        <f t="shared" si="52"/>
        <v>0</v>
      </c>
      <c r="AP123" s="47">
        <f t="shared" si="53"/>
        <v>0</v>
      </c>
      <c r="AQ123" s="47">
        <f t="shared" si="54"/>
        <v>0</v>
      </c>
      <c r="AR123" s="43">
        <f t="shared" si="55"/>
        <v>0</v>
      </c>
      <c r="AY123" s="3"/>
    </row>
    <row r="124" spans="1:51" ht="13">
      <c r="A124" s="48"/>
      <c r="B124" s="37">
        <f>'13. Desinvesteringen'!B407</f>
        <v>388</v>
      </c>
      <c r="C124" s="48"/>
      <c r="D124" s="48"/>
      <c r="E124" s="48"/>
      <c r="F124" s="42">
        <f>'5. Input GAW-waarde desinv.'!D83</f>
        <v>4540.0402775800039</v>
      </c>
      <c r="G124" s="175">
        <f>'13. Desinvesteringen'!D407</f>
        <v>1997</v>
      </c>
      <c r="H124" s="175">
        <f>'13. Desinvesteringen'!G407</f>
        <v>2022</v>
      </c>
      <c r="I124" s="37" t="str">
        <f>'13. Desinvesteringen'!C407</f>
        <v>15 Compressorstations (TT-BT-AT)</v>
      </c>
      <c r="J124" s="164">
        <f>'13. Desinvesteringen'!F407</f>
        <v>0</v>
      </c>
      <c r="K124" s="38">
        <f>_xlfn.XLOOKUP(I124,'3. Input (des)investeringen '!$B$11:$B$89,'3. Input (des)investeringen '!$E$11:$E$89)</f>
        <v>1</v>
      </c>
      <c r="L124" s="48"/>
      <c r="M124" s="38">
        <f>_xlfn.XLOOKUP(I124,'3. Input (des)investeringen '!$B$11:$B$89,'3. Input (des)investeringen '!$D$11:$D$89,0)</f>
        <v>30</v>
      </c>
      <c r="N124" s="38">
        <f t="shared" si="40"/>
        <v>5.5</v>
      </c>
      <c r="P124" s="43">
        <f t="shared" si="56"/>
        <v>965.79038632156448</v>
      </c>
      <c r="Q124" s="43">
        <f t="shared" si="56"/>
        <v>737.5126586455583</v>
      </c>
      <c r="R124" s="43">
        <f t="shared" si="56"/>
        <v>680.78091567282297</v>
      </c>
      <c r="S124" s="43">
        <f t="shared" si="56"/>
        <v>680.78091567282297</v>
      </c>
      <c r="T124" s="43">
        <f t="shared" si="56"/>
        <v>680.78091567282297</v>
      </c>
      <c r="V124" s="43">
        <f t="shared" si="35"/>
        <v>82.546186865090988</v>
      </c>
      <c r="W124" s="43">
        <f t="shared" si="36"/>
        <v>82.546186865090988</v>
      </c>
      <c r="X124" s="43">
        <f t="shared" si="37"/>
        <v>82.546186865090988</v>
      </c>
      <c r="Y124" s="43">
        <f t="shared" si="38"/>
        <v>82.546186865090988</v>
      </c>
      <c r="Z124" s="43">
        <f t="shared" si="39"/>
        <v>82.546186865090988</v>
      </c>
      <c r="AB124" s="43">
        <f t="shared" si="41"/>
        <v>1048.3365731866554</v>
      </c>
      <c r="AC124" s="43">
        <f t="shared" si="42"/>
        <v>820.05884551064923</v>
      </c>
      <c r="AD124" s="43">
        <f t="shared" si="43"/>
        <v>763.32710253791402</v>
      </c>
      <c r="AE124" s="43">
        <f t="shared" si="44"/>
        <v>763.32710253791402</v>
      </c>
      <c r="AF124" s="43">
        <f t="shared" si="45"/>
        <v>763.32710253791402</v>
      </c>
      <c r="AH124" s="43">
        <f t="shared" si="46"/>
        <v>3491.7037043933487</v>
      </c>
      <c r="AI124" s="43">
        <f t="shared" si="47"/>
        <v>2671.6448588826997</v>
      </c>
      <c r="AJ124" s="43">
        <f t="shared" si="48"/>
        <v>1908.3177563447857</v>
      </c>
      <c r="AK124" s="43">
        <f t="shared" si="49"/>
        <v>1144.9906538068717</v>
      </c>
      <c r="AL124" s="43">
        <f t="shared" si="50"/>
        <v>381.66355126895769</v>
      </c>
      <c r="AN124" s="47">
        <f t="shared" si="51"/>
        <v>1191.4964250667826</v>
      </c>
      <c r="AO124" s="47">
        <f t="shared" si="52"/>
        <v>956.31273331366697</v>
      </c>
      <c r="AP124" s="47">
        <f t="shared" si="53"/>
        <v>860.65130811149811</v>
      </c>
      <c r="AQ124" s="47">
        <f t="shared" si="54"/>
        <v>826.30158849729196</v>
      </c>
      <c r="AR124" s="43">
        <f t="shared" si="55"/>
        <v>777.83031748613439</v>
      </c>
      <c r="AY124" s="3"/>
    </row>
    <row r="125" spans="1:51" ht="13">
      <c r="A125" s="48"/>
      <c r="B125" s="37">
        <f>'13. Desinvesteringen'!B408</f>
        <v>389</v>
      </c>
      <c r="C125" s="48"/>
      <c r="D125" s="48"/>
      <c r="E125" s="48"/>
      <c r="F125" s="42">
        <f>'5. Input GAW-waarde desinv.'!D84</f>
        <v>89847.095733059148</v>
      </c>
      <c r="G125" s="175">
        <f>'13. Desinvesteringen'!D408</f>
        <v>2011</v>
      </c>
      <c r="H125" s="175">
        <f>'13. Desinvesteringen'!G408</f>
        <v>2022</v>
      </c>
      <c r="I125" s="37" t="str">
        <f>'13. Desinvesteringen'!C408</f>
        <v>15 Compressorstations (TT-BT-AT)</v>
      </c>
      <c r="J125" s="164">
        <f>'13. Desinvesteringen'!F408</f>
        <v>0</v>
      </c>
      <c r="K125" s="38">
        <f>_xlfn.XLOOKUP(I125,'3. Input (des)investeringen '!$B$11:$B$89,'3. Input (des)investeringen '!$E$11:$E$89)</f>
        <v>1</v>
      </c>
      <c r="L125" s="48"/>
      <c r="M125" s="38">
        <f>_xlfn.XLOOKUP(I125,'3. Input (des)investeringen '!$B$11:$B$89,'3. Input (des)investeringen '!$D$11:$D$89,0)</f>
        <v>30</v>
      </c>
      <c r="N125" s="38">
        <f t="shared" si="40"/>
        <v>19.5</v>
      </c>
      <c r="P125" s="43">
        <f t="shared" si="56"/>
        <v>5390.8257439835488</v>
      </c>
      <c r="Q125" s="43">
        <f t="shared" si="56"/>
        <v>5031.437361051313</v>
      </c>
      <c r="R125" s="43">
        <f t="shared" si="56"/>
        <v>4696.0082036478907</v>
      </c>
      <c r="S125" s="43">
        <f t="shared" si="56"/>
        <v>4382.9409900713654</v>
      </c>
      <c r="T125" s="43">
        <f t="shared" si="56"/>
        <v>4090.7449240666087</v>
      </c>
      <c r="V125" s="43">
        <f t="shared" si="35"/>
        <v>460.75433709261108</v>
      </c>
      <c r="W125" s="43">
        <f t="shared" si="36"/>
        <v>460.75433709261108</v>
      </c>
      <c r="X125" s="43">
        <f t="shared" si="37"/>
        <v>460.75433709261108</v>
      </c>
      <c r="Y125" s="43">
        <f t="shared" si="38"/>
        <v>460.75433709261108</v>
      </c>
      <c r="Z125" s="43">
        <f t="shared" si="39"/>
        <v>460.75433709261108</v>
      </c>
      <c r="AB125" s="43">
        <f t="shared" si="41"/>
        <v>5851.5800810761602</v>
      </c>
      <c r="AC125" s="43">
        <f t="shared" si="42"/>
        <v>5492.1916981439244</v>
      </c>
      <c r="AD125" s="43">
        <f t="shared" si="43"/>
        <v>5156.7625407405021</v>
      </c>
      <c r="AE125" s="43">
        <f t="shared" si="44"/>
        <v>4843.6953271639768</v>
      </c>
      <c r="AF125" s="43">
        <f t="shared" si="45"/>
        <v>4551.4992611592197</v>
      </c>
      <c r="AH125" s="43">
        <f t="shared" si="46"/>
        <v>83995.515651982991</v>
      </c>
      <c r="AI125" s="43">
        <f t="shared" si="47"/>
        <v>78503.323953839063</v>
      </c>
      <c r="AJ125" s="43">
        <f t="shared" si="48"/>
        <v>73346.561413098563</v>
      </c>
      <c r="AK125" s="43">
        <f t="shared" si="49"/>
        <v>68502.866085934584</v>
      </c>
      <c r="AL125" s="43">
        <f t="shared" si="50"/>
        <v>63951.366824775367</v>
      </c>
      <c r="AN125" s="47">
        <f t="shared" si="51"/>
        <v>9295.3962228074633</v>
      </c>
      <c r="AO125" s="47">
        <f t="shared" si="52"/>
        <v>9495.8612197897164</v>
      </c>
      <c r="AP125" s="47">
        <f t="shared" si="53"/>
        <v>8897.437172808528</v>
      </c>
      <c r="AQ125" s="47">
        <f t="shared" si="54"/>
        <v>8611.3529618903794</v>
      </c>
      <c r="AR125" s="43">
        <f t="shared" si="55"/>
        <v>6981.6512005006834</v>
      </c>
      <c r="AY125" s="3"/>
    </row>
    <row r="126" spans="1:51" ht="13">
      <c r="A126" s="48"/>
      <c r="B126" s="37">
        <f>'13. Desinvesteringen'!B409</f>
        <v>390</v>
      </c>
      <c r="C126" s="48"/>
      <c r="D126" s="48"/>
      <c r="E126" s="48"/>
      <c r="F126" s="42">
        <f>'5. Input GAW-waarde desinv.'!D85</f>
        <v>0</v>
      </c>
      <c r="G126" s="175">
        <f>'13. Desinvesteringen'!D409</f>
        <v>1977</v>
      </c>
      <c r="H126" s="175">
        <f>'13. Desinvesteringen'!G409</f>
        <v>2022</v>
      </c>
      <c r="I126" s="37" t="str">
        <f>'13. Desinvesteringen'!C409</f>
        <v>16 LNG installaties</v>
      </c>
      <c r="J126" s="164">
        <f>'13. Desinvesteringen'!F409</f>
        <v>0</v>
      </c>
      <c r="K126" s="38">
        <f>_xlfn.XLOOKUP(I126,'3. Input (des)investeringen '!$B$11:$B$89,'3. Input (des)investeringen '!$E$11:$E$89)</f>
        <v>0</v>
      </c>
      <c r="L126" s="48"/>
      <c r="M126" s="38">
        <f>_xlfn.XLOOKUP(I126,'3. Input (des)investeringen '!$B$11:$B$89,'3. Input (des)investeringen '!$D$11:$D$89,0)</f>
        <v>30</v>
      </c>
      <c r="N126" s="38">
        <f t="shared" si="40"/>
        <v>0</v>
      </c>
      <c r="P126" s="43">
        <f t="shared" si="56"/>
        <v>0</v>
      </c>
      <c r="Q126" s="43">
        <f t="shared" si="56"/>
        <v>0</v>
      </c>
      <c r="R126" s="43">
        <f t="shared" si="56"/>
        <v>0</v>
      </c>
      <c r="S126" s="43">
        <f t="shared" si="56"/>
        <v>0</v>
      </c>
      <c r="T126" s="43">
        <f t="shared" si="56"/>
        <v>0</v>
      </c>
      <c r="V126" s="43">
        <f t="shared" si="35"/>
        <v>0</v>
      </c>
      <c r="W126" s="43">
        <f t="shared" si="36"/>
        <v>0</v>
      </c>
      <c r="X126" s="43">
        <f t="shared" si="37"/>
        <v>0</v>
      </c>
      <c r="Y126" s="43">
        <f t="shared" si="38"/>
        <v>0</v>
      </c>
      <c r="Z126" s="43">
        <f t="shared" si="39"/>
        <v>0</v>
      </c>
      <c r="AB126" s="43">
        <f t="shared" si="41"/>
        <v>0</v>
      </c>
      <c r="AC126" s="43">
        <f t="shared" si="42"/>
        <v>0</v>
      </c>
      <c r="AD126" s="43">
        <f t="shared" si="43"/>
        <v>0</v>
      </c>
      <c r="AE126" s="43">
        <f t="shared" si="44"/>
        <v>0</v>
      </c>
      <c r="AF126" s="43">
        <f t="shared" si="45"/>
        <v>0</v>
      </c>
      <c r="AH126" s="43">
        <f t="shared" si="46"/>
        <v>0</v>
      </c>
      <c r="AI126" s="43">
        <f t="shared" si="47"/>
        <v>0</v>
      </c>
      <c r="AJ126" s="43">
        <f t="shared" si="48"/>
        <v>0</v>
      </c>
      <c r="AK126" s="43">
        <f t="shared" si="49"/>
        <v>0</v>
      </c>
      <c r="AL126" s="43">
        <f t="shared" si="50"/>
        <v>0</v>
      </c>
      <c r="AN126" s="47">
        <f t="shared" si="51"/>
        <v>0</v>
      </c>
      <c r="AO126" s="47">
        <f t="shared" si="52"/>
        <v>0</v>
      </c>
      <c r="AP126" s="47">
        <f t="shared" si="53"/>
        <v>0</v>
      </c>
      <c r="AQ126" s="47">
        <f t="shared" si="54"/>
        <v>0</v>
      </c>
      <c r="AR126" s="43">
        <f t="shared" si="55"/>
        <v>0</v>
      </c>
      <c r="AY126" s="3"/>
    </row>
    <row r="127" spans="1:51" ht="13">
      <c r="A127" s="48"/>
      <c r="B127" s="37">
        <f>'13. Desinvesteringen'!B410</f>
        <v>391</v>
      </c>
      <c r="C127" s="48"/>
      <c r="D127" s="48"/>
      <c r="E127" s="48"/>
      <c r="F127" s="42">
        <f>'5. Input GAW-waarde desinv.'!D86</f>
        <v>614953.64546122367</v>
      </c>
      <c r="G127" s="175">
        <f>'13. Desinvesteringen'!D410</f>
        <v>1998</v>
      </c>
      <c r="H127" s="175">
        <f>'13. Desinvesteringen'!G410</f>
        <v>2022</v>
      </c>
      <c r="I127" s="37" t="str">
        <f>'13. Desinvesteringen'!C410</f>
        <v>16 LNG installaties</v>
      </c>
      <c r="J127" s="164">
        <f>'13. Desinvesteringen'!F410</f>
        <v>0</v>
      </c>
      <c r="K127" s="38">
        <f>_xlfn.XLOOKUP(I127,'3. Input (des)investeringen '!$B$11:$B$89,'3. Input (des)investeringen '!$E$11:$E$89)</f>
        <v>0</v>
      </c>
      <c r="L127" s="48"/>
      <c r="M127" s="38">
        <f>_xlfn.XLOOKUP(I127,'3. Input (des)investeringen '!$B$11:$B$89,'3. Input (des)investeringen '!$D$11:$D$89,0)</f>
        <v>30</v>
      </c>
      <c r="N127" s="38">
        <f t="shared" si="40"/>
        <v>6.5</v>
      </c>
      <c r="P127" s="43">
        <f t="shared" si="56"/>
        <v>110691.65618302027</v>
      </c>
      <c r="Q127" s="43">
        <f t="shared" si="56"/>
        <v>88553.324946416207</v>
      </c>
      <c r="R127" s="43">
        <f t="shared" si="56"/>
        <v>78714.066619036632</v>
      </c>
      <c r="S127" s="43">
        <f t="shared" si="56"/>
        <v>78714.066619036632</v>
      </c>
      <c r="T127" s="43">
        <f t="shared" si="56"/>
        <v>78714.066619036632</v>
      </c>
      <c r="V127" s="43">
        <f t="shared" si="35"/>
        <v>9460.8253147880587</v>
      </c>
      <c r="W127" s="43">
        <f t="shared" si="36"/>
        <v>9460.8253147880569</v>
      </c>
      <c r="X127" s="43">
        <f t="shared" si="37"/>
        <v>9460.8253147880569</v>
      </c>
      <c r="Y127" s="43">
        <f t="shared" si="38"/>
        <v>9460.8253147880569</v>
      </c>
      <c r="Z127" s="43">
        <f t="shared" si="39"/>
        <v>9460.8253147880569</v>
      </c>
      <c r="AB127" s="43">
        <f t="shared" si="41"/>
        <v>120152.48149780833</v>
      </c>
      <c r="AC127" s="43">
        <f t="shared" si="42"/>
        <v>98014.150261204268</v>
      </c>
      <c r="AD127" s="43">
        <f t="shared" si="43"/>
        <v>88174.891933824692</v>
      </c>
      <c r="AE127" s="43">
        <f t="shared" si="44"/>
        <v>88174.891933824692</v>
      </c>
      <c r="AF127" s="43">
        <f t="shared" si="45"/>
        <v>88174.891933824692</v>
      </c>
      <c r="AH127" s="43">
        <f t="shared" si="46"/>
        <v>494801.16396341531</v>
      </c>
      <c r="AI127" s="43">
        <f t="shared" si="47"/>
        <v>396787.01370221103</v>
      </c>
      <c r="AJ127" s="43">
        <f t="shared" si="48"/>
        <v>308612.12176838634</v>
      </c>
      <c r="AK127" s="43">
        <f t="shared" si="49"/>
        <v>220437.22983456164</v>
      </c>
      <c r="AL127" s="43">
        <f t="shared" si="50"/>
        <v>132262.33790073695</v>
      </c>
      <c r="AN127" s="47">
        <f t="shared" si="51"/>
        <v>140439.32922030837</v>
      </c>
      <c r="AO127" s="47">
        <f t="shared" si="52"/>
        <v>118250.28796001703</v>
      </c>
      <c r="AP127" s="47">
        <f t="shared" si="53"/>
        <v>103914.11014401239</v>
      </c>
      <c r="AQ127" s="47">
        <f t="shared" si="54"/>
        <v>100298.93957472558</v>
      </c>
      <c r="AR127" s="43">
        <f t="shared" si="55"/>
        <v>93200.860774052693</v>
      </c>
      <c r="AY127" s="3"/>
    </row>
    <row r="128" spans="1:51" ht="13">
      <c r="A128" s="48"/>
      <c r="B128" s="37">
        <f>'13. Desinvesteringen'!B411</f>
        <v>392</v>
      </c>
      <c r="C128" s="48"/>
      <c r="D128" s="48"/>
      <c r="E128" s="48"/>
      <c r="F128" s="42">
        <f>'5. Input GAW-waarde desinv.'!D87</f>
        <v>61437.139832305947</v>
      </c>
      <c r="G128" s="175">
        <f>'13. Desinvesteringen'!D411</f>
        <v>2019</v>
      </c>
      <c r="H128" s="175">
        <f>'13. Desinvesteringen'!G411</f>
        <v>2022</v>
      </c>
      <c r="I128" s="37" t="str">
        <f>'13. Desinvesteringen'!C411</f>
        <v>17 Mengstations</v>
      </c>
      <c r="J128" s="164">
        <f>'13. Desinvesteringen'!F411</f>
        <v>0</v>
      </c>
      <c r="K128" s="38">
        <f>_xlfn.XLOOKUP(I128,'3. Input (des)investeringen '!$B$11:$B$89,'3. Input (des)investeringen '!$E$11:$E$89)</f>
        <v>0</v>
      </c>
      <c r="L128" s="48"/>
      <c r="M128" s="38">
        <f>_xlfn.XLOOKUP(I128,'3. Input (des)investeringen '!$B$11:$B$89,'3. Input (des)investeringen '!$D$11:$D$89,0)</f>
        <v>30</v>
      </c>
      <c r="N128" s="38">
        <f t="shared" si="40"/>
        <v>27.5</v>
      </c>
      <c r="P128" s="43">
        <f t="shared" si="56"/>
        <v>2613.8710401381077</v>
      </c>
      <c r="Q128" s="43">
        <f t="shared" si="56"/>
        <v>2490.3062273315791</v>
      </c>
      <c r="R128" s="43">
        <f t="shared" si="56"/>
        <v>2372.5826602213592</v>
      </c>
      <c r="S128" s="43">
        <f t="shared" si="56"/>
        <v>2260.4242071927129</v>
      </c>
      <c r="T128" s="43">
        <f t="shared" si="56"/>
        <v>2153.5677901254212</v>
      </c>
      <c r="V128" s="43">
        <f t="shared" si="35"/>
        <v>223.40778120838527</v>
      </c>
      <c r="W128" s="43">
        <f t="shared" si="36"/>
        <v>223.40778120838527</v>
      </c>
      <c r="X128" s="43">
        <f t="shared" si="37"/>
        <v>223.40778120838527</v>
      </c>
      <c r="Y128" s="43">
        <f t="shared" si="38"/>
        <v>223.40778120838527</v>
      </c>
      <c r="Z128" s="43">
        <f t="shared" si="39"/>
        <v>223.40778120838527</v>
      </c>
      <c r="AB128" s="43">
        <f t="shared" si="41"/>
        <v>2837.2788213464928</v>
      </c>
      <c r="AC128" s="43">
        <f t="shared" si="42"/>
        <v>2713.7140085399642</v>
      </c>
      <c r="AD128" s="43">
        <f t="shared" si="43"/>
        <v>2595.9904414297444</v>
      </c>
      <c r="AE128" s="43">
        <f t="shared" si="44"/>
        <v>2483.831988401098</v>
      </c>
      <c r="AF128" s="43">
        <f t="shared" si="45"/>
        <v>2376.9755713338063</v>
      </c>
      <c r="AH128" s="43">
        <f t="shared" si="46"/>
        <v>58599.861010959452</v>
      </c>
      <c r="AI128" s="43">
        <f t="shared" si="47"/>
        <v>55886.147002419486</v>
      </c>
      <c r="AJ128" s="43">
        <f t="shared" si="48"/>
        <v>53290.156560989744</v>
      </c>
      <c r="AK128" s="43">
        <f t="shared" si="49"/>
        <v>50806.324572588645</v>
      </c>
      <c r="AL128" s="43">
        <f t="shared" si="50"/>
        <v>48429.349001254835</v>
      </c>
      <c r="AN128" s="47">
        <f t="shared" si="51"/>
        <v>5239.8731227958306</v>
      </c>
      <c r="AO128" s="47">
        <f t="shared" si="52"/>
        <v>5563.9075056633574</v>
      </c>
      <c r="AP128" s="47">
        <f t="shared" si="53"/>
        <v>5313.7884260402207</v>
      </c>
      <c r="AQ128" s="47">
        <f t="shared" si="54"/>
        <v>5278.1798398934734</v>
      </c>
      <c r="AR128" s="43">
        <f t="shared" si="55"/>
        <v>4217.2908333814903</v>
      </c>
      <c r="AY128" s="3"/>
    </row>
    <row r="129" spans="1:51" ht="13">
      <c r="A129" s="48"/>
      <c r="B129" s="37">
        <f>'13. Desinvesteringen'!B412</f>
        <v>393</v>
      </c>
      <c r="C129" s="48"/>
      <c r="D129" s="48"/>
      <c r="E129" s="48"/>
      <c r="F129" s="42">
        <f>'5. Input GAW-waarde desinv.'!D88</f>
        <v>0</v>
      </c>
      <c r="G129" s="175">
        <f>'13. Desinvesteringen'!D412</f>
        <v>1964</v>
      </c>
      <c r="H129" s="175">
        <f>'13. Desinvesteringen'!G412</f>
        <v>2022</v>
      </c>
      <c r="I129" s="37" t="str">
        <f>'13. Desinvesteringen'!C412</f>
        <v>21 Hoofdtransportleiding</v>
      </c>
      <c r="J129" s="164">
        <f>'13. Desinvesteringen'!F412</f>
        <v>0</v>
      </c>
      <c r="K129" s="38">
        <f>_xlfn.XLOOKUP(I129,'3. Input (des)investeringen '!$B$11:$B$89,'3. Input (des)investeringen '!$E$11:$E$89)</f>
        <v>1</v>
      </c>
      <c r="L129" s="48"/>
      <c r="M129" s="38">
        <f>_xlfn.XLOOKUP(I129,'3. Input (des)investeringen '!$B$11:$B$89,'3. Input (des)investeringen '!$D$11:$D$89,0)</f>
        <v>55</v>
      </c>
      <c r="N129" s="38">
        <f t="shared" si="40"/>
        <v>0</v>
      </c>
      <c r="P129" s="43">
        <f t="shared" si="56"/>
        <v>0</v>
      </c>
      <c r="Q129" s="43">
        <f t="shared" si="56"/>
        <v>0</v>
      </c>
      <c r="R129" s="43">
        <f t="shared" si="56"/>
        <v>0</v>
      </c>
      <c r="S129" s="43">
        <f t="shared" si="56"/>
        <v>0</v>
      </c>
      <c r="T129" s="43">
        <f t="shared" si="56"/>
        <v>0</v>
      </c>
      <c r="V129" s="43">
        <f t="shared" si="35"/>
        <v>0</v>
      </c>
      <c r="W129" s="43">
        <f t="shared" si="36"/>
        <v>0</v>
      </c>
      <c r="X129" s="43">
        <f t="shared" si="37"/>
        <v>0</v>
      </c>
      <c r="Y129" s="43">
        <f t="shared" si="38"/>
        <v>0</v>
      </c>
      <c r="Z129" s="43">
        <f t="shared" si="39"/>
        <v>0</v>
      </c>
      <c r="AB129" s="43">
        <f t="shared" si="41"/>
        <v>0</v>
      </c>
      <c r="AC129" s="43">
        <f t="shared" si="42"/>
        <v>0</v>
      </c>
      <c r="AD129" s="43">
        <f t="shared" si="43"/>
        <v>0</v>
      </c>
      <c r="AE129" s="43">
        <f t="shared" si="44"/>
        <v>0</v>
      </c>
      <c r="AF129" s="43">
        <f t="shared" si="45"/>
        <v>0</v>
      </c>
      <c r="AH129" s="43">
        <f t="shared" si="46"/>
        <v>0</v>
      </c>
      <c r="AI129" s="43">
        <f t="shared" si="47"/>
        <v>0</v>
      </c>
      <c r="AJ129" s="43">
        <f t="shared" si="48"/>
        <v>0</v>
      </c>
      <c r="AK129" s="43">
        <f t="shared" si="49"/>
        <v>0</v>
      </c>
      <c r="AL129" s="43">
        <f t="shared" si="50"/>
        <v>0</v>
      </c>
      <c r="AN129" s="47">
        <f t="shared" si="51"/>
        <v>0</v>
      </c>
      <c r="AO129" s="47">
        <f t="shared" si="52"/>
        <v>0</v>
      </c>
      <c r="AP129" s="47">
        <f t="shared" si="53"/>
        <v>0</v>
      </c>
      <c r="AQ129" s="47">
        <f t="shared" si="54"/>
        <v>0</v>
      </c>
      <c r="AR129" s="43">
        <f t="shared" si="55"/>
        <v>0</v>
      </c>
      <c r="AY129" s="3"/>
    </row>
    <row r="130" spans="1:51" ht="13">
      <c r="A130" s="48"/>
      <c r="B130" s="37">
        <f>'13. Desinvesteringen'!B413</f>
        <v>394</v>
      </c>
      <c r="C130" s="48"/>
      <c r="D130" s="48"/>
      <c r="E130" s="48"/>
      <c r="F130" s="42">
        <f>'5. Input GAW-waarde desinv.'!D89</f>
        <v>27710.301790765967</v>
      </c>
      <c r="G130" s="175">
        <f>'13. Desinvesteringen'!D413</f>
        <v>1977</v>
      </c>
      <c r="H130" s="175">
        <f>'13. Desinvesteringen'!G413</f>
        <v>2022</v>
      </c>
      <c r="I130" s="37" t="str">
        <f>'13. Desinvesteringen'!C413</f>
        <v>21 Hoofdtransportleiding</v>
      </c>
      <c r="J130" s="164">
        <f>'13. Desinvesteringen'!F413</f>
        <v>0</v>
      </c>
      <c r="K130" s="38">
        <f>_xlfn.XLOOKUP(I130,'3. Input (des)investeringen '!$B$11:$B$89,'3. Input (des)investeringen '!$E$11:$E$89)</f>
        <v>1</v>
      </c>
      <c r="L130" s="48"/>
      <c r="M130" s="38">
        <f>_xlfn.XLOOKUP(I130,'3. Input (des)investeringen '!$B$11:$B$89,'3. Input (des)investeringen '!$D$11:$D$89,0)</f>
        <v>55</v>
      </c>
      <c r="N130" s="38">
        <f t="shared" si="40"/>
        <v>10.5</v>
      </c>
      <c r="P130" s="43">
        <f t="shared" si="56"/>
        <v>3087.7193423996364</v>
      </c>
      <c r="Q130" s="43">
        <f t="shared" si="56"/>
        <v>2705.4302809596816</v>
      </c>
      <c r="R130" s="43">
        <f t="shared" si="56"/>
        <v>2370.4722461741972</v>
      </c>
      <c r="S130" s="43">
        <f t="shared" si="56"/>
        <v>2236.7532989541141</v>
      </c>
      <c r="T130" s="43">
        <f t="shared" si="56"/>
        <v>2236.7532989541141</v>
      </c>
      <c r="V130" s="43">
        <f t="shared" si="35"/>
        <v>263.90763610253305</v>
      </c>
      <c r="W130" s="43">
        <f t="shared" si="36"/>
        <v>263.90763610253305</v>
      </c>
      <c r="X130" s="43">
        <f t="shared" si="37"/>
        <v>263.90763610253305</v>
      </c>
      <c r="Y130" s="43">
        <f t="shared" si="38"/>
        <v>263.90763610253305</v>
      </c>
      <c r="Z130" s="43">
        <f t="shared" si="39"/>
        <v>263.90763610253305</v>
      </c>
      <c r="AB130" s="43">
        <f t="shared" si="41"/>
        <v>3351.6269785021695</v>
      </c>
      <c r="AC130" s="43">
        <f t="shared" si="42"/>
        <v>2969.3379170622147</v>
      </c>
      <c r="AD130" s="43">
        <f t="shared" si="43"/>
        <v>2634.3798822767303</v>
      </c>
      <c r="AE130" s="43">
        <f t="shared" si="44"/>
        <v>2500.6609350566473</v>
      </c>
      <c r="AF130" s="43">
        <f t="shared" si="45"/>
        <v>2500.6609350566473</v>
      </c>
      <c r="AH130" s="43">
        <f t="shared" si="46"/>
        <v>24358.674812263798</v>
      </c>
      <c r="AI130" s="43">
        <f t="shared" si="47"/>
        <v>21389.336895201584</v>
      </c>
      <c r="AJ130" s="43">
        <f t="shared" si="48"/>
        <v>18754.957012924853</v>
      </c>
      <c r="AK130" s="43">
        <f t="shared" si="49"/>
        <v>16254.296077868206</v>
      </c>
      <c r="AL130" s="43">
        <f t="shared" si="50"/>
        <v>13753.635142811559</v>
      </c>
      <c r="AN130" s="47">
        <f t="shared" si="51"/>
        <v>4350.3326458049851</v>
      </c>
      <c r="AO130" s="47">
        <f t="shared" si="52"/>
        <v>4060.1940987174958</v>
      </c>
      <c r="AP130" s="47">
        <f t="shared" si="53"/>
        <v>3590.8826899358978</v>
      </c>
      <c r="AQ130" s="47">
        <f t="shared" si="54"/>
        <v>3394.6472193393988</v>
      </c>
      <c r="AR130" s="43">
        <f t="shared" si="55"/>
        <v>3023.2990704834865</v>
      </c>
      <c r="AY130" s="3"/>
    </row>
    <row r="131" spans="1:51" ht="13">
      <c r="A131" s="48"/>
      <c r="B131" s="37">
        <f>'13. Desinvesteringen'!B414</f>
        <v>395</v>
      </c>
      <c r="C131" s="48"/>
      <c r="D131" s="48"/>
      <c r="E131" s="48"/>
      <c r="F131" s="42">
        <f>'5. Input GAW-waarde desinv.'!D90</f>
        <v>9353.7976978691713</v>
      </c>
      <c r="G131" s="175">
        <f>'13. Desinvesteringen'!D414</f>
        <v>1978</v>
      </c>
      <c r="H131" s="175">
        <f>'13. Desinvesteringen'!G414</f>
        <v>2022</v>
      </c>
      <c r="I131" s="37" t="str">
        <f>'13. Desinvesteringen'!C414</f>
        <v>21 Hoofdtransportleiding</v>
      </c>
      <c r="J131" s="164">
        <f>'13. Desinvesteringen'!F414</f>
        <v>0</v>
      </c>
      <c r="K131" s="38">
        <f>_xlfn.XLOOKUP(I131,'3. Input (des)investeringen '!$B$11:$B$89,'3. Input (des)investeringen '!$E$11:$E$89)</f>
        <v>1</v>
      </c>
      <c r="L131" s="48"/>
      <c r="M131" s="38">
        <f>_xlfn.XLOOKUP(I131,'3. Input (des)investeringen '!$B$11:$B$89,'3. Input (des)investeringen '!$D$11:$D$89,0)</f>
        <v>55</v>
      </c>
      <c r="N131" s="38">
        <f t="shared" si="40"/>
        <v>11.5</v>
      </c>
      <c r="P131" s="43">
        <f t="shared" si="56"/>
        <v>951.64724404408094</v>
      </c>
      <c r="Q131" s="43">
        <f t="shared" si="56"/>
        <v>844.06972949996748</v>
      </c>
      <c r="R131" s="43">
        <f t="shared" si="56"/>
        <v>748.65315138257984</v>
      </c>
      <c r="S131" s="43">
        <f t="shared" si="56"/>
        <v>691.06444743007376</v>
      </c>
      <c r="T131" s="43">
        <f t="shared" si="56"/>
        <v>691.06444743007376</v>
      </c>
      <c r="V131" s="43">
        <f t="shared" si="35"/>
        <v>81.33737128581889</v>
      </c>
      <c r="W131" s="43">
        <f t="shared" si="36"/>
        <v>81.33737128581889</v>
      </c>
      <c r="X131" s="43">
        <f t="shared" si="37"/>
        <v>81.33737128581889</v>
      </c>
      <c r="Y131" s="43">
        <f t="shared" si="38"/>
        <v>81.33737128581889</v>
      </c>
      <c r="Z131" s="43">
        <f t="shared" si="39"/>
        <v>81.33737128581889</v>
      </c>
      <c r="AB131" s="43">
        <f t="shared" si="41"/>
        <v>1032.9846153298997</v>
      </c>
      <c r="AC131" s="43">
        <f t="shared" si="42"/>
        <v>925.40710078578638</v>
      </c>
      <c r="AD131" s="43">
        <f t="shared" si="43"/>
        <v>829.99052266839874</v>
      </c>
      <c r="AE131" s="43">
        <f t="shared" si="44"/>
        <v>772.40181871589266</v>
      </c>
      <c r="AF131" s="43">
        <f t="shared" si="45"/>
        <v>772.40181871589266</v>
      </c>
      <c r="AH131" s="43">
        <f t="shared" si="46"/>
        <v>8320.8130825392709</v>
      </c>
      <c r="AI131" s="43">
        <f t="shared" si="47"/>
        <v>7395.4059817534844</v>
      </c>
      <c r="AJ131" s="43">
        <f t="shared" si="48"/>
        <v>6565.4154590850858</v>
      </c>
      <c r="AK131" s="43">
        <f t="shared" si="49"/>
        <v>5793.0136403691931</v>
      </c>
      <c r="AL131" s="43">
        <f t="shared" si="50"/>
        <v>5020.6118216533005</v>
      </c>
      <c r="AN131" s="47">
        <f t="shared" si="51"/>
        <v>1374.1379517140099</v>
      </c>
      <c r="AO131" s="47">
        <f t="shared" si="52"/>
        <v>1302.572805855214</v>
      </c>
      <c r="AP131" s="47">
        <f t="shared" si="53"/>
        <v>1164.826711081738</v>
      </c>
      <c r="AQ131" s="47">
        <f t="shared" si="54"/>
        <v>1091.0175689361984</v>
      </c>
      <c r="AR131" s="43">
        <f t="shared" si="55"/>
        <v>963.18506793871802</v>
      </c>
      <c r="AY131" s="3"/>
    </row>
    <row r="132" spans="1:51" ht="13">
      <c r="A132" s="48"/>
      <c r="B132" s="37">
        <f>'13. Desinvesteringen'!B415</f>
        <v>396</v>
      </c>
      <c r="C132" s="48"/>
      <c r="D132" s="48"/>
      <c r="E132" s="48"/>
      <c r="F132" s="42">
        <f>'5. Input GAW-waarde desinv.'!D91</f>
        <v>27670.188323616749</v>
      </c>
      <c r="G132" s="175">
        <f>'13. Desinvesteringen'!D415</f>
        <v>1983</v>
      </c>
      <c r="H132" s="175">
        <f>'13. Desinvesteringen'!G415</f>
        <v>2022</v>
      </c>
      <c r="I132" s="37" t="str">
        <f>'13. Desinvesteringen'!C415</f>
        <v>21 Hoofdtransportleiding</v>
      </c>
      <c r="J132" s="164">
        <f>'13. Desinvesteringen'!F415</f>
        <v>0</v>
      </c>
      <c r="K132" s="38">
        <f>_xlfn.XLOOKUP(I132,'3. Input (des)investeringen '!$B$11:$B$89,'3. Input (des)investeringen '!$E$11:$E$89)</f>
        <v>1</v>
      </c>
      <c r="L132" s="48"/>
      <c r="M132" s="38">
        <f>_xlfn.XLOOKUP(I132,'3. Input (des)investeringen '!$B$11:$B$89,'3. Input (des)investeringen '!$D$11:$D$89,0)</f>
        <v>55</v>
      </c>
      <c r="N132" s="38">
        <f t="shared" si="40"/>
        <v>16.5</v>
      </c>
      <c r="P132" s="43">
        <f t="shared" ref="P132:T141" si="57">IF($M132&gt;0, IF(OR($G132&gt;P$50,$G132+$M132&lt;P$50),0,
VDB($F132,0,$N132,MAX(0,P$50-2022),MIN($N132,P$50-2021),$F$23,FALSE))*(1-$F$26), 0)</f>
        <v>1962.0678993110062</v>
      </c>
      <c r="Q132" s="43">
        <f t="shared" si="57"/>
        <v>1807.4807314865025</v>
      </c>
      <c r="R132" s="43">
        <f t="shared" si="57"/>
        <v>1665.0731587027176</v>
      </c>
      <c r="S132" s="43">
        <f t="shared" si="57"/>
        <v>1533.8855765018973</v>
      </c>
      <c r="T132" s="43">
        <f t="shared" si="57"/>
        <v>1434.7729700202362</v>
      </c>
      <c r="V132" s="43">
        <f t="shared" si="35"/>
        <v>167.69811105222274</v>
      </c>
      <c r="W132" s="43">
        <f t="shared" si="36"/>
        <v>167.69811105222271</v>
      </c>
      <c r="X132" s="43">
        <f t="shared" si="37"/>
        <v>167.69811105222271</v>
      </c>
      <c r="Y132" s="43">
        <f t="shared" si="38"/>
        <v>167.69811105222271</v>
      </c>
      <c r="Z132" s="43">
        <f t="shared" si="39"/>
        <v>167.69811105222271</v>
      </c>
      <c r="AB132" s="43">
        <f t="shared" si="41"/>
        <v>2129.7660103632288</v>
      </c>
      <c r="AC132" s="43">
        <f t="shared" si="42"/>
        <v>1975.1788425387251</v>
      </c>
      <c r="AD132" s="43">
        <f t="shared" si="43"/>
        <v>1832.7712697549402</v>
      </c>
      <c r="AE132" s="43">
        <f t="shared" si="44"/>
        <v>1701.5836875541199</v>
      </c>
      <c r="AF132" s="43">
        <f t="shared" si="45"/>
        <v>1602.4710810724589</v>
      </c>
      <c r="AH132" s="43">
        <f t="shared" si="46"/>
        <v>25540.422313253519</v>
      </c>
      <c r="AI132" s="43">
        <f t="shared" si="47"/>
        <v>23565.243470714795</v>
      </c>
      <c r="AJ132" s="43">
        <f t="shared" si="48"/>
        <v>21732.472200959855</v>
      </c>
      <c r="AK132" s="43">
        <f t="shared" si="49"/>
        <v>20030.888513405735</v>
      </c>
      <c r="AL132" s="43">
        <f t="shared" si="50"/>
        <v>18428.417432333277</v>
      </c>
      <c r="AN132" s="47">
        <f t="shared" si="51"/>
        <v>3176.9233252066233</v>
      </c>
      <c r="AO132" s="47">
        <f t="shared" si="52"/>
        <v>3177.0062595451795</v>
      </c>
      <c r="AP132" s="47">
        <f t="shared" si="53"/>
        <v>2941.1273520038931</v>
      </c>
      <c r="AQ132" s="47">
        <f t="shared" si="54"/>
        <v>2803.2825557914352</v>
      </c>
      <c r="AR132" s="43">
        <f t="shared" si="55"/>
        <v>2302.7509435011234</v>
      </c>
      <c r="AY132" s="3"/>
    </row>
    <row r="133" spans="1:51" ht="13">
      <c r="A133" s="48"/>
      <c r="B133" s="37">
        <f>'13. Desinvesteringen'!B416</f>
        <v>397</v>
      </c>
      <c r="C133" s="48"/>
      <c r="D133" s="48"/>
      <c r="E133" s="48"/>
      <c r="F133" s="42">
        <f>'5. Input GAW-waarde desinv.'!D92</f>
        <v>65069.242178936642</v>
      </c>
      <c r="G133" s="175">
        <f>'13. Desinvesteringen'!D416</f>
        <v>1987</v>
      </c>
      <c r="H133" s="175">
        <f>'13. Desinvesteringen'!G416</f>
        <v>2022</v>
      </c>
      <c r="I133" s="37" t="str">
        <f>'13. Desinvesteringen'!C416</f>
        <v>21 Hoofdtransportleiding</v>
      </c>
      <c r="J133" s="164">
        <f>'13. Desinvesteringen'!F416</f>
        <v>0</v>
      </c>
      <c r="K133" s="38">
        <f>_xlfn.XLOOKUP(I133,'3. Input (des)investeringen '!$B$11:$B$89,'3. Input (des)investeringen '!$E$11:$E$89)</f>
        <v>1</v>
      </c>
      <c r="L133" s="48"/>
      <c r="M133" s="38">
        <f>_xlfn.XLOOKUP(I133,'3. Input (des)investeringen '!$B$11:$B$89,'3. Input (des)investeringen '!$D$11:$D$89,0)</f>
        <v>55</v>
      </c>
      <c r="N133" s="38">
        <f t="shared" si="40"/>
        <v>20.5</v>
      </c>
      <c r="P133" s="43">
        <f t="shared" si="57"/>
        <v>3713.7079682612616</v>
      </c>
      <c r="Q133" s="43">
        <f t="shared" si="57"/>
        <v>3478.2045361276209</v>
      </c>
      <c r="R133" s="43">
        <f t="shared" si="57"/>
        <v>3257.6354679829424</v>
      </c>
      <c r="S133" s="43">
        <f t="shared" si="57"/>
        <v>3051.0537065986582</v>
      </c>
      <c r="T133" s="43">
        <f t="shared" si="57"/>
        <v>2857.572252033865</v>
      </c>
      <c r="V133" s="43">
        <f t="shared" si="35"/>
        <v>317.41093745822758</v>
      </c>
      <c r="W133" s="43">
        <f t="shared" si="36"/>
        <v>317.41093745822758</v>
      </c>
      <c r="X133" s="43">
        <f t="shared" si="37"/>
        <v>317.41093745822758</v>
      </c>
      <c r="Y133" s="43">
        <f t="shared" si="38"/>
        <v>317.41093745822758</v>
      </c>
      <c r="Z133" s="43">
        <f t="shared" si="39"/>
        <v>317.41093745822758</v>
      </c>
      <c r="AB133" s="43">
        <f t="shared" si="41"/>
        <v>4031.1189057194892</v>
      </c>
      <c r="AC133" s="43">
        <f t="shared" si="42"/>
        <v>3795.6154735858486</v>
      </c>
      <c r="AD133" s="43">
        <f t="shared" si="43"/>
        <v>3575.04640544117</v>
      </c>
      <c r="AE133" s="43">
        <f t="shared" si="44"/>
        <v>3368.4646440568858</v>
      </c>
      <c r="AF133" s="43">
        <f t="shared" si="45"/>
        <v>3174.9831894920926</v>
      </c>
      <c r="AH133" s="43">
        <f t="shared" si="46"/>
        <v>61038.123273217156</v>
      </c>
      <c r="AI133" s="43">
        <f t="shared" si="47"/>
        <v>57242.507799631305</v>
      </c>
      <c r="AJ133" s="43">
        <f t="shared" si="48"/>
        <v>53667.461394190133</v>
      </c>
      <c r="AK133" s="43">
        <f t="shared" si="49"/>
        <v>50298.99675013325</v>
      </c>
      <c r="AL133" s="43">
        <f t="shared" si="50"/>
        <v>47124.013560641157</v>
      </c>
      <c r="AN133" s="47">
        <f t="shared" si="51"/>
        <v>6533.6819599213923</v>
      </c>
      <c r="AO133" s="47">
        <f t="shared" si="52"/>
        <v>6714.983371367045</v>
      </c>
      <c r="AP133" s="47">
        <f t="shared" si="53"/>
        <v>6312.0869365448671</v>
      </c>
      <c r="AQ133" s="47">
        <f t="shared" si="54"/>
        <v>6134.9094653142147</v>
      </c>
      <c r="AR133" s="43">
        <f t="shared" si="55"/>
        <v>4965.695704796457</v>
      </c>
      <c r="AY133" s="3"/>
    </row>
    <row r="134" spans="1:51" ht="13">
      <c r="A134" s="48"/>
      <c r="B134" s="37">
        <f>'13. Desinvesteringen'!B417</f>
        <v>398</v>
      </c>
      <c r="C134" s="48"/>
      <c r="D134" s="48"/>
      <c r="E134" s="48"/>
      <c r="F134" s="42">
        <f>'5. Input GAW-waarde desinv.'!D93</f>
        <v>0</v>
      </c>
      <c r="G134" s="175">
        <f>'13. Desinvesteringen'!D417</f>
        <v>1964</v>
      </c>
      <c r="H134" s="175">
        <f>'13. Desinvesteringen'!G417</f>
        <v>2022</v>
      </c>
      <c r="I134" s="37" t="str">
        <f>'13. Desinvesteringen'!C417</f>
        <v>32 M&amp;R stations</v>
      </c>
      <c r="J134" s="164">
        <f>'13. Desinvesteringen'!F417</f>
        <v>0</v>
      </c>
      <c r="K134" s="38">
        <f>_xlfn.XLOOKUP(I134,'3. Input (des)investeringen '!$B$11:$B$89,'3. Input (des)investeringen '!$E$11:$E$89)</f>
        <v>1</v>
      </c>
      <c r="L134" s="48"/>
      <c r="M134" s="38">
        <f>_xlfn.XLOOKUP(I134,'3. Input (des)investeringen '!$B$11:$B$89,'3. Input (des)investeringen '!$D$11:$D$89,0)</f>
        <v>30</v>
      </c>
      <c r="N134" s="38">
        <f t="shared" si="40"/>
        <v>0</v>
      </c>
      <c r="P134" s="43">
        <f t="shared" si="57"/>
        <v>0</v>
      </c>
      <c r="Q134" s="43">
        <f t="shared" si="57"/>
        <v>0</v>
      </c>
      <c r="R134" s="43">
        <f t="shared" si="57"/>
        <v>0</v>
      </c>
      <c r="S134" s="43">
        <f t="shared" si="57"/>
        <v>0</v>
      </c>
      <c r="T134" s="43">
        <f t="shared" si="57"/>
        <v>0</v>
      </c>
      <c r="V134" s="43">
        <f t="shared" si="35"/>
        <v>0</v>
      </c>
      <c r="W134" s="43">
        <f t="shared" si="36"/>
        <v>0</v>
      </c>
      <c r="X134" s="43">
        <f t="shared" si="37"/>
        <v>0</v>
      </c>
      <c r="Y134" s="43">
        <f t="shared" si="38"/>
        <v>0</v>
      </c>
      <c r="Z134" s="43">
        <f t="shared" si="39"/>
        <v>0</v>
      </c>
      <c r="AB134" s="43">
        <f t="shared" si="41"/>
        <v>0</v>
      </c>
      <c r="AC134" s="43">
        <f t="shared" si="42"/>
        <v>0</v>
      </c>
      <c r="AD134" s="43">
        <f t="shared" si="43"/>
        <v>0</v>
      </c>
      <c r="AE134" s="43">
        <f t="shared" si="44"/>
        <v>0</v>
      </c>
      <c r="AF134" s="43">
        <f t="shared" si="45"/>
        <v>0</v>
      </c>
      <c r="AH134" s="43">
        <f t="shared" si="46"/>
        <v>0</v>
      </c>
      <c r="AI134" s="43">
        <f t="shared" si="47"/>
        <v>0</v>
      </c>
      <c r="AJ134" s="43">
        <f t="shared" si="48"/>
        <v>0</v>
      </c>
      <c r="AK134" s="43">
        <f t="shared" si="49"/>
        <v>0</v>
      </c>
      <c r="AL134" s="43">
        <f t="shared" si="50"/>
        <v>0</v>
      </c>
      <c r="AN134" s="47">
        <f t="shared" si="51"/>
        <v>0</v>
      </c>
      <c r="AO134" s="47">
        <f t="shared" si="52"/>
        <v>0</v>
      </c>
      <c r="AP134" s="47">
        <f t="shared" si="53"/>
        <v>0</v>
      </c>
      <c r="AQ134" s="47">
        <f t="shared" si="54"/>
        <v>0</v>
      </c>
      <c r="AR134" s="43">
        <f t="shared" si="55"/>
        <v>0</v>
      </c>
      <c r="AY134" s="3"/>
    </row>
    <row r="135" spans="1:51" ht="13">
      <c r="A135" s="48"/>
      <c r="B135" s="37">
        <f>'13. Desinvesteringen'!B418</f>
        <v>399</v>
      </c>
      <c r="C135" s="48"/>
      <c r="D135" s="48"/>
      <c r="E135" s="48"/>
      <c r="F135" s="42">
        <f>'5. Input GAW-waarde desinv.'!D94</f>
        <v>0</v>
      </c>
      <c r="G135" s="175">
        <f>'13. Desinvesteringen'!D418</f>
        <v>1967</v>
      </c>
      <c r="H135" s="175">
        <f>'13. Desinvesteringen'!G418</f>
        <v>2022</v>
      </c>
      <c r="I135" s="37" t="str">
        <f>'13. Desinvesteringen'!C418</f>
        <v>32 M&amp;R stations</v>
      </c>
      <c r="J135" s="164">
        <f>'13. Desinvesteringen'!F418</f>
        <v>0</v>
      </c>
      <c r="K135" s="38">
        <f>_xlfn.XLOOKUP(I135,'3. Input (des)investeringen '!$B$11:$B$89,'3. Input (des)investeringen '!$E$11:$E$89)</f>
        <v>1</v>
      </c>
      <c r="L135" s="48"/>
      <c r="M135" s="38">
        <f>_xlfn.XLOOKUP(I135,'3. Input (des)investeringen '!$B$11:$B$89,'3. Input (des)investeringen '!$D$11:$D$89,0)</f>
        <v>30</v>
      </c>
      <c r="N135" s="38">
        <f t="shared" si="40"/>
        <v>0</v>
      </c>
      <c r="P135" s="43">
        <f t="shared" si="57"/>
        <v>0</v>
      </c>
      <c r="Q135" s="43">
        <f t="shared" si="57"/>
        <v>0</v>
      </c>
      <c r="R135" s="43">
        <f t="shared" si="57"/>
        <v>0</v>
      </c>
      <c r="S135" s="43">
        <f t="shared" si="57"/>
        <v>0</v>
      </c>
      <c r="T135" s="43">
        <f t="shared" si="57"/>
        <v>0</v>
      </c>
      <c r="V135" s="43">
        <f t="shared" si="35"/>
        <v>0</v>
      </c>
      <c r="W135" s="43">
        <f t="shared" si="36"/>
        <v>0</v>
      </c>
      <c r="X135" s="43">
        <f t="shared" si="37"/>
        <v>0</v>
      </c>
      <c r="Y135" s="43">
        <f t="shared" si="38"/>
        <v>0</v>
      </c>
      <c r="Z135" s="43">
        <f t="shared" si="39"/>
        <v>0</v>
      </c>
      <c r="AB135" s="43">
        <f t="shared" si="41"/>
        <v>0</v>
      </c>
      <c r="AC135" s="43">
        <f t="shared" si="42"/>
        <v>0</v>
      </c>
      <c r="AD135" s="43">
        <f t="shared" si="43"/>
        <v>0</v>
      </c>
      <c r="AE135" s="43">
        <f t="shared" si="44"/>
        <v>0</v>
      </c>
      <c r="AF135" s="43">
        <f t="shared" si="45"/>
        <v>0</v>
      </c>
      <c r="AH135" s="43">
        <f t="shared" si="46"/>
        <v>0</v>
      </c>
      <c r="AI135" s="43">
        <f t="shared" si="47"/>
        <v>0</v>
      </c>
      <c r="AJ135" s="43">
        <f t="shared" si="48"/>
        <v>0</v>
      </c>
      <c r="AK135" s="43">
        <f t="shared" si="49"/>
        <v>0</v>
      </c>
      <c r="AL135" s="43">
        <f t="shared" si="50"/>
        <v>0</v>
      </c>
      <c r="AN135" s="47">
        <f t="shared" si="51"/>
        <v>0</v>
      </c>
      <c r="AO135" s="47">
        <f t="shared" si="52"/>
        <v>0</v>
      </c>
      <c r="AP135" s="47">
        <f t="shared" si="53"/>
        <v>0</v>
      </c>
      <c r="AQ135" s="47">
        <f t="shared" si="54"/>
        <v>0</v>
      </c>
      <c r="AR135" s="43">
        <f t="shared" si="55"/>
        <v>0</v>
      </c>
      <c r="AY135" s="3"/>
    </row>
    <row r="136" spans="1:51" ht="13">
      <c r="A136" s="48"/>
      <c r="B136" s="37">
        <f>'13. Desinvesteringen'!B419</f>
        <v>400</v>
      </c>
      <c r="C136" s="48"/>
      <c r="D136" s="48"/>
      <c r="E136" s="48"/>
      <c r="F136" s="42">
        <f>'5. Input GAW-waarde desinv.'!D95</f>
        <v>0</v>
      </c>
      <c r="G136" s="175">
        <f>'13. Desinvesteringen'!D419</f>
        <v>1968</v>
      </c>
      <c r="H136" s="175">
        <f>'13. Desinvesteringen'!G419</f>
        <v>2022</v>
      </c>
      <c r="I136" s="37" t="str">
        <f>'13. Desinvesteringen'!C419</f>
        <v>32 M&amp;R stations</v>
      </c>
      <c r="J136" s="164">
        <f>'13. Desinvesteringen'!F419</f>
        <v>0</v>
      </c>
      <c r="K136" s="38">
        <f>_xlfn.XLOOKUP(I136,'3. Input (des)investeringen '!$B$11:$B$89,'3. Input (des)investeringen '!$E$11:$E$89)</f>
        <v>1</v>
      </c>
      <c r="L136" s="48"/>
      <c r="M136" s="38">
        <f>_xlfn.XLOOKUP(I136,'3. Input (des)investeringen '!$B$11:$B$89,'3. Input (des)investeringen '!$D$11:$D$89,0)</f>
        <v>30</v>
      </c>
      <c r="N136" s="38">
        <f t="shared" si="40"/>
        <v>0</v>
      </c>
      <c r="P136" s="43">
        <f t="shared" si="57"/>
        <v>0</v>
      </c>
      <c r="Q136" s="43">
        <f t="shared" si="57"/>
        <v>0</v>
      </c>
      <c r="R136" s="43">
        <f t="shared" si="57"/>
        <v>0</v>
      </c>
      <c r="S136" s="43">
        <f t="shared" si="57"/>
        <v>0</v>
      </c>
      <c r="T136" s="43">
        <f t="shared" si="57"/>
        <v>0</v>
      </c>
      <c r="V136" s="43">
        <f t="shared" si="35"/>
        <v>0</v>
      </c>
      <c r="W136" s="43">
        <f t="shared" si="36"/>
        <v>0</v>
      </c>
      <c r="X136" s="43">
        <f t="shared" si="37"/>
        <v>0</v>
      </c>
      <c r="Y136" s="43">
        <f t="shared" si="38"/>
        <v>0</v>
      </c>
      <c r="Z136" s="43">
        <f t="shared" si="39"/>
        <v>0</v>
      </c>
      <c r="AB136" s="43">
        <f t="shared" si="41"/>
        <v>0</v>
      </c>
      <c r="AC136" s="43">
        <f t="shared" si="42"/>
        <v>0</v>
      </c>
      <c r="AD136" s="43">
        <f t="shared" si="43"/>
        <v>0</v>
      </c>
      <c r="AE136" s="43">
        <f t="shared" si="44"/>
        <v>0</v>
      </c>
      <c r="AF136" s="43">
        <f t="shared" si="45"/>
        <v>0</v>
      </c>
      <c r="AH136" s="43">
        <f t="shared" si="46"/>
        <v>0</v>
      </c>
      <c r="AI136" s="43">
        <f t="shared" si="47"/>
        <v>0</v>
      </c>
      <c r="AJ136" s="43">
        <f t="shared" si="48"/>
        <v>0</v>
      </c>
      <c r="AK136" s="43">
        <f t="shared" si="49"/>
        <v>0</v>
      </c>
      <c r="AL136" s="43">
        <f t="shared" si="50"/>
        <v>0</v>
      </c>
      <c r="AN136" s="47">
        <f t="shared" si="51"/>
        <v>0</v>
      </c>
      <c r="AO136" s="47">
        <f t="shared" si="52"/>
        <v>0</v>
      </c>
      <c r="AP136" s="47">
        <f t="shared" si="53"/>
        <v>0</v>
      </c>
      <c r="AQ136" s="47">
        <f t="shared" si="54"/>
        <v>0</v>
      </c>
      <c r="AR136" s="43">
        <f t="shared" si="55"/>
        <v>0</v>
      </c>
      <c r="AY136" s="3"/>
    </row>
    <row r="137" spans="1:51" ht="13">
      <c r="A137" s="48"/>
      <c r="B137" s="37">
        <f>'13. Desinvesteringen'!B420</f>
        <v>401</v>
      </c>
      <c r="C137" s="48"/>
      <c r="D137" s="48"/>
      <c r="E137" s="48"/>
      <c r="F137" s="42">
        <f>'5. Input GAW-waarde desinv.'!D96</f>
        <v>0</v>
      </c>
      <c r="G137" s="175">
        <f>'13. Desinvesteringen'!D420</f>
        <v>1969</v>
      </c>
      <c r="H137" s="175">
        <f>'13. Desinvesteringen'!G420</f>
        <v>2022</v>
      </c>
      <c r="I137" s="37" t="str">
        <f>'13. Desinvesteringen'!C420</f>
        <v>32 M&amp;R stations</v>
      </c>
      <c r="J137" s="164">
        <f>'13. Desinvesteringen'!F420</f>
        <v>0</v>
      </c>
      <c r="K137" s="38">
        <f>_xlfn.XLOOKUP(I137,'3. Input (des)investeringen '!$B$11:$B$89,'3. Input (des)investeringen '!$E$11:$E$89)</f>
        <v>1</v>
      </c>
      <c r="L137" s="48"/>
      <c r="M137" s="38">
        <f>_xlfn.XLOOKUP(I137,'3. Input (des)investeringen '!$B$11:$B$89,'3. Input (des)investeringen '!$D$11:$D$89,0)</f>
        <v>30</v>
      </c>
      <c r="N137" s="38">
        <f t="shared" si="40"/>
        <v>0</v>
      </c>
      <c r="P137" s="43">
        <f t="shared" si="57"/>
        <v>0</v>
      </c>
      <c r="Q137" s="43">
        <f t="shared" si="57"/>
        <v>0</v>
      </c>
      <c r="R137" s="43">
        <f t="shared" si="57"/>
        <v>0</v>
      </c>
      <c r="S137" s="43">
        <f t="shared" si="57"/>
        <v>0</v>
      </c>
      <c r="T137" s="43">
        <f t="shared" si="57"/>
        <v>0</v>
      </c>
      <c r="V137" s="43">
        <f t="shared" si="35"/>
        <v>0</v>
      </c>
      <c r="W137" s="43">
        <f t="shared" si="36"/>
        <v>0</v>
      </c>
      <c r="X137" s="43">
        <f t="shared" si="37"/>
        <v>0</v>
      </c>
      <c r="Y137" s="43">
        <f t="shared" si="38"/>
        <v>0</v>
      </c>
      <c r="Z137" s="43">
        <f t="shared" si="39"/>
        <v>0</v>
      </c>
      <c r="AB137" s="43">
        <f t="shared" si="41"/>
        <v>0</v>
      </c>
      <c r="AC137" s="43">
        <f t="shared" si="42"/>
        <v>0</v>
      </c>
      <c r="AD137" s="43">
        <f t="shared" si="43"/>
        <v>0</v>
      </c>
      <c r="AE137" s="43">
        <f t="shared" si="44"/>
        <v>0</v>
      </c>
      <c r="AF137" s="43">
        <f t="shared" si="45"/>
        <v>0</v>
      </c>
      <c r="AH137" s="43">
        <f t="shared" si="46"/>
        <v>0</v>
      </c>
      <c r="AI137" s="43">
        <f t="shared" si="47"/>
        <v>0</v>
      </c>
      <c r="AJ137" s="43">
        <f t="shared" si="48"/>
        <v>0</v>
      </c>
      <c r="AK137" s="43">
        <f t="shared" si="49"/>
        <v>0</v>
      </c>
      <c r="AL137" s="43">
        <f t="shared" si="50"/>
        <v>0</v>
      </c>
      <c r="AN137" s="47">
        <f t="shared" si="51"/>
        <v>0</v>
      </c>
      <c r="AO137" s="47">
        <f t="shared" si="52"/>
        <v>0</v>
      </c>
      <c r="AP137" s="47">
        <f t="shared" si="53"/>
        <v>0</v>
      </c>
      <c r="AQ137" s="47">
        <f t="shared" si="54"/>
        <v>0</v>
      </c>
      <c r="AR137" s="43">
        <f t="shared" si="55"/>
        <v>0</v>
      </c>
      <c r="AY137" s="3"/>
    </row>
    <row r="138" spans="1:51" ht="13">
      <c r="A138" s="48"/>
      <c r="B138" s="37">
        <f>'13. Desinvesteringen'!B421</f>
        <v>402</v>
      </c>
      <c r="C138" s="48"/>
      <c r="D138" s="48"/>
      <c r="E138" s="48"/>
      <c r="F138" s="42">
        <f>'5. Input GAW-waarde desinv.'!D97</f>
        <v>0</v>
      </c>
      <c r="G138" s="175">
        <f>'13. Desinvesteringen'!D421</f>
        <v>1972</v>
      </c>
      <c r="H138" s="175">
        <f>'13. Desinvesteringen'!G421</f>
        <v>2022</v>
      </c>
      <c r="I138" s="37" t="str">
        <f>'13. Desinvesteringen'!C421</f>
        <v>32 M&amp;R stations</v>
      </c>
      <c r="J138" s="164">
        <f>'13. Desinvesteringen'!F421</f>
        <v>0</v>
      </c>
      <c r="K138" s="38">
        <f>_xlfn.XLOOKUP(I138,'3. Input (des)investeringen '!$B$11:$B$89,'3. Input (des)investeringen '!$E$11:$E$89)</f>
        <v>1</v>
      </c>
      <c r="L138" s="48"/>
      <c r="M138" s="38">
        <f>_xlfn.XLOOKUP(I138,'3. Input (des)investeringen '!$B$11:$B$89,'3. Input (des)investeringen '!$D$11:$D$89,0)</f>
        <v>30</v>
      </c>
      <c r="N138" s="38">
        <f t="shared" si="40"/>
        <v>0</v>
      </c>
      <c r="P138" s="43">
        <f t="shared" si="57"/>
        <v>0</v>
      </c>
      <c r="Q138" s="43">
        <f t="shared" si="57"/>
        <v>0</v>
      </c>
      <c r="R138" s="43">
        <f t="shared" si="57"/>
        <v>0</v>
      </c>
      <c r="S138" s="43">
        <f t="shared" si="57"/>
        <v>0</v>
      </c>
      <c r="T138" s="43">
        <f t="shared" si="57"/>
        <v>0</v>
      </c>
      <c r="V138" s="43">
        <f t="shared" si="35"/>
        <v>0</v>
      </c>
      <c r="W138" s="43">
        <f t="shared" si="36"/>
        <v>0</v>
      </c>
      <c r="X138" s="43">
        <f t="shared" si="37"/>
        <v>0</v>
      </c>
      <c r="Y138" s="43">
        <f t="shared" si="38"/>
        <v>0</v>
      </c>
      <c r="Z138" s="43">
        <f t="shared" si="39"/>
        <v>0</v>
      </c>
      <c r="AB138" s="43">
        <f t="shared" si="41"/>
        <v>0</v>
      </c>
      <c r="AC138" s="43">
        <f t="shared" si="42"/>
        <v>0</v>
      </c>
      <c r="AD138" s="43">
        <f t="shared" si="43"/>
        <v>0</v>
      </c>
      <c r="AE138" s="43">
        <f t="shared" si="44"/>
        <v>0</v>
      </c>
      <c r="AF138" s="43">
        <f t="shared" si="45"/>
        <v>0</v>
      </c>
      <c r="AH138" s="43">
        <f t="shared" si="46"/>
        <v>0</v>
      </c>
      <c r="AI138" s="43">
        <f t="shared" si="47"/>
        <v>0</v>
      </c>
      <c r="AJ138" s="43">
        <f t="shared" si="48"/>
        <v>0</v>
      </c>
      <c r="AK138" s="43">
        <f t="shared" si="49"/>
        <v>0</v>
      </c>
      <c r="AL138" s="43">
        <f t="shared" si="50"/>
        <v>0</v>
      </c>
      <c r="AN138" s="47">
        <f t="shared" si="51"/>
        <v>0</v>
      </c>
      <c r="AO138" s="47">
        <f t="shared" si="52"/>
        <v>0</v>
      </c>
      <c r="AP138" s="47">
        <f t="shared" si="53"/>
        <v>0</v>
      </c>
      <c r="AQ138" s="47">
        <f t="shared" si="54"/>
        <v>0</v>
      </c>
      <c r="AR138" s="43">
        <f t="shared" si="55"/>
        <v>0</v>
      </c>
      <c r="AY138" s="3"/>
    </row>
    <row r="139" spans="1:51" ht="13">
      <c r="A139" s="48"/>
      <c r="B139" s="37">
        <f>'13. Desinvesteringen'!B422</f>
        <v>403</v>
      </c>
      <c r="C139" s="48"/>
      <c r="D139" s="48"/>
      <c r="E139" s="48"/>
      <c r="F139" s="42">
        <f>'5. Input GAW-waarde desinv.'!D98</f>
        <v>0</v>
      </c>
      <c r="G139" s="175">
        <f>'13. Desinvesteringen'!D422</f>
        <v>1974</v>
      </c>
      <c r="H139" s="175">
        <f>'13. Desinvesteringen'!G422</f>
        <v>2022</v>
      </c>
      <c r="I139" s="37" t="str">
        <f>'13. Desinvesteringen'!C422</f>
        <v>32 M&amp;R stations</v>
      </c>
      <c r="J139" s="164">
        <f>'13. Desinvesteringen'!F422</f>
        <v>0</v>
      </c>
      <c r="K139" s="38">
        <f>_xlfn.XLOOKUP(I139,'3. Input (des)investeringen '!$B$11:$B$89,'3. Input (des)investeringen '!$E$11:$E$89)</f>
        <v>1</v>
      </c>
      <c r="L139" s="48"/>
      <c r="M139" s="38">
        <f>_xlfn.XLOOKUP(I139,'3. Input (des)investeringen '!$B$11:$B$89,'3. Input (des)investeringen '!$D$11:$D$89,0)</f>
        <v>30</v>
      </c>
      <c r="N139" s="38">
        <f t="shared" si="40"/>
        <v>0</v>
      </c>
      <c r="P139" s="43">
        <f t="shared" si="57"/>
        <v>0</v>
      </c>
      <c r="Q139" s="43">
        <f t="shared" si="57"/>
        <v>0</v>
      </c>
      <c r="R139" s="43">
        <f t="shared" si="57"/>
        <v>0</v>
      </c>
      <c r="S139" s="43">
        <f t="shared" si="57"/>
        <v>0</v>
      </c>
      <c r="T139" s="43">
        <f t="shared" si="57"/>
        <v>0</v>
      </c>
      <c r="V139" s="43">
        <f t="shared" si="35"/>
        <v>0</v>
      </c>
      <c r="W139" s="43">
        <f t="shared" si="36"/>
        <v>0</v>
      </c>
      <c r="X139" s="43">
        <f t="shared" si="37"/>
        <v>0</v>
      </c>
      <c r="Y139" s="43">
        <f t="shared" si="38"/>
        <v>0</v>
      </c>
      <c r="Z139" s="43">
        <f t="shared" si="39"/>
        <v>0</v>
      </c>
      <c r="AB139" s="43">
        <f t="shared" si="41"/>
        <v>0</v>
      </c>
      <c r="AC139" s="43">
        <f t="shared" si="42"/>
        <v>0</v>
      </c>
      <c r="AD139" s="43">
        <f t="shared" si="43"/>
        <v>0</v>
      </c>
      <c r="AE139" s="43">
        <f t="shared" si="44"/>
        <v>0</v>
      </c>
      <c r="AF139" s="43">
        <f t="shared" si="45"/>
        <v>0</v>
      </c>
      <c r="AH139" s="43">
        <f t="shared" si="46"/>
        <v>0</v>
      </c>
      <c r="AI139" s="43">
        <f t="shared" si="47"/>
        <v>0</v>
      </c>
      <c r="AJ139" s="43">
        <f t="shared" si="48"/>
        <v>0</v>
      </c>
      <c r="AK139" s="43">
        <f t="shared" si="49"/>
        <v>0</v>
      </c>
      <c r="AL139" s="43">
        <f t="shared" si="50"/>
        <v>0</v>
      </c>
      <c r="AN139" s="47">
        <f t="shared" si="51"/>
        <v>0</v>
      </c>
      <c r="AO139" s="47">
        <f t="shared" si="52"/>
        <v>0</v>
      </c>
      <c r="AP139" s="47">
        <f t="shared" si="53"/>
        <v>0</v>
      </c>
      <c r="AQ139" s="47">
        <f t="shared" si="54"/>
        <v>0</v>
      </c>
      <c r="AR139" s="43">
        <f t="shared" si="55"/>
        <v>0</v>
      </c>
      <c r="AY139" s="3"/>
    </row>
    <row r="140" spans="1:51" ht="13">
      <c r="A140" s="48"/>
      <c r="B140" s="37">
        <f>'13. Desinvesteringen'!B423</f>
        <v>404</v>
      </c>
      <c r="C140" s="48"/>
      <c r="D140" s="48"/>
      <c r="E140" s="48"/>
      <c r="F140" s="42">
        <f>'5. Input GAW-waarde desinv.'!D99</f>
        <v>0</v>
      </c>
      <c r="G140" s="175">
        <f>'13. Desinvesteringen'!D423</f>
        <v>1978</v>
      </c>
      <c r="H140" s="175">
        <f>'13. Desinvesteringen'!G423</f>
        <v>2022</v>
      </c>
      <c r="I140" s="37" t="str">
        <f>'13. Desinvesteringen'!C423</f>
        <v>32 M&amp;R stations</v>
      </c>
      <c r="J140" s="164">
        <f>'13. Desinvesteringen'!F423</f>
        <v>0</v>
      </c>
      <c r="K140" s="38">
        <f>_xlfn.XLOOKUP(I140,'3. Input (des)investeringen '!$B$11:$B$89,'3. Input (des)investeringen '!$E$11:$E$89)</f>
        <v>1</v>
      </c>
      <c r="L140" s="48"/>
      <c r="M140" s="38">
        <f>_xlfn.XLOOKUP(I140,'3. Input (des)investeringen '!$B$11:$B$89,'3. Input (des)investeringen '!$D$11:$D$89,0)</f>
        <v>30</v>
      </c>
      <c r="N140" s="38">
        <f t="shared" si="40"/>
        <v>0</v>
      </c>
      <c r="P140" s="43">
        <f t="shared" si="57"/>
        <v>0</v>
      </c>
      <c r="Q140" s="43">
        <f t="shared" si="57"/>
        <v>0</v>
      </c>
      <c r="R140" s="43">
        <f t="shared" si="57"/>
        <v>0</v>
      </c>
      <c r="S140" s="43">
        <f t="shared" si="57"/>
        <v>0</v>
      </c>
      <c r="T140" s="43">
        <f t="shared" si="57"/>
        <v>0</v>
      </c>
      <c r="V140" s="43">
        <f t="shared" si="35"/>
        <v>0</v>
      </c>
      <c r="W140" s="43">
        <f t="shared" si="36"/>
        <v>0</v>
      </c>
      <c r="X140" s="43">
        <f t="shared" si="37"/>
        <v>0</v>
      </c>
      <c r="Y140" s="43">
        <f t="shared" si="38"/>
        <v>0</v>
      </c>
      <c r="Z140" s="43">
        <f t="shared" si="39"/>
        <v>0</v>
      </c>
      <c r="AB140" s="43">
        <f t="shared" si="41"/>
        <v>0</v>
      </c>
      <c r="AC140" s="43">
        <f t="shared" si="42"/>
        <v>0</v>
      </c>
      <c r="AD140" s="43">
        <f t="shared" si="43"/>
        <v>0</v>
      </c>
      <c r="AE140" s="43">
        <f t="shared" si="44"/>
        <v>0</v>
      </c>
      <c r="AF140" s="43">
        <f t="shared" si="45"/>
        <v>0</v>
      </c>
      <c r="AH140" s="43">
        <f t="shared" si="46"/>
        <v>0</v>
      </c>
      <c r="AI140" s="43">
        <f t="shared" si="47"/>
        <v>0</v>
      </c>
      <c r="AJ140" s="43">
        <f t="shared" si="48"/>
        <v>0</v>
      </c>
      <c r="AK140" s="43">
        <f t="shared" si="49"/>
        <v>0</v>
      </c>
      <c r="AL140" s="43">
        <f t="shared" si="50"/>
        <v>0</v>
      </c>
      <c r="AN140" s="47">
        <f t="shared" si="51"/>
        <v>0</v>
      </c>
      <c r="AO140" s="47">
        <f t="shared" si="52"/>
        <v>0</v>
      </c>
      <c r="AP140" s="47">
        <f t="shared" si="53"/>
        <v>0</v>
      </c>
      <c r="AQ140" s="47">
        <f t="shared" si="54"/>
        <v>0</v>
      </c>
      <c r="AR140" s="43">
        <f t="shared" si="55"/>
        <v>0</v>
      </c>
      <c r="AY140" s="3"/>
    </row>
    <row r="141" spans="1:51" ht="13">
      <c r="A141" s="48"/>
      <c r="B141" s="37">
        <f>'13. Desinvesteringen'!B424</f>
        <v>405</v>
      </c>
      <c r="C141" s="48"/>
      <c r="D141" s="48"/>
      <c r="E141" s="48"/>
      <c r="F141" s="42">
        <f>'5. Input GAW-waarde desinv.'!D100</f>
        <v>3006.4882057138966</v>
      </c>
      <c r="G141" s="175">
        <f>'13. Desinvesteringen'!D424</f>
        <v>1995</v>
      </c>
      <c r="H141" s="175">
        <f>'13. Desinvesteringen'!G424</f>
        <v>2022</v>
      </c>
      <c r="I141" s="37" t="str">
        <f>'13. Desinvesteringen'!C424</f>
        <v>32 M&amp;R stations</v>
      </c>
      <c r="J141" s="164">
        <f>'13. Desinvesteringen'!F424</f>
        <v>0</v>
      </c>
      <c r="K141" s="38">
        <f>_xlfn.XLOOKUP(I141,'3. Input (des)investeringen '!$B$11:$B$89,'3. Input (des)investeringen '!$E$11:$E$89)</f>
        <v>1</v>
      </c>
      <c r="L141" s="48"/>
      <c r="M141" s="38">
        <f>_xlfn.XLOOKUP(I141,'3. Input (des)investeringen '!$B$11:$B$89,'3. Input (des)investeringen '!$D$11:$D$89,0)</f>
        <v>30</v>
      </c>
      <c r="N141" s="38">
        <f t="shared" si="40"/>
        <v>3.5</v>
      </c>
      <c r="P141" s="43">
        <f t="shared" si="57"/>
        <v>1005.0260573386455</v>
      </c>
      <c r="Q141" s="43">
        <f t="shared" si="57"/>
        <v>680.32533112154454</v>
      </c>
      <c r="R141" s="43">
        <f t="shared" si="57"/>
        <v>680.32533112154454</v>
      </c>
      <c r="S141" s="43">
        <f t="shared" si="57"/>
        <v>340.16266556077227</v>
      </c>
      <c r="T141" s="43">
        <f t="shared" si="57"/>
        <v>0</v>
      </c>
      <c r="V141" s="43">
        <f t="shared" si="35"/>
        <v>85.899663020397043</v>
      </c>
      <c r="W141" s="43">
        <f t="shared" si="36"/>
        <v>85.899663020397057</v>
      </c>
      <c r="X141" s="43">
        <f t="shared" si="37"/>
        <v>85.899663020397057</v>
      </c>
      <c r="Y141" s="43">
        <f t="shared" si="38"/>
        <v>42.949831510198528</v>
      </c>
      <c r="Z141" s="43">
        <f t="shared" si="39"/>
        <v>0</v>
      </c>
      <c r="AB141" s="43">
        <f t="shared" si="41"/>
        <v>1090.9257203590425</v>
      </c>
      <c r="AC141" s="43">
        <f t="shared" si="42"/>
        <v>766.22499414194158</v>
      </c>
      <c r="AD141" s="43">
        <f t="shared" si="43"/>
        <v>766.22499414194158</v>
      </c>
      <c r="AE141" s="43">
        <f t="shared" si="44"/>
        <v>383.11249707097079</v>
      </c>
      <c r="AF141" s="43">
        <f t="shared" si="45"/>
        <v>0</v>
      </c>
      <c r="AH141" s="43">
        <f t="shared" si="46"/>
        <v>1915.5624853548541</v>
      </c>
      <c r="AI141" s="43">
        <f t="shared" si="47"/>
        <v>1149.3374912129125</v>
      </c>
      <c r="AJ141" s="43">
        <f t="shared" si="48"/>
        <v>383.1124970709709</v>
      </c>
      <c r="AK141" s="43">
        <f t="shared" si="49"/>
        <v>0</v>
      </c>
      <c r="AL141" s="43">
        <f t="shared" si="50"/>
        <v>0</v>
      </c>
      <c r="AN141" s="47">
        <f t="shared" si="51"/>
        <v>1169.4637822585917</v>
      </c>
      <c r="AO141" s="47">
        <f t="shared" si="52"/>
        <v>824.84120619380008</v>
      </c>
      <c r="AP141" s="47">
        <f t="shared" si="53"/>
        <v>785.76373149256108</v>
      </c>
      <c r="AQ141" s="47">
        <f t="shared" si="54"/>
        <v>383.11249707097079</v>
      </c>
      <c r="AR141" s="43">
        <f t="shared" si="55"/>
        <v>0</v>
      </c>
      <c r="AY141" s="3"/>
    </row>
    <row r="142" spans="1:51" ht="13">
      <c r="A142" s="48"/>
      <c r="B142" s="37">
        <f>'13. Desinvesteringen'!B425</f>
        <v>406</v>
      </c>
      <c r="C142" s="48"/>
      <c r="D142" s="48"/>
      <c r="E142" s="48"/>
      <c r="F142" s="42">
        <f>'5. Input GAW-waarde desinv.'!D101</f>
        <v>303439.87492153718</v>
      </c>
      <c r="G142" s="175">
        <f>'13. Desinvesteringen'!D425</f>
        <v>2012</v>
      </c>
      <c r="H142" s="175">
        <f>'13. Desinvesteringen'!G425</f>
        <v>2022</v>
      </c>
      <c r="I142" s="37" t="str">
        <f>'13. Desinvesteringen'!C425</f>
        <v>32 M&amp;R stations</v>
      </c>
      <c r="J142" s="164">
        <f>'13. Desinvesteringen'!F425</f>
        <v>0</v>
      </c>
      <c r="K142" s="38">
        <f>_xlfn.XLOOKUP(I142,'3. Input (des)investeringen '!$B$11:$B$89,'3. Input (des)investeringen '!$E$11:$E$89)</f>
        <v>1</v>
      </c>
      <c r="L142" s="48"/>
      <c r="M142" s="38">
        <f>_xlfn.XLOOKUP(I142,'3. Input (des)investeringen '!$B$11:$B$89,'3. Input (des)investeringen '!$D$11:$D$89,0)</f>
        <v>30</v>
      </c>
      <c r="N142" s="38">
        <f t="shared" si="40"/>
        <v>20.5</v>
      </c>
      <c r="P142" s="43">
        <f t="shared" ref="P142:T151" si="58">IF($M142&gt;0, IF(OR($G142&gt;P$50,$G142+$M142&lt;P$50),0,
VDB($F142,0,$N142,MAX(0,P$50-2022),MIN($N142,P$50-2021),$F$23,FALSE))*(1-$F$26), 0)</f>
        <v>17318.275788204806</v>
      </c>
      <c r="Q142" s="43">
        <f t="shared" si="58"/>
        <v>16220.043665050354</v>
      </c>
      <c r="R142" s="43">
        <f t="shared" si="58"/>
        <v>15191.455530193502</v>
      </c>
      <c r="S142" s="43">
        <f t="shared" si="58"/>
        <v>14228.094935595866</v>
      </c>
      <c r="T142" s="43">
        <f t="shared" si="58"/>
        <v>13325.825500655641</v>
      </c>
      <c r="V142" s="43">
        <f t="shared" si="35"/>
        <v>1480.1945118123767</v>
      </c>
      <c r="W142" s="43">
        <f t="shared" si="36"/>
        <v>1480.1945118123765</v>
      </c>
      <c r="X142" s="43">
        <f t="shared" si="37"/>
        <v>1480.1945118123765</v>
      </c>
      <c r="Y142" s="43">
        <f t="shared" si="38"/>
        <v>1480.1945118123765</v>
      </c>
      <c r="Z142" s="43">
        <f t="shared" si="39"/>
        <v>1480.1945118123765</v>
      </c>
      <c r="AB142" s="43">
        <f t="shared" si="41"/>
        <v>18798.470300017183</v>
      </c>
      <c r="AC142" s="43">
        <f t="shared" si="42"/>
        <v>17700.238176862731</v>
      </c>
      <c r="AD142" s="43">
        <f t="shared" si="43"/>
        <v>16671.650042005876</v>
      </c>
      <c r="AE142" s="43">
        <f t="shared" si="44"/>
        <v>15708.289447408242</v>
      </c>
      <c r="AF142" s="43">
        <f t="shared" si="45"/>
        <v>14806.020012468018</v>
      </c>
      <c r="AH142" s="43">
        <f t="shared" si="46"/>
        <v>284641.40462152002</v>
      </c>
      <c r="AI142" s="43">
        <f t="shared" si="47"/>
        <v>266941.16644465731</v>
      </c>
      <c r="AJ142" s="43">
        <f t="shared" si="48"/>
        <v>250269.51640265144</v>
      </c>
      <c r="AK142" s="43">
        <f t="shared" si="49"/>
        <v>234561.22695524321</v>
      </c>
      <c r="AL142" s="43">
        <f t="shared" si="50"/>
        <v>219755.2069427752</v>
      </c>
      <c r="AN142" s="47">
        <f t="shared" si="51"/>
        <v>30468.767889499504</v>
      </c>
      <c r="AO142" s="47">
        <f t="shared" si="52"/>
        <v>31314.237665540255</v>
      </c>
      <c r="AP142" s="47">
        <f t="shared" si="53"/>
        <v>29435.395378541099</v>
      </c>
      <c r="AQ142" s="47">
        <f t="shared" si="54"/>
        <v>28609.156929946621</v>
      </c>
      <c r="AR142" s="43">
        <f t="shared" si="55"/>
        <v>23156.717876293475</v>
      </c>
      <c r="AY142" s="3"/>
    </row>
    <row r="143" spans="1:51" ht="13">
      <c r="A143" s="48"/>
      <c r="B143" s="37">
        <f>'13. Desinvesteringen'!B426</f>
        <v>407</v>
      </c>
      <c r="C143" s="48"/>
      <c r="D143" s="48"/>
      <c r="E143" s="48"/>
      <c r="F143" s="42">
        <f>'5. Input GAW-waarde desinv.'!D102</f>
        <v>0</v>
      </c>
      <c r="G143" s="175">
        <f>'13. Desinvesteringen'!D426</f>
        <v>1986</v>
      </c>
      <c r="H143" s="175">
        <f>'13. Desinvesteringen'!G426</f>
        <v>2022</v>
      </c>
      <c r="I143" s="37" t="str">
        <f>'13. Desinvesteringen'!C426</f>
        <v>34 Reduceerstations</v>
      </c>
      <c r="J143" s="164">
        <f>'13. Desinvesteringen'!F426</f>
        <v>0</v>
      </c>
      <c r="K143" s="38">
        <f>_xlfn.XLOOKUP(I143,'3. Input (des)investeringen '!$B$11:$B$89,'3. Input (des)investeringen '!$E$11:$E$89)</f>
        <v>1</v>
      </c>
      <c r="L143" s="48"/>
      <c r="M143" s="38">
        <f>_xlfn.XLOOKUP(I143,'3. Input (des)investeringen '!$B$11:$B$89,'3. Input (des)investeringen '!$D$11:$D$89,0)</f>
        <v>30</v>
      </c>
      <c r="N143" s="38">
        <f t="shared" si="40"/>
        <v>0</v>
      </c>
      <c r="P143" s="43">
        <f t="shared" si="58"/>
        <v>0</v>
      </c>
      <c r="Q143" s="43">
        <f t="shared" si="58"/>
        <v>0</v>
      </c>
      <c r="R143" s="43">
        <f t="shared" si="58"/>
        <v>0</v>
      </c>
      <c r="S143" s="43">
        <f t="shared" si="58"/>
        <v>0</v>
      </c>
      <c r="T143" s="43">
        <f t="shared" si="58"/>
        <v>0</v>
      </c>
      <c r="V143" s="43">
        <f t="shared" si="35"/>
        <v>0</v>
      </c>
      <c r="W143" s="43">
        <f t="shared" si="36"/>
        <v>0</v>
      </c>
      <c r="X143" s="43">
        <f t="shared" si="37"/>
        <v>0</v>
      </c>
      <c r="Y143" s="43">
        <f t="shared" si="38"/>
        <v>0</v>
      </c>
      <c r="Z143" s="43">
        <f t="shared" si="39"/>
        <v>0</v>
      </c>
      <c r="AB143" s="43">
        <f t="shared" si="41"/>
        <v>0</v>
      </c>
      <c r="AC143" s="43">
        <f t="shared" si="42"/>
        <v>0</v>
      </c>
      <c r="AD143" s="43">
        <f t="shared" si="43"/>
        <v>0</v>
      </c>
      <c r="AE143" s="43">
        <f t="shared" si="44"/>
        <v>0</v>
      </c>
      <c r="AF143" s="43">
        <f t="shared" si="45"/>
        <v>0</v>
      </c>
      <c r="AH143" s="43">
        <f t="shared" si="46"/>
        <v>0</v>
      </c>
      <c r="AI143" s="43">
        <f t="shared" si="47"/>
        <v>0</v>
      </c>
      <c r="AJ143" s="43">
        <f t="shared" si="48"/>
        <v>0</v>
      </c>
      <c r="AK143" s="43">
        <f t="shared" si="49"/>
        <v>0</v>
      </c>
      <c r="AL143" s="43">
        <f t="shared" si="50"/>
        <v>0</v>
      </c>
      <c r="AN143" s="47">
        <f t="shared" si="51"/>
        <v>0</v>
      </c>
      <c r="AO143" s="47">
        <f t="shared" si="52"/>
        <v>0</v>
      </c>
      <c r="AP143" s="47">
        <f t="shared" si="53"/>
        <v>0</v>
      </c>
      <c r="AQ143" s="47">
        <f t="shared" si="54"/>
        <v>0</v>
      </c>
      <c r="AR143" s="43">
        <f t="shared" si="55"/>
        <v>0</v>
      </c>
      <c r="AY143" s="3"/>
    </row>
    <row r="144" spans="1:51" ht="13">
      <c r="A144" s="226"/>
      <c r="B144" s="37">
        <f>'13. Desinvesteringen'!B427</f>
        <v>408</v>
      </c>
      <c r="C144" s="48"/>
      <c r="D144" s="48"/>
      <c r="E144" s="48"/>
      <c r="F144" s="42">
        <f>'5. Input GAW-waarde desinv.'!D103</f>
        <v>0</v>
      </c>
      <c r="G144" s="175">
        <f>'13. Desinvesteringen'!D427</f>
        <v>1954</v>
      </c>
      <c r="H144" s="175">
        <f>'13. Desinvesteringen'!G427</f>
        <v>2023</v>
      </c>
      <c r="I144" s="37" t="str">
        <f>'13. Desinvesteringen'!C427</f>
        <v>01 Regionale leidingen</v>
      </c>
      <c r="J144" s="164">
        <f>'13. Desinvesteringen'!F427</f>
        <v>0</v>
      </c>
      <c r="K144" s="38">
        <f>_xlfn.XLOOKUP(I144,'3. Input (des)investeringen '!$B$11:$B$89,'3. Input (des)investeringen '!$E$11:$E$89)</f>
        <v>1</v>
      </c>
      <c r="L144" s="48"/>
      <c r="M144" s="38">
        <f>_xlfn.XLOOKUP(I144,'3. Input (des)investeringen '!$B$11:$B$89,'3. Input (des)investeringen '!$D$11:$D$89,0)</f>
        <v>55</v>
      </c>
      <c r="N144" s="38">
        <f t="shared" ref="N144:N207" si="59">IF($M144&gt;0, MAX(0,IF(G144&lt;2022,M144-2021+G144-0.5,M144)), 0)</f>
        <v>0</v>
      </c>
      <c r="P144" s="43">
        <f t="shared" si="58"/>
        <v>0</v>
      </c>
      <c r="Q144" s="43">
        <f t="shared" si="58"/>
        <v>0</v>
      </c>
      <c r="R144" s="43">
        <f t="shared" si="58"/>
        <v>0</v>
      </c>
      <c r="S144" s="43">
        <f t="shared" si="58"/>
        <v>0</v>
      </c>
      <c r="T144" s="43">
        <f t="shared" si="58"/>
        <v>0</v>
      </c>
      <c r="V144" s="43">
        <f t="shared" si="35"/>
        <v>0</v>
      </c>
      <c r="W144" s="43">
        <f t="shared" si="36"/>
        <v>0</v>
      </c>
      <c r="X144" s="43">
        <f t="shared" si="37"/>
        <v>0</v>
      </c>
      <c r="Y144" s="43">
        <f t="shared" si="38"/>
        <v>0</v>
      </c>
      <c r="Z144" s="43">
        <f t="shared" si="39"/>
        <v>0</v>
      </c>
      <c r="AB144" s="43">
        <f t="shared" ref="AB144:AB207" si="60">P144+V144</f>
        <v>0</v>
      </c>
      <c r="AC144" s="43">
        <f t="shared" ref="AC144:AC207" si="61">Q144+W144</f>
        <v>0</v>
      </c>
      <c r="AD144" s="43">
        <f t="shared" ref="AD144:AD207" si="62">R144+X144</f>
        <v>0</v>
      </c>
      <c r="AE144" s="43">
        <f t="shared" ref="AE144:AE207" si="63">S144+Y144</f>
        <v>0</v>
      </c>
      <c r="AF144" s="43">
        <f t="shared" ref="AF144:AF207" si="64">T144+Z144</f>
        <v>0</v>
      </c>
      <c r="AH144" s="43">
        <f t="shared" ref="AH144:AH207" si="65">IF($M144&gt;0, IF($M144&gt;0,IF(OR($G144&gt;AH$50,$G144+$M144&lt;=AH$50),0,IF(AH$50=2022,$F144-AB144,AG144-AB144))), $F144)</f>
        <v>0</v>
      </c>
      <c r="AI144" s="43">
        <f t="shared" ref="AI144:AI207" si="66">IF($M144&gt;0, IF(OR($G144&gt;AI$50,$G144+$M144&lt;=AI$50),0,IF(AI$50=2022,$F144-AC144,AH144-AC144)), AH144)</f>
        <v>0</v>
      </c>
      <c r="AJ144" s="43">
        <f t="shared" ref="AJ144:AJ207" si="67">IF($M144&gt;0, IF(OR($G144&gt;AJ$50,$G144+$M144&lt;=AJ$50),0,IF(AJ$50=2022,$F144-AD144,AI144-AD144)), AI144)</f>
        <v>0</v>
      </c>
      <c r="AK144" s="43">
        <f t="shared" ref="AK144:AK207" si="68">IF($M144&gt;0, IF(OR($G144&gt;AK$50,$G144+$M144&lt;=AK$50),0,IF(AK$50=2022,$F144-AE144,AJ144-AE144)), AJ144)</f>
        <v>0</v>
      </c>
      <c r="AL144" s="43">
        <f t="shared" ref="AL144:AL207" si="69">IF($M144&gt;0, IF(OR($G144&gt;AL$50,$G144+$M144&lt;=AL$50),0,IF(AL$50=2022,$F144-AF144,AK144-AF144)), AK144)</f>
        <v>0</v>
      </c>
      <c r="AN144" s="47">
        <f t="shared" ref="AN144:AN207" si="70">(AB144+AH144*H$17)*IF($K144=1,$F$32,1)</f>
        <v>0</v>
      </c>
      <c r="AO144" s="47">
        <f t="shared" ref="AO144:AO207" si="71">(AC144+AI144*I$17)*IF($K144=1,$F$32,1)</f>
        <v>0</v>
      </c>
      <c r="AP144" s="47">
        <f t="shared" ref="AP144:AP207" si="72">(AD144+AJ144*J$17)*IF($K144=1,$F$32,1)</f>
        <v>0</v>
      </c>
      <c r="AQ144" s="47">
        <f t="shared" ref="AQ144:AQ207" si="73">(AE144+AK144*K$17)*IF($K144=1,$F$32,1)</f>
        <v>0</v>
      </c>
      <c r="AR144" s="43">
        <f t="shared" ref="AR144:AR207" si="74">(AF144+AL144*L$17)*IF($K144=1,$F$32,1)</f>
        <v>0</v>
      </c>
      <c r="AY144" s="3"/>
    </row>
    <row r="145" spans="1:51" ht="13">
      <c r="A145" s="226"/>
      <c r="B145" s="37">
        <f>'13. Desinvesteringen'!B428</f>
        <v>409</v>
      </c>
      <c r="C145" s="48"/>
      <c r="D145" s="48"/>
      <c r="E145" s="48"/>
      <c r="F145" s="42">
        <f>'5. Input GAW-waarde desinv.'!D104</f>
        <v>0</v>
      </c>
      <c r="G145" s="175">
        <f>'13. Desinvesteringen'!D428</f>
        <v>1955</v>
      </c>
      <c r="H145" s="175">
        <f>'13. Desinvesteringen'!G428</f>
        <v>2023</v>
      </c>
      <c r="I145" s="37" t="str">
        <f>'13. Desinvesteringen'!C428</f>
        <v>01 Regionale leidingen</v>
      </c>
      <c r="J145" s="164">
        <f>'13. Desinvesteringen'!F428</f>
        <v>0</v>
      </c>
      <c r="K145" s="38">
        <f>_xlfn.XLOOKUP(I145,'3. Input (des)investeringen '!$B$11:$B$89,'3. Input (des)investeringen '!$E$11:$E$89)</f>
        <v>1</v>
      </c>
      <c r="L145" s="48"/>
      <c r="M145" s="38">
        <f>_xlfn.XLOOKUP(I145,'3. Input (des)investeringen '!$B$11:$B$89,'3. Input (des)investeringen '!$D$11:$D$89,0)</f>
        <v>55</v>
      </c>
      <c r="N145" s="38">
        <f t="shared" si="59"/>
        <v>0</v>
      </c>
      <c r="P145" s="43">
        <f t="shared" si="58"/>
        <v>0</v>
      </c>
      <c r="Q145" s="43">
        <f t="shared" si="58"/>
        <v>0</v>
      </c>
      <c r="R145" s="43">
        <f t="shared" si="58"/>
        <v>0</v>
      </c>
      <c r="S145" s="43">
        <f t="shared" si="58"/>
        <v>0</v>
      </c>
      <c r="T145" s="43">
        <f t="shared" si="58"/>
        <v>0</v>
      </c>
      <c r="V145" s="43">
        <f t="shared" si="35"/>
        <v>0</v>
      </c>
      <c r="W145" s="43">
        <f t="shared" si="36"/>
        <v>0</v>
      </c>
      <c r="X145" s="43">
        <f t="shared" si="37"/>
        <v>0</v>
      </c>
      <c r="Y145" s="43">
        <f t="shared" si="38"/>
        <v>0</v>
      </c>
      <c r="Z145" s="43">
        <f t="shared" si="39"/>
        <v>0</v>
      </c>
      <c r="AB145" s="43">
        <f t="shared" si="60"/>
        <v>0</v>
      </c>
      <c r="AC145" s="43">
        <f t="shared" si="61"/>
        <v>0</v>
      </c>
      <c r="AD145" s="43">
        <f t="shared" si="62"/>
        <v>0</v>
      </c>
      <c r="AE145" s="43">
        <f t="shared" si="63"/>
        <v>0</v>
      </c>
      <c r="AF145" s="43">
        <f t="shared" si="64"/>
        <v>0</v>
      </c>
      <c r="AH145" s="43">
        <f t="shared" si="65"/>
        <v>0</v>
      </c>
      <c r="AI145" s="43">
        <f t="shared" si="66"/>
        <v>0</v>
      </c>
      <c r="AJ145" s="43">
        <f t="shared" si="67"/>
        <v>0</v>
      </c>
      <c r="AK145" s="43">
        <f t="shared" si="68"/>
        <v>0</v>
      </c>
      <c r="AL145" s="43">
        <f t="shared" si="69"/>
        <v>0</v>
      </c>
      <c r="AN145" s="47">
        <f t="shared" si="70"/>
        <v>0</v>
      </c>
      <c r="AO145" s="47">
        <f t="shared" si="71"/>
        <v>0</v>
      </c>
      <c r="AP145" s="47">
        <f t="shared" si="72"/>
        <v>0</v>
      </c>
      <c r="AQ145" s="47">
        <f t="shared" si="73"/>
        <v>0</v>
      </c>
      <c r="AR145" s="43">
        <f t="shared" si="74"/>
        <v>0</v>
      </c>
      <c r="AY145" s="3"/>
    </row>
    <row r="146" spans="1:51" ht="13">
      <c r="A146" s="226"/>
      <c r="B146" s="37">
        <f>'13. Desinvesteringen'!B429</f>
        <v>410</v>
      </c>
      <c r="C146" s="48"/>
      <c r="D146" s="48"/>
      <c r="E146" s="48"/>
      <c r="F146" s="42">
        <f>'5. Input GAW-waarde desinv.'!D105</f>
        <v>0</v>
      </c>
      <c r="G146" s="175">
        <f>'13. Desinvesteringen'!D429</f>
        <v>1958</v>
      </c>
      <c r="H146" s="175">
        <f>'13. Desinvesteringen'!G429</f>
        <v>2023</v>
      </c>
      <c r="I146" s="37" t="str">
        <f>'13. Desinvesteringen'!C429</f>
        <v>01 Regionale leidingen</v>
      </c>
      <c r="J146" s="164">
        <f>'13. Desinvesteringen'!F429</f>
        <v>0</v>
      </c>
      <c r="K146" s="38">
        <f>_xlfn.XLOOKUP(I146,'3. Input (des)investeringen '!$B$11:$B$89,'3. Input (des)investeringen '!$E$11:$E$89)</f>
        <v>1</v>
      </c>
      <c r="L146" s="48"/>
      <c r="M146" s="38">
        <f>_xlfn.XLOOKUP(I146,'3. Input (des)investeringen '!$B$11:$B$89,'3. Input (des)investeringen '!$D$11:$D$89,0)</f>
        <v>55</v>
      </c>
      <c r="N146" s="38">
        <f t="shared" si="59"/>
        <v>0</v>
      </c>
      <c r="P146" s="43">
        <f t="shared" si="58"/>
        <v>0</v>
      </c>
      <c r="Q146" s="43">
        <f t="shared" si="58"/>
        <v>0</v>
      </c>
      <c r="R146" s="43">
        <f t="shared" si="58"/>
        <v>0</v>
      </c>
      <c r="S146" s="43">
        <f t="shared" si="58"/>
        <v>0</v>
      </c>
      <c r="T146" s="43">
        <f t="shared" si="58"/>
        <v>0</v>
      </c>
      <c r="V146" s="43">
        <f t="shared" si="35"/>
        <v>0</v>
      </c>
      <c r="W146" s="43">
        <f t="shared" si="36"/>
        <v>0</v>
      </c>
      <c r="X146" s="43">
        <f t="shared" si="37"/>
        <v>0</v>
      </c>
      <c r="Y146" s="43">
        <f t="shared" si="38"/>
        <v>0</v>
      </c>
      <c r="Z146" s="43">
        <f t="shared" si="39"/>
        <v>0</v>
      </c>
      <c r="AB146" s="43">
        <f t="shared" si="60"/>
        <v>0</v>
      </c>
      <c r="AC146" s="43">
        <f t="shared" si="61"/>
        <v>0</v>
      </c>
      <c r="AD146" s="43">
        <f t="shared" si="62"/>
        <v>0</v>
      </c>
      <c r="AE146" s="43">
        <f t="shared" si="63"/>
        <v>0</v>
      </c>
      <c r="AF146" s="43">
        <f t="shared" si="64"/>
        <v>0</v>
      </c>
      <c r="AH146" s="43">
        <f t="shared" si="65"/>
        <v>0</v>
      </c>
      <c r="AI146" s="43">
        <f t="shared" si="66"/>
        <v>0</v>
      </c>
      <c r="AJ146" s="43">
        <f t="shared" si="67"/>
        <v>0</v>
      </c>
      <c r="AK146" s="43">
        <f t="shared" si="68"/>
        <v>0</v>
      </c>
      <c r="AL146" s="43">
        <f t="shared" si="69"/>
        <v>0</v>
      </c>
      <c r="AN146" s="47">
        <f t="shared" si="70"/>
        <v>0</v>
      </c>
      <c r="AO146" s="47">
        <f t="shared" si="71"/>
        <v>0</v>
      </c>
      <c r="AP146" s="47">
        <f t="shared" si="72"/>
        <v>0</v>
      </c>
      <c r="AQ146" s="47">
        <f t="shared" si="73"/>
        <v>0</v>
      </c>
      <c r="AR146" s="43">
        <f t="shared" si="74"/>
        <v>0</v>
      </c>
      <c r="AY146" s="3"/>
    </row>
    <row r="147" spans="1:51" ht="13">
      <c r="A147" s="226"/>
      <c r="B147" s="37">
        <f>'13. Desinvesteringen'!B430</f>
        <v>411</v>
      </c>
      <c r="C147" s="48"/>
      <c r="D147" s="48"/>
      <c r="E147" s="48"/>
      <c r="F147" s="42">
        <f>'5. Input GAW-waarde desinv.'!D106</f>
        <v>0</v>
      </c>
      <c r="G147" s="175">
        <f>'13. Desinvesteringen'!D430</f>
        <v>1959</v>
      </c>
      <c r="H147" s="175">
        <f>'13. Desinvesteringen'!G430</f>
        <v>2023</v>
      </c>
      <c r="I147" s="37" t="str">
        <f>'13. Desinvesteringen'!C430</f>
        <v>01 Regionale leidingen</v>
      </c>
      <c r="J147" s="164">
        <f>'13. Desinvesteringen'!F430</f>
        <v>0</v>
      </c>
      <c r="K147" s="38">
        <f>_xlfn.XLOOKUP(I147,'3. Input (des)investeringen '!$B$11:$B$89,'3. Input (des)investeringen '!$E$11:$E$89)</f>
        <v>1</v>
      </c>
      <c r="L147" s="48"/>
      <c r="M147" s="38">
        <f>_xlfn.XLOOKUP(I147,'3. Input (des)investeringen '!$B$11:$B$89,'3. Input (des)investeringen '!$D$11:$D$89,0)</f>
        <v>55</v>
      </c>
      <c r="N147" s="38">
        <f t="shared" si="59"/>
        <v>0</v>
      </c>
      <c r="P147" s="43">
        <f t="shared" si="58"/>
        <v>0</v>
      </c>
      <c r="Q147" s="43">
        <f t="shared" si="58"/>
        <v>0</v>
      </c>
      <c r="R147" s="43">
        <f t="shared" si="58"/>
        <v>0</v>
      </c>
      <c r="S147" s="43">
        <f t="shared" si="58"/>
        <v>0</v>
      </c>
      <c r="T147" s="43">
        <f t="shared" si="58"/>
        <v>0</v>
      </c>
      <c r="V147" s="43">
        <f t="shared" si="35"/>
        <v>0</v>
      </c>
      <c r="W147" s="43">
        <f t="shared" si="36"/>
        <v>0</v>
      </c>
      <c r="X147" s="43">
        <f t="shared" si="37"/>
        <v>0</v>
      </c>
      <c r="Y147" s="43">
        <f t="shared" si="38"/>
        <v>0</v>
      </c>
      <c r="Z147" s="43">
        <f t="shared" si="39"/>
        <v>0</v>
      </c>
      <c r="AB147" s="43">
        <f t="shared" si="60"/>
        <v>0</v>
      </c>
      <c r="AC147" s="43">
        <f t="shared" si="61"/>
        <v>0</v>
      </c>
      <c r="AD147" s="43">
        <f t="shared" si="62"/>
        <v>0</v>
      </c>
      <c r="AE147" s="43">
        <f t="shared" si="63"/>
        <v>0</v>
      </c>
      <c r="AF147" s="43">
        <f t="shared" si="64"/>
        <v>0</v>
      </c>
      <c r="AH147" s="43">
        <f t="shared" si="65"/>
        <v>0</v>
      </c>
      <c r="AI147" s="43">
        <f t="shared" si="66"/>
        <v>0</v>
      </c>
      <c r="AJ147" s="43">
        <f t="shared" si="67"/>
        <v>0</v>
      </c>
      <c r="AK147" s="43">
        <f t="shared" si="68"/>
        <v>0</v>
      </c>
      <c r="AL147" s="43">
        <f t="shared" si="69"/>
        <v>0</v>
      </c>
      <c r="AN147" s="47">
        <f t="shared" si="70"/>
        <v>0</v>
      </c>
      <c r="AO147" s="47">
        <f t="shared" si="71"/>
        <v>0</v>
      </c>
      <c r="AP147" s="47">
        <f t="shared" si="72"/>
        <v>0</v>
      </c>
      <c r="AQ147" s="47">
        <f t="shared" si="73"/>
        <v>0</v>
      </c>
      <c r="AR147" s="43">
        <f t="shared" si="74"/>
        <v>0</v>
      </c>
      <c r="AY147" s="3"/>
    </row>
    <row r="148" spans="1:51" ht="13">
      <c r="A148" s="226"/>
      <c r="B148" s="37">
        <f>'13. Desinvesteringen'!B431</f>
        <v>412</v>
      </c>
      <c r="C148" s="48"/>
      <c r="D148" s="48"/>
      <c r="E148" s="48"/>
      <c r="F148" s="42">
        <f>'5. Input GAW-waarde desinv.'!D107</f>
        <v>0</v>
      </c>
      <c r="G148" s="175">
        <f>'13. Desinvesteringen'!D431</f>
        <v>1965</v>
      </c>
      <c r="H148" s="175">
        <f>'13. Desinvesteringen'!G431</f>
        <v>2023</v>
      </c>
      <c r="I148" s="37" t="str">
        <f>'13. Desinvesteringen'!C431</f>
        <v>01 Regionale leidingen</v>
      </c>
      <c r="J148" s="164">
        <f>'13. Desinvesteringen'!F431</f>
        <v>0</v>
      </c>
      <c r="K148" s="38">
        <f>_xlfn.XLOOKUP(I148,'3. Input (des)investeringen '!$B$11:$B$89,'3. Input (des)investeringen '!$E$11:$E$89)</f>
        <v>1</v>
      </c>
      <c r="L148" s="48"/>
      <c r="M148" s="38">
        <f>_xlfn.XLOOKUP(I148,'3. Input (des)investeringen '!$B$11:$B$89,'3. Input (des)investeringen '!$D$11:$D$89,0)</f>
        <v>55</v>
      </c>
      <c r="N148" s="38">
        <f t="shared" si="59"/>
        <v>0</v>
      </c>
      <c r="P148" s="43">
        <f t="shared" si="58"/>
        <v>0</v>
      </c>
      <c r="Q148" s="43">
        <f t="shared" si="58"/>
        <v>0</v>
      </c>
      <c r="R148" s="43">
        <f t="shared" si="58"/>
        <v>0</v>
      </c>
      <c r="S148" s="43">
        <f t="shared" si="58"/>
        <v>0</v>
      </c>
      <c r="T148" s="43">
        <f t="shared" si="58"/>
        <v>0</v>
      </c>
      <c r="V148" s="43">
        <f t="shared" si="35"/>
        <v>0</v>
      </c>
      <c r="W148" s="43">
        <f t="shared" si="36"/>
        <v>0</v>
      </c>
      <c r="X148" s="43">
        <f t="shared" si="37"/>
        <v>0</v>
      </c>
      <c r="Y148" s="43">
        <f t="shared" si="38"/>
        <v>0</v>
      </c>
      <c r="Z148" s="43">
        <f t="shared" si="39"/>
        <v>0</v>
      </c>
      <c r="AB148" s="43">
        <f t="shared" si="60"/>
        <v>0</v>
      </c>
      <c r="AC148" s="43">
        <f t="shared" si="61"/>
        <v>0</v>
      </c>
      <c r="AD148" s="43">
        <f t="shared" si="62"/>
        <v>0</v>
      </c>
      <c r="AE148" s="43">
        <f t="shared" si="63"/>
        <v>0</v>
      </c>
      <c r="AF148" s="43">
        <f t="shared" si="64"/>
        <v>0</v>
      </c>
      <c r="AH148" s="43">
        <f t="shared" si="65"/>
        <v>0</v>
      </c>
      <c r="AI148" s="43">
        <f t="shared" si="66"/>
        <v>0</v>
      </c>
      <c r="AJ148" s="43">
        <f t="shared" si="67"/>
        <v>0</v>
      </c>
      <c r="AK148" s="43">
        <f t="shared" si="68"/>
        <v>0</v>
      </c>
      <c r="AL148" s="43">
        <f t="shared" si="69"/>
        <v>0</v>
      </c>
      <c r="AN148" s="47">
        <f t="shared" si="70"/>
        <v>0</v>
      </c>
      <c r="AO148" s="47">
        <f t="shared" si="71"/>
        <v>0</v>
      </c>
      <c r="AP148" s="47">
        <f t="shared" si="72"/>
        <v>0</v>
      </c>
      <c r="AQ148" s="47">
        <f t="shared" si="73"/>
        <v>0</v>
      </c>
      <c r="AR148" s="43">
        <f t="shared" si="74"/>
        <v>0</v>
      </c>
      <c r="AY148" s="3"/>
    </row>
    <row r="149" spans="1:51" ht="13">
      <c r="A149" s="226"/>
      <c r="B149" s="37">
        <f>'13. Desinvesteringen'!B432</f>
        <v>413</v>
      </c>
      <c r="C149" s="48"/>
      <c r="D149" s="48"/>
      <c r="E149" s="48"/>
      <c r="F149" s="42">
        <f>'5. Input GAW-waarde desinv.'!D108</f>
        <v>0</v>
      </c>
      <c r="G149" s="175">
        <f>'13. Desinvesteringen'!D432</f>
        <v>1966</v>
      </c>
      <c r="H149" s="175">
        <f>'13. Desinvesteringen'!G432</f>
        <v>2023</v>
      </c>
      <c r="I149" s="37" t="str">
        <f>'13. Desinvesteringen'!C432</f>
        <v>01 Regionale leidingen</v>
      </c>
      <c r="J149" s="164">
        <f>'13. Desinvesteringen'!F432</f>
        <v>0</v>
      </c>
      <c r="K149" s="38">
        <f>_xlfn.XLOOKUP(I149,'3. Input (des)investeringen '!$B$11:$B$89,'3. Input (des)investeringen '!$E$11:$E$89)</f>
        <v>1</v>
      </c>
      <c r="L149" s="48"/>
      <c r="M149" s="38">
        <f>_xlfn.XLOOKUP(I149,'3. Input (des)investeringen '!$B$11:$B$89,'3. Input (des)investeringen '!$D$11:$D$89,0)</f>
        <v>55</v>
      </c>
      <c r="N149" s="38">
        <f t="shared" si="59"/>
        <v>0</v>
      </c>
      <c r="P149" s="43">
        <f t="shared" si="58"/>
        <v>0</v>
      </c>
      <c r="Q149" s="43">
        <f t="shared" si="58"/>
        <v>0</v>
      </c>
      <c r="R149" s="43">
        <f t="shared" si="58"/>
        <v>0</v>
      </c>
      <c r="S149" s="43">
        <f t="shared" si="58"/>
        <v>0</v>
      </c>
      <c r="T149" s="43">
        <f t="shared" si="58"/>
        <v>0</v>
      </c>
      <c r="V149" s="43">
        <f t="shared" si="35"/>
        <v>0</v>
      </c>
      <c r="W149" s="43">
        <f t="shared" si="36"/>
        <v>0</v>
      </c>
      <c r="X149" s="43">
        <f t="shared" si="37"/>
        <v>0</v>
      </c>
      <c r="Y149" s="43">
        <f t="shared" si="38"/>
        <v>0</v>
      </c>
      <c r="Z149" s="43">
        <f t="shared" si="39"/>
        <v>0</v>
      </c>
      <c r="AB149" s="43">
        <f t="shared" si="60"/>
        <v>0</v>
      </c>
      <c r="AC149" s="43">
        <f t="shared" si="61"/>
        <v>0</v>
      </c>
      <c r="AD149" s="43">
        <f t="shared" si="62"/>
        <v>0</v>
      </c>
      <c r="AE149" s="43">
        <f t="shared" si="63"/>
        <v>0</v>
      </c>
      <c r="AF149" s="43">
        <f t="shared" si="64"/>
        <v>0</v>
      </c>
      <c r="AH149" s="43">
        <f t="shared" si="65"/>
        <v>0</v>
      </c>
      <c r="AI149" s="43">
        <f t="shared" si="66"/>
        <v>0</v>
      </c>
      <c r="AJ149" s="43">
        <f t="shared" si="67"/>
        <v>0</v>
      </c>
      <c r="AK149" s="43">
        <f t="shared" si="68"/>
        <v>0</v>
      </c>
      <c r="AL149" s="43">
        <f t="shared" si="69"/>
        <v>0</v>
      </c>
      <c r="AN149" s="47">
        <f t="shared" si="70"/>
        <v>0</v>
      </c>
      <c r="AO149" s="47">
        <f t="shared" si="71"/>
        <v>0</v>
      </c>
      <c r="AP149" s="47">
        <f t="shared" si="72"/>
        <v>0</v>
      </c>
      <c r="AQ149" s="47">
        <f t="shared" si="73"/>
        <v>0</v>
      </c>
      <c r="AR149" s="43">
        <f t="shared" si="74"/>
        <v>0</v>
      </c>
      <c r="AY149" s="3"/>
    </row>
    <row r="150" spans="1:51" ht="13">
      <c r="A150" s="226"/>
      <c r="B150" s="37">
        <f>'13. Desinvesteringen'!B433</f>
        <v>414</v>
      </c>
      <c r="C150" s="48"/>
      <c r="D150" s="48"/>
      <c r="E150" s="48"/>
      <c r="F150" s="42">
        <f>'5. Input GAW-waarde desinv.'!D109</f>
        <v>4066.6917785254955</v>
      </c>
      <c r="G150" s="175">
        <f>'13. Desinvesteringen'!D433</f>
        <v>1967</v>
      </c>
      <c r="H150" s="175">
        <f>'13. Desinvesteringen'!G433</f>
        <v>2023</v>
      </c>
      <c r="I150" s="37" t="str">
        <f>'13. Desinvesteringen'!C433</f>
        <v>01 Regionale leidingen</v>
      </c>
      <c r="J150" s="164">
        <f>'13. Desinvesteringen'!F433</f>
        <v>0</v>
      </c>
      <c r="K150" s="38">
        <f>_xlfn.XLOOKUP(I150,'3. Input (des)investeringen '!$B$11:$B$89,'3. Input (des)investeringen '!$E$11:$E$89)</f>
        <v>1</v>
      </c>
      <c r="L150" s="48"/>
      <c r="M150" s="38">
        <f>_xlfn.XLOOKUP(I150,'3. Input (des)investeringen '!$B$11:$B$89,'3. Input (des)investeringen '!$D$11:$D$89,0)</f>
        <v>55</v>
      </c>
      <c r="N150" s="38">
        <f t="shared" si="59"/>
        <v>0.5</v>
      </c>
      <c r="P150" s="43">
        <f t="shared" si="58"/>
        <v>3660.0226006729458</v>
      </c>
      <c r="Q150" s="43">
        <f t="shared" si="58"/>
        <v>0</v>
      </c>
      <c r="R150" s="43">
        <f t="shared" si="58"/>
        <v>0</v>
      </c>
      <c r="S150" s="43">
        <f t="shared" si="58"/>
        <v>0</v>
      </c>
      <c r="T150" s="43">
        <f t="shared" si="58"/>
        <v>0</v>
      </c>
      <c r="V150" s="43">
        <f t="shared" si="35"/>
        <v>406.66917785254958</v>
      </c>
      <c r="W150" s="43">
        <f t="shared" si="36"/>
        <v>0</v>
      </c>
      <c r="X150" s="43">
        <f t="shared" si="37"/>
        <v>0</v>
      </c>
      <c r="Y150" s="43">
        <f t="shared" si="38"/>
        <v>0</v>
      </c>
      <c r="Z150" s="43">
        <f t="shared" si="39"/>
        <v>0</v>
      </c>
      <c r="AB150" s="43">
        <f t="shared" si="60"/>
        <v>4066.6917785254955</v>
      </c>
      <c r="AC150" s="43">
        <f t="shared" si="61"/>
        <v>0</v>
      </c>
      <c r="AD150" s="43">
        <f t="shared" si="62"/>
        <v>0</v>
      </c>
      <c r="AE150" s="43">
        <f t="shared" si="63"/>
        <v>0</v>
      </c>
      <c r="AF150" s="43">
        <f t="shared" si="64"/>
        <v>0</v>
      </c>
      <c r="AH150" s="43">
        <f t="shared" si="65"/>
        <v>0</v>
      </c>
      <c r="AI150" s="43">
        <f t="shared" si="66"/>
        <v>0</v>
      </c>
      <c r="AJ150" s="43">
        <f t="shared" si="67"/>
        <v>0</v>
      </c>
      <c r="AK150" s="43">
        <f t="shared" si="68"/>
        <v>0</v>
      </c>
      <c r="AL150" s="43">
        <f t="shared" si="69"/>
        <v>0</v>
      </c>
      <c r="AN150" s="47">
        <f t="shared" si="70"/>
        <v>4066.6917785254955</v>
      </c>
      <c r="AO150" s="47">
        <f t="shared" si="71"/>
        <v>0</v>
      </c>
      <c r="AP150" s="47">
        <f t="shared" si="72"/>
        <v>0</v>
      </c>
      <c r="AQ150" s="47">
        <f t="shared" si="73"/>
        <v>0</v>
      </c>
      <c r="AR150" s="43">
        <f t="shared" si="74"/>
        <v>0</v>
      </c>
      <c r="AY150" s="3"/>
    </row>
    <row r="151" spans="1:51" ht="13">
      <c r="A151" s="226"/>
      <c r="B151" s="37">
        <f>'13. Desinvesteringen'!B434</f>
        <v>415</v>
      </c>
      <c r="C151" s="48"/>
      <c r="D151" s="48"/>
      <c r="E151" s="48"/>
      <c r="F151" s="42">
        <f>'5. Input GAW-waarde desinv.'!D110</f>
        <v>72313.792532278865</v>
      </c>
      <c r="G151" s="175">
        <f>'13. Desinvesteringen'!D434</f>
        <v>1968</v>
      </c>
      <c r="H151" s="175">
        <f>'13. Desinvesteringen'!G434</f>
        <v>2023</v>
      </c>
      <c r="I151" s="37" t="str">
        <f>'13. Desinvesteringen'!C434</f>
        <v>01 Regionale leidingen</v>
      </c>
      <c r="J151" s="164">
        <f>'13. Desinvesteringen'!F434</f>
        <v>0</v>
      </c>
      <c r="K151" s="38">
        <f>_xlfn.XLOOKUP(I151,'3. Input (des)investeringen '!$B$11:$B$89,'3. Input (des)investeringen '!$E$11:$E$89)</f>
        <v>1</v>
      </c>
      <c r="L151" s="48"/>
      <c r="M151" s="38">
        <f>_xlfn.XLOOKUP(I151,'3. Input (des)investeringen '!$B$11:$B$89,'3. Input (des)investeringen '!$D$11:$D$89,0)</f>
        <v>55</v>
      </c>
      <c r="N151" s="38">
        <f t="shared" si="59"/>
        <v>1.5</v>
      </c>
      <c r="P151" s="43">
        <f t="shared" si="58"/>
        <v>56404.758175177521</v>
      </c>
      <c r="Q151" s="43">
        <f t="shared" si="58"/>
        <v>8677.6551038734615</v>
      </c>
      <c r="R151" s="43">
        <f t="shared" si="58"/>
        <v>0</v>
      </c>
      <c r="S151" s="43">
        <f t="shared" si="58"/>
        <v>0</v>
      </c>
      <c r="T151" s="43">
        <f t="shared" si="58"/>
        <v>0</v>
      </c>
      <c r="V151" s="43">
        <f t="shared" si="35"/>
        <v>4820.9195021519245</v>
      </c>
      <c r="W151" s="43">
        <f t="shared" si="36"/>
        <v>2410.4597510759627</v>
      </c>
      <c r="X151" s="43">
        <f t="shared" si="37"/>
        <v>0</v>
      </c>
      <c r="Y151" s="43">
        <f t="shared" si="38"/>
        <v>0</v>
      </c>
      <c r="Z151" s="43">
        <f t="shared" si="39"/>
        <v>0</v>
      </c>
      <c r="AB151" s="43">
        <f t="shared" si="60"/>
        <v>61225.677677329448</v>
      </c>
      <c r="AC151" s="43">
        <f t="shared" si="61"/>
        <v>11088.114854949425</v>
      </c>
      <c r="AD151" s="43">
        <f t="shared" si="62"/>
        <v>0</v>
      </c>
      <c r="AE151" s="43">
        <f t="shared" si="63"/>
        <v>0</v>
      </c>
      <c r="AF151" s="43">
        <f t="shared" si="64"/>
        <v>0</v>
      </c>
      <c r="AH151" s="43">
        <f t="shared" si="65"/>
        <v>11088.114854949417</v>
      </c>
      <c r="AI151" s="43">
        <f t="shared" si="66"/>
        <v>0</v>
      </c>
      <c r="AJ151" s="43">
        <f t="shared" si="67"/>
        <v>0</v>
      </c>
      <c r="AK151" s="43">
        <f t="shared" si="68"/>
        <v>0</v>
      </c>
      <c r="AL151" s="43">
        <f t="shared" si="69"/>
        <v>0</v>
      </c>
      <c r="AN151" s="47">
        <f t="shared" si="70"/>
        <v>61680.290386382374</v>
      </c>
      <c r="AO151" s="47">
        <f t="shared" si="71"/>
        <v>11088.114854949425</v>
      </c>
      <c r="AP151" s="47">
        <f t="shared" si="72"/>
        <v>0</v>
      </c>
      <c r="AQ151" s="47">
        <f t="shared" si="73"/>
        <v>0</v>
      </c>
      <c r="AR151" s="43">
        <f t="shared" si="74"/>
        <v>0</v>
      </c>
      <c r="AY151" s="3"/>
    </row>
    <row r="152" spans="1:51" ht="13">
      <c r="A152" s="226"/>
      <c r="B152" s="37">
        <f>'13. Desinvesteringen'!B435</f>
        <v>416</v>
      </c>
      <c r="C152" s="48"/>
      <c r="D152" s="48"/>
      <c r="E152" s="48"/>
      <c r="F152" s="42">
        <f>'5. Input GAW-waarde desinv.'!D111</f>
        <v>39219.604478837689</v>
      </c>
      <c r="G152" s="175">
        <f>'13. Desinvesteringen'!D435</f>
        <v>1969</v>
      </c>
      <c r="H152" s="175">
        <f>'13. Desinvesteringen'!G435</f>
        <v>2023</v>
      </c>
      <c r="I152" s="37" t="str">
        <f>'13. Desinvesteringen'!C435</f>
        <v>01 Regionale leidingen</v>
      </c>
      <c r="J152" s="164">
        <f>'13. Desinvesteringen'!F435</f>
        <v>0</v>
      </c>
      <c r="K152" s="38">
        <f>_xlfn.XLOOKUP(I152,'3. Input (des)investeringen '!$B$11:$B$89,'3. Input (des)investeringen '!$E$11:$E$89)</f>
        <v>1</v>
      </c>
      <c r="L152" s="48"/>
      <c r="M152" s="38">
        <f>_xlfn.XLOOKUP(I152,'3. Input (des)investeringen '!$B$11:$B$89,'3. Input (des)investeringen '!$D$11:$D$89,0)</f>
        <v>55</v>
      </c>
      <c r="N152" s="38">
        <f t="shared" si="59"/>
        <v>2.5</v>
      </c>
      <c r="P152" s="43">
        <f t="shared" ref="P152:T161" si="75">IF($M152&gt;0, IF(OR($G152&gt;P$50,$G152+$M152&lt;P$50),0,
VDB($F152,0,$N152,MAX(0,P$50-2022),MIN($N152,P$50-2021),$F$23,FALSE))*(1-$F$26), 0)</f>
        <v>18354.774896096042</v>
      </c>
      <c r="Q152" s="43">
        <f t="shared" si="75"/>
        <v>11295.246089905255</v>
      </c>
      <c r="R152" s="43">
        <f t="shared" si="75"/>
        <v>5647.6230449526274</v>
      </c>
      <c r="S152" s="43">
        <f t="shared" si="75"/>
        <v>0</v>
      </c>
      <c r="T152" s="43">
        <f t="shared" si="75"/>
        <v>0</v>
      </c>
      <c r="V152" s="43">
        <f t="shared" si="35"/>
        <v>1568.7841791535077</v>
      </c>
      <c r="W152" s="43">
        <f t="shared" si="36"/>
        <v>1568.7841791535075</v>
      </c>
      <c r="X152" s="43">
        <f t="shared" si="37"/>
        <v>784.39208957675373</v>
      </c>
      <c r="Y152" s="43">
        <f t="shared" si="38"/>
        <v>0</v>
      </c>
      <c r="Z152" s="43">
        <f t="shared" si="39"/>
        <v>0</v>
      </c>
      <c r="AB152" s="43">
        <f t="shared" si="60"/>
        <v>19923.559075249548</v>
      </c>
      <c r="AC152" s="43">
        <f t="shared" si="61"/>
        <v>12864.030269058763</v>
      </c>
      <c r="AD152" s="43">
        <f t="shared" si="62"/>
        <v>6432.0151345293816</v>
      </c>
      <c r="AE152" s="43">
        <f t="shared" si="63"/>
        <v>0</v>
      </c>
      <c r="AF152" s="43">
        <f t="shared" si="64"/>
        <v>0</v>
      </c>
      <c r="AH152" s="43">
        <f t="shared" si="65"/>
        <v>19296.045403588141</v>
      </c>
      <c r="AI152" s="43">
        <f t="shared" si="66"/>
        <v>6432.015134529378</v>
      </c>
      <c r="AJ152" s="43">
        <f t="shared" si="67"/>
        <v>0</v>
      </c>
      <c r="AK152" s="43">
        <f t="shared" si="68"/>
        <v>0</v>
      </c>
      <c r="AL152" s="43">
        <f t="shared" si="69"/>
        <v>0</v>
      </c>
      <c r="AN152" s="47">
        <f t="shared" si="70"/>
        <v>20714.696936796663</v>
      </c>
      <c r="AO152" s="47">
        <f t="shared" si="71"/>
        <v>13192.063040919762</v>
      </c>
      <c r="AP152" s="47">
        <f t="shared" si="72"/>
        <v>6432.0151345293816</v>
      </c>
      <c r="AQ152" s="47">
        <f t="shared" si="73"/>
        <v>0</v>
      </c>
      <c r="AR152" s="43">
        <f t="shared" si="74"/>
        <v>0</v>
      </c>
      <c r="AY152" s="3"/>
    </row>
    <row r="153" spans="1:51" ht="13">
      <c r="A153" s="226"/>
      <c r="B153" s="37">
        <f>'13. Desinvesteringen'!B436</f>
        <v>417</v>
      </c>
      <c r="C153" s="48"/>
      <c r="D153" s="48"/>
      <c r="E153" s="48"/>
      <c r="F153" s="42">
        <f>'5. Input GAW-waarde desinv.'!D112</f>
        <v>69808.707803642814</v>
      </c>
      <c r="G153" s="175">
        <f>'13. Desinvesteringen'!D436</f>
        <v>1970</v>
      </c>
      <c r="H153" s="175">
        <f>'13. Desinvesteringen'!G436</f>
        <v>2023</v>
      </c>
      <c r="I153" s="37" t="str">
        <f>'13. Desinvesteringen'!C436</f>
        <v>01 Regionale leidingen</v>
      </c>
      <c r="J153" s="164">
        <f>'13. Desinvesteringen'!F436</f>
        <v>0</v>
      </c>
      <c r="K153" s="38">
        <f>_xlfn.XLOOKUP(I153,'3. Input (des)investeringen '!$B$11:$B$89,'3. Input (des)investeringen '!$E$11:$E$89)</f>
        <v>1</v>
      </c>
      <c r="L153" s="48"/>
      <c r="M153" s="38">
        <f>_xlfn.XLOOKUP(I153,'3. Input (des)investeringen '!$B$11:$B$89,'3. Input (des)investeringen '!$D$11:$D$89,0)</f>
        <v>55</v>
      </c>
      <c r="N153" s="38">
        <f t="shared" si="59"/>
        <v>3.5</v>
      </c>
      <c r="P153" s="43">
        <f t="shared" si="75"/>
        <v>23336.053751503456</v>
      </c>
      <c r="Q153" s="43">
        <f t="shared" si="75"/>
        <v>15796.71330871003</v>
      </c>
      <c r="R153" s="43">
        <f t="shared" si="75"/>
        <v>15796.71330871003</v>
      </c>
      <c r="S153" s="43">
        <f t="shared" si="75"/>
        <v>7898.3566543550151</v>
      </c>
      <c r="T153" s="43">
        <f t="shared" si="75"/>
        <v>0</v>
      </c>
      <c r="V153" s="43">
        <f t="shared" si="35"/>
        <v>1994.534508675509</v>
      </c>
      <c r="W153" s="43">
        <f t="shared" si="36"/>
        <v>1994.5345086755094</v>
      </c>
      <c r="X153" s="43">
        <f t="shared" si="37"/>
        <v>1994.5345086755094</v>
      </c>
      <c r="Y153" s="43">
        <f t="shared" si="38"/>
        <v>997.26725433775471</v>
      </c>
      <c r="Z153" s="43">
        <f t="shared" si="39"/>
        <v>0</v>
      </c>
      <c r="AB153" s="43">
        <f t="shared" si="60"/>
        <v>25330.588260178964</v>
      </c>
      <c r="AC153" s="43">
        <f t="shared" si="61"/>
        <v>17791.247817385538</v>
      </c>
      <c r="AD153" s="43">
        <f t="shared" si="62"/>
        <v>17791.247817385538</v>
      </c>
      <c r="AE153" s="43">
        <f t="shared" si="63"/>
        <v>8895.623908692769</v>
      </c>
      <c r="AF153" s="43">
        <f t="shared" si="64"/>
        <v>0</v>
      </c>
      <c r="AH153" s="43">
        <f t="shared" si="65"/>
        <v>44478.11954346385</v>
      </c>
      <c r="AI153" s="43">
        <f t="shared" si="66"/>
        <v>26686.871726078312</v>
      </c>
      <c r="AJ153" s="43">
        <f t="shared" si="67"/>
        <v>8895.6239086927744</v>
      </c>
      <c r="AK153" s="43">
        <f t="shared" si="68"/>
        <v>0</v>
      </c>
      <c r="AL153" s="43">
        <f t="shared" si="69"/>
        <v>0</v>
      </c>
      <c r="AN153" s="47">
        <f t="shared" si="70"/>
        <v>27154.191161460982</v>
      </c>
      <c r="AO153" s="47">
        <f t="shared" si="71"/>
        <v>19152.278275415531</v>
      </c>
      <c r="AP153" s="47">
        <f t="shared" si="72"/>
        <v>18244.924636728869</v>
      </c>
      <c r="AQ153" s="47">
        <f t="shared" si="73"/>
        <v>8895.623908692769</v>
      </c>
      <c r="AR153" s="43">
        <f t="shared" si="74"/>
        <v>0</v>
      </c>
      <c r="AY153" s="3"/>
    </row>
    <row r="154" spans="1:51" ht="13">
      <c r="A154" s="226"/>
      <c r="B154" s="37">
        <f>'13. Desinvesteringen'!B437</f>
        <v>418</v>
      </c>
      <c r="C154" s="48"/>
      <c r="D154" s="48"/>
      <c r="E154" s="48"/>
      <c r="F154" s="42">
        <f>'5. Input GAW-waarde desinv.'!D113</f>
        <v>38586.635084201873</v>
      </c>
      <c r="G154" s="175">
        <f>'13. Desinvesteringen'!D437</f>
        <v>1971</v>
      </c>
      <c r="H154" s="175">
        <f>'13. Desinvesteringen'!G437</f>
        <v>2023</v>
      </c>
      <c r="I154" s="37" t="str">
        <f>'13. Desinvesteringen'!C437</f>
        <v>01 Regionale leidingen</v>
      </c>
      <c r="J154" s="164">
        <f>'13. Desinvesteringen'!F437</f>
        <v>0</v>
      </c>
      <c r="K154" s="38">
        <f>_xlfn.XLOOKUP(I154,'3. Input (des)investeringen '!$B$11:$B$89,'3. Input (des)investeringen '!$E$11:$E$89)</f>
        <v>1</v>
      </c>
      <c r="L154" s="48"/>
      <c r="M154" s="38">
        <f>_xlfn.XLOOKUP(I154,'3. Input (des)investeringen '!$B$11:$B$89,'3. Input (des)investeringen '!$D$11:$D$89,0)</f>
        <v>55</v>
      </c>
      <c r="N154" s="38">
        <f t="shared" si="59"/>
        <v>4.5</v>
      </c>
      <c r="P154" s="43">
        <f t="shared" si="75"/>
        <v>10032.525121892488</v>
      </c>
      <c r="Q154" s="43">
        <f t="shared" si="75"/>
        <v>7134.2400866791022</v>
      </c>
      <c r="R154" s="43">
        <f t="shared" si="75"/>
        <v>7024.4825468840381</v>
      </c>
      <c r="S154" s="43">
        <f t="shared" si="75"/>
        <v>7024.4825468840381</v>
      </c>
      <c r="T154" s="43">
        <f t="shared" si="75"/>
        <v>3512.2412734420191</v>
      </c>
      <c r="V154" s="43">
        <f t="shared" si="35"/>
        <v>857.48077964893059</v>
      </c>
      <c r="W154" s="43">
        <f t="shared" si="36"/>
        <v>857.48077964893059</v>
      </c>
      <c r="X154" s="43">
        <f t="shared" si="37"/>
        <v>857.48077964893059</v>
      </c>
      <c r="Y154" s="43">
        <f t="shared" si="38"/>
        <v>857.48077964893059</v>
      </c>
      <c r="Z154" s="43">
        <f t="shared" si="39"/>
        <v>428.7403898244653</v>
      </c>
      <c r="AB154" s="43">
        <f t="shared" si="60"/>
        <v>10890.005901541419</v>
      </c>
      <c r="AC154" s="43">
        <f t="shared" si="61"/>
        <v>7991.7208663280326</v>
      </c>
      <c r="AD154" s="43">
        <f t="shared" si="62"/>
        <v>7881.9633265329685</v>
      </c>
      <c r="AE154" s="43">
        <f t="shared" si="63"/>
        <v>7881.9633265329685</v>
      </c>
      <c r="AF154" s="43">
        <f t="shared" si="64"/>
        <v>3940.9816632664842</v>
      </c>
      <c r="AH154" s="43">
        <f t="shared" si="65"/>
        <v>27696.629182660454</v>
      </c>
      <c r="AI154" s="43">
        <f t="shared" si="66"/>
        <v>19704.908316332421</v>
      </c>
      <c r="AJ154" s="43">
        <f t="shared" si="67"/>
        <v>11822.944989799453</v>
      </c>
      <c r="AK154" s="43">
        <f t="shared" si="68"/>
        <v>3940.9816632664842</v>
      </c>
      <c r="AL154" s="43">
        <f t="shared" si="69"/>
        <v>0</v>
      </c>
      <c r="AN154" s="47">
        <f t="shared" si="70"/>
        <v>12025.567698030498</v>
      </c>
      <c r="AO154" s="47">
        <f t="shared" si="71"/>
        <v>8996.6711904609856</v>
      </c>
      <c r="AP154" s="47">
        <f t="shared" si="72"/>
        <v>8484.933521012741</v>
      </c>
      <c r="AQ154" s="47">
        <f t="shared" si="73"/>
        <v>8098.7173180126247</v>
      </c>
      <c r="AR154" s="43">
        <f t="shared" si="74"/>
        <v>3940.9816632664842</v>
      </c>
      <c r="AY154" s="3"/>
    </row>
    <row r="155" spans="1:51" ht="13">
      <c r="A155" s="226"/>
      <c r="B155" s="37">
        <f>'13. Desinvesteringen'!B438</f>
        <v>419</v>
      </c>
      <c r="C155" s="48"/>
      <c r="D155" s="48"/>
      <c r="E155" s="48"/>
      <c r="F155" s="42">
        <f>'5. Input GAW-waarde desinv.'!D114</f>
        <v>21904.077054372625</v>
      </c>
      <c r="G155" s="175">
        <f>'13. Desinvesteringen'!D438</f>
        <v>1972</v>
      </c>
      <c r="H155" s="175">
        <f>'13. Desinvesteringen'!G438</f>
        <v>2023</v>
      </c>
      <c r="I155" s="37" t="str">
        <f>'13. Desinvesteringen'!C438</f>
        <v>01 Regionale leidingen</v>
      </c>
      <c r="J155" s="164">
        <f>'13. Desinvesteringen'!F438</f>
        <v>0</v>
      </c>
      <c r="K155" s="38">
        <f>_xlfn.XLOOKUP(I155,'3. Input (des)investeringen '!$B$11:$B$89,'3. Input (des)investeringen '!$E$11:$E$89)</f>
        <v>1</v>
      </c>
      <c r="L155" s="48"/>
      <c r="M155" s="38">
        <f>_xlfn.XLOOKUP(I155,'3. Input (des)investeringen '!$B$11:$B$89,'3. Input (des)investeringen '!$D$11:$D$89,0)</f>
        <v>55</v>
      </c>
      <c r="N155" s="38">
        <f t="shared" si="59"/>
        <v>5.5</v>
      </c>
      <c r="P155" s="43">
        <f t="shared" si="75"/>
        <v>4659.594573384722</v>
      </c>
      <c r="Q155" s="43">
        <f t="shared" si="75"/>
        <v>3558.2358560392422</v>
      </c>
      <c r="R155" s="43">
        <f t="shared" si="75"/>
        <v>3284.5254055746855</v>
      </c>
      <c r="S155" s="43">
        <f t="shared" si="75"/>
        <v>3284.5254055746855</v>
      </c>
      <c r="T155" s="43">
        <f t="shared" si="75"/>
        <v>3284.5254055746855</v>
      </c>
      <c r="V155" s="43">
        <f t="shared" si="35"/>
        <v>398.25594644313867</v>
      </c>
      <c r="W155" s="43">
        <f t="shared" si="36"/>
        <v>398.25594644313867</v>
      </c>
      <c r="X155" s="43">
        <f t="shared" si="37"/>
        <v>398.25594644313867</v>
      </c>
      <c r="Y155" s="43">
        <f t="shared" si="38"/>
        <v>398.25594644313867</v>
      </c>
      <c r="Z155" s="43">
        <f t="shared" si="39"/>
        <v>398.25594644313867</v>
      </c>
      <c r="AB155" s="43">
        <f t="shared" si="60"/>
        <v>5057.8505198278608</v>
      </c>
      <c r="AC155" s="43">
        <f t="shared" si="61"/>
        <v>3956.491802482381</v>
      </c>
      <c r="AD155" s="43">
        <f t="shared" si="62"/>
        <v>3682.7813520178242</v>
      </c>
      <c r="AE155" s="43">
        <f t="shared" si="63"/>
        <v>3682.7813520178242</v>
      </c>
      <c r="AF155" s="43">
        <f t="shared" si="64"/>
        <v>3682.7813520178242</v>
      </c>
      <c r="AH155" s="43">
        <f t="shared" si="65"/>
        <v>16846.226534544763</v>
      </c>
      <c r="AI155" s="43">
        <f t="shared" si="66"/>
        <v>12889.734732062381</v>
      </c>
      <c r="AJ155" s="43">
        <f t="shared" si="67"/>
        <v>9206.953380044557</v>
      </c>
      <c r="AK155" s="43">
        <f t="shared" si="68"/>
        <v>5524.1720280267327</v>
      </c>
      <c r="AL155" s="43">
        <f t="shared" si="69"/>
        <v>1841.3906760089085</v>
      </c>
      <c r="AN155" s="47">
        <f t="shared" si="70"/>
        <v>5748.5458077441963</v>
      </c>
      <c r="AO155" s="47">
        <f t="shared" si="71"/>
        <v>4613.8682738175621</v>
      </c>
      <c r="AP155" s="47">
        <f t="shared" si="72"/>
        <v>4152.3359744000963</v>
      </c>
      <c r="AQ155" s="47">
        <f t="shared" si="73"/>
        <v>3986.6108135592945</v>
      </c>
      <c r="AR155" s="43">
        <f t="shared" si="74"/>
        <v>3752.7541977061628</v>
      </c>
      <c r="AY155" s="3"/>
    </row>
    <row r="156" spans="1:51" ht="13">
      <c r="A156" s="226"/>
      <c r="B156" s="37">
        <f>'13. Desinvesteringen'!B439</f>
        <v>420</v>
      </c>
      <c r="C156" s="48"/>
      <c r="D156" s="48"/>
      <c r="E156" s="48"/>
      <c r="F156" s="42">
        <f>'5. Input GAW-waarde desinv.'!D115</f>
        <v>17162.736023996706</v>
      </c>
      <c r="G156" s="175">
        <f>'13. Desinvesteringen'!D439</f>
        <v>1973</v>
      </c>
      <c r="H156" s="175">
        <f>'13. Desinvesteringen'!G439</f>
        <v>2023</v>
      </c>
      <c r="I156" s="37" t="str">
        <f>'13. Desinvesteringen'!C439</f>
        <v>01 Regionale leidingen</v>
      </c>
      <c r="J156" s="164">
        <f>'13. Desinvesteringen'!F439</f>
        <v>0</v>
      </c>
      <c r="K156" s="38">
        <f>_xlfn.XLOOKUP(I156,'3. Input (des)investeringen '!$B$11:$B$89,'3. Input (des)investeringen '!$E$11:$E$89)</f>
        <v>1</v>
      </c>
      <c r="L156" s="48"/>
      <c r="M156" s="38">
        <f>_xlfn.XLOOKUP(I156,'3. Input (des)investeringen '!$B$11:$B$89,'3. Input (des)investeringen '!$D$11:$D$89,0)</f>
        <v>55</v>
      </c>
      <c r="N156" s="38">
        <f t="shared" si="59"/>
        <v>6.5</v>
      </c>
      <c r="P156" s="43">
        <f t="shared" si="75"/>
        <v>3089.2924843194073</v>
      </c>
      <c r="Q156" s="43">
        <f t="shared" si="75"/>
        <v>2471.4339874555258</v>
      </c>
      <c r="R156" s="43">
        <f t="shared" si="75"/>
        <v>2196.8302110715786</v>
      </c>
      <c r="S156" s="43">
        <f t="shared" si="75"/>
        <v>2196.8302110715786</v>
      </c>
      <c r="T156" s="43">
        <f t="shared" si="75"/>
        <v>2196.8302110715786</v>
      </c>
      <c r="V156" s="43">
        <f t="shared" si="35"/>
        <v>264.04209267687241</v>
      </c>
      <c r="W156" s="43">
        <f t="shared" si="36"/>
        <v>264.04209267687241</v>
      </c>
      <c r="X156" s="43">
        <f t="shared" si="37"/>
        <v>264.04209267687241</v>
      </c>
      <c r="Y156" s="43">
        <f t="shared" si="38"/>
        <v>264.04209267687241</v>
      </c>
      <c r="Z156" s="43">
        <f t="shared" si="39"/>
        <v>264.04209267687241</v>
      </c>
      <c r="AB156" s="43">
        <f t="shared" si="60"/>
        <v>3353.3345769962798</v>
      </c>
      <c r="AC156" s="43">
        <f t="shared" si="61"/>
        <v>2735.4760801323982</v>
      </c>
      <c r="AD156" s="43">
        <f t="shared" si="62"/>
        <v>2460.872303748451</v>
      </c>
      <c r="AE156" s="43">
        <f t="shared" si="63"/>
        <v>2460.872303748451</v>
      </c>
      <c r="AF156" s="43">
        <f t="shared" si="64"/>
        <v>2460.872303748451</v>
      </c>
      <c r="AH156" s="43">
        <f t="shared" si="65"/>
        <v>13809.401447000426</v>
      </c>
      <c r="AI156" s="43">
        <f t="shared" si="66"/>
        <v>11073.925366868029</v>
      </c>
      <c r="AJ156" s="43">
        <f t="shared" si="67"/>
        <v>8613.0530631195779</v>
      </c>
      <c r="AK156" s="43">
        <f t="shared" si="68"/>
        <v>6152.1807593711274</v>
      </c>
      <c r="AL156" s="43">
        <f t="shared" si="69"/>
        <v>3691.3084556226763</v>
      </c>
      <c r="AN156" s="47">
        <f t="shared" si="70"/>
        <v>3919.5200363232971</v>
      </c>
      <c r="AO156" s="47">
        <f t="shared" si="71"/>
        <v>3300.2462738426675</v>
      </c>
      <c r="AP156" s="47">
        <f t="shared" si="72"/>
        <v>2900.1380099675494</v>
      </c>
      <c r="AQ156" s="47">
        <f t="shared" si="73"/>
        <v>2799.2422455138631</v>
      </c>
      <c r="AR156" s="43">
        <f t="shared" si="74"/>
        <v>2601.1420250621127</v>
      </c>
      <c r="AY156" s="3"/>
    </row>
    <row r="157" spans="1:51" ht="13">
      <c r="A157" s="226"/>
      <c r="B157" s="37">
        <f>'13. Desinvesteringen'!B440</f>
        <v>421</v>
      </c>
      <c r="C157" s="48"/>
      <c r="D157" s="48"/>
      <c r="E157" s="48"/>
      <c r="F157" s="42">
        <f>'5. Input GAW-waarde desinv.'!D116</f>
        <v>2951.3714473540831</v>
      </c>
      <c r="G157" s="175">
        <f>'13. Desinvesteringen'!D440</f>
        <v>1985</v>
      </c>
      <c r="H157" s="175">
        <f>'13. Desinvesteringen'!G440</f>
        <v>2023</v>
      </c>
      <c r="I157" s="37" t="str">
        <f>'13. Desinvesteringen'!C440</f>
        <v>01 Regionale leidingen</v>
      </c>
      <c r="J157" s="164">
        <f>'13. Desinvesteringen'!F440</f>
        <v>0</v>
      </c>
      <c r="K157" s="38">
        <f>_xlfn.XLOOKUP(I157,'3. Input (des)investeringen '!$B$11:$B$89,'3. Input (des)investeringen '!$E$11:$E$89)</f>
        <v>1</v>
      </c>
      <c r="L157" s="48"/>
      <c r="M157" s="38">
        <f>_xlfn.XLOOKUP(I157,'3. Input (des)investeringen '!$B$11:$B$89,'3. Input (des)investeringen '!$D$11:$D$89,0)</f>
        <v>55</v>
      </c>
      <c r="N157" s="38">
        <f t="shared" si="59"/>
        <v>18.5</v>
      </c>
      <c r="P157" s="43">
        <f t="shared" si="75"/>
        <v>186.65430234617716</v>
      </c>
      <c r="Q157" s="43">
        <f t="shared" si="75"/>
        <v>173.53805407320257</v>
      </c>
      <c r="R157" s="43">
        <f t="shared" si="75"/>
        <v>161.34348811130184</v>
      </c>
      <c r="S157" s="43">
        <f t="shared" si="75"/>
        <v>150.00583759537253</v>
      </c>
      <c r="T157" s="43">
        <f t="shared" si="75"/>
        <v>139.46488684542743</v>
      </c>
      <c r="V157" s="43">
        <f t="shared" si="35"/>
        <v>15.953359174886936</v>
      </c>
      <c r="W157" s="43">
        <f t="shared" si="36"/>
        <v>15.953359174886936</v>
      </c>
      <c r="X157" s="43">
        <f t="shared" si="37"/>
        <v>15.953359174886936</v>
      </c>
      <c r="Y157" s="43">
        <f t="shared" si="38"/>
        <v>15.953359174886936</v>
      </c>
      <c r="Z157" s="43">
        <f t="shared" si="39"/>
        <v>15.953359174886936</v>
      </c>
      <c r="AB157" s="43">
        <f t="shared" si="60"/>
        <v>202.6076615210641</v>
      </c>
      <c r="AC157" s="43">
        <f t="shared" si="61"/>
        <v>189.49141324808951</v>
      </c>
      <c r="AD157" s="43">
        <f t="shared" si="62"/>
        <v>177.29684728618878</v>
      </c>
      <c r="AE157" s="43">
        <f t="shared" si="63"/>
        <v>165.95919677025947</v>
      </c>
      <c r="AF157" s="43">
        <f t="shared" si="64"/>
        <v>155.41824602031437</v>
      </c>
      <c r="AH157" s="43">
        <f t="shared" si="65"/>
        <v>2748.763785833019</v>
      </c>
      <c r="AI157" s="43">
        <f t="shared" si="66"/>
        <v>2559.2723725849296</v>
      </c>
      <c r="AJ157" s="43">
        <f t="shared" si="67"/>
        <v>2381.9755252987406</v>
      </c>
      <c r="AK157" s="43">
        <f t="shared" si="68"/>
        <v>2216.0163285284812</v>
      </c>
      <c r="AL157" s="43">
        <f t="shared" si="69"/>
        <v>2060.598082508167</v>
      </c>
      <c r="AN157" s="47">
        <f t="shared" si="70"/>
        <v>315.30697674021792</v>
      </c>
      <c r="AO157" s="47">
        <f t="shared" si="71"/>
        <v>320.01430424992088</v>
      </c>
      <c r="AP157" s="47">
        <f t="shared" si="72"/>
        <v>298.77759907642456</v>
      </c>
      <c r="AQ157" s="47">
        <f t="shared" si="73"/>
        <v>287.84009483932596</v>
      </c>
      <c r="AR157" s="43">
        <f t="shared" si="74"/>
        <v>233.72097315562473</v>
      </c>
      <c r="AY157" s="3"/>
    </row>
    <row r="158" spans="1:51" ht="13">
      <c r="A158" s="226"/>
      <c r="B158" s="37">
        <f>'13. Desinvesteringen'!B441</f>
        <v>422</v>
      </c>
      <c r="C158" s="48"/>
      <c r="D158" s="48"/>
      <c r="E158" s="48"/>
      <c r="F158" s="42">
        <f>'5. Input GAW-waarde desinv.'!D117</f>
        <v>1042.7959463378704</v>
      </c>
      <c r="G158" s="175">
        <f>'13. Desinvesteringen'!D441</f>
        <v>1988</v>
      </c>
      <c r="H158" s="175">
        <f>'13. Desinvesteringen'!G441</f>
        <v>2023</v>
      </c>
      <c r="I158" s="37" t="str">
        <f>'13. Desinvesteringen'!C441</f>
        <v>01 Regionale leidingen</v>
      </c>
      <c r="J158" s="164">
        <f>'13. Desinvesteringen'!F441</f>
        <v>0</v>
      </c>
      <c r="K158" s="38">
        <f>_xlfn.XLOOKUP(I158,'3. Input (des)investeringen '!$B$11:$B$89,'3. Input (des)investeringen '!$E$11:$E$89)</f>
        <v>1</v>
      </c>
      <c r="L158" s="48"/>
      <c r="M158" s="38">
        <f>_xlfn.XLOOKUP(I158,'3. Input (des)investeringen '!$B$11:$B$89,'3. Input (des)investeringen '!$D$11:$D$89,0)</f>
        <v>55</v>
      </c>
      <c r="N158" s="38">
        <f t="shared" si="59"/>
        <v>21.5</v>
      </c>
      <c r="P158" s="43">
        <f t="shared" si="75"/>
        <v>56.747500335595738</v>
      </c>
      <c r="Q158" s="43">
        <f t="shared" si="75"/>
        <v>53.316256129257397</v>
      </c>
      <c r="R158" s="43">
        <f t="shared" si="75"/>
        <v>50.092482502837179</v>
      </c>
      <c r="S158" s="43">
        <f t="shared" si="75"/>
        <v>47.063634723595868</v>
      </c>
      <c r="T158" s="43">
        <f t="shared" si="75"/>
        <v>44.217926577517972</v>
      </c>
      <c r="V158" s="43">
        <f t="shared" si="35"/>
        <v>4.8502137038970723</v>
      </c>
      <c r="W158" s="43">
        <f t="shared" si="36"/>
        <v>4.8502137038970723</v>
      </c>
      <c r="X158" s="43">
        <f t="shared" si="37"/>
        <v>4.8502137038970723</v>
      </c>
      <c r="Y158" s="43">
        <f t="shared" si="38"/>
        <v>4.8502137038970723</v>
      </c>
      <c r="Z158" s="43">
        <f t="shared" si="39"/>
        <v>4.8502137038970723</v>
      </c>
      <c r="AB158" s="43">
        <f t="shared" si="60"/>
        <v>61.597714039492814</v>
      </c>
      <c r="AC158" s="43">
        <f t="shared" si="61"/>
        <v>58.166469833154466</v>
      </c>
      <c r="AD158" s="43">
        <f t="shared" si="62"/>
        <v>54.942696206734254</v>
      </c>
      <c r="AE158" s="43">
        <f t="shared" si="63"/>
        <v>51.913848427492937</v>
      </c>
      <c r="AF158" s="43">
        <f t="shared" si="64"/>
        <v>49.06814028141504</v>
      </c>
      <c r="AH158" s="43">
        <f t="shared" si="65"/>
        <v>981.19823229837766</v>
      </c>
      <c r="AI158" s="43">
        <f t="shared" si="66"/>
        <v>923.03176246522321</v>
      </c>
      <c r="AJ158" s="43">
        <f t="shared" si="67"/>
        <v>868.08906625848897</v>
      </c>
      <c r="AK158" s="43">
        <f t="shared" si="68"/>
        <v>816.17521783099608</v>
      </c>
      <c r="AL158" s="43">
        <f t="shared" si="69"/>
        <v>767.10707754958105</v>
      </c>
      <c r="AN158" s="47">
        <f t="shared" si="70"/>
        <v>101.8268415637263</v>
      </c>
      <c r="AO158" s="47">
        <f t="shared" si="71"/>
        <v>105.24108971888084</v>
      </c>
      <c r="AP158" s="47">
        <f t="shared" si="72"/>
        <v>99.215238585917191</v>
      </c>
      <c r="AQ158" s="47">
        <f t="shared" si="73"/>
        <v>96.80348540819773</v>
      </c>
      <c r="AR158" s="43">
        <f t="shared" si="74"/>
        <v>78.218209228299116</v>
      </c>
      <c r="AY158" s="3"/>
    </row>
    <row r="159" spans="1:51" ht="13">
      <c r="A159" s="226"/>
      <c r="B159" s="37">
        <f>'13. Desinvesteringen'!B442</f>
        <v>423</v>
      </c>
      <c r="C159" s="48"/>
      <c r="D159" s="48"/>
      <c r="E159" s="48"/>
      <c r="F159" s="42">
        <f>'5. Input GAW-waarde desinv.'!D118</f>
        <v>1583.1020339233444</v>
      </c>
      <c r="G159" s="175">
        <f>'13. Desinvesteringen'!D442</f>
        <v>1989</v>
      </c>
      <c r="H159" s="175">
        <f>'13. Desinvesteringen'!G442</f>
        <v>2023</v>
      </c>
      <c r="I159" s="37" t="str">
        <f>'13. Desinvesteringen'!C442</f>
        <v>01 Regionale leidingen</v>
      </c>
      <c r="J159" s="164">
        <f>'13. Desinvesteringen'!F442</f>
        <v>0</v>
      </c>
      <c r="K159" s="38">
        <f>_xlfn.XLOOKUP(I159,'3. Input (des)investeringen '!$B$11:$B$89,'3. Input (des)investeringen '!$E$11:$E$89)</f>
        <v>1</v>
      </c>
      <c r="L159" s="48"/>
      <c r="M159" s="38">
        <f>_xlfn.XLOOKUP(I159,'3. Input (des)investeringen '!$B$11:$B$89,'3. Input (des)investeringen '!$D$11:$D$89,0)</f>
        <v>55</v>
      </c>
      <c r="N159" s="38">
        <f t="shared" si="59"/>
        <v>22.5</v>
      </c>
      <c r="P159" s="43">
        <f t="shared" si="75"/>
        <v>82.321305764013914</v>
      </c>
      <c r="Q159" s="43">
        <f t="shared" si="75"/>
        <v>77.564963653204231</v>
      </c>
      <c r="R159" s="43">
        <f t="shared" si="75"/>
        <v>73.083432419907979</v>
      </c>
      <c r="S159" s="43">
        <f t="shared" si="75"/>
        <v>68.860834102313291</v>
      </c>
      <c r="T159" s="43">
        <f t="shared" si="75"/>
        <v>64.882208131957412</v>
      </c>
      <c r="V159" s="43">
        <f t="shared" si="35"/>
        <v>7.0360090396593087</v>
      </c>
      <c r="W159" s="43">
        <f t="shared" si="36"/>
        <v>7.0360090396593087</v>
      </c>
      <c r="X159" s="43">
        <f t="shared" si="37"/>
        <v>7.0360090396593087</v>
      </c>
      <c r="Y159" s="43">
        <f t="shared" si="38"/>
        <v>7.0360090396593087</v>
      </c>
      <c r="Z159" s="43">
        <f t="shared" si="39"/>
        <v>7.0360090396593087</v>
      </c>
      <c r="AB159" s="43">
        <f t="shared" si="60"/>
        <v>89.357314803673219</v>
      </c>
      <c r="AC159" s="43">
        <f t="shared" si="61"/>
        <v>84.600972692863536</v>
      </c>
      <c r="AD159" s="43">
        <f t="shared" si="62"/>
        <v>80.119441459567284</v>
      </c>
      <c r="AE159" s="43">
        <f t="shared" si="63"/>
        <v>75.896843141972596</v>
      </c>
      <c r="AF159" s="43">
        <f t="shared" si="64"/>
        <v>71.918217171616718</v>
      </c>
      <c r="AH159" s="43">
        <f t="shared" si="65"/>
        <v>1493.7447191196711</v>
      </c>
      <c r="AI159" s="43">
        <f t="shared" si="66"/>
        <v>1409.1437464268076</v>
      </c>
      <c r="AJ159" s="43">
        <f t="shared" si="67"/>
        <v>1329.0243049672404</v>
      </c>
      <c r="AK159" s="43">
        <f t="shared" si="68"/>
        <v>1253.1274618252678</v>
      </c>
      <c r="AL159" s="43">
        <f t="shared" si="69"/>
        <v>1181.209244653651</v>
      </c>
      <c r="AN159" s="47">
        <f t="shared" si="70"/>
        <v>150.60084828757974</v>
      </c>
      <c r="AO159" s="47">
        <f t="shared" si="71"/>
        <v>156.46730376063073</v>
      </c>
      <c r="AP159" s="47">
        <f t="shared" si="72"/>
        <v>147.89968101289654</v>
      </c>
      <c r="AQ159" s="47">
        <f t="shared" si="73"/>
        <v>144.81885354236232</v>
      </c>
      <c r="AR159" s="43">
        <f t="shared" si="74"/>
        <v>116.80416846845546</v>
      </c>
      <c r="AY159" s="3"/>
    </row>
    <row r="160" spans="1:51" ht="13">
      <c r="A160" s="226"/>
      <c r="B160" s="37">
        <f>'13. Desinvesteringen'!B443</f>
        <v>424</v>
      </c>
      <c r="C160" s="48"/>
      <c r="D160" s="48"/>
      <c r="E160" s="48"/>
      <c r="F160" s="42">
        <f>'5. Input GAW-waarde desinv.'!D119</f>
        <v>7373.2798573001292</v>
      </c>
      <c r="G160" s="175">
        <f>'13. Desinvesteringen'!D443</f>
        <v>1992</v>
      </c>
      <c r="H160" s="175">
        <f>'13. Desinvesteringen'!G443</f>
        <v>2023</v>
      </c>
      <c r="I160" s="37" t="str">
        <f>'13. Desinvesteringen'!C443</f>
        <v>01 Regionale leidingen</v>
      </c>
      <c r="J160" s="164">
        <f>'13. Desinvesteringen'!F443</f>
        <v>0</v>
      </c>
      <c r="K160" s="38">
        <f>_xlfn.XLOOKUP(I160,'3. Input (des)investeringen '!$B$11:$B$89,'3. Input (des)investeringen '!$E$11:$E$89)</f>
        <v>1</v>
      </c>
      <c r="L160" s="48"/>
      <c r="M160" s="38">
        <f>_xlfn.XLOOKUP(I160,'3. Input (des)investeringen '!$B$11:$B$89,'3. Input (des)investeringen '!$D$11:$D$89,0)</f>
        <v>55</v>
      </c>
      <c r="N160" s="38">
        <f t="shared" si="59"/>
        <v>25.5</v>
      </c>
      <c r="P160" s="43">
        <f t="shared" si="75"/>
        <v>338.3034287467118</v>
      </c>
      <c r="Q160" s="43">
        <f t="shared" si="75"/>
        <v>321.05658728119317</v>
      </c>
      <c r="R160" s="43">
        <f t="shared" si="75"/>
        <v>304.68899655705394</v>
      </c>
      <c r="S160" s="43">
        <f t="shared" si="75"/>
        <v>289.15583202669433</v>
      </c>
      <c r="T160" s="43">
        <f t="shared" si="75"/>
        <v>274.41455431552953</v>
      </c>
      <c r="V160" s="43">
        <f t="shared" si="35"/>
        <v>28.914822969804433</v>
      </c>
      <c r="W160" s="43">
        <f t="shared" si="36"/>
        <v>28.914822969804433</v>
      </c>
      <c r="X160" s="43">
        <f t="shared" si="37"/>
        <v>28.914822969804433</v>
      </c>
      <c r="Y160" s="43">
        <f t="shared" si="38"/>
        <v>28.914822969804433</v>
      </c>
      <c r="Z160" s="43">
        <f t="shared" si="39"/>
        <v>28.914822969804433</v>
      </c>
      <c r="AB160" s="43">
        <f t="shared" si="60"/>
        <v>367.21825171651625</v>
      </c>
      <c r="AC160" s="43">
        <f t="shared" si="61"/>
        <v>349.97141025099762</v>
      </c>
      <c r="AD160" s="43">
        <f t="shared" si="62"/>
        <v>333.60381952685839</v>
      </c>
      <c r="AE160" s="43">
        <f t="shared" si="63"/>
        <v>318.07065499649877</v>
      </c>
      <c r="AF160" s="43">
        <f t="shared" si="64"/>
        <v>303.32937728533398</v>
      </c>
      <c r="AH160" s="43">
        <f t="shared" si="65"/>
        <v>7006.0616055836126</v>
      </c>
      <c r="AI160" s="43">
        <f t="shared" si="66"/>
        <v>6656.0901953326147</v>
      </c>
      <c r="AJ160" s="43">
        <f t="shared" si="67"/>
        <v>6322.4863758057563</v>
      </c>
      <c r="AK160" s="43">
        <f t="shared" si="68"/>
        <v>6004.4157208092574</v>
      </c>
      <c r="AL160" s="43">
        <f t="shared" si="69"/>
        <v>5701.0863435239235</v>
      </c>
      <c r="AN160" s="47">
        <f t="shared" si="70"/>
        <v>654.4667775454443</v>
      </c>
      <c r="AO160" s="47">
        <f t="shared" si="71"/>
        <v>689.4320102129609</v>
      </c>
      <c r="AP160" s="47">
        <f t="shared" si="72"/>
        <v>656.05062469295194</v>
      </c>
      <c r="AQ160" s="47">
        <f t="shared" si="73"/>
        <v>648.31351964100793</v>
      </c>
      <c r="AR160" s="43">
        <f t="shared" si="74"/>
        <v>519.97065833924307</v>
      </c>
      <c r="AY160" s="3"/>
    </row>
    <row r="161" spans="1:51" ht="13">
      <c r="A161" s="226"/>
      <c r="B161" s="37">
        <f>'13. Desinvesteringen'!B444</f>
        <v>425</v>
      </c>
      <c r="C161" s="48"/>
      <c r="D161" s="48"/>
      <c r="E161" s="48"/>
      <c r="F161" s="42">
        <f>'5. Input GAW-waarde desinv.'!D120</f>
        <v>138596.0081293541</v>
      </c>
      <c r="G161" s="175">
        <f>'13. Desinvesteringen'!D444</f>
        <v>1993</v>
      </c>
      <c r="H161" s="175">
        <f>'13. Desinvesteringen'!G444</f>
        <v>2023</v>
      </c>
      <c r="I161" s="37" t="str">
        <f>'13. Desinvesteringen'!C444</f>
        <v>01 Regionale leidingen</v>
      </c>
      <c r="J161" s="164">
        <f>'13. Desinvesteringen'!F444</f>
        <v>0</v>
      </c>
      <c r="K161" s="38">
        <f>_xlfn.XLOOKUP(I161,'3. Input (des)investeringen '!$B$11:$B$89,'3. Input (des)investeringen '!$E$11:$E$89)</f>
        <v>1</v>
      </c>
      <c r="L161" s="48"/>
      <c r="M161" s="38">
        <f>_xlfn.XLOOKUP(I161,'3. Input (des)investeringen '!$B$11:$B$89,'3. Input (des)investeringen '!$D$11:$D$89,0)</f>
        <v>55</v>
      </c>
      <c r="N161" s="38">
        <f t="shared" si="59"/>
        <v>26.5</v>
      </c>
      <c r="P161" s="43">
        <f t="shared" si="75"/>
        <v>6119.1445098620497</v>
      </c>
      <c r="Q161" s="43">
        <f t="shared" si="75"/>
        <v>5818.9600622084399</v>
      </c>
      <c r="R161" s="43">
        <f t="shared" si="75"/>
        <v>5533.5016440623658</v>
      </c>
      <c r="S161" s="43">
        <f t="shared" si="75"/>
        <v>5262.0468464291171</v>
      </c>
      <c r="T161" s="43">
        <f t="shared" si="75"/>
        <v>5003.9086992458024</v>
      </c>
      <c r="V161" s="43">
        <f t="shared" si="35"/>
        <v>523.00380426171364</v>
      </c>
      <c r="W161" s="43">
        <f t="shared" si="36"/>
        <v>523.00380426171353</v>
      </c>
      <c r="X161" s="43">
        <f t="shared" si="37"/>
        <v>523.00380426171353</v>
      </c>
      <c r="Y161" s="43">
        <f t="shared" si="38"/>
        <v>523.00380426171353</v>
      </c>
      <c r="Z161" s="43">
        <f t="shared" si="39"/>
        <v>523.00380426171353</v>
      </c>
      <c r="AB161" s="43">
        <f t="shared" si="60"/>
        <v>6642.1483141237632</v>
      </c>
      <c r="AC161" s="43">
        <f t="shared" si="61"/>
        <v>6341.9638664701533</v>
      </c>
      <c r="AD161" s="43">
        <f t="shared" si="62"/>
        <v>6056.5054483240792</v>
      </c>
      <c r="AE161" s="43">
        <f t="shared" si="63"/>
        <v>5785.0506506908305</v>
      </c>
      <c r="AF161" s="43">
        <f t="shared" si="64"/>
        <v>5526.9125035075158</v>
      </c>
      <c r="AH161" s="43">
        <f t="shared" si="65"/>
        <v>131953.85981523033</v>
      </c>
      <c r="AI161" s="43">
        <f t="shared" si="66"/>
        <v>125611.89594876018</v>
      </c>
      <c r="AJ161" s="43">
        <f t="shared" si="67"/>
        <v>119555.3905004361</v>
      </c>
      <c r="AK161" s="43">
        <f t="shared" si="68"/>
        <v>113770.33984974527</v>
      </c>
      <c r="AL161" s="43">
        <f t="shared" si="69"/>
        <v>108243.42734623776</v>
      </c>
      <c r="AN161" s="47">
        <f t="shared" si="70"/>
        <v>12052.256566548207</v>
      </c>
      <c r="AO161" s="47">
        <f t="shared" si="71"/>
        <v>12748.170559856922</v>
      </c>
      <c r="AP161" s="47">
        <f t="shared" si="72"/>
        <v>12153.83036384632</v>
      </c>
      <c r="AQ161" s="47">
        <f t="shared" si="73"/>
        <v>12042.41934242682</v>
      </c>
      <c r="AR161" s="43">
        <f t="shared" si="74"/>
        <v>9640.16274266455</v>
      </c>
      <c r="AY161" s="3"/>
    </row>
    <row r="162" spans="1:51" ht="13">
      <c r="A162" s="226"/>
      <c r="B162" s="37">
        <f>'13. Desinvesteringen'!B445</f>
        <v>426</v>
      </c>
      <c r="C162" s="48"/>
      <c r="D162" s="48"/>
      <c r="E162" s="48"/>
      <c r="F162" s="42">
        <f>'5. Input GAW-waarde desinv.'!D121</f>
        <v>0</v>
      </c>
      <c r="G162" s="175">
        <f>'13. Desinvesteringen'!D445</f>
        <v>1998</v>
      </c>
      <c r="H162" s="175">
        <f>'13. Desinvesteringen'!G445</f>
        <v>2023</v>
      </c>
      <c r="I162" s="37" t="str">
        <f>'13. Desinvesteringen'!C445</f>
        <v>01 Regionale leidingen</v>
      </c>
      <c r="J162" s="164">
        <f>'13. Desinvesteringen'!F445</f>
        <v>0</v>
      </c>
      <c r="K162" s="38">
        <f>_xlfn.XLOOKUP(I162,'3. Input (des)investeringen '!$B$11:$B$89,'3. Input (des)investeringen '!$E$11:$E$89)</f>
        <v>1</v>
      </c>
      <c r="L162" s="48"/>
      <c r="M162" s="38">
        <f>_xlfn.XLOOKUP(I162,'3. Input (des)investeringen '!$B$11:$B$89,'3. Input (des)investeringen '!$D$11:$D$89,0)</f>
        <v>55</v>
      </c>
      <c r="N162" s="38">
        <f t="shared" si="59"/>
        <v>31.5</v>
      </c>
      <c r="P162" s="43">
        <f t="shared" ref="P162:T171" si="76">IF($M162&gt;0, IF(OR($G162&gt;P$50,$G162+$M162&lt;P$50),0,
VDB($F162,0,$N162,MAX(0,P$50-2022),MIN($N162,P$50-2021),$F$23,FALSE))*(1-$F$26), 0)</f>
        <v>0</v>
      </c>
      <c r="Q162" s="43">
        <f t="shared" si="76"/>
        <v>0</v>
      </c>
      <c r="R162" s="43">
        <f t="shared" si="76"/>
        <v>0</v>
      </c>
      <c r="S162" s="43">
        <f t="shared" si="76"/>
        <v>0</v>
      </c>
      <c r="T162" s="43">
        <f t="shared" si="76"/>
        <v>0</v>
      </c>
      <c r="V162" s="43">
        <f t="shared" si="35"/>
        <v>0</v>
      </c>
      <c r="W162" s="43">
        <f t="shared" si="36"/>
        <v>0</v>
      </c>
      <c r="X162" s="43">
        <f t="shared" si="37"/>
        <v>0</v>
      </c>
      <c r="Y162" s="43">
        <f t="shared" si="38"/>
        <v>0</v>
      </c>
      <c r="Z162" s="43">
        <f t="shared" si="39"/>
        <v>0</v>
      </c>
      <c r="AB162" s="43">
        <f t="shared" si="60"/>
        <v>0</v>
      </c>
      <c r="AC162" s="43">
        <f t="shared" si="61"/>
        <v>0</v>
      </c>
      <c r="AD162" s="43">
        <f t="shared" si="62"/>
        <v>0</v>
      </c>
      <c r="AE162" s="43">
        <f t="shared" si="63"/>
        <v>0</v>
      </c>
      <c r="AF162" s="43">
        <f t="shared" si="64"/>
        <v>0</v>
      </c>
      <c r="AH162" s="43">
        <f t="shared" si="65"/>
        <v>0</v>
      </c>
      <c r="AI162" s="43">
        <f t="shared" si="66"/>
        <v>0</v>
      </c>
      <c r="AJ162" s="43">
        <f t="shared" si="67"/>
        <v>0</v>
      </c>
      <c r="AK162" s="43">
        <f t="shared" si="68"/>
        <v>0</v>
      </c>
      <c r="AL162" s="43">
        <f t="shared" si="69"/>
        <v>0</v>
      </c>
      <c r="AN162" s="47">
        <f t="shared" si="70"/>
        <v>0</v>
      </c>
      <c r="AO162" s="47">
        <f t="shared" si="71"/>
        <v>0</v>
      </c>
      <c r="AP162" s="47">
        <f t="shared" si="72"/>
        <v>0</v>
      </c>
      <c r="AQ162" s="47">
        <f t="shared" si="73"/>
        <v>0</v>
      </c>
      <c r="AR162" s="43">
        <f t="shared" si="74"/>
        <v>0</v>
      </c>
      <c r="AY162" s="3"/>
    </row>
    <row r="163" spans="1:51" ht="13">
      <c r="A163" s="226"/>
      <c r="B163" s="37">
        <f>'13. Desinvesteringen'!B446</f>
        <v>427</v>
      </c>
      <c r="C163" s="48"/>
      <c r="D163" s="48"/>
      <c r="E163" s="48"/>
      <c r="F163" s="42">
        <f>'5. Input GAW-waarde desinv.'!D122</f>
        <v>30711.765477463152</v>
      </c>
      <c r="G163" s="175">
        <f>'13. Desinvesteringen'!D446</f>
        <v>1999</v>
      </c>
      <c r="H163" s="175">
        <f>'13. Desinvesteringen'!G446</f>
        <v>2023</v>
      </c>
      <c r="I163" s="37" t="str">
        <f>'13. Desinvesteringen'!C446</f>
        <v>01 Regionale leidingen</v>
      </c>
      <c r="J163" s="164">
        <f>'13. Desinvesteringen'!F446</f>
        <v>0</v>
      </c>
      <c r="K163" s="38">
        <f>_xlfn.XLOOKUP(I163,'3. Input (des)investeringen '!$B$11:$B$89,'3. Input (des)investeringen '!$E$11:$E$89)</f>
        <v>1</v>
      </c>
      <c r="L163" s="48"/>
      <c r="M163" s="38">
        <f>_xlfn.XLOOKUP(I163,'3. Input (des)investeringen '!$B$11:$B$89,'3. Input (des)investeringen '!$D$11:$D$89,0)</f>
        <v>55</v>
      </c>
      <c r="N163" s="38">
        <f t="shared" si="59"/>
        <v>32.5</v>
      </c>
      <c r="P163" s="43">
        <f t="shared" si="76"/>
        <v>1105.6235571886737</v>
      </c>
      <c r="Q163" s="43">
        <f t="shared" si="76"/>
        <v>1061.3986149011266</v>
      </c>
      <c r="R163" s="43">
        <f t="shared" si="76"/>
        <v>1018.9426703050815</v>
      </c>
      <c r="S163" s="43">
        <f t="shared" si="76"/>
        <v>978.18496349287818</v>
      </c>
      <c r="T163" s="43">
        <f t="shared" si="76"/>
        <v>939.05756495316314</v>
      </c>
      <c r="V163" s="43">
        <f t="shared" si="35"/>
        <v>94.497739930655868</v>
      </c>
      <c r="W163" s="43">
        <f t="shared" si="36"/>
        <v>94.497739930655868</v>
      </c>
      <c r="X163" s="43">
        <f t="shared" si="37"/>
        <v>94.497739930655868</v>
      </c>
      <c r="Y163" s="43">
        <f t="shared" si="38"/>
        <v>94.497739930655868</v>
      </c>
      <c r="Z163" s="43">
        <f t="shared" si="39"/>
        <v>94.497739930655868</v>
      </c>
      <c r="AB163" s="43">
        <f t="shared" si="60"/>
        <v>1200.1212971193295</v>
      </c>
      <c r="AC163" s="43">
        <f t="shared" si="61"/>
        <v>1155.8963548317824</v>
      </c>
      <c r="AD163" s="43">
        <f t="shared" si="62"/>
        <v>1113.4404102357373</v>
      </c>
      <c r="AE163" s="43">
        <f t="shared" si="63"/>
        <v>1072.6827034235341</v>
      </c>
      <c r="AF163" s="43">
        <f t="shared" si="64"/>
        <v>1033.555304883819</v>
      </c>
      <c r="AH163" s="43">
        <f t="shared" si="65"/>
        <v>29511.644180343821</v>
      </c>
      <c r="AI163" s="43">
        <f t="shared" si="66"/>
        <v>28355.747825512037</v>
      </c>
      <c r="AJ163" s="43">
        <f t="shared" si="67"/>
        <v>27242.3074152763</v>
      </c>
      <c r="AK163" s="43">
        <f t="shared" si="68"/>
        <v>26169.624711852764</v>
      </c>
      <c r="AL163" s="43">
        <f t="shared" si="69"/>
        <v>25136.069406968945</v>
      </c>
      <c r="AN163" s="47">
        <f t="shared" si="70"/>
        <v>2410.0987085134261</v>
      </c>
      <c r="AO163" s="47">
        <f t="shared" si="71"/>
        <v>2602.0394939328962</v>
      </c>
      <c r="AP163" s="47">
        <f t="shared" si="72"/>
        <v>2502.7980884148283</v>
      </c>
      <c r="AQ163" s="47">
        <f t="shared" si="73"/>
        <v>2512.0120625754362</v>
      </c>
      <c r="AR163" s="43">
        <f t="shared" si="74"/>
        <v>1988.7259423486389</v>
      </c>
      <c r="AY163" s="3"/>
    </row>
    <row r="164" spans="1:51" ht="13">
      <c r="A164" s="226"/>
      <c r="B164" s="37">
        <f>'13. Desinvesteringen'!B447</f>
        <v>428</v>
      </c>
      <c r="C164" s="48"/>
      <c r="D164" s="48"/>
      <c r="E164" s="48"/>
      <c r="F164" s="42">
        <f>'5. Input GAW-waarde desinv.'!D123</f>
        <v>13771.568761085329</v>
      </c>
      <c r="G164" s="175">
        <f>'13. Desinvesteringen'!D447</f>
        <v>2002</v>
      </c>
      <c r="H164" s="175">
        <f>'13. Desinvesteringen'!G447</f>
        <v>2023</v>
      </c>
      <c r="I164" s="37" t="str">
        <f>'13. Desinvesteringen'!C447</f>
        <v>01 Regionale leidingen</v>
      </c>
      <c r="J164" s="164">
        <f>'13. Desinvesteringen'!F447</f>
        <v>0</v>
      </c>
      <c r="K164" s="38">
        <f>_xlfn.XLOOKUP(I164,'3. Input (des)investeringen '!$B$11:$B$89,'3. Input (des)investeringen '!$E$11:$E$89)</f>
        <v>1</v>
      </c>
      <c r="L164" s="48"/>
      <c r="M164" s="38">
        <f>_xlfn.XLOOKUP(I164,'3. Input (des)investeringen '!$B$11:$B$89,'3. Input (des)investeringen '!$D$11:$D$89,0)</f>
        <v>55</v>
      </c>
      <c r="N164" s="38">
        <f t="shared" si="59"/>
        <v>35.5</v>
      </c>
      <c r="P164" s="43">
        <f t="shared" si="76"/>
        <v>453.87987184422076</v>
      </c>
      <c r="Q164" s="43">
        <f t="shared" si="76"/>
        <v>437.25891879077034</v>
      </c>
      <c r="R164" s="43">
        <f t="shared" si="76"/>
        <v>421.24662035617882</v>
      </c>
      <c r="S164" s="43">
        <f t="shared" si="76"/>
        <v>405.82068777975536</v>
      </c>
      <c r="T164" s="43">
        <f t="shared" si="76"/>
        <v>390.9596485089474</v>
      </c>
      <c r="V164" s="43">
        <f t="shared" si="35"/>
        <v>38.79315143967699</v>
      </c>
      <c r="W164" s="43">
        <f t="shared" si="36"/>
        <v>38.79315143967699</v>
      </c>
      <c r="X164" s="43">
        <f t="shared" si="37"/>
        <v>38.79315143967699</v>
      </c>
      <c r="Y164" s="43">
        <f t="shared" si="38"/>
        <v>38.79315143967699</v>
      </c>
      <c r="Z164" s="43">
        <f t="shared" si="39"/>
        <v>38.79315143967699</v>
      </c>
      <c r="AB164" s="43">
        <f t="shared" si="60"/>
        <v>492.67302328389775</v>
      </c>
      <c r="AC164" s="43">
        <f t="shared" si="61"/>
        <v>476.05207023044733</v>
      </c>
      <c r="AD164" s="43">
        <f t="shared" si="62"/>
        <v>460.03977179585581</v>
      </c>
      <c r="AE164" s="43">
        <f t="shared" si="63"/>
        <v>444.61383921943235</v>
      </c>
      <c r="AF164" s="43">
        <f t="shared" si="64"/>
        <v>429.75279994862439</v>
      </c>
      <c r="AH164" s="43">
        <f t="shared" si="65"/>
        <v>13278.895737801431</v>
      </c>
      <c r="AI164" s="43">
        <f t="shared" si="66"/>
        <v>12802.843667570984</v>
      </c>
      <c r="AJ164" s="43">
        <f t="shared" si="67"/>
        <v>12342.803895775127</v>
      </c>
      <c r="AK164" s="43">
        <f t="shared" si="68"/>
        <v>11898.190056555695</v>
      </c>
      <c r="AL164" s="43">
        <f t="shared" si="69"/>
        <v>11468.437256607071</v>
      </c>
      <c r="AN164" s="47">
        <f t="shared" si="70"/>
        <v>1037.1077485337564</v>
      </c>
      <c r="AO164" s="47">
        <f t="shared" si="71"/>
        <v>1128.9970972765675</v>
      </c>
      <c r="AP164" s="47">
        <f t="shared" si="72"/>
        <v>1089.5227704803874</v>
      </c>
      <c r="AQ164" s="47">
        <f t="shared" si="73"/>
        <v>1099.0142923299957</v>
      </c>
      <c r="AR164" s="43">
        <f t="shared" si="74"/>
        <v>865.55341569969301</v>
      </c>
      <c r="AY164" s="3"/>
    </row>
    <row r="165" spans="1:51" ht="13">
      <c r="A165" s="226"/>
      <c r="B165" s="37">
        <f>'13. Desinvesteringen'!B448</f>
        <v>429</v>
      </c>
      <c r="C165" s="48"/>
      <c r="D165" s="48"/>
      <c r="E165" s="48"/>
      <c r="F165" s="42">
        <f>'5. Input GAW-waarde desinv.'!D124</f>
        <v>38953.348948547842</v>
      </c>
      <c r="G165" s="175">
        <f>'13. Desinvesteringen'!D448</f>
        <v>2004</v>
      </c>
      <c r="H165" s="175">
        <f>'13. Desinvesteringen'!G448</f>
        <v>2023</v>
      </c>
      <c r="I165" s="37" t="str">
        <f>'13. Desinvesteringen'!C448</f>
        <v>01 Regionale leidingen</v>
      </c>
      <c r="J165" s="164">
        <f>'13. Desinvesteringen'!F448</f>
        <v>0</v>
      </c>
      <c r="K165" s="38">
        <f>_xlfn.XLOOKUP(I165,'3. Input (des)investeringen '!$B$11:$B$89,'3. Input (des)investeringen '!$E$11:$E$89)</f>
        <v>1</v>
      </c>
      <c r="L165" s="48"/>
      <c r="M165" s="38">
        <f>_xlfn.XLOOKUP(I165,'3. Input (des)investeringen '!$B$11:$B$89,'3. Input (des)investeringen '!$D$11:$D$89,0)</f>
        <v>55</v>
      </c>
      <c r="N165" s="38">
        <f t="shared" si="59"/>
        <v>37.5</v>
      </c>
      <c r="P165" s="43">
        <f t="shared" si="76"/>
        <v>1215.3444871946926</v>
      </c>
      <c r="Q165" s="43">
        <f t="shared" si="76"/>
        <v>1173.2125449719433</v>
      </c>
      <c r="R165" s="43">
        <f t="shared" si="76"/>
        <v>1132.5411767462494</v>
      </c>
      <c r="S165" s="43">
        <f t="shared" si="76"/>
        <v>1093.2797492857128</v>
      </c>
      <c r="T165" s="43">
        <f t="shared" si="76"/>
        <v>1055.379384643808</v>
      </c>
      <c r="V165" s="43">
        <f t="shared" si="35"/>
        <v>103.8755971961276</v>
      </c>
      <c r="W165" s="43">
        <f t="shared" si="36"/>
        <v>103.87559719612757</v>
      </c>
      <c r="X165" s="43">
        <f t="shared" si="37"/>
        <v>103.87559719612757</v>
      </c>
      <c r="Y165" s="43">
        <f t="shared" si="38"/>
        <v>103.87559719612757</v>
      </c>
      <c r="Z165" s="43">
        <f t="shared" si="39"/>
        <v>103.87559719612757</v>
      </c>
      <c r="AB165" s="43">
        <f t="shared" si="60"/>
        <v>1319.2200843908201</v>
      </c>
      <c r="AC165" s="43">
        <f t="shared" si="61"/>
        <v>1277.0881421680708</v>
      </c>
      <c r="AD165" s="43">
        <f t="shared" si="62"/>
        <v>1236.4167739423769</v>
      </c>
      <c r="AE165" s="43">
        <f t="shared" si="63"/>
        <v>1197.1553464818403</v>
      </c>
      <c r="AF165" s="43">
        <f t="shared" si="64"/>
        <v>1159.2549818399355</v>
      </c>
      <c r="AH165" s="43">
        <f t="shared" si="65"/>
        <v>37634.128864157021</v>
      </c>
      <c r="AI165" s="43">
        <f t="shared" si="66"/>
        <v>36357.040721988953</v>
      </c>
      <c r="AJ165" s="43">
        <f t="shared" si="67"/>
        <v>35120.623948046574</v>
      </c>
      <c r="AK165" s="43">
        <f t="shared" si="68"/>
        <v>33923.468601564731</v>
      </c>
      <c r="AL165" s="43">
        <f t="shared" si="69"/>
        <v>32764.213619724796</v>
      </c>
      <c r="AN165" s="47">
        <f t="shared" si="70"/>
        <v>2862.2193678212579</v>
      </c>
      <c r="AO165" s="47">
        <f t="shared" si="71"/>
        <v>3131.2972189895072</v>
      </c>
      <c r="AP165" s="47">
        <f t="shared" si="72"/>
        <v>3027.5685952927524</v>
      </c>
      <c r="AQ165" s="47">
        <f t="shared" si="73"/>
        <v>3062.9461195679005</v>
      </c>
      <c r="AR165" s="43">
        <f t="shared" si="74"/>
        <v>2404.2950993894774</v>
      </c>
      <c r="AY165" s="3"/>
    </row>
    <row r="166" spans="1:51" ht="13">
      <c r="A166" s="226"/>
      <c r="B166" s="37">
        <f>'13. Desinvesteringen'!B449</f>
        <v>430</v>
      </c>
      <c r="C166" s="48"/>
      <c r="D166" s="48"/>
      <c r="E166" s="48"/>
      <c r="F166" s="42">
        <f>'5. Input GAW-waarde desinv.'!D125</f>
        <v>49700.604054063915</v>
      </c>
      <c r="G166" s="175">
        <f>'13. Desinvesteringen'!D449</f>
        <v>2005</v>
      </c>
      <c r="H166" s="175">
        <f>'13. Desinvesteringen'!G449</f>
        <v>2023</v>
      </c>
      <c r="I166" s="37" t="str">
        <f>'13. Desinvesteringen'!C449</f>
        <v>01 Regionale leidingen</v>
      </c>
      <c r="J166" s="164">
        <f>'13. Desinvesteringen'!F449</f>
        <v>0</v>
      </c>
      <c r="K166" s="38">
        <f>_xlfn.XLOOKUP(I166,'3. Input (des)investeringen '!$B$11:$B$89,'3. Input (des)investeringen '!$E$11:$E$89)</f>
        <v>1</v>
      </c>
      <c r="L166" s="48"/>
      <c r="M166" s="38">
        <f>_xlfn.XLOOKUP(I166,'3. Input (des)investeringen '!$B$11:$B$89,'3. Input (des)investeringen '!$D$11:$D$89,0)</f>
        <v>55</v>
      </c>
      <c r="N166" s="38">
        <f t="shared" si="59"/>
        <v>38.5</v>
      </c>
      <c r="P166" s="43">
        <f t="shared" si="76"/>
        <v>1510.3819933312932</v>
      </c>
      <c r="Q166" s="43">
        <f t="shared" si="76"/>
        <v>1459.3820818681586</v>
      </c>
      <c r="R166" s="43">
        <f t="shared" si="76"/>
        <v>1410.1042453375455</v>
      </c>
      <c r="S166" s="43">
        <f t="shared" si="76"/>
        <v>1362.4903357547191</v>
      </c>
      <c r="T166" s="43">
        <f t="shared" si="76"/>
        <v>1316.4841685733909</v>
      </c>
      <c r="V166" s="43">
        <f t="shared" si="35"/>
        <v>129.09247806250369</v>
      </c>
      <c r="W166" s="43">
        <f t="shared" si="36"/>
        <v>129.09247806250369</v>
      </c>
      <c r="X166" s="43">
        <f t="shared" si="37"/>
        <v>129.09247806250369</v>
      </c>
      <c r="Y166" s="43">
        <f t="shared" si="38"/>
        <v>129.09247806250369</v>
      </c>
      <c r="Z166" s="43">
        <f t="shared" si="39"/>
        <v>129.09247806250369</v>
      </c>
      <c r="AB166" s="43">
        <f t="shared" si="60"/>
        <v>1639.4744713937969</v>
      </c>
      <c r="AC166" s="43">
        <f t="shared" si="61"/>
        <v>1588.4745599306623</v>
      </c>
      <c r="AD166" s="43">
        <f t="shared" si="62"/>
        <v>1539.1967234000492</v>
      </c>
      <c r="AE166" s="43">
        <f t="shared" si="63"/>
        <v>1491.5828138172228</v>
      </c>
      <c r="AF166" s="43">
        <f t="shared" si="64"/>
        <v>1445.5766466358946</v>
      </c>
      <c r="AH166" s="43">
        <f t="shared" si="65"/>
        <v>48061.129582670117</v>
      </c>
      <c r="AI166" s="43">
        <f t="shared" si="66"/>
        <v>46472.655022739455</v>
      </c>
      <c r="AJ166" s="43">
        <f t="shared" si="67"/>
        <v>44933.458299339407</v>
      </c>
      <c r="AK166" s="43">
        <f t="shared" si="68"/>
        <v>43441.875485522185</v>
      </c>
      <c r="AL166" s="43">
        <f t="shared" si="69"/>
        <v>41996.298838886287</v>
      </c>
      <c r="AN166" s="47">
        <f t="shared" si="70"/>
        <v>3609.9807842832715</v>
      </c>
      <c r="AO166" s="47">
        <f t="shared" si="71"/>
        <v>3958.579966090374</v>
      </c>
      <c r="AP166" s="47">
        <f t="shared" si="72"/>
        <v>3830.8030966663591</v>
      </c>
      <c r="AQ166" s="47">
        <f t="shared" si="73"/>
        <v>3880.885965520943</v>
      </c>
      <c r="AR166" s="43">
        <f t="shared" si="74"/>
        <v>3041.4360025135734</v>
      </c>
      <c r="AY166" s="3"/>
    </row>
    <row r="167" spans="1:51" ht="13">
      <c r="A167" s="226"/>
      <c r="B167" s="37">
        <f>'13. Desinvesteringen'!B450</f>
        <v>431</v>
      </c>
      <c r="C167" s="48"/>
      <c r="D167" s="48"/>
      <c r="E167" s="48"/>
      <c r="F167" s="42">
        <f>'5. Input GAW-waarde desinv.'!D126</f>
        <v>9176.6384417978097</v>
      </c>
      <c r="G167" s="175">
        <f>'13. Desinvesteringen'!D450</f>
        <v>2006</v>
      </c>
      <c r="H167" s="175">
        <f>'13. Desinvesteringen'!G450</f>
        <v>2023</v>
      </c>
      <c r="I167" s="37" t="str">
        <f>'13. Desinvesteringen'!C450</f>
        <v>01 Regionale leidingen</v>
      </c>
      <c r="J167" s="164">
        <f>'13. Desinvesteringen'!F450</f>
        <v>0</v>
      </c>
      <c r="K167" s="38">
        <f>_xlfn.XLOOKUP(I167,'3. Input (des)investeringen '!$B$11:$B$89,'3. Input (des)investeringen '!$E$11:$E$89)</f>
        <v>1</v>
      </c>
      <c r="L167" s="48"/>
      <c r="M167" s="38">
        <f>_xlfn.XLOOKUP(I167,'3. Input (des)investeringen '!$B$11:$B$89,'3. Input (des)investeringen '!$D$11:$D$89,0)</f>
        <v>55</v>
      </c>
      <c r="N167" s="38">
        <f t="shared" si="59"/>
        <v>39.5</v>
      </c>
      <c r="P167" s="43">
        <f t="shared" si="76"/>
        <v>271.81435384565663</v>
      </c>
      <c r="Q167" s="43">
        <f t="shared" si="76"/>
        <v>262.86856498491352</v>
      </c>
      <c r="R167" s="43">
        <f t="shared" si="76"/>
        <v>254.21719449173912</v>
      </c>
      <c r="S167" s="43">
        <f t="shared" si="76"/>
        <v>245.85055264770722</v>
      </c>
      <c r="T167" s="43">
        <f t="shared" si="76"/>
        <v>237.75926863651688</v>
      </c>
      <c r="V167" s="43">
        <f t="shared" si="35"/>
        <v>23.231996055184329</v>
      </c>
      <c r="W167" s="43">
        <f t="shared" si="36"/>
        <v>23.231996055184329</v>
      </c>
      <c r="X167" s="43">
        <f t="shared" si="37"/>
        <v>23.231996055184329</v>
      </c>
      <c r="Y167" s="43">
        <f t="shared" si="38"/>
        <v>23.231996055184329</v>
      </c>
      <c r="Z167" s="43">
        <f t="shared" si="39"/>
        <v>23.231996055184329</v>
      </c>
      <c r="AB167" s="43">
        <f t="shared" si="60"/>
        <v>295.04634990084094</v>
      </c>
      <c r="AC167" s="43">
        <f t="shared" si="61"/>
        <v>286.10056104009783</v>
      </c>
      <c r="AD167" s="43">
        <f t="shared" si="62"/>
        <v>277.44919054692343</v>
      </c>
      <c r="AE167" s="43">
        <f t="shared" si="63"/>
        <v>269.08254870289153</v>
      </c>
      <c r="AF167" s="43">
        <f t="shared" si="64"/>
        <v>260.99126469170119</v>
      </c>
      <c r="AH167" s="43">
        <f t="shared" si="65"/>
        <v>8881.5920918969696</v>
      </c>
      <c r="AI167" s="43">
        <f t="shared" si="66"/>
        <v>8595.4915308568725</v>
      </c>
      <c r="AJ167" s="43">
        <f t="shared" si="67"/>
        <v>8318.0423403099485</v>
      </c>
      <c r="AK167" s="43">
        <f t="shared" si="68"/>
        <v>8048.959791607057</v>
      </c>
      <c r="AL167" s="43">
        <f t="shared" si="69"/>
        <v>7787.9685269153561</v>
      </c>
      <c r="AN167" s="47">
        <f t="shared" si="70"/>
        <v>659.19162566861678</v>
      </c>
      <c r="AO167" s="47">
        <f t="shared" si="71"/>
        <v>724.47062911379828</v>
      </c>
      <c r="AP167" s="47">
        <f t="shared" si="72"/>
        <v>701.6693499027308</v>
      </c>
      <c r="AQ167" s="47">
        <f t="shared" si="73"/>
        <v>711.77533724127966</v>
      </c>
      <c r="AR167" s="43">
        <f t="shared" si="74"/>
        <v>556.93406871448474</v>
      </c>
      <c r="AY167" s="3"/>
    </row>
    <row r="168" spans="1:51" ht="13">
      <c r="A168" s="226"/>
      <c r="B168" s="37">
        <f>'13. Desinvesteringen'!B451</f>
        <v>432</v>
      </c>
      <c r="C168" s="48"/>
      <c r="D168" s="48"/>
      <c r="E168" s="48"/>
      <c r="F168" s="42">
        <f>'5. Input GAW-waarde desinv.'!D127</f>
        <v>350173.006424536</v>
      </c>
      <c r="G168" s="175">
        <f>'13. Desinvesteringen'!D451</f>
        <v>2009</v>
      </c>
      <c r="H168" s="175">
        <f>'13. Desinvesteringen'!G451</f>
        <v>2023</v>
      </c>
      <c r="I168" s="37" t="str">
        <f>'13. Desinvesteringen'!C451</f>
        <v>01 Regionale leidingen</v>
      </c>
      <c r="J168" s="164">
        <f>'13. Desinvesteringen'!F451</f>
        <v>0</v>
      </c>
      <c r="K168" s="38">
        <f>_xlfn.XLOOKUP(I168,'3. Input (des)investeringen '!$B$11:$B$89,'3. Input (des)investeringen '!$E$11:$E$89)</f>
        <v>1</v>
      </c>
      <c r="L168" s="48"/>
      <c r="M168" s="38">
        <f>_xlfn.XLOOKUP(I168,'3. Input (des)investeringen '!$B$11:$B$89,'3. Input (des)investeringen '!$D$11:$D$89,0)</f>
        <v>55</v>
      </c>
      <c r="N168" s="38">
        <f t="shared" si="59"/>
        <v>42.5</v>
      </c>
      <c r="P168" s="43">
        <f t="shared" si="76"/>
        <v>9640.0568827460502</v>
      </c>
      <c r="Q168" s="43">
        <f t="shared" si="76"/>
        <v>9345.1845545679353</v>
      </c>
      <c r="R168" s="43">
        <f t="shared" si="76"/>
        <v>9059.3318505458592</v>
      </c>
      <c r="S168" s="43">
        <f t="shared" si="76"/>
        <v>8782.2228762938666</v>
      </c>
      <c r="T168" s="43">
        <f t="shared" si="76"/>
        <v>8513.5901765484068</v>
      </c>
      <c r="V168" s="43">
        <f t="shared" si="35"/>
        <v>823.93648570479058</v>
      </c>
      <c r="W168" s="43">
        <f t="shared" si="36"/>
        <v>823.93648570479058</v>
      </c>
      <c r="X168" s="43">
        <f t="shared" si="37"/>
        <v>823.93648570479058</v>
      </c>
      <c r="Y168" s="43">
        <f t="shared" si="38"/>
        <v>823.93648570479058</v>
      </c>
      <c r="Z168" s="43">
        <f t="shared" si="39"/>
        <v>823.93648570479058</v>
      </c>
      <c r="AB168" s="43">
        <f t="shared" si="60"/>
        <v>10463.993368450841</v>
      </c>
      <c r="AC168" s="43">
        <f t="shared" si="61"/>
        <v>10169.121040272727</v>
      </c>
      <c r="AD168" s="43">
        <f t="shared" si="62"/>
        <v>9883.2683362506505</v>
      </c>
      <c r="AE168" s="43">
        <f t="shared" si="63"/>
        <v>9606.1593619986579</v>
      </c>
      <c r="AF168" s="43">
        <f t="shared" si="64"/>
        <v>9337.5266622531981</v>
      </c>
      <c r="AH168" s="43">
        <f t="shared" si="65"/>
        <v>339709.01305608515</v>
      </c>
      <c r="AI168" s="43">
        <f t="shared" si="66"/>
        <v>329539.89201581245</v>
      </c>
      <c r="AJ168" s="43">
        <f t="shared" si="67"/>
        <v>319656.62367956177</v>
      </c>
      <c r="AK168" s="43">
        <f t="shared" si="68"/>
        <v>310050.46431756311</v>
      </c>
      <c r="AL168" s="43">
        <f t="shared" si="69"/>
        <v>300712.93765530991</v>
      </c>
      <c r="AN168" s="47">
        <f t="shared" si="70"/>
        <v>24392.062903750331</v>
      </c>
      <c r="AO168" s="47">
        <f t="shared" si="71"/>
        <v>26975.65553307916</v>
      </c>
      <c r="AP168" s="47">
        <f t="shared" si="72"/>
        <v>26185.7561439083</v>
      </c>
      <c r="AQ168" s="47">
        <f t="shared" si="73"/>
        <v>26658.934899464628</v>
      </c>
      <c r="AR168" s="43">
        <f t="shared" si="74"/>
        <v>20764.618293154974</v>
      </c>
      <c r="AY168" s="3"/>
    </row>
    <row r="169" spans="1:51" ht="13">
      <c r="A169" s="226"/>
      <c r="B169" s="37">
        <f>'13. Desinvesteringen'!B452</f>
        <v>433</v>
      </c>
      <c r="C169" s="48"/>
      <c r="D169" s="48"/>
      <c r="E169" s="48"/>
      <c r="F169" s="42">
        <f>'5. Input GAW-waarde desinv.'!D128</f>
        <v>16791.944833574824</v>
      </c>
      <c r="G169" s="175">
        <f>'13. Desinvesteringen'!D452</f>
        <v>2011</v>
      </c>
      <c r="H169" s="175">
        <f>'13. Desinvesteringen'!G452</f>
        <v>2023</v>
      </c>
      <c r="I169" s="37" t="str">
        <f>'13. Desinvesteringen'!C452</f>
        <v>01 Regionale leidingen</v>
      </c>
      <c r="J169" s="164">
        <f>'13. Desinvesteringen'!F452</f>
        <v>0</v>
      </c>
      <c r="K169" s="38">
        <f>_xlfn.XLOOKUP(I169,'3. Input (des)investeringen '!$B$11:$B$89,'3. Input (des)investeringen '!$E$11:$E$89)</f>
        <v>1</v>
      </c>
      <c r="L169" s="48"/>
      <c r="M169" s="38">
        <f>_xlfn.XLOOKUP(I169,'3. Input (des)investeringen '!$B$11:$B$89,'3. Input (des)investeringen '!$D$11:$D$89,0)</f>
        <v>55</v>
      </c>
      <c r="N169" s="38">
        <f t="shared" si="59"/>
        <v>44.5</v>
      </c>
      <c r="P169" s="43">
        <f t="shared" si="76"/>
        <v>441.49607764679877</v>
      </c>
      <c r="Q169" s="43">
        <f t="shared" si="76"/>
        <v>428.5984394234091</v>
      </c>
      <c r="R169" s="43">
        <f t="shared" si="76"/>
        <v>416.07758613688259</v>
      </c>
      <c r="S169" s="43">
        <f t="shared" si="76"/>
        <v>403.92251058681637</v>
      </c>
      <c r="T169" s="43">
        <f t="shared" si="76"/>
        <v>392.12252713147114</v>
      </c>
      <c r="V169" s="43">
        <f t="shared" si="35"/>
        <v>37.734707491179385</v>
      </c>
      <c r="W169" s="43">
        <f t="shared" si="36"/>
        <v>37.734707491179378</v>
      </c>
      <c r="X169" s="43">
        <f t="shared" si="37"/>
        <v>37.734707491179378</v>
      </c>
      <c r="Y169" s="43">
        <f t="shared" si="38"/>
        <v>37.734707491179378</v>
      </c>
      <c r="Z169" s="43">
        <f t="shared" si="39"/>
        <v>37.734707491179378</v>
      </c>
      <c r="AB169" s="43">
        <f t="shared" si="60"/>
        <v>479.23078513797816</v>
      </c>
      <c r="AC169" s="43">
        <f t="shared" si="61"/>
        <v>466.3331469145885</v>
      </c>
      <c r="AD169" s="43">
        <f t="shared" si="62"/>
        <v>453.81229362806198</v>
      </c>
      <c r="AE169" s="43">
        <f t="shared" si="63"/>
        <v>441.65721807799576</v>
      </c>
      <c r="AF169" s="43">
        <f t="shared" si="64"/>
        <v>429.85723462265054</v>
      </c>
      <c r="AH169" s="43">
        <f t="shared" si="65"/>
        <v>16312.714048436846</v>
      </c>
      <c r="AI169" s="43">
        <f t="shared" si="66"/>
        <v>15846.380901522258</v>
      </c>
      <c r="AJ169" s="43">
        <f t="shared" si="67"/>
        <v>15392.568607894196</v>
      </c>
      <c r="AK169" s="43">
        <f t="shared" si="68"/>
        <v>14950.911389816201</v>
      </c>
      <c r="AL169" s="43">
        <f t="shared" si="69"/>
        <v>14521.054155193551</v>
      </c>
      <c r="AN169" s="47">
        <f t="shared" si="70"/>
        <v>1148.052061123889</v>
      </c>
      <c r="AO169" s="47">
        <f t="shared" si="71"/>
        <v>1274.4985728922236</v>
      </c>
      <c r="AP169" s="47">
        <f t="shared" si="72"/>
        <v>1238.8332926306659</v>
      </c>
      <c r="AQ169" s="47">
        <f t="shared" si="73"/>
        <v>1263.9573445178869</v>
      </c>
      <c r="AR169" s="43">
        <f t="shared" si="74"/>
        <v>981.65729252000551</v>
      </c>
      <c r="AY169" s="3"/>
    </row>
    <row r="170" spans="1:51" ht="13">
      <c r="A170" s="226"/>
      <c r="B170" s="37">
        <f>'13. Desinvesteringen'!B453</f>
        <v>434</v>
      </c>
      <c r="C170" s="48"/>
      <c r="D170" s="48"/>
      <c r="E170" s="48"/>
      <c r="F170" s="42">
        <f>'5. Input GAW-waarde desinv.'!D129</f>
        <v>368844.5346481328</v>
      </c>
      <c r="G170" s="175">
        <f>'13. Desinvesteringen'!D453</f>
        <v>2012</v>
      </c>
      <c r="H170" s="175">
        <f>'13. Desinvesteringen'!G453</f>
        <v>2023</v>
      </c>
      <c r="I170" s="37" t="str">
        <f>'13. Desinvesteringen'!C453</f>
        <v>01 Regionale leidingen</v>
      </c>
      <c r="J170" s="164">
        <f>'13. Desinvesteringen'!F453</f>
        <v>0</v>
      </c>
      <c r="K170" s="38">
        <f>_xlfn.XLOOKUP(I170,'3. Input (des)investeringen '!$B$11:$B$89,'3. Input (des)investeringen '!$E$11:$E$89)</f>
        <v>1</v>
      </c>
      <c r="L170" s="48"/>
      <c r="M170" s="38">
        <f>_xlfn.XLOOKUP(I170,'3. Input (des)investeringen '!$B$11:$B$89,'3. Input (des)investeringen '!$D$11:$D$89,0)</f>
        <v>55</v>
      </c>
      <c r="N170" s="38">
        <f t="shared" si="59"/>
        <v>45.5</v>
      </c>
      <c r="P170" s="43">
        <f t="shared" si="76"/>
        <v>9484.5737480948446</v>
      </c>
      <c r="Q170" s="43">
        <f t="shared" si="76"/>
        <v>9213.585926720707</v>
      </c>
      <c r="R170" s="43">
        <f t="shared" si="76"/>
        <v>8950.3406145286863</v>
      </c>
      <c r="S170" s="43">
        <f t="shared" si="76"/>
        <v>8694.6165969707254</v>
      </c>
      <c r="T170" s="43">
        <f t="shared" si="76"/>
        <v>8446.1989799144194</v>
      </c>
      <c r="V170" s="43">
        <f t="shared" si="35"/>
        <v>810.6473288969953</v>
      </c>
      <c r="W170" s="43">
        <f t="shared" si="36"/>
        <v>810.64732889699519</v>
      </c>
      <c r="X170" s="43">
        <f t="shared" si="37"/>
        <v>810.64732889699519</v>
      </c>
      <c r="Y170" s="43">
        <f t="shared" si="38"/>
        <v>810.64732889699519</v>
      </c>
      <c r="Z170" s="43">
        <f t="shared" si="39"/>
        <v>810.64732889699519</v>
      </c>
      <c r="AB170" s="43">
        <f t="shared" si="60"/>
        <v>10295.22107699184</v>
      </c>
      <c r="AC170" s="43">
        <f t="shared" si="61"/>
        <v>10024.233255617703</v>
      </c>
      <c r="AD170" s="43">
        <f t="shared" si="62"/>
        <v>9760.9879434256818</v>
      </c>
      <c r="AE170" s="43">
        <f t="shared" si="63"/>
        <v>9505.2639258677209</v>
      </c>
      <c r="AF170" s="43">
        <f t="shared" si="64"/>
        <v>9256.8463088114149</v>
      </c>
      <c r="AH170" s="43">
        <f t="shared" si="65"/>
        <v>358549.31357114099</v>
      </c>
      <c r="AI170" s="43">
        <f t="shared" si="66"/>
        <v>348525.08031552326</v>
      </c>
      <c r="AJ170" s="43">
        <f t="shared" si="67"/>
        <v>338764.0923720976</v>
      </c>
      <c r="AK170" s="43">
        <f t="shared" si="68"/>
        <v>329258.82844622986</v>
      </c>
      <c r="AL170" s="43">
        <f t="shared" si="69"/>
        <v>320001.98213741847</v>
      </c>
      <c r="AN170" s="47">
        <f t="shared" si="70"/>
        <v>24995.742933408619</v>
      </c>
      <c r="AO170" s="47">
        <f t="shared" si="71"/>
        <v>27799.012351709389</v>
      </c>
      <c r="AP170" s="47">
        <f t="shared" si="72"/>
        <v>27037.95665440266</v>
      </c>
      <c r="AQ170" s="47">
        <f t="shared" si="73"/>
        <v>27614.499490410366</v>
      </c>
      <c r="AR170" s="43">
        <f t="shared" si="74"/>
        <v>21416.921630033314</v>
      </c>
      <c r="AY170" s="3"/>
    </row>
    <row r="171" spans="1:51" ht="13">
      <c r="A171" s="226"/>
      <c r="B171" s="37">
        <f>'13. Desinvesteringen'!B454</f>
        <v>435</v>
      </c>
      <c r="C171" s="48"/>
      <c r="D171" s="48"/>
      <c r="E171" s="48"/>
      <c r="F171" s="42">
        <f>'5. Input GAW-waarde desinv.'!D130</f>
        <v>0</v>
      </c>
      <c r="G171" s="175">
        <f>'13. Desinvesteringen'!D454</f>
        <v>1965</v>
      </c>
      <c r="H171" s="175">
        <f>'13. Desinvesteringen'!G454</f>
        <v>2023</v>
      </c>
      <c r="I171" s="37" t="str">
        <f>'13. Desinvesteringen'!C454</f>
        <v>02 Gasontvangststations</v>
      </c>
      <c r="J171" s="164">
        <f>'13. Desinvesteringen'!F454</f>
        <v>0</v>
      </c>
      <c r="K171" s="38">
        <f>_xlfn.XLOOKUP(I171,'3. Input (des)investeringen '!$B$11:$B$89,'3. Input (des)investeringen '!$E$11:$E$89)</f>
        <v>0</v>
      </c>
      <c r="L171" s="48"/>
      <c r="M171" s="38">
        <f>_xlfn.XLOOKUP(I171,'3. Input (des)investeringen '!$B$11:$B$89,'3. Input (des)investeringen '!$D$11:$D$89,0)</f>
        <v>30</v>
      </c>
      <c r="N171" s="38">
        <f t="shared" si="59"/>
        <v>0</v>
      </c>
      <c r="P171" s="43">
        <f t="shared" si="76"/>
        <v>0</v>
      </c>
      <c r="Q171" s="43">
        <f t="shared" si="76"/>
        <v>0</v>
      </c>
      <c r="R171" s="43">
        <f t="shared" si="76"/>
        <v>0</v>
      </c>
      <c r="S171" s="43">
        <f t="shared" si="76"/>
        <v>0</v>
      </c>
      <c r="T171" s="43">
        <f t="shared" si="76"/>
        <v>0</v>
      </c>
      <c r="V171" s="43">
        <f t="shared" si="35"/>
        <v>0</v>
      </c>
      <c r="W171" s="43">
        <f t="shared" si="36"/>
        <v>0</v>
      </c>
      <c r="X171" s="43">
        <f t="shared" si="37"/>
        <v>0</v>
      </c>
      <c r="Y171" s="43">
        <f t="shared" si="38"/>
        <v>0</v>
      </c>
      <c r="Z171" s="43">
        <f t="shared" si="39"/>
        <v>0</v>
      </c>
      <c r="AB171" s="43">
        <f t="shared" si="60"/>
        <v>0</v>
      </c>
      <c r="AC171" s="43">
        <f t="shared" si="61"/>
        <v>0</v>
      </c>
      <c r="AD171" s="43">
        <f t="shared" si="62"/>
        <v>0</v>
      </c>
      <c r="AE171" s="43">
        <f t="shared" si="63"/>
        <v>0</v>
      </c>
      <c r="AF171" s="43">
        <f t="shared" si="64"/>
        <v>0</v>
      </c>
      <c r="AH171" s="43">
        <f t="shared" si="65"/>
        <v>0</v>
      </c>
      <c r="AI171" s="43">
        <f t="shared" si="66"/>
        <v>0</v>
      </c>
      <c r="AJ171" s="43">
        <f t="shared" si="67"/>
        <v>0</v>
      </c>
      <c r="AK171" s="43">
        <f t="shared" si="68"/>
        <v>0</v>
      </c>
      <c r="AL171" s="43">
        <f t="shared" si="69"/>
        <v>0</v>
      </c>
      <c r="AN171" s="47">
        <f t="shared" si="70"/>
        <v>0</v>
      </c>
      <c r="AO171" s="47">
        <f t="shared" si="71"/>
        <v>0</v>
      </c>
      <c r="AP171" s="47">
        <f t="shared" si="72"/>
        <v>0</v>
      </c>
      <c r="AQ171" s="47">
        <f t="shared" si="73"/>
        <v>0</v>
      </c>
      <c r="AR171" s="43">
        <f t="shared" si="74"/>
        <v>0</v>
      </c>
      <c r="AY171" s="3"/>
    </row>
    <row r="172" spans="1:51" ht="13">
      <c r="A172" s="226"/>
      <c r="B172" s="37">
        <f>'13. Desinvesteringen'!B455</f>
        <v>436</v>
      </c>
      <c r="C172" s="48"/>
      <c r="D172" s="48"/>
      <c r="E172" s="48"/>
      <c r="F172" s="42">
        <f>'5. Input GAW-waarde desinv.'!D131</f>
        <v>0</v>
      </c>
      <c r="G172" s="175">
        <f>'13. Desinvesteringen'!D455</f>
        <v>1966</v>
      </c>
      <c r="H172" s="175">
        <f>'13. Desinvesteringen'!G455</f>
        <v>2023</v>
      </c>
      <c r="I172" s="37" t="str">
        <f>'13. Desinvesteringen'!C455</f>
        <v>02 Gasontvangststations</v>
      </c>
      <c r="J172" s="164">
        <f>'13. Desinvesteringen'!F455</f>
        <v>0</v>
      </c>
      <c r="K172" s="38">
        <f>_xlfn.XLOOKUP(I172,'3. Input (des)investeringen '!$B$11:$B$89,'3. Input (des)investeringen '!$E$11:$E$89)</f>
        <v>0</v>
      </c>
      <c r="L172" s="48"/>
      <c r="M172" s="38">
        <f>_xlfn.XLOOKUP(I172,'3. Input (des)investeringen '!$B$11:$B$89,'3. Input (des)investeringen '!$D$11:$D$89,0)</f>
        <v>30</v>
      </c>
      <c r="N172" s="38">
        <f t="shared" si="59"/>
        <v>0</v>
      </c>
      <c r="P172" s="43">
        <f t="shared" ref="P172:T181" si="77">IF($M172&gt;0, IF(OR($G172&gt;P$50,$G172+$M172&lt;P$50),0,
VDB($F172,0,$N172,MAX(0,P$50-2022),MIN($N172,P$50-2021),$F$23,FALSE))*(1-$F$26), 0)</f>
        <v>0</v>
      </c>
      <c r="Q172" s="43">
        <f t="shared" si="77"/>
        <v>0</v>
      </c>
      <c r="R172" s="43">
        <f t="shared" si="77"/>
        <v>0</v>
      </c>
      <c r="S172" s="43">
        <f t="shared" si="77"/>
        <v>0</v>
      </c>
      <c r="T172" s="43">
        <f t="shared" si="77"/>
        <v>0</v>
      </c>
      <c r="V172" s="43">
        <f t="shared" si="35"/>
        <v>0</v>
      </c>
      <c r="W172" s="43">
        <f t="shared" si="36"/>
        <v>0</v>
      </c>
      <c r="X172" s="43">
        <f t="shared" si="37"/>
        <v>0</v>
      </c>
      <c r="Y172" s="43">
        <f t="shared" si="38"/>
        <v>0</v>
      </c>
      <c r="Z172" s="43">
        <f t="shared" si="39"/>
        <v>0</v>
      </c>
      <c r="AB172" s="43">
        <f t="shared" si="60"/>
        <v>0</v>
      </c>
      <c r="AC172" s="43">
        <f t="shared" si="61"/>
        <v>0</v>
      </c>
      <c r="AD172" s="43">
        <f t="shared" si="62"/>
        <v>0</v>
      </c>
      <c r="AE172" s="43">
        <f t="shared" si="63"/>
        <v>0</v>
      </c>
      <c r="AF172" s="43">
        <f t="shared" si="64"/>
        <v>0</v>
      </c>
      <c r="AH172" s="43">
        <f t="shared" si="65"/>
        <v>0</v>
      </c>
      <c r="AI172" s="43">
        <f t="shared" si="66"/>
        <v>0</v>
      </c>
      <c r="AJ172" s="43">
        <f t="shared" si="67"/>
        <v>0</v>
      </c>
      <c r="AK172" s="43">
        <f t="shared" si="68"/>
        <v>0</v>
      </c>
      <c r="AL172" s="43">
        <f t="shared" si="69"/>
        <v>0</v>
      </c>
      <c r="AN172" s="47">
        <f t="shared" si="70"/>
        <v>0</v>
      </c>
      <c r="AO172" s="47">
        <f t="shared" si="71"/>
        <v>0</v>
      </c>
      <c r="AP172" s="47">
        <f t="shared" si="72"/>
        <v>0</v>
      </c>
      <c r="AQ172" s="47">
        <f t="shared" si="73"/>
        <v>0</v>
      </c>
      <c r="AR172" s="43">
        <f t="shared" si="74"/>
        <v>0</v>
      </c>
      <c r="AY172" s="3"/>
    </row>
    <row r="173" spans="1:51" ht="13">
      <c r="A173" s="226"/>
      <c r="B173" s="37">
        <f>'13. Desinvesteringen'!B456</f>
        <v>437</v>
      </c>
      <c r="C173" s="48"/>
      <c r="D173" s="48"/>
      <c r="E173" s="48"/>
      <c r="F173" s="42">
        <f>'5. Input GAW-waarde desinv.'!D132</f>
        <v>0</v>
      </c>
      <c r="G173" s="175">
        <f>'13. Desinvesteringen'!D456</f>
        <v>1967</v>
      </c>
      <c r="H173" s="175">
        <f>'13. Desinvesteringen'!G456</f>
        <v>2023</v>
      </c>
      <c r="I173" s="37" t="str">
        <f>'13. Desinvesteringen'!C456</f>
        <v>02 Gasontvangststations</v>
      </c>
      <c r="J173" s="164">
        <f>'13. Desinvesteringen'!F456</f>
        <v>0</v>
      </c>
      <c r="K173" s="38">
        <f>_xlfn.XLOOKUP(I173,'3. Input (des)investeringen '!$B$11:$B$89,'3. Input (des)investeringen '!$E$11:$E$89)</f>
        <v>0</v>
      </c>
      <c r="L173" s="48"/>
      <c r="M173" s="38">
        <f>_xlfn.XLOOKUP(I173,'3. Input (des)investeringen '!$B$11:$B$89,'3. Input (des)investeringen '!$D$11:$D$89,0)</f>
        <v>30</v>
      </c>
      <c r="N173" s="38">
        <f t="shared" si="59"/>
        <v>0</v>
      </c>
      <c r="P173" s="43">
        <f t="shared" si="77"/>
        <v>0</v>
      </c>
      <c r="Q173" s="43">
        <f t="shared" si="77"/>
        <v>0</v>
      </c>
      <c r="R173" s="43">
        <f t="shared" si="77"/>
        <v>0</v>
      </c>
      <c r="S173" s="43">
        <f t="shared" si="77"/>
        <v>0</v>
      </c>
      <c r="T173" s="43">
        <f t="shared" si="77"/>
        <v>0</v>
      </c>
      <c r="V173" s="43">
        <f t="shared" si="35"/>
        <v>0</v>
      </c>
      <c r="W173" s="43">
        <f t="shared" si="36"/>
        <v>0</v>
      </c>
      <c r="X173" s="43">
        <f t="shared" si="37"/>
        <v>0</v>
      </c>
      <c r="Y173" s="43">
        <f t="shared" si="38"/>
        <v>0</v>
      </c>
      <c r="Z173" s="43">
        <f t="shared" si="39"/>
        <v>0</v>
      </c>
      <c r="AB173" s="43">
        <f t="shared" si="60"/>
        <v>0</v>
      </c>
      <c r="AC173" s="43">
        <f t="shared" si="61"/>
        <v>0</v>
      </c>
      <c r="AD173" s="43">
        <f t="shared" si="62"/>
        <v>0</v>
      </c>
      <c r="AE173" s="43">
        <f t="shared" si="63"/>
        <v>0</v>
      </c>
      <c r="AF173" s="43">
        <f t="shared" si="64"/>
        <v>0</v>
      </c>
      <c r="AH173" s="43">
        <f t="shared" si="65"/>
        <v>0</v>
      </c>
      <c r="AI173" s="43">
        <f t="shared" si="66"/>
        <v>0</v>
      </c>
      <c r="AJ173" s="43">
        <f t="shared" si="67"/>
        <v>0</v>
      </c>
      <c r="AK173" s="43">
        <f t="shared" si="68"/>
        <v>0</v>
      </c>
      <c r="AL173" s="43">
        <f t="shared" si="69"/>
        <v>0</v>
      </c>
      <c r="AN173" s="47">
        <f t="shared" si="70"/>
        <v>0</v>
      </c>
      <c r="AO173" s="47">
        <f t="shared" si="71"/>
        <v>0</v>
      </c>
      <c r="AP173" s="47">
        <f t="shared" si="72"/>
        <v>0</v>
      </c>
      <c r="AQ173" s="47">
        <f t="shared" si="73"/>
        <v>0</v>
      </c>
      <c r="AR173" s="43">
        <f t="shared" si="74"/>
        <v>0</v>
      </c>
      <c r="AY173" s="3"/>
    </row>
    <row r="174" spans="1:51" ht="13">
      <c r="A174" s="226"/>
      <c r="B174" s="37">
        <f>'13. Desinvesteringen'!B457</f>
        <v>438</v>
      </c>
      <c r="C174" s="48"/>
      <c r="D174" s="48"/>
      <c r="E174" s="48"/>
      <c r="F174" s="42">
        <f>'5. Input GAW-waarde desinv.'!D133</f>
        <v>0</v>
      </c>
      <c r="G174" s="175">
        <f>'13. Desinvesteringen'!D457</f>
        <v>1968</v>
      </c>
      <c r="H174" s="175">
        <f>'13. Desinvesteringen'!G457</f>
        <v>2023</v>
      </c>
      <c r="I174" s="37" t="str">
        <f>'13. Desinvesteringen'!C457</f>
        <v>02 Gasontvangststations</v>
      </c>
      <c r="J174" s="164">
        <f>'13. Desinvesteringen'!F457</f>
        <v>0</v>
      </c>
      <c r="K174" s="38">
        <f>_xlfn.XLOOKUP(I174,'3. Input (des)investeringen '!$B$11:$B$89,'3. Input (des)investeringen '!$E$11:$E$89)</f>
        <v>0</v>
      </c>
      <c r="L174" s="48"/>
      <c r="M174" s="38">
        <f>_xlfn.XLOOKUP(I174,'3. Input (des)investeringen '!$B$11:$B$89,'3. Input (des)investeringen '!$D$11:$D$89,0)</f>
        <v>30</v>
      </c>
      <c r="N174" s="38">
        <f t="shared" si="59"/>
        <v>0</v>
      </c>
      <c r="P174" s="43">
        <f t="shared" si="77"/>
        <v>0</v>
      </c>
      <c r="Q174" s="43">
        <f t="shared" si="77"/>
        <v>0</v>
      </c>
      <c r="R174" s="43">
        <f t="shared" si="77"/>
        <v>0</v>
      </c>
      <c r="S174" s="43">
        <f t="shared" si="77"/>
        <v>0</v>
      </c>
      <c r="T174" s="43">
        <f t="shared" si="77"/>
        <v>0</v>
      </c>
      <c r="V174" s="43">
        <f t="shared" si="35"/>
        <v>0</v>
      </c>
      <c r="W174" s="43">
        <f t="shared" si="36"/>
        <v>0</v>
      </c>
      <c r="X174" s="43">
        <f t="shared" si="37"/>
        <v>0</v>
      </c>
      <c r="Y174" s="43">
        <f t="shared" si="38"/>
        <v>0</v>
      </c>
      <c r="Z174" s="43">
        <f t="shared" si="39"/>
        <v>0</v>
      </c>
      <c r="AB174" s="43">
        <f t="shared" si="60"/>
        <v>0</v>
      </c>
      <c r="AC174" s="43">
        <f t="shared" si="61"/>
        <v>0</v>
      </c>
      <c r="AD174" s="43">
        <f t="shared" si="62"/>
        <v>0</v>
      </c>
      <c r="AE174" s="43">
        <f t="shared" si="63"/>
        <v>0</v>
      </c>
      <c r="AF174" s="43">
        <f t="shared" si="64"/>
        <v>0</v>
      </c>
      <c r="AH174" s="43">
        <f t="shared" si="65"/>
        <v>0</v>
      </c>
      <c r="AI174" s="43">
        <f t="shared" si="66"/>
        <v>0</v>
      </c>
      <c r="AJ174" s="43">
        <f t="shared" si="67"/>
        <v>0</v>
      </c>
      <c r="AK174" s="43">
        <f t="shared" si="68"/>
        <v>0</v>
      </c>
      <c r="AL174" s="43">
        <f t="shared" si="69"/>
        <v>0</v>
      </c>
      <c r="AN174" s="47">
        <f t="shared" si="70"/>
        <v>0</v>
      </c>
      <c r="AO174" s="47">
        <f t="shared" si="71"/>
        <v>0</v>
      </c>
      <c r="AP174" s="47">
        <f t="shared" si="72"/>
        <v>0</v>
      </c>
      <c r="AQ174" s="47">
        <f t="shared" si="73"/>
        <v>0</v>
      </c>
      <c r="AR174" s="43">
        <f t="shared" si="74"/>
        <v>0</v>
      </c>
      <c r="AY174" s="3"/>
    </row>
    <row r="175" spans="1:51" ht="13">
      <c r="A175" s="226"/>
      <c r="B175" s="37">
        <f>'13. Desinvesteringen'!B458</f>
        <v>439</v>
      </c>
      <c r="C175" s="48"/>
      <c r="D175" s="48"/>
      <c r="E175" s="48"/>
      <c r="F175" s="42">
        <f>'5. Input GAW-waarde desinv.'!D134</f>
        <v>0</v>
      </c>
      <c r="G175" s="175">
        <f>'13. Desinvesteringen'!D458</f>
        <v>1969</v>
      </c>
      <c r="H175" s="175">
        <f>'13. Desinvesteringen'!G458</f>
        <v>2023</v>
      </c>
      <c r="I175" s="37" t="str">
        <f>'13. Desinvesteringen'!C458</f>
        <v>02 Gasontvangststations</v>
      </c>
      <c r="J175" s="164">
        <f>'13. Desinvesteringen'!F458</f>
        <v>0</v>
      </c>
      <c r="K175" s="38">
        <f>_xlfn.XLOOKUP(I175,'3. Input (des)investeringen '!$B$11:$B$89,'3. Input (des)investeringen '!$E$11:$E$89)</f>
        <v>0</v>
      </c>
      <c r="L175" s="48"/>
      <c r="M175" s="38">
        <f>_xlfn.XLOOKUP(I175,'3. Input (des)investeringen '!$B$11:$B$89,'3. Input (des)investeringen '!$D$11:$D$89,0)</f>
        <v>30</v>
      </c>
      <c r="N175" s="38">
        <f t="shared" si="59"/>
        <v>0</v>
      </c>
      <c r="P175" s="43">
        <f t="shared" si="77"/>
        <v>0</v>
      </c>
      <c r="Q175" s="43">
        <f t="shared" si="77"/>
        <v>0</v>
      </c>
      <c r="R175" s="43">
        <f t="shared" si="77"/>
        <v>0</v>
      </c>
      <c r="S175" s="43">
        <f t="shared" si="77"/>
        <v>0</v>
      </c>
      <c r="T175" s="43">
        <f t="shared" si="77"/>
        <v>0</v>
      </c>
      <c r="V175" s="43">
        <f t="shared" si="35"/>
        <v>0</v>
      </c>
      <c r="W175" s="43">
        <f t="shared" si="36"/>
        <v>0</v>
      </c>
      <c r="X175" s="43">
        <f t="shared" si="37"/>
        <v>0</v>
      </c>
      <c r="Y175" s="43">
        <f t="shared" si="38"/>
        <v>0</v>
      </c>
      <c r="Z175" s="43">
        <f t="shared" si="39"/>
        <v>0</v>
      </c>
      <c r="AB175" s="43">
        <f t="shared" si="60"/>
        <v>0</v>
      </c>
      <c r="AC175" s="43">
        <f t="shared" si="61"/>
        <v>0</v>
      </c>
      <c r="AD175" s="43">
        <f t="shared" si="62"/>
        <v>0</v>
      </c>
      <c r="AE175" s="43">
        <f t="shared" si="63"/>
        <v>0</v>
      </c>
      <c r="AF175" s="43">
        <f t="shared" si="64"/>
        <v>0</v>
      </c>
      <c r="AH175" s="43">
        <f t="shared" si="65"/>
        <v>0</v>
      </c>
      <c r="AI175" s="43">
        <f t="shared" si="66"/>
        <v>0</v>
      </c>
      <c r="AJ175" s="43">
        <f t="shared" si="67"/>
        <v>0</v>
      </c>
      <c r="AK175" s="43">
        <f t="shared" si="68"/>
        <v>0</v>
      </c>
      <c r="AL175" s="43">
        <f t="shared" si="69"/>
        <v>0</v>
      </c>
      <c r="AN175" s="47">
        <f t="shared" si="70"/>
        <v>0</v>
      </c>
      <c r="AO175" s="47">
        <f t="shared" si="71"/>
        <v>0</v>
      </c>
      <c r="AP175" s="47">
        <f t="shared" si="72"/>
        <v>0</v>
      </c>
      <c r="AQ175" s="47">
        <f t="shared" si="73"/>
        <v>0</v>
      </c>
      <c r="AR175" s="43">
        <f t="shared" si="74"/>
        <v>0</v>
      </c>
      <c r="AY175" s="3"/>
    </row>
    <row r="176" spans="1:51" ht="13">
      <c r="A176" s="226"/>
      <c r="B176" s="37">
        <f>'13. Desinvesteringen'!B459</f>
        <v>440</v>
      </c>
      <c r="C176" s="48"/>
      <c r="D176" s="48"/>
      <c r="E176" s="48"/>
      <c r="F176" s="42">
        <f>'5. Input GAW-waarde desinv.'!D135</f>
        <v>0</v>
      </c>
      <c r="G176" s="175">
        <f>'13. Desinvesteringen'!D459</f>
        <v>1970</v>
      </c>
      <c r="H176" s="175">
        <f>'13. Desinvesteringen'!G459</f>
        <v>2023</v>
      </c>
      <c r="I176" s="37" t="str">
        <f>'13. Desinvesteringen'!C459</f>
        <v>02 Gasontvangststations</v>
      </c>
      <c r="J176" s="164">
        <f>'13. Desinvesteringen'!F459</f>
        <v>0</v>
      </c>
      <c r="K176" s="38">
        <f>_xlfn.XLOOKUP(I176,'3. Input (des)investeringen '!$B$11:$B$89,'3. Input (des)investeringen '!$E$11:$E$89)</f>
        <v>0</v>
      </c>
      <c r="L176" s="48"/>
      <c r="M176" s="38">
        <f>_xlfn.XLOOKUP(I176,'3. Input (des)investeringen '!$B$11:$B$89,'3. Input (des)investeringen '!$D$11:$D$89,0)</f>
        <v>30</v>
      </c>
      <c r="N176" s="38">
        <f t="shared" si="59"/>
        <v>0</v>
      </c>
      <c r="P176" s="43">
        <f t="shared" si="77"/>
        <v>0</v>
      </c>
      <c r="Q176" s="43">
        <f t="shared" si="77"/>
        <v>0</v>
      </c>
      <c r="R176" s="43">
        <f t="shared" si="77"/>
        <v>0</v>
      </c>
      <c r="S176" s="43">
        <f t="shared" si="77"/>
        <v>0</v>
      </c>
      <c r="T176" s="43">
        <f t="shared" si="77"/>
        <v>0</v>
      </c>
      <c r="V176" s="43">
        <f t="shared" si="35"/>
        <v>0</v>
      </c>
      <c r="W176" s="43">
        <f t="shared" si="36"/>
        <v>0</v>
      </c>
      <c r="X176" s="43">
        <f t="shared" si="37"/>
        <v>0</v>
      </c>
      <c r="Y176" s="43">
        <f t="shared" si="38"/>
        <v>0</v>
      </c>
      <c r="Z176" s="43">
        <f t="shared" si="39"/>
        <v>0</v>
      </c>
      <c r="AB176" s="43">
        <f t="shared" si="60"/>
        <v>0</v>
      </c>
      <c r="AC176" s="43">
        <f t="shared" si="61"/>
        <v>0</v>
      </c>
      <c r="AD176" s="43">
        <f t="shared" si="62"/>
        <v>0</v>
      </c>
      <c r="AE176" s="43">
        <f t="shared" si="63"/>
        <v>0</v>
      </c>
      <c r="AF176" s="43">
        <f t="shared" si="64"/>
        <v>0</v>
      </c>
      <c r="AH176" s="43">
        <f t="shared" si="65"/>
        <v>0</v>
      </c>
      <c r="AI176" s="43">
        <f t="shared" si="66"/>
        <v>0</v>
      </c>
      <c r="AJ176" s="43">
        <f t="shared" si="67"/>
        <v>0</v>
      </c>
      <c r="AK176" s="43">
        <f t="shared" si="68"/>
        <v>0</v>
      </c>
      <c r="AL176" s="43">
        <f t="shared" si="69"/>
        <v>0</v>
      </c>
      <c r="AN176" s="47">
        <f t="shared" si="70"/>
        <v>0</v>
      </c>
      <c r="AO176" s="47">
        <f t="shared" si="71"/>
        <v>0</v>
      </c>
      <c r="AP176" s="47">
        <f t="shared" si="72"/>
        <v>0</v>
      </c>
      <c r="AQ176" s="47">
        <f t="shared" si="73"/>
        <v>0</v>
      </c>
      <c r="AR176" s="43">
        <f t="shared" si="74"/>
        <v>0</v>
      </c>
      <c r="AY176" s="3"/>
    </row>
    <row r="177" spans="1:51" ht="13">
      <c r="A177" s="226"/>
      <c r="B177" s="37">
        <f>'13. Desinvesteringen'!B460</f>
        <v>441</v>
      </c>
      <c r="C177" s="48"/>
      <c r="D177" s="48"/>
      <c r="E177" s="48"/>
      <c r="F177" s="42">
        <f>'5. Input GAW-waarde desinv.'!D136</f>
        <v>0</v>
      </c>
      <c r="G177" s="175">
        <f>'13. Desinvesteringen'!D460</f>
        <v>1971</v>
      </c>
      <c r="H177" s="175">
        <f>'13. Desinvesteringen'!G460</f>
        <v>2023</v>
      </c>
      <c r="I177" s="37" t="str">
        <f>'13. Desinvesteringen'!C460</f>
        <v>02 Gasontvangststations</v>
      </c>
      <c r="J177" s="164">
        <f>'13. Desinvesteringen'!F460</f>
        <v>0</v>
      </c>
      <c r="K177" s="38">
        <f>_xlfn.XLOOKUP(I177,'3. Input (des)investeringen '!$B$11:$B$89,'3. Input (des)investeringen '!$E$11:$E$89)</f>
        <v>0</v>
      </c>
      <c r="L177" s="48"/>
      <c r="M177" s="38">
        <f>_xlfn.XLOOKUP(I177,'3. Input (des)investeringen '!$B$11:$B$89,'3. Input (des)investeringen '!$D$11:$D$89,0)</f>
        <v>30</v>
      </c>
      <c r="N177" s="38">
        <f t="shared" si="59"/>
        <v>0</v>
      </c>
      <c r="P177" s="43">
        <f t="shared" si="77"/>
        <v>0</v>
      </c>
      <c r="Q177" s="43">
        <f t="shared" si="77"/>
        <v>0</v>
      </c>
      <c r="R177" s="43">
        <f t="shared" si="77"/>
        <v>0</v>
      </c>
      <c r="S177" s="43">
        <f t="shared" si="77"/>
        <v>0</v>
      </c>
      <c r="T177" s="43">
        <f t="shared" si="77"/>
        <v>0</v>
      </c>
      <c r="V177" s="43">
        <f t="shared" si="35"/>
        <v>0</v>
      </c>
      <c r="W177" s="43">
        <f t="shared" si="36"/>
        <v>0</v>
      </c>
      <c r="X177" s="43">
        <f t="shared" si="37"/>
        <v>0</v>
      </c>
      <c r="Y177" s="43">
        <f t="shared" si="38"/>
        <v>0</v>
      </c>
      <c r="Z177" s="43">
        <f t="shared" si="39"/>
        <v>0</v>
      </c>
      <c r="AB177" s="43">
        <f t="shared" si="60"/>
        <v>0</v>
      </c>
      <c r="AC177" s="43">
        <f t="shared" si="61"/>
        <v>0</v>
      </c>
      <c r="AD177" s="43">
        <f t="shared" si="62"/>
        <v>0</v>
      </c>
      <c r="AE177" s="43">
        <f t="shared" si="63"/>
        <v>0</v>
      </c>
      <c r="AF177" s="43">
        <f t="shared" si="64"/>
        <v>0</v>
      </c>
      <c r="AH177" s="43">
        <f t="shared" si="65"/>
        <v>0</v>
      </c>
      <c r="AI177" s="43">
        <f t="shared" si="66"/>
        <v>0</v>
      </c>
      <c r="AJ177" s="43">
        <f t="shared" si="67"/>
        <v>0</v>
      </c>
      <c r="AK177" s="43">
        <f t="shared" si="68"/>
        <v>0</v>
      </c>
      <c r="AL177" s="43">
        <f t="shared" si="69"/>
        <v>0</v>
      </c>
      <c r="AN177" s="47">
        <f t="shared" si="70"/>
        <v>0</v>
      </c>
      <c r="AO177" s="47">
        <f t="shared" si="71"/>
        <v>0</v>
      </c>
      <c r="AP177" s="47">
        <f t="shared" si="72"/>
        <v>0</v>
      </c>
      <c r="AQ177" s="47">
        <f t="shared" si="73"/>
        <v>0</v>
      </c>
      <c r="AR177" s="43">
        <f t="shared" si="74"/>
        <v>0</v>
      </c>
      <c r="AY177" s="3"/>
    </row>
    <row r="178" spans="1:51" ht="13">
      <c r="A178" s="226"/>
      <c r="B178" s="37">
        <f>'13. Desinvesteringen'!B461</f>
        <v>442</v>
      </c>
      <c r="C178" s="48"/>
      <c r="D178" s="48"/>
      <c r="E178" s="48"/>
      <c r="F178" s="42">
        <f>'5. Input GAW-waarde desinv.'!D137</f>
        <v>0</v>
      </c>
      <c r="G178" s="175">
        <f>'13. Desinvesteringen'!D461</f>
        <v>1972</v>
      </c>
      <c r="H178" s="175">
        <f>'13. Desinvesteringen'!G461</f>
        <v>2023</v>
      </c>
      <c r="I178" s="37" t="str">
        <f>'13. Desinvesteringen'!C461</f>
        <v>02 Gasontvangststations</v>
      </c>
      <c r="J178" s="164">
        <f>'13. Desinvesteringen'!F461</f>
        <v>0</v>
      </c>
      <c r="K178" s="38">
        <f>_xlfn.XLOOKUP(I178,'3. Input (des)investeringen '!$B$11:$B$89,'3. Input (des)investeringen '!$E$11:$E$89)</f>
        <v>0</v>
      </c>
      <c r="L178" s="48"/>
      <c r="M178" s="38">
        <f>_xlfn.XLOOKUP(I178,'3. Input (des)investeringen '!$B$11:$B$89,'3. Input (des)investeringen '!$D$11:$D$89,0)</f>
        <v>30</v>
      </c>
      <c r="N178" s="38">
        <f t="shared" si="59"/>
        <v>0</v>
      </c>
      <c r="P178" s="43">
        <f t="shared" si="77"/>
        <v>0</v>
      </c>
      <c r="Q178" s="43">
        <f t="shared" si="77"/>
        <v>0</v>
      </c>
      <c r="R178" s="43">
        <f t="shared" si="77"/>
        <v>0</v>
      </c>
      <c r="S178" s="43">
        <f t="shared" si="77"/>
        <v>0</v>
      </c>
      <c r="T178" s="43">
        <f t="shared" si="77"/>
        <v>0</v>
      </c>
      <c r="V178" s="43">
        <f t="shared" si="35"/>
        <v>0</v>
      </c>
      <c r="W178" s="43">
        <f t="shared" si="36"/>
        <v>0</v>
      </c>
      <c r="X178" s="43">
        <f t="shared" si="37"/>
        <v>0</v>
      </c>
      <c r="Y178" s="43">
        <f t="shared" si="38"/>
        <v>0</v>
      </c>
      <c r="Z178" s="43">
        <f t="shared" si="39"/>
        <v>0</v>
      </c>
      <c r="AB178" s="43">
        <f t="shared" si="60"/>
        <v>0</v>
      </c>
      <c r="AC178" s="43">
        <f t="shared" si="61"/>
        <v>0</v>
      </c>
      <c r="AD178" s="43">
        <f t="shared" si="62"/>
        <v>0</v>
      </c>
      <c r="AE178" s="43">
        <f t="shared" si="63"/>
        <v>0</v>
      </c>
      <c r="AF178" s="43">
        <f t="shared" si="64"/>
        <v>0</v>
      </c>
      <c r="AH178" s="43">
        <f t="shared" si="65"/>
        <v>0</v>
      </c>
      <c r="AI178" s="43">
        <f t="shared" si="66"/>
        <v>0</v>
      </c>
      <c r="AJ178" s="43">
        <f t="shared" si="67"/>
        <v>0</v>
      </c>
      <c r="AK178" s="43">
        <f t="shared" si="68"/>
        <v>0</v>
      </c>
      <c r="AL178" s="43">
        <f t="shared" si="69"/>
        <v>0</v>
      </c>
      <c r="AN178" s="47">
        <f t="shared" si="70"/>
        <v>0</v>
      </c>
      <c r="AO178" s="47">
        <f t="shared" si="71"/>
        <v>0</v>
      </c>
      <c r="AP178" s="47">
        <f t="shared" si="72"/>
        <v>0</v>
      </c>
      <c r="AQ178" s="47">
        <f t="shared" si="73"/>
        <v>0</v>
      </c>
      <c r="AR178" s="43">
        <f t="shared" si="74"/>
        <v>0</v>
      </c>
      <c r="AY178" s="3"/>
    </row>
    <row r="179" spans="1:51" ht="13">
      <c r="A179" s="226"/>
      <c r="B179" s="37">
        <f>'13. Desinvesteringen'!B462</f>
        <v>443</v>
      </c>
      <c r="C179" s="48"/>
      <c r="D179" s="48"/>
      <c r="E179" s="48"/>
      <c r="F179" s="42">
        <f>'5. Input GAW-waarde desinv.'!D138</f>
        <v>0</v>
      </c>
      <c r="G179" s="175">
        <f>'13. Desinvesteringen'!D462</f>
        <v>1973</v>
      </c>
      <c r="H179" s="175">
        <f>'13. Desinvesteringen'!G462</f>
        <v>2023</v>
      </c>
      <c r="I179" s="37" t="str">
        <f>'13. Desinvesteringen'!C462</f>
        <v>02 Gasontvangststations</v>
      </c>
      <c r="J179" s="164">
        <f>'13. Desinvesteringen'!F462</f>
        <v>0</v>
      </c>
      <c r="K179" s="38">
        <f>_xlfn.XLOOKUP(I179,'3. Input (des)investeringen '!$B$11:$B$89,'3. Input (des)investeringen '!$E$11:$E$89)</f>
        <v>0</v>
      </c>
      <c r="L179" s="48"/>
      <c r="M179" s="38">
        <f>_xlfn.XLOOKUP(I179,'3. Input (des)investeringen '!$B$11:$B$89,'3. Input (des)investeringen '!$D$11:$D$89,0)</f>
        <v>30</v>
      </c>
      <c r="N179" s="38">
        <f t="shared" si="59"/>
        <v>0</v>
      </c>
      <c r="P179" s="43">
        <f t="shared" si="77"/>
        <v>0</v>
      </c>
      <c r="Q179" s="43">
        <f t="shared" si="77"/>
        <v>0</v>
      </c>
      <c r="R179" s="43">
        <f t="shared" si="77"/>
        <v>0</v>
      </c>
      <c r="S179" s="43">
        <f t="shared" si="77"/>
        <v>0</v>
      </c>
      <c r="T179" s="43">
        <f t="shared" si="77"/>
        <v>0</v>
      </c>
      <c r="V179" s="43">
        <f t="shared" si="35"/>
        <v>0</v>
      </c>
      <c r="W179" s="43">
        <f t="shared" si="36"/>
        <v>0</v>
      </c>
      <c r="X179" s="43">
        <f t="shared" si="37"/>
        <v>0</v>
      </c>
      <c r="Y179" s="43">
        <f t="shared" si="38"/>
        <v>0</v>
      </c>
      <c r="Z179" s="43">
        <f t="shared" si="39"/>
        <v>0</v>
      </c>
      <c r="AB179" s="43">
        <f t="shared" si="60"/>
        <v>0</v>
      </c>
      <c r="AC179" s="43">
        <f t="shared" si="61"/>
        <v>0</v>
      </c>
      <c r="AD179" s="43">
        <f t="shared" si="62"/>
        <v>0</v>
      </c>
      <c r="AE179" s="43">
        <f t="shared" si="63"/>
        <v>0</v>
      </c>
      <c r="AF179" s="43">
        <f t="shared" si="64"/>
        <v>0</v>
      </c>
      <c r="AH179" s="43">
        <f t="shared" si="65"/>
        <v>0</v>
      </c>
      <c r="AI179" s="43">
        <f t="shared" si="66"/>
        <v>0</v>
      </c>
      <c r="AJ179" s="43">
        <f t="shared" si="67"/>
        <v>0</v>
      </c>
      <c r="AK179" s="43">
        <f t="shared" si="68"/>
        <v>0</v>
      </c>
      <c r="AL179" s="43">
        <f t="shared" si="69"/>
        <v>0</v>
      </c>
      <c r="AN179" s="47">
        <f t="shared" si="70"/>
        <v>0</v>
      </c>
      <c r="AO179" s="47">
        <f t="shared" si="71"/>
        <v>0</v>
      </c>
      <c r="AP179" s="47">
        <f t="shared" si="72"/>
        <v>0</v>
      </c>
      <c r="AQ179" s="47">
        <f t="shared" si="73"/>
        <v>0</v>
      </c>
      <c r="AR179" s="43">
        <f t="shared" si="74"/>
        <v>0</v>
      </c>
      <c r="AY179" s="3"/>
    </row>
    <row r="180" spans="1:51" ht="13">
      <c r="A180" s="226"/>
      <c r="B180" s="37">
        <f>'13. Desinvesteringen'!B463</f>
        <v>444</v>
      </c>
      <c r="C180" s="48"/>
      <c r="D180" s="48"/>
      <c r="E180" s="48"/>
      <c r="F180" s="42">
        <f>'5. Input GAW-waarde desinv.'!D139</f>
        <v>0</v>
      </c>
      <c r="G180" s="175">
        <f>'13. Desinvesteringen'!D463</f>
        <v>1974</v>
      </c>
      <c r="H180" s="175">
        <f>'13. Desinvesteringen'!G463</f>
        <v>2023</v>
      </c>
      <c r="I180" s="37" t="str">
        <f>'13. Desinvesteringen'!C463</f>
        <v>02 Gasontvangststations</v>
      </c>
      <c r="J180" s="164">
        <f>'13. Desinvesteringen'!F463</f>
        <v>0</v>
      </c>
      <c r="K180" s="38">
        <f>_xlfn.XLOOKUP(I180,'3. Input (des)investeringen '!$B$11:$B$89,'3. Input (des)investeringen '!$E$11:$E$89)</f>
        <v>0</v>
      </c>
      <c r="L180" s="48"/>
      <c r="M180" s="38">
        <f>_xlfn.XLOOKUP(I180,'3. Input (des)investeringen '!$B$11:$B$89,'3. Input (des)investeringen '!$D$11:$D$89,0)</f>
        <v>30</v>
      </c>
      <c r="N180" s="38">
        <f t="shared" si="59"/>
        <v>0</v>
      </c>
      <c r="P180" s="43">
        <f t="shared" si="77"/>
        <v>0</v>
      </c>
      <c r="Q180" s="43">
        <f t="shared" si="77"/>
        <v>0</v>
      </c>
      <c r="R180" s="43">
        <f t="shared" si="77"/>
        <v>0</v>
      </c>
      <c r="S180" s="43">
        <f t="shared" si="77"/>
        <v>0</v>
      </c>
      <c r="T180" s="43">
        <f t="shared" si="77"/>
        <v>0</v>
      </c>
      <c r="V180" s="43">
        <f t="shared" ref="V180:V243" si="78">IF($M180&gt;0, IF(OR($G180&gt;V$50,$G180+$M180&lt;V$50),0,
VDB($F180,0,$N180,MAX(0,P$50-2022),MIN($N180,P$50-2021),1,FALSE))*$F$26, 0)</f>
        <v>0</v>
      </c>
      <c r="W180" s="43">
        <f t="shared" ref="W180:W243" si="79">IF($M180&gt;0, IF(OR($G180&gt;W$50,$G180+$M180&lt;W$50),0,
VDB($F180,0,$N180,MAX(0,Q$50-2022),MIN($N180,Q$50-2021),1,FALSE))*$F$26, 0)</f>
        <v>0</v>
      </c>
      <c r="X180" s="43">
        <f t="shared" ref="X180:X243" si="80">IF($M180&gt;0, IF(OR($G180&gt;X$50,$G180+$M180&lt;X$50),0,
VDB($F180,0,$N180,MAX(0,R$50-2022),MIN($N180,R$50-2021),1,FALSE))*$F$26, 0)</f>
        <v>0</v>
      </c>
      <c r="Y180" s="43">
        <f t="shared" ref="Y180:Y243" si="81">IF($M180&gt;0, IF(OR($G180&gt;Y$50,$G180+$M180&lt;Y$50),0,
VDB($F180,0,$N180,MAX(0,S$50-2022),MIN($N180,S$50-2021),1,FALSE))*$F$26, 0)</f>
        <v>0</v>
      </c>
      <c r="Z180" s="43">
        <f t="shared" ref="Z180:Z243" si="82">IF($M180&gt;0, IF(OR($G180&gt;Z$50,$G180+$M180&lt;Z$50),0,
VDB($F180,0,$N180,MAX(0,T$50-2022),MIN($N180,T$50-2021),1,FALSE))*$F$26, 0)</f>
        <v>0</v>
      </c>
      <c r="AB180" s="43">
        <f t="shared" si="60"/>
        <v>0</v>
      </c>
      <c r="AC180" s="43">
        <f t="shared" si="61"/>
        <v>0</v>
      </c>
      <c r="AD180" s="43">
        <f t="shared" si="62"/>
        <v>0</v>
      </c>
      <c r="AE180" s="43">
        <f t="shared" si="63"/>
        <v>0</v>
      </c>
      <c r="AF180" s="43">
        <f t="shared" si="64"/>
        <v>0</v>
      </c>
      <c r="AH180" s="43">
        <f t="shared" si="65"/>
        <v>0</v>
      </c>
      <c r="AI180" s="43">
        <f t="shared" si="66"/>
        <v>0</v>
      </c>
      <c r="AJ180" s="43">
        <f t="shared" si="67"/>
        <v>0</v>
      </c>
      <c r="AK180" s="43">
        <f t="shared" si="68"/>
        <v>0</v>
      </c>
      <c r="AL180" s="43">
        <f t="shared" si="69"/>
        <v>0</v>
      </c>
      <c r="AN180" s="47">
        <f t="shared" si="70"/>
        <v>0</v>
      </c>
      <c r="AO180" s="47">
        <f t="shared" si="71"/>
        <v>0</v>
      </c>
      <c r="AP180" s="47">
        <f t="shared" si="72"/>
        <v>0</v>
      </c>
      <c r="AQ180" s="47">
        <f t="shared" si="73"/>
        <v>0</v>
      </c>
      <c r="AR180" s="43">
        <f t="shared" si="74"/>
        <v>0</v>
      </c>
      <c r="AY180" s="3"/>
    </row>
    <row r="181" spans="1:51" ht="13">
      <c r="A181" s="226"/>
      <c r="B181" s="37">
        <f>'13. Desinvesteringen'!B464</f>
        <v>445</v>
      </c>
      <c r="C181" s="48"/>
      <c r="D181" s="48"/>
      <c r="E181" s="48"/>
      <c r="F181" s="42">
        <f>'5. Input GAW-waarde desinv.'!D140</f>
        <v>0</v>
      </c>
      <c r="G181" s="175">
        <f>'13. Desinvesteringen'!D464</f>
        <v>1976</v>
      </c>
      <c r="H181" s="175">
        <f>'13. Desinvesteringen'!G464</f>
        <v>2023</v>
      </c>
      <c r="I181" s="37" t="str">
        <f>'13. Desinvesteringen'!C464</f>
        <v>02 Gasontvangststations</v>
      </c>
      <c r="J181" s="164">
        <f>'13. Desinvesteringen'!F464</f>
        <v>0</v>
      </c>
      <c r="K181" s="38">
        <f>_xlfn.XLOOKUP(I181,'3. Input (des)investeringen '!$B$11:$B$89,'3. Input (des)investeringen '!$E$11:$E$89)</f>
        <v>0</v>
      </c>
      <c r="L181" s="48"/>
      <c r="M181" s="38">
        <f>_xlfn.XLOOKUP(I181,'3. Input (des)investeringen '!$B$11:$B$89,'3. Input (des)investeringen '!$D$11:$D$89,0)</f>
        <v>30</v>
      </c>
      <c r="N181" s="38">
        <f t="shared" si="59"/>
        <v>0</v>
      </c>
      <c r="P181" s="43">
        <f t="shared" si="77"/>
        <v>0</v>
      </c>
      <c r="Q181" s="43">
        <f t="shared" si="77"/>
        <v>0</v>
      </c>
      <c r="R181" s="43">
        <f t="shared" si="77"/>
        <v>0</v>
      </c>
      <c r="S181" s="43">
        <f t="shared" si="77"/>
        <v>0</v>
      </c>
      <c r="T181" s="43">
        <f t="shared" si="77"/>
        <v>0</v>
      </c>
      <c r="V181" s="43">
        <f t="shared" si="78"/>
        <v>0</v>
      </c>
      <c r="W181" s="43">
        <f t="shared" si="79"/>
        <v>0</v>
      </c>
      <c r="X181" s="43">
        <f t="shared" si="80"/>
        <v>0</v>
      </c>
      <c r="Y181" s="43">
        <f t="shared" si="81"/>
        <v>0</v>
      </c>
      <c r="Z181" s="43">
        <f t="shared" si="82"/>
        <v>0</v>
      </c>
      <c r="AB181" s="43">
        <f t="shared" si="60"/>
        <v>0</v>
      </c>
      <c r="AC181" s="43">
        <f t="shared" si="61"/>
        <v>0</v>
      </c>
      <c r="AD181" s="43">
        <f t="shared" si="62"/>
        <v>0</v>
      </c>
      <c r="AE181" s="43">
        <f t="shared" si="63"/>
        <v>0</v>
      </c>
      <c r="AF181" s="43">
        <f t="shared" si="64"/>
        <v>0</v>
      </c>
      <c r="AH181" s="43">
        <f t="shared" si="65"/>
        <v>0</v>
      </c>
      <c r="AI181" s="43">
        <f t="shared" si="66"/>
        <v>0</v>
      </c>
      <c r="AJ181" s="43">
        <f t="shared" si="67"/>
        <v>0</v>
      </c>
      <c r="AK181" s="43">
        <f t="shared" si="68"/>
        <v>0</v>
      </c>
      <c r="AL181" s="43">
        <f t="shared" si="69"/>
        <v>0</v>
      </c>
      <c r="AN181" s="47">
        <f t="shared" si="70"/>
        <v>0</v>
      </c>
      <c r="AO181" s="47">
        <f t="shared" si="71"/>
        <v>0</v>
      </c>
      <c r="AP181" s="47">
        <f t="shared" si="72"/>
        <v>0</v>
      </c>
      <c r="AQ181" s="47">
        <f t="shared" si="73"/>
        <v>0</v>
      </c>
      <c r="AR181" s="43">
        <f t="shared" si="74"/>
        <v>0</v>
      </c>
      <c r="AY181" s="3"/>
    </row>
    <row r="182" spans="1:51" ht="13">
      <c r="A182" s="226"/>
      <c r="B182" s="37">
        <f>'13. Desinvesteringen'!B465</f>
        <v>446</v>
      </c>
      <c r="C182" s="48"/>
      <c r="D182" s="48"/>
      <c r="E182" s="48"/>
      <c r="F182" s="42">
        <f>'5. Input GAW-waarde desinv.'!D141</f>
        <v>0</v>
      </c>
      <c r="G182" s="175">
        <f>'13. Desinvesteringen'!D465</f>
        <v>1979</v>
      </c>
      <c r="H182" s="175">
        <f>'13. Desinvesteringen'!G465</f>
        <v>2023</v>
      </c>
      <c r="I182" s="37" t="str">
        <f>'13. Desinvesteringen'!C465</f>
        <v>02 Gasontvangststations</v>
      </c>
      <c r="J182" s="164">
        <f>'13. Desinvesteringen'!F465</f>
        <v>0</v>
      </c>
      <c r="K182" s="38">
        <f>_xlfn.XLOOKUP(I182,'3. Input (des)investeringen '!$B$11:$B$89,'3. Input (des)investeringen '!$E$11:$E$89)</f>
        <v>0</v>
      </c>
      <c r="L182" s="48"/>
      <c r="M182" s="38">
        <f>_xlfn.XLOOKUP(I182,'3. Input (des)investeringen '!$B$11:$B$89,'3. Input (des)investeringen '!$D$11:$D$89,0)</f>
        <v>30</v>
      </c>
      <c r="N182" s="38">
        <f t="shared" si="59"/>
        <v>0</v>
      </c>
      <c r="P182" s="43">
        <f t="shared" ref="P182:T191" si="83">IF($M182&gt;0, IF(OR($G182&gt;P$50,$G182+$M182&lt;P$50),0,
VDB($F182,0,$N182,MAX(0,P$50-2022),MIN($N182,P$50-2021),$F$23,FALSE))*(1-$F$26), 0)</f>
        <v>0</v>
      </c>
      <c r="Q182" s="43">
        <f t="shared" si="83"/>
        <v>0</v>
      </c>
      <c r="R182" s="43">
        <f t="shared" si="83"/>
        <v>0</v>
      </c>
      <c r="S182" s="43">
        <f t="shared" si="83"/>
        <v>0</v>
      </c>
      <c r="T182" s="43">
        <f t="shared" si="83"/>
        <v>0</v>
      </c>
      <c r="V182" s="43">
        <f t="shared" si="78"/>
        <v>0</v>
      </c>
      <c r="W182" s="43">
        <f t="shared" si="79"/>
        <v>0</v>
      </c>
      <c r="X182" s="43">
        <f t="shared" si="80"/>
        <v>0</v>
      </c>
      <c r="Y182" s="43">
        <f t="shared" si="81"/>
        <v>0</v>
      </c>
      <c r="Z182" s="43">
        <f t="shared" si="82"/>
        <v>0</v>
      </c>
      <c r="AB182" s="43">
        <f t="shared" si="60"/>
        <v>0</v>
      </c>
      <c r="AC182" s="43">
        <f t="shared" si="61"/>
        <v>0</v>
      </c>
      <c r="AD182" s="43">
        <f t="shared" si="62"/>
        <v>0</v>
      </c>
      <c r="AE182" s="43">
        <f t="shared" si="63"/>
        <v>0</v>
      </c>
      <c r="AF182" s="43">
        <f t="shared" si="64"/>
        <v>0</v>
      </c>
      <c r="AH182" s="43">
        <f t="shared" si="65"/>
        <v>0</v>
      </c>
      <c r="AI182" s="43">
        <f t="shared" si="66"/>
        <v>0</v>
      </c>
      <c r="AJ182" s="43">
        <f t="shared" si="67"/>
        <v>0</v>
      </c>
      <c r="AK182" s="43">
        <f t="shared" si="68"/>
        <v>0</v>
      </c>
      <c r="AL182" s="43">
        <f t="shared" si="69"/>
        <v>0</v>
      </c>
      <c r="AN182" s="47">
        <f t="shared" si="70"/>
        <v>0</v>
      </c>
      <c r="AO182" s="47">
        <f t="shared" si="71"/>
        <v>0</v>
      </c>
      <c r="AP182" s="47">
        <f t="shared" si="72"/>
        <v>0</v>
      </c>
      <c r="AQ182" s="47">
        <f t="shared" si="73"/>
        <v>0</v>
      </c>
      <c r="AR182" s="43">
        <f t="shared" si="74"/>
        <v>0</v>
      </c>
      <c r="AY182" s="3"/>
    </row>
    <row r="183" spans="1:51" ht="13">
      <c r="A183" s="226"/>
      <c r="B183" s="37">
        <f>'13. Desinvesteringen'!B466</f>
        <v>447</v>
      </c>
      <c r="C183" s="48"/>
      <c r="D183" s="48"/>
      <c r="E183" s="48"/>
      <c r="F183" s="42">
        <f>'5. Input GAW-waarde desinv.'!D142</f>
        <v>0</v>
      </c>
      <c r="G183" s="175">
        <f>'13. Desinvesteringen'!D466</f>
        <v>1980</v>
      </c>
      <c r="H183" s="175">
        <f>'13. Desinvesteringen'!G466</f>
        <v>2023</v>
      </c>
      <c r="I183" s="37" t="str">
        <f>'13. Desinvesteringen'!C466</f>
        <v>02 Gasontvangststations</v>
      </c>
      <c r="J183" s="164">
        <f>'13. Desinvesteringen'!F466</f>
        <v>0</v>
      </c>
      <c r="K183" s="38">
        <f>_xlfn.XLOOKUP(I183,'3. Input (des)investeringen '!$B$11:$B$89,'3. Input (des)investeringen '!$E$11:$E$89)</f>
        <v>0</v>
      </c>
      <c r="L183" s="48"/>
      <c r="M183" s="38">
        <f>_xlfn.XLOOKUP(I183,'3. Input (des)investeringen '!$B$11:$B$89,'3. Input (des)investeringen '!$D$11:$D$89,0)</f>
        <v>30</v>
      </c>
      <c r="N183" s="38">
        <f t="shared" si="59"/>
        <v>0</v>
      </c>
      <c r="P183" s="43">
        <f t="shared" si="83"/>
        <v>0</v>
      </c>
      <c r="Q183" s="43">
        <f t="shared" si="83"/>
        <v>0</v>
      </c>
      <c r="R183" s="43">
        <f t="shared" si="83"/>
        <v>0</v>
      </c>
      <c r="S183" s="43">
        <f t="shared" si="83"/>
        <v>0</v>
      </c>
      <c r="T183" s="43">
        <f t="shared" si="83"/>
        <v>0</v>
      </c>
      <c r="V183" s="43">
        <f t="shared" si="78"/>
        <v>0</v>
      </c>
      <c r="W183" s="43">
        <f t="shared" si="79"/>
        <v>0</v>
      </c>
      <c r="X183" s="43">
        <f t="shared" si="80"/>
        <v>0</v>
      </c>
      <c r="Y183" s="43">
        <f t="shared" si="81"/>
        <v>0</v>
      </c>
      <c r="Z183" s="43">
        <f t="shared" si="82"/>
        <v>0</v>
      </c>
      <c r="AB183" s="43">
        <f t="shared" si="60"/>
        <v>0</v>
      </c>
      <c r="AC183" s="43">
        <f t="shared" si="61"/>
        <v>0</v>
      </c>
      <c r="AD183" s="43">
        <f t="shared" si="62"/>
        <v>0</v>
      </c>
      <c r="AE183" s="43">
        <f t="shared" si="63"/>
        <v>0</v>
      </c>
      <c r="AF183" s="43">
        <f t="shared" si="64"/>
        <v>0</v>
      </c>
      <c r="AH183" s="43">
        <f t="shared" si="65"/>
        <v>0</v>
      </c>
      <c r="AI183" s="43">
        <f t="shared" si="66"/>
        <v>0</v>
      </c>
      <c r="AJ183" s="43">
        <f t="shared" si="67"/>
        <v>0</v>
      </c>
      <c r="AK183" s="43">
        <f t="shared" si="68"/>
        <v>0</v>
      </c>
      <c r="AL183" s="43">
        <f t="shared" si="69"/>
        <v>0</v>
      </c>
      <c r="AN183" s="47">
        <f t="shared" si="70"/>
        <v>0</v>
      </c>
      <c r="AO183" s="47">
        <f t="shared" si="71"/>
        <v>0</v>
      </c>
      <c r="AP183" s="47">
        <f t="shared" si="72"/>
        <v>0</v>
      </c>
      <c r="AQ183" s="47">
        <f t="shared" si="73"/>
        <v>0</v>
      </c>
      <c r="AR183" s="43">
        <f t="shared" si="74"/>
        <v>0</v>
      </c>
      <c r="AY183" s="3"/>
    </row>
    <row r="184" spans="1:51" ht="13">
      <c r="A184" s="226"/>
      <c r="B184" s="37">
        <f>'13. Desinvesteringen'!B467</f>
        <v>448</v>
      </c>
      <c r="C184" s="48"/>
      <c r="D184" s="48"/>
      <c r="E184" s="48"/>
      <c r="F184" s="42">
        <f>'5. Input GAW-waarde desinv.'!D143</f>
        <v>0</v>
      </c>
      <c r="G184" s="175">
        <f>'13. Desinvesteringen'!D467</f>
        <v>1983</v>
      </c>
      <c r="H184" s="175">
        <f>'13. Desinvesteringen'!G467</f>
        <v>2023</v>
      </c>
      <c r="I184" s="37" t="str">
        <f>'13. Desinvesteringen'!C467</f>
        <v>02 Gasontvangststations</v>
      </c>
      <c r="J184" s="164">
        <f>'13. Desinvesteringen'!F467</f>
        <v>0</v>
      </c>
      <c r="K184" s="38">
        <f>_xlfn.XLOOKUP(I184,'3. Input (des)investeringen '!$B$11:$B$89,'3. Input (des)investeringen '!$E$11:$E$89)</f>
        <v>0</v>
      </c>
      <c r="L184" s="48"/>
      <c r="M184" s="38">
        <f>_xlfn.XLOOKUP(I184,'3. Input (des)investeringen '!$B$11:$B$89,'3. Input (des)investeringen '!$D$11:$D$89,0)</f>
        <v>30</v>
      </c>
      <c r="N184" s="38">
        <f t="shared" si="59"/>
        <v>0</v>
      </c>
      <c r="P184" s="43">
        <f t="shared" si="83"/>
        <v>0</v>
      </c>
      <c r="Q184" s="43">
        <f t="shared" si="83"/>
        <v>0</v>
      </c>
      <c r="R184" s="43">
        <f t="shared" si="83"/>
        <v>0</v>
      </c>
      <c r="S184" s="43">
        <f t="shared" si="83"/>
        <v>0</v>
      </c>
      <c r="T184" s="43">
        <f t="shared" si="83"/>
        <v>0</v>
      </c>
      <c r="V184" s="43">
        <f t="shared" si="78"/>
        <v>0</v>
      </c>
      <c r="W184" s="43">
        <f t="shared" si="79"/>
        <v>0</v>
      </c>
      <c r="X184" s="43">
        <f t="shared" si="80"/>
        <v>0</v>
      </c>
      <c r="Y184" s="43">
        <f t="shared" si="81"/>
        <v>0</v>
      </c>
      <c r="Z184" s="43">
        <f t="shared" si="82"/>
        <v>0</v>
      </c>
      <c r="AB184" s="43">
        <f t="shared" si="60"/>
        <v>0</v>
      </c>
      <c r="AC184" s="43">
        <f t="shared" si="61"/>
        <v>0</v>
      </c>
      <c r="AD184" s="43">
        <f t="shared" si="62"/>
        <v>0</v>
      </c>
      <c r="AE184" s="43">
        <f t="shared" si="63"/>
        <v>0</v>
      </c>
      <c r="AF184" s="43">
        <f t="shared" si="64"/>
        <v>0</v>
      </c>
      <c r="AH184" s="43">
        <f t="shared" si="65"/>
        <v>0</v>
      </c>
      <c r="AI184" s="43">
        <f t="shared" si="66"/>
        <v>0</v>
      </c>
      <c r="AJ184" s="43">
        <f t="shared" si="67"/>
        <v>0</v>
      </c>
      <c r="AK184" s="43">
        <f t="shared" si="68"/>
        <v>0</v>
      </c>
      <c r="AL184" s="43">
        <f t="shared" si="69"/>
        <v>0</v>
      </c>
      <c r="AN184" s="47">
        <f t="shared" si="70"/>
        <v>0</v>
      </c>
      <c r="AO184" s="47">
        <f t="shared" si="71"/>
        <v>0</v>
      </c>
      <c r="AP184" s="47">
        <f t="shared" si="72"/>
        <v>0</v>
      </c>
      <c r="AQ184" s="47">
        <f t="shared" si="73"/>
        <v>0</v>
      </c>
      <c r="AR184" s="43">
        <f t="shared" si="74"/>
        <v>0</v>
      </c>
      <c r="AY184" s="3"/>
    </row>
    <row r="185" spans="1:51" ht="13">
      <c r="A185" s="226"/>
      <c r="B185" s="37">
        <f>'13. Desinvesteringen'!B468</f>
        <v>449</v>
      </c>
      <c r="C185" s="48"/>
      <c r="D185" s="48"/>
      <c r="E185" s="48"/>
      <c r="F185" s="42">
        <f>'5. Input GAW-waarde desinv.'!D144</f>
        <v>0</v>
      </c>
      <c r="G185" s="175">
        <f>'13. Desinvesteringen'!D468</f>
        <v>1986</v>
      </c>
      <c r="H185" s="175">
        <f>'13. Desinvesteringen'!G468</f>
        <v>2023</v>
      </c>
      <c r="I185" s="37" t="str">
        <f>'13. Desinvesteringen'!C468</f>
        <v>02 Gasontvangststations</v>
      </c>
      <c r="J185" s="164">
        <f>'13. Desinvesteringen'!F468</f>
        <v>0</v>
      </c>
      <c r="K185" s="38">
        <f>_xlfn.XLOOKUP(I185,'3. Input (des)investeringen '!$B$11:$B$89,'3. Input (des)investeringen '!$E$11:$E$89)</f>
        <v>0</v>
      </c>
      <c r="L185" s="48"/>
      <c r="M185" s="38">
        <f>_xlfn.XLOOKUP(I185,'3. Input (des)investeringen '!$B$11:$B$89,'3. Input (des)investeringen '!$D$11:$D$89,0)</f>
        <v>30</v>
      </c>
      <c r="N185" s="38">
        <f t="shared" si="59"/>
        <v>0</v>
      </c>
      <c r="P185" s="43">
        <f t="shared" si="83"/>
        <v>0</v>
      </c>
      <c r="Q185" s="43">
        <f t="shared" si="83"/>
        <v>0</v>
      </c>
      <c r="R185" s="43">
        <f t="shared" si="83"/>
        <v>0</v>
      </c>
      <c r="S185" s="43">
        <f t="shared" si="83"/>
        <v>0</v>
      </c>
      <c r="T185" s="43">
        <f t="shared" si="83"/>
        <v>0</v>
      </c>
      <c r="V185" s="43">
        <f t="shared" si="78"/>
        <v>0</v>
      </c>
      <c r="W185" s="43">
        <f t="shared" si="79"/>
        <v>0</v>
      </c>
      <c r="X185" s="43">
        <f t="shared" si="80"/>
        <v>0</v>
      </c>
      <c r="Y185" s="43">
        <f t="shared" si="81"/>
        <v>0</v>
      </c>
      <c r="Z185" s="43">
        <f t="shared" si="82"/>
        <v>0</v>
      </c>
      <c r="AB185" s="43">
        <f t="shared" si="60"/>
        <v>0</v>
      </c>
      <c r="AC185" s="43">
        <f t="shared" si="61"/>
        <v>0</v>
      </c>
      <c r="AD185" s="43">
        <f t="shared" si="62"/>
        <v>0</v>
      </c>
      <c r="AE185" s="43">
        <f t="shared" si="63"/>
        <v>0</v>
      </c>
      <c r="AF185" s="43">
        <f t="shared" si="64"/>
        <v>0</v>
      </c>
      <c r="AH185" s="43">
        <f t="shared" si="65"/>
        <v>0</v>
      </c>
      <c r="AI185" s="43">
        <f t="shared" si="66"/>
        <v>0</v>
      </c>
      <c r="AJ185" s="43">
        <f t="shared" si="67"/>
        <v>0</v>
      </c>
      <c r="AK185" s="43">
        <f t="shared" si="68"/>
        <v>0</v>
      </c>
      <c r="AL185" s="43">
        <f t="shared" si="69"/>
        <v>0</v>
      </c>
      <c r="AN185" s="47">
        <f t="shared" si="70"/>
        <v>0</v>
      </c>
      <c r="AO185" s="47">
        <f t="shared" si="71"/>
        <v>0</v>
      </c>
      <c r="AP185" s="47">
        <f t="shared" si="72"/>
        <v>0</v>
      </c>
      <c r="AQ185" s="47">
        <f t="shared" si="73"/>
        <v>0</v>
      </c>
      <c r="AR185" s="43">
        <f t="shared" si="74"/>
        <v>0</v>
      </c>
      <c r="AY185" s="3"/>
    </row>
    <row r="186" spans="1:51" ht="13">
      <c r="A186" s="226"/>
      <c r="B186" s="37">
        <f>'13. Desinvesteringen'!B469</f>
        <v>450</v>
      </c>
      <c r="C186" s="48"/>
      <c r="D186" s="48"/>
      <c r="E186" s="48"/>
      <c r="F186" s="42">
        <f>'5. Input GAW-waarde desinv.'!D145</f>
        <v>0</v>
      </c>
      <c r="G186" s="175">
        <f>'13. Desinvesteringen'!D469</f>
        <v>1990</v>
      </c>
      <c r="H186" s="175">
        <f>'13. Desinvesteringen'!G469</f>
        <v>2023</v>
      </c>
      <c r="I186" s="37" t="str">
        <f>'13. Desinvesteringen'!C469</f>
        <v>02 Gasontvangststations</v>
      </c>
      <c r="J186" s="164">
        <f>'13. Desinvesteringen'!F469</f>
        <v>0</v>
      </c>
      <c r="K186" s="38">
        <f>_xlfn.XLOOKUP(I186,'3. Input (des)investeringen '!$B$11:$B$89,'3. Input (des)investeringen '!$E$11:$E$89)</f>
        <v>0</v>
      </c>
      <c r="L186" s="48"/>
      <c r="M186" s="38">
        <f>_xlfn.XLOOKUP(I186,'3. Input (des)investeringen '!$B$11:$B$89,'3. Input (des)investeringen '!$D$11:$D$89,0)</f>
        <v>30</v>
      </c>
      <c r="N186" s="38">
        <f t="shared" si="59"/>
        <v>0</v>
      </c>
      <c r="P186" s="43">
        <f t="shared" si="83"/>
        <v>0</v>
      </c>
      <c r="Q186" s="43">
        <f t="shared" si="83"/>
        <v>0</v>
      </c>
      <c r="R186" s="43">
        <f t="shared" si="83"/>
        <v>0</v>
      </c>
      <c r="S186" s="43">
        <f t="shared" si="83"/>
        <v>0</v>
      </c>
      <c r="T186" s="43">
        <f t="shared" si="83"/>
        <v>0</v>
      </c>
      <c r="V186" s="43">
        <f t="shared" si="78"/>
        <v>0</v>
      </c>
      <c r="W186" s="43">
        <f t="shared" si="79"/>
        <v>0</v>
      </c>
      <c r="X186" s="43">
        <f t="shared" si="80"/>
        <v>0</v>
      </c>
      <c r="Y186" s="43">
        <f t="shared" si="81"/>
        <v>0</v>
      </c>
      <c r="Z186" s="43">
        <f t="shared" si="82"/>
        <v>0</v>
      </c>
      <c r="AB186" s="43">
        <f t="shared" si="60"/>
        <v>0</v>
      </c>
      <c r="AC186" s="43">
        <f t="shared" si="61"/>
        <v>0</v>
      </c>
      <c r="AD186" s="43">
        <f t="shared" si="62"/>
        <v>0</v>
      </c>
      <c r="AE186" s="43">
        <f t="shared" si="63"/>
        <v>0</v>
      </c>
      <c r="AF186" s="43">
        <f t="shared" si="64"/>
        <v>0</v>
      </c>
      <c r="AH186" s="43">
        <f t="shared" si="65"/>
        <v>0</v>
      </c>
      <c r="AI186" s="43">
        <f t="shared" si="66"/>
        <v>0</v>
      </c>
      <c r="AJ186" s="43">
        <f t="shared" si="67"/>
        <v>0</v>
      </c>
      <c r="AK186" s="43">
        <f t="shared" si="68"/>
        <v>0</v>
      </c>
      <c r="AL186" s="43">
        <f t="shared" si="69"/>
        <v>0</v>
      </c>
      <c r="AN186" s="47">
        <f t="shared" si="70"/>
        <v>0</v>
      </c>
      <c r="AO186" s="47">
        <f t="shared" si="71"/>
        <v>0</v>
      </c>
      <c r="AP186" s="47">
        <f t="shared" si="72"/>
        <v>0</v>
      </c>
      <c r="AQ186" s="47">
        <f t="shared" si="73"/>
        <v>0</v>
      </c>
      <c r="AR186" s="43">
        <f t="shared" si="74"/>
        <v>0</v>
      </c>
      <c r="AY186" s="3"/>
    </row>
    <row r="187" spans="1:51" ht="13">
      <c r="A187" s="226"/>
      <c r="B187" s="37">
        <f>'13. Desinvesteringen'!B470</f>
        <v>451</v>
      </c>
      <c r="C187" s="48"/>
      <c r="D187" s="48"/>
      <c r="E187" s="48"/>
      <c r="F187" s="42">
        <f>'5. Input GAW-waarde desinv.'!D146</f>
        <v>192.7950154920913</v>
      </c>
      <c r="G187" s="175">
        <f>'13. Desinvesteringen'!D470</f>
        <v>1992</v>
      </c>
      <c r="H187" s="175">
        <f>'13. Desinvesteringen'!G470</f>
        <v>2023</v>
      </c>
      <c r="I187" s="37" t="str">
        <f>'13. Desinvesteringen'!C470</f>
        <v>02 Gasontvangststations</v>
      </c>
      <c r="J187" s="164">
        <f>'13. Desinvesteringen'!F470</f>
        <v>0</v>
      </c>
      <c r="K187" s="38">
        <f>_xlfn.XLOOKUP(I187,'3. Input (des)investeringen '!$B$11:$B$89,'3. Input (des)investeringen '!$E$11:$E$89)</f>
        <v>0</v>
      </c>
      <c r="L187" s="48"/>
      <c r="M187" s="38">
        <f>_xlfn.XLOOKUP(I187,'3. Input (des)investeringen '!$B$11:$B$89,'3. Input (des)investeringen '!$D$11:$D$89,0)</f>
        <v>30</v>
      </c>
      <c r="N187" s="38">
        <f t="shared" si="59"/>
        <v>0.5</v>
      </c>
      <c r="P187" s="43">
        <f t="shared" si="83"/>
        <v>173.51551394288217</v>
      </c>
      <c r="Q187" s="43">
        <f t="shared" si="83"/>
        <v>0</v>
      </c>
      <c r="R187" s="43">
        <f t="shared" si="83"/>
        <v>0</v>
      </c>
      <c r="S187" s="43">
        <f t="shared" si="83"/>
        <v>0</v>
      </c>
      <c r="T187" s="43">
        <f t="shared" si="83"/>
        <v>0</v>
      </c>
      <c r="V187" s="43">
        <f t="shared" si="78"/>
        <v>19.27950154920913</v>
      </c>
      <c r="W187" s="43">
        <f t="shared" si="79"/>
        <v>0</v>
      </c>
      <c r="X187" s="43">
        <f t="shared" si="80"/>
        <v>0</v>
      </c>
      <c r="Y187" s="43">
        <f t="shared" si="81"/>
        <v>0</v>
      </c>
      <c r="Z187" s="43">
        <f t="shared" si="82"/>
        <v>0</v>
      </c>
      <c r="AB187" s="43">
        <f t="shared" si="60"/>
        <v>192.7950154920913</v>
      </c>
      <c r="AC187" s="43">
        <f t="shared" si="61"/>
        <v>0</v>
      </c>
      <c r="AD187" s="43">
        <f t="shared" si="62"/>
        <v>0</v>
      </c>
      <c r="AE187" s="43">
        <f t="shared" si="63"/>
        <v>0</v>
      </c>
      <c r="AF187" s="43">
        <f t="shared" si="64"/>
        <v>0</v>
      </c>
      <c r="AH187" s="43">
        <f t="shared" si="65"/>
        <v>0</v>
      </c>
      <c r="AI187" s="43">
        <f t="shared" si="66"/>
        <v>0</v>
      </c>
      <c r="AJ187" s="43">
        <f t="shared" si="67"/>
        <v>0</v>
      </c>
      <c r="AK187" s="43">
        <f t="shared" si="68"/>
        <v>0</v>
      </c>
      <c r="AL187" s="43">
        <f t="shared" si="69"/>
        <v>0</v>
      </c>
      <c r="AN187" s="47">
        <f t="shared" si="70"/>
        <v>192.7950154920913</v>
      </c>
      <c r="AO187" s="47">
        <f t="shared" si="71"/>
        <v>0</v>
      </c>
      <c r="AP187" s="47">
        <f t="shared" si="72"/>
        <v>0</v>
      </c>
      <c r="AQ187" s="47">
        <f t="shared" si="73"/>
        <v>0</v>
      </c>
      <c r="AR187" s="43">
        <f t="shared" si="74"/>
        <v>0</v>
      </c>
      <c r="AY187" s="3"/>
    </row>
    <row r="188" spans="1:51" ht="13">
      <c r="A188" s="226"/>
      <c r="B188" s="37">
        <f>'13. Desinvesteringen'!B471</f>
        <v>452</v>
      </c>
      <c r="C188" s="48"/>
      <c r="D188" s="48"/>
      <c r="E188" s="48"/>
      <c r="F188" s="42">
        <f>'5. Input GAW-waarde desinv.'!D147</f>
        <v>17486.319304522516</v>
      </c>
      <c r="G188" s="175">
        <f>'13. Desinvesteringen'!D471</f>
        <v>1993</v>
      </c>
      <c r="H188" s="175">
        <f>'13. Desinvesteringen'!G471</f>
        <v>2023</v>
      </c>
      <c r="I188" s="37" t="str">
        <f>'13. Desinvesteringen'!C471</f>
        <v>02 Gasontvangststations</v>
      </c>
      <c r="J188" s="164">
        <f>'13. Desinvesteringen'!F471</f>
        <v>0</v>
      </c>
      <c r="K188" s="38">
        <f>_xlfn.XLOOKUP(I188,'3. Input (des)investeringen '!$B$11:$B$89,'3. Input (des)investeringen '!$E$11:$E$89)</f>
        <v>0</v>
      </c>
      <c r="L188" s="48"/>
      <c r="M188" s="38">
        <f>_xlfn.XLOOKUP(I188,'3. Input (des)investeringen '!$B$11:$B$89,'3. Input (des)investeringen '!$D$11:$D$89,0)</f>
        <v>30</v>
      </c>
      <c r="N188" s="38">
        <f t="shared" si="59"/>
        <v>1.5</v>
      </c>
      <c r="P188" s="43">
        <f t="shared" si="83"/>
        <v>13639.329057527564</v>
      </c>
      <c r="Q188" s="43">
        <f t="shared" si="83"/>
        <v>2098.3583165427017</v>
      </c>
      <c r="R188" s="43">
        <f t="shared" si="83"/>
        <v>0</v>
      </c>
      <c r="S188" s="43">
        <f t="shared" si="83"/>
        <v>0</v>
      </c>
      <c r="T188" s="43">
        <f t="shared" si="83"/>
        <v>0</v>
      </c>
      <c r="V188" s="43">
        <f t="shared" si="78"/>
        <v>1165.7546203015011</v>
      </c>
      <c r="W188" s="43">
        <f t="shared" si="79"/>
        <v>582.87731015075065</v>
      </c>
      <c r="X188" s="43">
        <f t="shared" si="80"/>
        <v>0</v>
      </c>
      <c r="Y188" s="43">
        <f t="shared" si="81"/>
        <v>0</v>
      </c>
      <c r="Z188" s="43">
        <f t="shared" si="82"/>
        <v>0</v>
      </c>
      <c r="AB188" s="43">
        <f t="shared" si="60"/>
        <v>14805.083677829065</v>
      </c>
      <c r="AC188" s="43">
        <f t="shared" si="61"/>
        <v>2681.2356266934521</v>
      </c>
      <c r="AD188" s="43">
        <f t="shared" si="62"/>
        <v>0</v>
      </c>
      <c r="AE188" s="43">
        <f t="shared" si="63"/>
        <v>0</v>
      </c>
      <c r="AF188" s="43">
        <f t="shared" si="64"/>
        <v>0</v>
      </c>
      <c r="AH188" s="43">
        <f t="shared" si="65"/>
        <v>2681.2356266934512</v>
      </c>
      <c r="AI188" s="43">
        <f t="shared" si="66"/>
        <v>0</v>
      </c>
      <c r="AJ188" s="43">
        <f t="shared" si="67"/>
        <v>0</v>
      </c>
      <c r="AK188" s="43">
        <f t="shared" si="68"/>
        <v>0</v>
      </c>
      <c r="AL188" s="43">
        <f t="shared" si="69"/>
        <v>0</v>
      </c>
      <c r="AN188" s="47">
        <f t="shared" si="70"/>
        <v>14915.014338523497</v>
      </c>
      <c r="AO188" s="47">
        <f t="shared" si="71"/>
        <v>2681.2356266934521</v>
      </c>
      <c r="AP188" s="47">
        <f t="shared" si="72"/>
        <v>0</v>
      </c>
      <c r="AQ188" s="47">
        <f t="shared" si="73"/>
        <v>0</v>
      </c>
      <c r="AR188" s="43">
        <f t="shared" si="74"/>
        <v>0</v>
      </c>
      <c r="AY188" s="3"/>
    </row>
    <row r="189" spans="1:51" ht="13">
      <c r="A189" s="226"/>
      <c r="B189" s="37">
        <f>'13. Desinvesteringen'!B472</f>
        <v>453</v>
      </c>
      <c r="C189" s="48"/>
      <c r="D189" s="48"/>
      <c r="E189" s="48"/>
      <c r="F189" s="42">
        <f>'5. Input GAW-waarde desinv.'!D148</f>
        <v>1732.4051614647706</v>
      </c>
      <c r="G189" s="175">
        <f>'13. Desinvesteringen'!D472</f>
        <v>1995</v>
      </c>
      <c r="H189" s="175">
        <f>'13. Desinvesteringen'!G472</f>
        <v>2023</v>
      </c>
      <c r="I189" s="37" t="str">
        <f>'13. Desinvesteringen'!C472</f>
        <v>02 Gasontvangststations</v>
      </c>
      <c r="J189" s="164">
        <f>'13. Desinvesteringen'!F472</f>
        <v>0</v>
      </c>
      <c r="K189" s="38">
        <f>_xlfn.XLOOKUP(I189,'3. Input (des)investeringen '!$B$11:$B$89,'3. Input (des)investeringen '!$E$11:$E$89)</f>
        <v>0</v>
      </c>
      <c r="L189" s="48"/>
      <c r="M189" s="38">
        <f>_xlfn.XLOOKUP(I189,'3. Input (des)investeringen '!$B$11:$B$89,'3. Input (des)investeringen '!$D$11:$D$89,0)</f>
        <v>30</v>
      </c>
      <c r="N189" s="38">
        <f t="shared" si="59"/>
        <v>3.5</v>
      </c>
      <c r="P189" s="43">
        <f t="shared" si="83"/>
        <v>579.11829683250903</v>
      </c>
      <c r="Q189" s="43">
        <f t="shared" si="83"/>
        <v>392.01853939431385</v>
      </c>
      <c r="R189" s="43">
        <f t="shared" si="83"/>
        <v>392.01853939431385</v>
      </c>
      <c r="S189" s="43">
        <f t="shared" si="83"/>
        <v>196.00926969715692</v>
      </c>
      <c r="T189" s="43">
        <f t="shared" si="83"/>
        <v>0</v>
      </c>
      <c r="V189" s="43">
        <f t="shared" si="78"/>
        <v>49.497290327564876</v>
      </c>
      <c r="W189" s="43">
        <f t="shared" si="79"/>
        <v>49.497290327564883</v>
      </c>
      <c r="X189" s="43">
        <f t="shared" si="80"/>
        <v>49.497290327564883</v>
      </c>
      <c r="Y189" s="43">
        <f t="shared" si="81"/>
        <v>24.748645163782442</v>
      </c>
      <c r="Z189" s="43">
        <f t="shared" si="82"/>
        <v>0</v>
      </c>
      <c r="AB189" s="43">
        <f t="shared" si="60"/>
        <v>628.61558716007391</v>
      </c>
      <c r="AC189" s="43">
        <f t="shared" si="61"/>
        <v>441.51582972187873</v>
      </c>
      <c r="AD189" s="43">
        <f t="shared" si="62"/>
        <v>441.51582972187873</v>
      </c>
      <c r="AE189" s="43">
        <f t="shared" si="63"/>
        <v>220.75791486093937</v>
      </c>
      <c r="AF189" s="43">
        <f t="shared" si="64"/>
        <v>0</v>
      </c>
      <c r="AH189" s="43">
        <f t="shared" si="65"/>
        <v>1103.7895743046965</v>
      </c>
      <c r="AI189" s="43">
        <f t="shared" si="66"/>
        <v>662.27374458281781</v>
      </c>
      <c r="AJ189" s="43">
        <f t="shared" si="67"/>
        <v>220.75791486093908</v>
      </c>
      <c r="AK189" s="43">
        <f t="shared" si="68"/>
        <v>0</v>
      </c>
      <c r="AL189" s="43">
        <f t="shared" si="69"/>
        <v>0</v>
      </c>
      <c r="AN189" s="47">
        <f t="shared" si="70"/>
        <v>673.87095970656651</v>
      </c>
      <c r="AO189" s="47">
        <f t="shared" si="71"/>
        <v>475.29179069560246</v>
      </c>
      <c r="AP189" s="47">
        <f t="shared" si="72"/>
        <v>452.7744833797866</v>
      </c>
      <c r="AQ189" s="47">
        <f t="shared" si="73"/>
        <v>220.75791486093937</v>
      </c>
      <c r="AR189" s="43">
        <f t="shared" si="74"/>
        <v>0</v>
      </c>
      <c r="AY189" s="3"/>
    </row>
    <row r="190" spans="1:51" ht="13">
      <c r="A190" s="226"/>
      <c r="B190" s="37">
        <f>'13. Desinvesteringen'!B473</f>
        <v>454</v>
      </c>
      <c r="C190" s="48"/>
      <c r="D190" s="48"/>
      <c r="E190" s="48"/>
      <c r="F190" s="42">
        <f>'5. Input GAW-waarde desinv.'!D149</f>
        <v>2852.1763921840106</v>
      </c>
      <c r="G190" s="175">
        <f>'13. Desinvesteringen'!D473</f>
        <v>1997</v>
      </c>
      <c r="H190" s="175">
        <f>'13. Desinvesteringen'!G473</f>
        <v>2023</v>
      </c>
      <c r="I190" s="37" t="str">
        <f>'13. Desinvesteringen'!C473</f>
        <v>02 Gasontvangststations</v>
      </c>
      <c r="J190" s="164">
        <f>'13. Desinvesteringen'!F473</f>
        <v>0</v>
      </c>
      <c r="K190" s="38">
        <f>_xlfn.XLOOKUP(I190,'3. Input (des)investeringen '!$B$11:$B$89,'3. Input (des)investeringen '!$E$11:$E$89)</f>
        <v>0</v>
      </c>
      <c r="L190" s="48"/>
      <c r="M190" s="38">
        <f>_xlfn.XLOOKUP(I190,'3. Input (des)investeringen '!$B$11:$B$89,'3. Input (des)investeringen '!$D$11:$D$89,0)</f>
        <v>30</v>
      </c>
      <c r="N190" s="38">
        <f t="shared" si="59"/>
        <v>5.5</v>
      </c>
      <c r="P190" s="43">
        <f t="shared" si="83"/>
        <v>606.73570524641684</v>
      </c>
      <c r="Q190" s="43">
        <f t="shared" si="83"/>
        <v>463.32544764271825</v>
      </c>
      <c r="R190" s="43">
        <f t="shared" si="83"/>
        <v>427.68502859327839</v>
      </c>
      <c r="S190" s="43">
        <f t="shared" si="83"/>
        <v>427.68502859327839</v>
      </c>
      <c r="T190" s="43">
        <f t="shared" si="83"/>
        <v>427.68502859327839</v>
      </c>
      <c r="V190" s="43">
        <f t="shared" si="78"/>
        <v>51.85775258516383</v>
      </c>
      <c r="W190" s="43">
        <f t="shared" si="79"/>
        <v>51.85775258516383</v>
      </c>
      <c r="X190" s="43">
        <f t="shared" si="80"/>
        <v>51.85775258516383</v>
      </c>
      <c r="Y190" s="43">
        <f t="shared" si="81"/>
        <v>51.85775258516383</v>
      </c>
      <c r="Z190" s="43">
        <f t="shared" si="82"/>
        <v>51.85775258516383</v>
      </c>
      <c r="AB190" s="43">
        <f t="shared" si="60"/>
        <v>658.59345783158062</v>
      </c>
      <c r="AC190" s="43">
        <f t="shared" si="61"/>
        <v>515.18320022788203</v>
      </c>
      <c r="AD190" s="43">
        <f t="shared" si="62"/>
        <v>479.54278117844223</v>
      </c>
      <c r="AE190" s="43">
        <f t="shared" si="63"/>
        <v>479.54278117844223</v>
      </c>
      <c r="AF190" s="43">
        <f t="shared" si="64"/>
        <v>479.54278117844223</v>
      </c>
      <c r="AH190" s="43">
        <f t="shared" si="65"/>
        <v>2193.5829343524301</v>
      </c>
      <c r="AI190" s="43">
        <f t="shared" si="66"/>
        <v>1678.3997341245481</v>
      </c>
      <c r="AJ190" s="43">
        <f t="shared" si="67"/>
        <v>1198.8569529461058</v>
      </c>
      <c r="AK190" s="43">
        <f t="shared" si="68"/>
        <v>719.31417176766354</v>
      </c>
      <c r="AL190" s="43">
        <f t="shared" si="69"/>
        <v>239.77139058922131</v>
      </c>
      <c r="AN190" s="47">
        <f t="shared" si="70"/>
        <v>748.53035814003022</v>
      </c>
      <c r="AO190" s="47">
        <f t="shared" si="71"/>
        <v>600.78158666823401</v>
      </c>
      <c r="AP190" s="47">
        <f t="shared" si="72"/>
        <v>540.68448577869367</v>
      </c>
      <c r="AQ190" s="47">
        <f t="shared" si="73"/>
        <v>519.10506062566367</v>
      </c>
      <c r="AR190" s="43">
        <f t="shared" si="74"/>
        <v>488.65409402083264</v>
      </c>
      <c r="AY190" s="3"/>
    </row>
    <row r="191" spans="1:51" ht="13">
      <c r="A191" s="226"/>
      <c r="B191" s="37">
        <f>'13. Desinvesteringen'!B474</f>
        <v>455</v>
      </c>
      <c r="C191" s="48"/>
      <c r="D191" s="48"/>
      <c r="E191" s="48"/>
      <c r="F191" s="42">
        <f>'5. Input GAW-waarde desinv.'!D150</f>
        <v>9316.2155574158933</v>
      </c>
      <c r="G191" s="175">
        <f>'13. Desinvesteringen'!D474</f>
        <v>2003</v>
      </c>
      <c r="H191" s="175">
        <f>'13. Desinvesteringen'!G474</f>
        <v>2023</v>
      </c>
      <c r="I191" s="37" t="str">
        <f>'13. Desinvesteringen'!C474</f>
        <v>02 Gasontvangststations</v>
      </c>
      <c r="J191" s="164">
        <f>'13. Desinvesteringen'!F474</f>
        <v>0</v>
      </c>
      <c r="K191" s="38">
        <f>_xlfn.XLOOKUP(I191,'3. Input (des)investeringen '!$B$11:$B$89,'3. Input (des)investeringen '!$E$11:$E$89)</f>
        <v>0</v>
      </c>
      <c r="L191" s="48"/>
      <c r="M191" s="38">
        <f>_xlfn.XLOOKUP(I191,'3. Input (des)investeringen '!$B$11:$B$89,'3. Input (des)investeringen '!$D$11:$D$89,0)</f>
        <v>30</v>
      </c>
      <c r="N191" s="38">
        <f t="shared" si="59"/>
        <v>11.5</v>
      </c>
      <c r="P191" s="43">
        <f t="shared" si="83"/>
        <v>947.82366975448656</v>
      </c>
      <c r="Q191" s="43">
        <f t="shared" si="83"/>
        <v>840.67838534745749</v>
      </c>
      <c r="R191" s="43">
        <f t="shared" si="83"/>
        <v>745.64517656904934</v>
      </c>
      <c r="S191" s="43">
        <f t="shared" si="83"/>
        <v>688.28785529450715</v>
      </c>
      <c r="T191" s="43">
        <f t="shared" si="83"/>
        <v>688.28785529450715</v>
      </c>
      <c r="V191" s="43">
        <f t="shared" si="78"/>
        <v>81.010570064486032</v>
      </c>
      <c r="W191" s="43">
        <f t="shared" si="79"/>
        <v>81.010570064486032</v>
      </c>
      <c r="X191" s="43">
        <f t="shared" si="80"/>
        <v>81.010570064486032</v>
      </c>
      <c r="Y191" s="43">
        <f t="shared" si="81"/>
        <v>81.010570064486032</v>
      </c>
      <c r="Z191" s="43">
        <f t="shared" si="82"/>
        <v>81.010570064486032</v>
      </c>
      <c r="AB191" s="43">
        <f t="shared" si="60"/>
        <v>1028.8342398189725</v>
      </c>
      <c r="AC191" s="43">
        <f t="shared" si="61"/>
        <v>921.68895541194354</v>
      </c>
      <c r="AD191" s="43">
        <f t="shared" si="62"/>
        <v>826.65574663353539</v>
      </c>
      <c r="AE191" s="43">
        <f t="shared" si="63"/>
        <v>769.2984253589932</v>
      </c>
      <c r="AF191" s="43">
        <f t="shared" si="64"/>
        <v>769.2984253589932</v>
      </c>
      <c r="AH191" s="43">
        <f t="shared" si="65"/>
        <v>8287.3813175969208</v>
      </c>
      <c r="AI191" s="43">
        <f t="shared" si="66"/>
        <v>7365.6923621849774</v>
      </c>
      <c r="AJ191" s="43">
        <f t="shared" si="67"/>
        <v>6539.0366155514421</v>
      </c>
      <c r="AK191" s="43">
        <f t="shared" si="68"/>
        <v>5769.7381901924491</v>
      </c>
      <c r="AL191" s="43">
        <f t="shared" si="69"/>
        <v>5000.4397648334561</v>
      </c>
      <c r="AN191" s="47">
        <f t="shared" si="70"/>
        <v>1368.6168738404463</v>
      </c>
      <c r="AO191" s="47">
        <f t="shared" si="71"/>
        <v>1297.3392658833773</v>
      </c>
      <c r="AP191" s="47">
        <f t="shared" si="72"/>
        <v>1160.1466140266589</v>
      </c>
      <c r="AQ191" s="47">
        <f t="shared" si="73"/>
        <v>1086.6340258195778</v>
      </c>
      <c r="AR191" s="43">
        <f t="shared" si="74"/>
        <v>959.31513642266452</v>
      </c>
      <c r="AY191" s="3"/>
    </row>
    <row r="192" spans="1:51" ht="13">
      <c r="A192" s="226"/>
      <c r="B192" s="37">
        <f>'13. Desinvesteringen'!B475</f>
        <v>456</v>
      </c>
      <c r="C192" s="48"/>
      <c r="D192" s="48"/>
      <c r="E192" s="48"/>
      <c r="F192" s="42">
        <f>'5. Input GAW-waarde desinv.'!D151</f>
        <v>14209.467414292769</v>
      </c>
      <c r="G192" s="175">
        <f>'13. Desinvesteringen'!D475</f>
        <v>2005</v>
      </c>
      <c r="H192" s="175">
        <f>'13. Desinvesteringen'!G475</f>
        <v>2023</v>
      </c>
      <c r="I192" s="37" t="str">
        <f>'13. Desinvesteringen'!C475</f>
        <v>02 Gasontvangststations</v>
      </c>
      <c r="J192" s="164">
        <f>'13. Desinvesteringen'!F475</f>
        <v>0</v>
      </c>
      <c r="K192" s="38">
        <f>_xlfn.XLOOKUP(I192,'3. Input (des)investeringen '!$B$11:$B$89,'3. Input (des)investeringen '!$E$11:$E$89)</f>
        <v>0</v>
      </c>
      <c r="L192" s="48"/>
      <c r="M192" s="38">
        <f>_xlfn.XLOOKUP(I192,'3. Input (des)investeringen '!$B$11:$B$89,'3. Input (des)investeringen '!$D$11:$D$89,0)</f>
        <v>30</v>
      </c>
      <c r="N192" s="38">
        <f t="shared" si="59"/>
        <v>13.5</v>
      </c>
      <c r="P192" s="43">
        <f t="shared" ref="P192:T201" si="84">IF($M192&gt;0, IF(OR($G192&gt;P$50,$G192+$M192&lt;P$50),0,
VDB($F192,0,$N192,MAX(0,P$50-2022),MIN($N192,P$50-2021),$F$23,FALSE))*(1-$F$26), 0)</f>
        <v>1231.4871759053733</v>
      </c>
      <c r="Q192" s="43">
        <f t="shared" si="84"/>
        <v>1112.8995219293004</v>
      </c>
      <c r="R192" s="43">
        <f t="shared" si="84"/>
        <v>1005.73141981759</v>
      </c>
      <c r="S192" s="43">
        <f t="shared" si="84"/>
        <v>908.88320902034047</v>
      </c>
      <c r="T192" s="43">
        <f t="shared" si="84"/>
        <v>897.84414170430398</v>
      </c>
      <c r="V192" s="43">
        <f t="shared" si="78"/>
        <v>105.25531417994644</v>
      </c>
      <c r="W192" s="43">
        <f t="shared" si="79"/>
        <v>105.25531417994644</v>
      </c>
      <c r="X192" s="43">
        <f t="shared" si="80"/>
        <v>105.25531417994644</v>
      </c>
      <c r="Y192" s="43">
        <f t="shared" si="81"/>
        <v>105.25531417994644</v>
      </c>
      <c r="Z192" s="43">
        <f t="shared" si="82"/>
        <v>105.25531417994644</v>
      </c>
      <c r="AB192" s="43">
        <f t="shared" si="60"/>
        <v>1336.7424900853198</v>
      </c>
      <c r="AC192" s="43">
        <f t="shared" si="61"/>
        <v>1218.1548361092468</v>
      </c>
      <c r="AD192" s="43">
        <f t="shared" si="62"/>
        <v>1110.9867339975365</v>
      </c>
      <c r="AE192" s="43">
        <f t="shared" si="63"/>
        <v>1014.138523200287</v>
      </c>
      <c r="AF192" s="43">
        <f t="shared" si="64"/>
        <v>1003.0994558842505</v>
      </c>
      <c r="AH192" s="43">
        <f t="shared" si="65"/>
        <v>12872.724924207449</v>
      </c>
      <c r="AI192" s="43">
        <f t="shared" si="66"/>
        <v>11654.570088098202</v>
      </c>
      <c r="AJ192" s="43">
        <f t="shared" si="67"/>
        <v>10543.583354100665</v>
      </c>
      <c r="AK192" s="43">
        <f t="shared" si="68"/>
        <v>9529.4448309003783</v>
      </c>
      <c r="AL192" s="43">
        <f t="shared" si="69"/>
        <v>8526.3453750161279</v>
      </c>
      <c r="AN192" s="47">
        <f t="shared" si="70"/>
        <v>1864.5242119778252</v>
      </c>
      <c r="AO192" s="47">
        <f t="shared" si="71"/>
        <v>1812.5379106022551</v>
      </c>
      <c r="AP192" s="47">
        <f t="shared" si="72"/>
        <v>1648.7094850566705</v>
      </c>
      <c r="AQ192" s="47">
        <f t="shared" si="73"/>
        <v>1538.2579888998077</v>
      </c>
      <c r="AR192" s="43">
        <f t="shared" si="74"/>
        <v>1327.1005801348633</v>
      </c>
      <c r="AY192" s="3"/>
    </row>
    <row r="193" spans="1:51" ht="13">
      <c r="A193" s="226"/>
      <c r="B193" s="37">
        <f>'13. Desinvesteringen'!B476</f>
        <v>457</v>
      </c>
      <c r="C193" s="48"/>
      <c r="D193" s="48"/>
      <c r="E193" s="48"/>
      <c r="F193" s="42">
        <f>'5. Input GAW-waarde desinv.'!D152</f>
        <v>37532.285815813477</v>
      </c>
      <c r="G193" s="175">
        <f>'13. Desinvesteringen'!D476</f>
        <v>2007</v>
      </c>
      <c r="H193" s="175">
        <f>'13. Desinvesteringen'!G476</f>
        <v>2023</v>
      </c>
      <c r="I193" s="37" t="str">
        <f>'13. Desinvesteringen'!C476</f>
        <v>02 Gasontvangststations</v>
      </c>
      <c r="J193" s="164">
        <f>'13. Desinvesteringen'!F476</f>
        <v>0</v>
      </c>
      <c r="K193" s="38">
        <f>_xlfn.XLOOKUP(I193,'3. Input (des)investeringen '!$B$11:$B$89,'3. Input (des)investeringen '!$E$11:$E$89)</f>
        <v>0</v>
      </c>
      <c r="L193" s="48"/>
      <c r="M193" s="38">
        <f>_xlfn.XLOOKUP(I193,'3. Input (des)investeringen '!$B$11:$B$89,'3. Input (des)investeringen '!$D$11:$D$89,0)</f>
        <v>30</v>
      </c>
      <c r="N193" s="38">
        <f t="shared" si="59"/>
        <v>15.5</v>
      </c>
      <c r="P193" s="43">
        <f t="shared" si="84"/>
        <v>2833.0822196452755</v>
      </c>
      <c r="Q193" s="43">
        <f t="shared" si="84"/>
        <v>2595.4688721911557</v>
      </c>
      <c r="R193" s="43">
        <f t="shared" si="84"/>
        <v>2377.7843861364136</v>
      </c>
      <c r="S193" s="43">
        <f t="shared" si="84"/>
        <v>2178.3573085894882</v>
      </c>
      <c r="T193" s="43">
        <f t="shared" si="84"/>
        <v>2069.0751693625907</v>
      </c>
      <c r="V193" s="43">
        <f t="shared" si="78"/>
        <v>242.14377945686115</v>
      </c>
      <c r="W193" s="43">
        <f t="shared" si="79"/>
        <v>242.14377945686113</v>
      </c>
      <c r="X193" s="43">
        <f t="shared" si="80"/>
        <v>242.14377945686113</v>
      </c>
      <c r="Y193" s="43">
        <f t="shared" si="81"/>
        <v>242.14377945686113</v>
      </c>
      <c r="Z193" s="43">
        <f t="shared" si="82"/>
        <v>242.14377945686113</v>
      </c>
      <c r="AB193" s="43">
        <f t="shared" si="60"/>
        <v>3075.2259991021365</v>
      </c>
      <c r="AC193" s="43">
        <f t="shared" si="61"/>
        <v>2837.6126516480167</v>
      </c>
      <c r="AD193" s="43">
        <f t="shared" si="62"/>
        <v>2619.9281655932746</v>
      </c>
      <c r="AE193" s="43">
        <f t="shared" si="63"/>
        <v>2420.5010880463492</v>
      </c>
      <c r="AF193" s="43">
        <f t="shared" si="64"/>
        <v>2311.2189488194517</v>
      </c>
      <c r="AH193" s="43">
        <f t="shared" si="65"/>
        <v>34457.059816711342</v>
      </c>
      <c r="AI193" s="43">
        <f t="shared" si="66"/>
        <v>31619.447165063324</v>
      </c>
      <c r="AJ193" s="43">
        <f t="shared" si="67"/>
        <v>28999.518999470049</v>
      </c>
      <c r="AK193" s="43">
        <f t="shared" si="68"/>
        <v>26579.0179114237</v>
      </c>
      <c r="AL193" s="43">
        <f t="shared" si="69"/>
        <v>24267.798962604247</v>
      </c>
      <c r="AN193" s="47">
        <f t="shared" si="70"/>
        <v>4487.9654515873017</v>
      </c>
      <c r="AO193" s="47">
        <f t="shared" si="71"/>
        <v>4450.2044570662456</v>
      </c>
      <c r="AP193" s="47">
        <f t="shared" si="72"/>
        <v>4098.9036345662471</v>
      </c>
      <c r="AQ193" s="47">
        <f t="shared" si="73"/>
        <v>3882.3470731746529</v>
      </c>
      <c r="AR193" s="43">
        <f t="shared" si="74"/>
        <v>3233.3953093984132</v>
      </c>
      <c r="AY193" s="3"/>
    </row>
    <row r="194" spans="1:51" ht="13">
      <c r="A194" s="226"/>
      <c r="B194" s="37">
        <f>'13. Desinvesteringen'!B477</f>
        <v>458</v>
      </c>
      <c r="C194" s="48"/>
      <c r="D194" s="48"/>
      <c r="E194" s="48"/>
      <c r="F194" s="42">
        <f>'5. Input GAW-waarde desinv.'!D153</f>
        <v>18395.575662272393</v>
      </c>
      <c r="G194" s="175">
        <f>'13. Desinvesteringen'!D477</f>
        <v>2009</v>
      </c>
      <c r="H194" s="175">
        <f>'13. Desinvesteringen'!G477</f>
        <v>2023</v>
      </c>
      <c r="I194" s="37" t="str">
        <f>'13. Desinvesteringen'!C477</f>
        <v>02 Gasontvangststations</v>
      </c>
      <c r="J194" s="164">
        <f>'13. Desinvesteringen'!F477</f>
        <v>0</v>
      </c>
      <c r="K194" s="38">
        <f>_xlfn.XLOOKUP(I194,'3. Input (des)investeringen '!$B$11:$B$89,'3. Input (des)investeringen '!$E$11:$E$89)</f>
        <v>0</v>
      </c>
      <c r="L194" s="48"/>
      <c r="M194" s="38">
        <f>_xlfn.XLOOKUP(I194,'3. Input (des)investeringen '!$B$11:$B$89,'3. Input (des)investeringen '!$D$11:$D$89,0)</f>
        <v>30</v>
      </c>
      <c r="N194" s="38">
        <f t="shared" si="59"/>
        <v>17.5</v>
      </c>
      <c r="P194" s="43">
        <f t="shared" si="84"/>
        <v>1229.8756299919257</v>
      </c>
      <c r="Q194" s="43">
        <f t="shared" si="84"/>
        <v>1138.5134403353827</v>
      </c>
      <c r="R194" s="43">
        <f t="shared" si="84"/>
        <v>1053.9381561961827</v>
      </c>
      <c r="S194" s="43">
        <f t="shared" si="84"/>
        <v>975.64560745018071</v>
      </c>
      <c r="T194" s="43">
        <f t="shared" si="84"/>
        <v>903.16907661102437</v>
      </c>
      <c r="V194" s="43">
        <f t="shared" si="78"/>
        <v>105.1175752129851</v>
      </c>
      <c r="W194" s="43">
        <f t="shared" si="79"/>
        <v>105.11757521298512</v>
      </c>
      <c r="X194" s="43">
        <f t="shared" si="80"/>
        <v>105.11757521298512</v>
      </c>
      <c r="Y194" s="43">
        <f t="shared" si="81"/>
        <v>105.11757521298512</v>
      </c>
      <c r="Z194" s="43">
        <f t="shared" si="82"/>
        <v>105.11757521298512</v>
      </c>
      <c r="AB194" s="43">
        <f t="shared" si="60"/>
        <v>1334.9932052049107</v>
      </c>
      <c r="AC194" s="43">
        <f t="shared" si="61"/>
        <v>1243.6310155483679</v>
      </c>
      <c r="AD194" s="43">
        <f t="shared" si="62"/>
        <v>1159.0557314091679</v>
      </c>
      <c r="AE194" s="43">
        <f t="shared" si="63"/>
        <v>1080.7631826631659</v>
      </c>
      <c r="AF194" s="43">
        <f t="shared" si="64"/>
        <v>1008.2866518240095</v>
      </c>
      <c r="AH194" s="43">
        <f t="shared" si="65"/>
        <v>17060.582457067481</v>
      </c>
      <c r="AI194" s="43">
        <f t="shared" si="66"/>
        <v>15816.951441519113</v>
      </c>
      <c r="AJ194" s="43">
        <f t="shared" si="67"/>
        <v>14657.895710109946</v>
      </c>
      <c r="AK194" s="43">
        <f t="shared" si="68"/>
        <v>13577.13252744678</v>
      </c>
      <c r="AL194" s="43">
        <f t="shared" si="69"/>
        <v>12568.84587562277</v>
      </c>
      <c r="AN194" s="47">
        <f t="shared" si="70"/>
        <v>2034.4770859446776</v>
      </c>
      <c r="AO194" s="47">
        <f t="shared" si="71"/>
        <v>2050.2955390658426</v>
      </c>
      <c r="AP194" s="47">
        <f t="shared" si="72"/>
        <v>1906.6084126247752</v>
      </c>
      <c r="AQ194" s="47">
        <f t="shared" si="73"/>
        <v>1827.5054716727388</v>
      </c>
      <c r="AR194" s="43">
        <f t="shared" si="74"/>
        <v>1485.9027950976747</v>
      </c>
      <c r="AY194" s="3"/>
    </row>
    <row r="195" spans="1:51" ht="13">
      <c r="A195" s="226"/>
      <c r="B195" s="37">
        <f>'13. Desinvesteringen'!B478</f>
        <v>459</v>
      </c>
      <c r="C195" s="48"/>
      <c r="D195" s="48"/>
      <c r="E195" s="48"/>
      <c r="F195" s="42">
        <f>'5. Input GAW-waarde desinv.'!D154</f>
        <v>45342.950536082608</v>
      </c>
      <c r="G195" s="175">
        <f>'13. Desinvesteringen'!D478</f>
        <v>2007</v>
      </c>
      <c r="H195" s="175">
        <f>'13. Desinvesteringen'!G478</f>
        <v>2023</v>
      </c>
      <c r="I195" s="37" t="str">
        <f>'13. Desinvesteringen'!C478</f>
        <v>06 Utiliteitsgebouwen</v>
      </c>
      <c r="J195" s="164">
        <f>'13. Desinvesteringen'!F478</f>
        <v>0</v>
      </c>
      <c r="K195" s="38">
        <f>_xlfn.XLOOKUP(I195,'3. Input (des)investeringen '!$B$11:$B$89,'3. Input (des)investeringen '!$E$11:$E$89)</f>
        <v>0</v>
      </c>
      <c r="L195" s="48"/>
      <c r="M195" s="38">
        <f>_xlfn.XLOOKUP(I195,'3. Input (des)investeringen '!$B$11:$B$89,'3. Input (des)investeringen '!$D$11:$D$89,0)</f>
        <v>30</v>
      </c>
      <c r="N195" s="38">
        <f t="shared" si="59"/>
        <v>15.5</v>
      </c>
      <c r="P195" s="43">
        <f t="shared" si="84"/>
        <v>3422.6614275623651</v>
      </c>
      <c r="Q195" s="43">
        <f t="shared" si="84"/>
        <v>3135.5995013797146</v>
      </c>
      <c r="R195" s="43">
        <f t="shared" si="84"/>
        <v>2872.6137367478677</v>
      </c>
      <c r="S195" s="43">
        <f t="shared" si="84"/>
        <v>2631.6848426980469</v>
      </c>
      <c r="T195" s="43">
        <f t="shared" si="84"/>
        <v>2499.6605194857702</v>
      </c>
      <c r="V195" s="43">
        <f t="shared" si="78"/>
        <v>292.53516474892007</v>
      </c>
      <c r="W195" s="43">
        <f t="shared" si="79"/>
        <v>292.53516474892007</v>
      </c>
      <c r="X195" s="43">
        <f t="shared" si="80"/>
        <v>292.53516474892007</v>
      </c>
      <c r="Y195" s="43">
        <f t="shared" si="81"/>
        <v>292.53516474892007</v>
      </c>
      <c r="Z195" s="43">
        <f t="shared" si="82"/>
        <v>292.53516474892007</v>
      </c>
      <c r="AB195" s="43">
        <f t="shared" si="60"/>
        <v>3715.1965923112853</v>
      </c>
      <c r="AC195" s="43">
        <f t="shared" si="61"/>
        <v>3428.1346661286348</v>
      </c>
      <c r="AD195" s="43">
        <f t="shared" si="62"/>
        <v>3165.1489014967879</v>
      </c>
      <c r="AE195" s="43">
        <f t="shared" si="63"/>
        <v>2924.220007446967</v>
      </c>
      <c r="AF195" s="43">
        <f t="shared" si="64"/>
        <v>2792.1956842346904</v>
      </c>
      <c r="AH195" s="43">
        <f t="shared" si="65"/>
        <v>41627.75394377132</v>
      </c>
      <c r="AI195" s="43">
        <f t="shared" si="66"/>
        <v>38199.619277642683</v>
      </c>
      <c r="AJ195" s="43">
        <f t="shared" si="67"/>
        <v>35034.470376145895</v>
      </c>
      <c r="AK195" s="43">
        <f t="shared" si="68"/>
        <v>32110.250368698929</v>
      </c>
      <c r="AL195" s="43">
        <f t="shared" si="69"/>
        <v>29318.054684464238</v>
      </c>
      <c r="AN195" s="47">
        <f t="shared" si="70"/>
        <v>5421.9345040059097</v>
      </c>
      <c r="AO195" s="47">
        <f t="shared" si="71"/>
        <v>5376.315249288411</v>
      </c>
      <c r="AP195" s="47">
        <f t="shared" si="72"/>
        <v>4951.9068906802286</v>
      </c>
      <c r="AQ195" s="47">
        <f t="shared" si="73"/>
        <v>4690.2837777254081</v>
      </c>
      <c r="AR195" s="43">
        <f t="shared" si="74"/>
        <v>3906.2817622443313</v>
      </c>
      <c r="AY195" s="3"/>
    </row>
    <row r="196" spans="1:51" ht="13">
      <c r="A196" s="226"/>
      <c r="B196" s="37">
        <f>'13. Desinvesteringen'!B479</f>
        <v>460</v>
      </c>
      <c r="C196" s="48"/>
      <c r="D196" s="48"/>
      <c r="E196" s="48"/>
      <c r="F196" s="42">
        <f>'5. Input GAW-waarde desinv.'!D155</f>
        <v>0</v>
      </c>
      <c r="G196" s="175">
        <f>'13. Desinvesteringen'!D479</f>
        <v>2003</v>
      </c>
      <c r="H196" s="175">
        <f>'13. Desinvesteringen'!G479</f>
        <v>2023</v>
      </c>
      <c r="I196" s="37" t="str">
        <f>'13. Desinvesteringen'!C479</f>
        <v>09 Bedrijfsinventaris</v>
      </c>
      <c r="J196" s="164">
        <f>'13. Desinvesteringen'!F479</f>
        <v>0</v>
      </c>
      <c r="K196" s="38">
        <f>_xlfn.XLOOKUP(I196,'3. Input (des)investeringen '!$B$11:$B$89,'3. Input (des)investeringen '!$E$11:$E$89)</f>
        <v>1</v>
      </c>
      <c r="L196" s="48"/>
      <c r="M196" s="38">
        <f>_xlfn.XLOOKUP(I196,'3. Input (des)investeringen '!$B$11:$B$89,'3. Input (des)investeringen '!$D$11:$D$89,0)</f>
        <v>10</v>
      </c>
      <c r="N196" s="38">
        <f t="shared" si="59"/>
        <v>0</v>
      </c>
      <c r="P196" s="43">
        <f t="shared" si="84"/>
        <v>0</v>
      </c>
      <c r="Q196" s="43">
        <f t="shared" si="84"/>
        <v>0</v>
      </c>
      <c r="R196" s="43">
        <f t="shared" si="84"/>
        <v>0</v>
      </c>
      <c r="S196" s="43">
        <f t="shared" si="84"/>
        <v>0</v>
      </c>
      <c r="T196" s="43">
        <f t="shared" si="84"/>
        <v>0</v>
      </c>
      <c r="V196" s="43">
        <f t="shared" si="78"/>
        <v>0</v>
      </c>
      <c r="W196" s="43">
        <f t="shared" si="79"/>
        <v>0</v>
      </c>
      <c r="X196" s="43">
        <f t="shared" si="80"/>
        <v>0</v>
      </c>
      <c r="Y196" s="43">
        <f t="shared" si="81"/>
        <v>0</v>
      </c>
      <c r="Z196" s="43">
        <f t="shared" si="82"/>
        <v>0</v>
      </c>
      <c r="AB196" s="43">
        <f t="shared" si="60"/>
        <v>0</v>
      </c>
      <c r="AC196" s="43">
        <f t="shared" si="61"/>
        <v>0</v>
      </c>
      <c r="AD196" s="43">
        <f t="shared" si="62"/>
        <v>0</v>
      </c>
      <c r="AE196" s="43">
        <f t="shared" si="63"/>
        <v>0</v>
      </c>
      <c r="AF196" s="43">
        <f t="shared" si="64"/>
        <v>0</v>
      </c>
      <c r="AH196" s="43">
        <f t="shared" si="65"/>
        <v>0</v>
      </c>
      <c r="AI196" s="43">
        <f t="shared" si="66"/>
        <v>0</v>
      </c>
      <c r="AJ196" s="43">
        <f t="shared" si="67"/>
        <v>0</v>
      </c>
      <c r="AK196" s="43">
        <f t="shared" si="68"/>
        <v>0</v>
      </c>
      <c r="AL196" s="43">
        <f t="shared" si="69"/>
        <v>0</v>
      </c>
      <c r="AN196" s="47">
        <f t="shared" si="70"/>
        <v>0</v>
      </c>
      <c r="AO196" s="47">
        <f t="shared" si="71"/>
        <v>0</v>
      </c>
      <c r="AP196" s="47">
        <f t="shared" si="72"/>
        <v>0</v>
      </c>
      <c r="AQ196" s="47">
        <f t="shared" si="73"/>
        <v>0</v>
      </c>
      <c r="AR196" s="43">
        <f t="shared" si="74"/>
        <v>0</v>
      </c>
      <c r="AY196" s="3"/>
    </row>
    <row r="197" spans="1:51" ht="13">
      <c r="A197" s="226"/>
      <c r="B197" s="37">
        <f>'13. Desinvesteringen'!B480</f>
        <v>461</v>
      </c>
      <c r="C197" s="48"/>
      <c r="D197" s="48"/>
      <c r="E197" s="48"/>
      <c r="F197" s="42">
        <f>'5. Input GAW-waarde desinv.'!D156</f>
        <v>0</v>
      </c>
      <c r="G197" s="175">
        <f>'13. Desinvesteringen'!D480</f>
        <v>1970</v>
      </c>
      <c r="H197" s="175">
        <f>'13. Desinvesteringen'!G480</f>
        <v>2023</v>
      </c>
      <c r="I197" s="37" t="str">
        <f>'13. Desinvesteringen'!C480</f>
        <v>15 Compressorstations (KC)</v>
      </c>
      <c r="J197" s="164">
        <f>'13. Desinvesteringen'!F480</f>
        <v>0</v>
      </c>
      <c r="K197" s="38">
        <f>_xlfn.XLOOKUP(I197,'3. Input (des)investeringen '!$B$11:$B$89,'3. Input (des)investeringen '!$E$11:$E$89)</f>
        <v>0</v>
      </c>
      <c r="L197" s="48"/>
      <c r="M197" s="38">
        <f>_xlfn.XLOOKUP(I197,'3. Input (des)investeringen '!$B$11:$B$89,'3. Input (des)investeringen '!$D$11:$D$89,0)</f>
        <v>30</v>
      </c>
      <c r="N197" s="38">
        <f t="shared" si="59"/>
        <v>0</v>
      </c>
      <c r="P197" s="43">
        <f t="shared" si="84"/>
        <v>0</v>
      </c>
      <c r="Q197" s="43">
        <f t="shared" si="84"/>
        <v>0</v>
      </c>
      <c r="R197" s="43">
        <f t="shared" si="84"/>
        <v>0</v>
      </c>
      <c r="S197" s="43">
        <f t="shared" si="84"/>
        <v>0</v>
      </c>
      <c r="T197" s="43">
        <f t="shared" si="84"/>
        <v>0</v>
      </c>
      <c r="V197" s="43">
        <f t="shared" si="78"/>
        <v>0</v>
      </c>
      <c r="W197" s="43">
        <f t="shared" si="79"/>
        <v>0</v>
      </c>
      <c r="X197" s="43">
        <f t="shared" si="80"/>
        <v>0</v>
      </c>
      <c r="Y197" s="43">
        <f t="shared" si="81"/>
        <v>0</v>
      </c>
      <c r="Z197" s="43">
        <f t="shared" si="82"/>
        <v>0</v>
      </c>
      <c r="AB197" s="43">
        <f t="shared" si="60"/>
        <v>0</v>
      </c>
      <c r="AC197" s="43">
        <f t="shared" si="61"/>
        <v>0</v>
      </c>
      <c r="AD197" s="43">
        <f t="shared" si="62"/>
        <v>0</v>
      </c>
      <c r="AE197" s="43">
        <f t="shared" si="63"/>
        <v>0</v>
      </c>
      <c r="AF197" s="43">
        <f t="shared" si="64"/>
        <v>0</v>
      </c>
      <c r="AH197" s="43">
        <f t="shared" si="65"/>
        <v>0</v>
      </c>
      <c r="AI197" s="43">
        <f t="shared" si="66"/>
        <v>0</v>
      </c>
      <c r="AJ197" s="43">
        <f t="shared" si="67"/>
        <v>0</v>
      </c>
      <c r="AK197" s="43">
        <f t="shared" si="68"/>
        <v>0</v>
      </c>
      <c r="AL197" s="43">
        <f t="shared" si="69"/>
        <v>0</v>
      </c>
      <c r="AN197" s="47">
        <f t="shared" si="70"/>
        <v>0</v>
      </c>
      <c r="AO197" s="47">
        <f t="shared" si="71"/>
        <v>0</v>
      </c>
      <c r="AP197" s="47">
        <f t="shared" si="72"/>
        <v>0</v>
      </c>
      <c r="AQ197" s="47">
        <f t="shared" si="73"/>
        <v>0</v>
      </c>
      <c r="AR197" s="43">
        <f t="shared" si="74"/>
        <v>0</v>
      </c>
      <c r="AY197" s="3"/>
    </row>
    <row r="198" spans="1:51" ht="13">
      <c r="A198" s="226"/>
      <c r="B198" s="37">
        <f>'13. Desinvesteringen'!B481</f>
        <v>462</v>
      </c>
      <c r="C198" s="48"/>
      <c r="D198" s="48"/>
      <c r="E198" s="48"/>
      <c r="F198" s="42">
        <f>'5. Input GAW-waarde desinv.'!D157</f>
        <v>0</v>
      </c>
      <c r="G198" s="175">
        <f>'13. Desinvesteringen'!D481</f>
        <v>1971</v>
      </c>
      <c r="H198" s="175">
        <f>'13. Desinvesteringen'!G481</f>
        <v>2023</v>
      </c>
      <c r="I198" s="37" t="str">
        <f>'13. Desinvesteringen'!C481</f>
        <v>15 Compressorstations (KC)</v>
      </c>
      <c r="J198" s="164">
        <f>'13. Desinvesteringen'!F481</f>
        <v>0</v>
      </c>
      <c r="K198" s="38">
        <f>_xlfn.XLOOKUP(I198,'3. Input (des)investeringen '!$B$11:$B$89,'3. Input (des)investeringen '!$E$11:$E$89)</f>
        <v>0</v>
      </c>
      <c r="L198" s="48"/>
      <c r="M198" s="38">
        <f>_xlfn.XLOOKUP(I198,'3. Input (des)investeringen '!$B$11:$B$89,'3. Input (des)investeringen '!$D$11:$D$89,0)</f>
        <v>30</v>
      </c>
      <c r="N198" s="38">
        <f t="shared" si="59"/>
        <v>0</v>
      </c>
      <c r="P198" s="43">
        <f t="shared" si="84"/>
        <v>0</v>
      </c>
      <c r="Q198" s="43">
        <f t="shared" si="84"/>
        <v>0</v>
      </c>
      <c r="R198" s="43">
        <f t="shared" si="84"/>
        <v>0</v>
      </c>
      <c r="S198" s="43">
        <f t="shared" si="84"/>
        <v>0</v>
      </c>
      <c r="T198" s="43">
        <f t="shared" si="84"/>
        <v>0</v>
      </c>
      <c r="V198" s="43">
        <f t="shared" si="78"/>
        <v>0</v>
      </c>
      <c r="W198" s="43">
        <f t="shared" si="79"/>
        <v>0</v>
      </c>
      <c r="X198" s="43">
        <f t="shared" si="80"/>
        <v>0</v>
      </c>
      <c r="Y198" s="43">
        <f t="shared" si="81"/>
        <v>0</v>
      </c>
      <c r="Z198" s="43">
        <f t="shared" si="82"/>
        <v>0</v>
      </c>
      <c r="AB198" s="43">
        <f t="shared" si="60"/>
        <v>0</v>
      </c>
      <c r="AC198" s="43">
        <f t="shared" si="61"/>
        <v>0</v>
      </c>
      <c r="AD198" s="43">
        <f t="shared" si="62"/>
        <v>0</v>
      </c>
      <c r="AE198" s="43">
        <f t="shared" si="63"/>
        <v>0</v>
      </c>
      <c r="AF198" s="43">
        <f t="shared" si="64"/>
        <v>0</v>
      </c>
      <c r="AH198" s="43">
        <f t="shared" si="65"/>
        <v>0</v>
      </c>
      <c r="AI198" s="43">
        <f t="shared" si="66"/>
        <v>0</v>
      </c>
      <c r="AJ198" s="43">
        <f t="shared" si="67"/>
        <v>0</v>
      </c>
      <c r="AK198" s="43">
        <f t="shared" si="68"/>
        <v>0</v>
      </c>
      <c r="AL198" s="43">
        <f t="shared" si="69"/>
        <v>0</v>
      </c>
      <c r="AN198" s="47">
        <f t="shared" si="70"/>
        <v>0</v>
      </c>
      <c r="AO198" s="47">
        <f t="shared" si="71"/>
        <v>0</v>
      </c>
      <c r="AP198" s="47">
        <f t="shared" si="72"/>
        <v>0</v>
      </c>
      <c r="AQ198" s="47">
        <f t="shared" si="73"/>
        <v>0</v>
      </c>
      <c r="AR198" s="43">
        <f t="shared" si="74"/>
        <v>0</v>
      </c>
      <c r="AY198" s="3"/>
    </row>
    <row r="199" spans="1:51" ht="13">
      <c r="A199" s="226"/>
      <c r="B199" s="37">
        <f>'13. Desinvesteringen'!B482</f>
        <v>463</v>
      </c>
      <c r="C199" s="48"/>
      <c r="D199" s="48"/>
      <c r="E199" s="48"/>
      <c r="F199" s="42">
        <f>'5. Input GAW-waarde desinv.'!D158</f>
        <v>0</v>
      </c>
      <c r="G199" s="175">
        <f>'13. Desinvesteringen'!D482</f>
        <v>1970</v>
      </c>
      <c r="H199" s="175">
        <f>'13. Desinvesteringen'!G482</f>
        <v>2023</v>
      </c>
      <c r="I199" s="37" t="str">
        <f>'13. Desinvesteringen'!C482</f>
        <v>15 Compressorstations (TT-BT-AT)</v>
      </c>
      <c r="J199" s="164">
        <f>'13. Desinvesteringen'!F482</f>
        <v>0</v>
      </c>
      <c r="K199" s="38">
        <f>_xlfn.XLOOKUP(I199,'3. Input (des)investeringen '!$B$11:$B$89,'3. Input (des)investeringen '!$E$11:$E$89)</f>
        <v>1</v>
      </c>
      <c r="L199" s="48"/>
      <c r="M199" s="38">
        <f>_xlfn.XLOOKUP(I199,'3. Input (des)investeringen '!$B$11:$B$89,'3. Input (des)investeringen '!$D$11:$D$89,0)</f>
        <v>30</v>
      </c>
      <c r="N199" s="38">
        <f t="shared" si="59"/>
        <v>0</v>
      </c>
      <c r="P199" s="43">
        <f t="shared" si="84"/>
        <v>0</v>
      </c>
      <c r="Q199" s="43">
        <f t="shared" si="84"/>
        <v>0</v>
      </c>
      <c r="R199" s="43">
        <f t="shared" si="84"/>
        <v>0</v>
      </c>
      <c r="S199" s="43">
        <f t="shared" si="84"/>
        <v>0</v>
      </c>
      <c r="T199" s="43">
        <f t="shared" si="84"/>
        <v>0</v>
      </c>
      <c r="V199" s="43">
        <f t="shared" si="78"/>
        <v>0</v>
      </c>
      <c r="W199" s="43">
        <f t="shared" si="79"/>
        <v>0</v>
      </c>
      <c r="X199" s="43">
        <f t="shared" si="80"/>
        <v>0</v>
      </c>
      <c r="Y199" s="43">
        <f t="shared" si="81"/>
        <v>0</v>
      </c>
      <c r="Z199" s="43">
        <f t="shared" si="82"/>
        <v>0</v>
      </c>
      <c r="AB199" s="43">
        <f t="shared" si="60"/>
        <v>0</v>
      </c>
      <c r="AC199" s="43">
        <f t="shared" si="61"/>
        <v>0</v>
      </c>
      <c r="AD199" s="43">
        <f t="shared" si="62"/>
        <v>0</v>
      </c>
      <c r="AE199" s="43">
        <f t="shared" si="63"/>
        <v>0</v>
      </c>
      <c r="AF199" s="43">
        <f t="shared" si="64"/>
        <v>0</v>
      </c>
      <c r="AH199" s="43">
        <f t="shared" si="65"/>
        <v>0</v>
      </c>
      <c r="AI199" s="43">
        <f t="shared" si="66"/>
        <v>0</v>
      </c>
      <c r="AJ199" s="43">
        <f t="shared" si="67"/>
        <v>0</v>
      </c>
      <c r="AK199" s="43">
        <f t="shared" si="68"/>
        <v>0</v>
      </c>
      <c r="AL199" s="43">
        <f t="shared" si="69"/>
        <v>0</v>
      </c>
      <c r="AN199" s="47">
        <f t="shared" si="70"/>
        <v>0</v>
      </c>
      <c r="AO199" s="47">
        <f t="shared" si="71"/>
        <v>0</v>
      </c>
      <c r="AP199" s="47">
        <f t="shared" si="72"/>
        <v>0</v>
      </c>
      <c r="AQ199" s="47">
        <f t="shared" si="73"/>
        <v>0</v>
      </c>
      <c r="AR199" s="43">
        <f t="shared" si="74"/>
        <v>0</v>
      </c>
      <c r="AY199" s="3"/>
    </row>
    <row r="200" spans="1:51" ht="13">
      <c r="A200" s="226"/>
      <c r="B200" s="37">
        <f>'13. Desinvesteringen'!B483</f>
        <v>464</v>
      </c>
      <c r="C200" s="48"/>
      <c r="D200" s="48"/>
      <c r="E200" s="48"/>
      <c r="F200" s="42">
        <f>'5. Input GAW-waarde desinv.'!D159</f>
        <v>0</v>
      </c>
      <c r="G200" s="175">
        <f>'13. Desinvesteringen'!D483</f>
        <v>1971</v>
      </c>
      <c r="H200" s="175">
        <f>'13. Desinvesteringen'!G483</f>
        <v>2023</v>
      </c>
      <c r="I200" s="37" t="str">
        <f>'13. Desinvesteringen'!C483</f>
        <v>15 Compressorstations (TT-BT-AT)</v>
      </c>
      <c r="J200" s="164">
        <f>'13. Desinvesteringen'!F483</f>
        <v>0</v>
      </c>
      <c r="K200" s="38">
        <f>_xlfn.XLOOKUP(I200,'3. Input (des)investeringen '!$B$11:$B$89,'3. Input (des)investeringen '!$E$11:$E$89)</f>
        <v>1</v>
      </c>
      <c r="L200" s="48"/>
      <c r="M200" s="38">
        <f>_xlfn.XLOOKUP(I200,'3. Input (des)investeringen '!$B$11:$B$89,'3. Input (des)investeringen '!$D$11:$D$89,0)</f>
        <v>30</v>
      </c>
      <c r="N200" s="38">
        <f t="shared" si="59"/>
        <v>0</v>
      </c>
      <c r="P200" s="43">
        <f t="shared" si="84"/>
        <v>0</v>
      </c>
      <c r="Q200" s="43">
        <f t="shared" si="84"/>
        <v>0</v>
      </c>
      <c r="R200" s="43">
        <f t="shared" si="84"/>
        <v>0</v>
      </c>
      <c r="S200" s="43">
        <f t="shared" si="84"/>
        <v>0</v>
      </c>
      <c r="T200" s="43">
        <f t="shared" si="84"/>
        <v>0</v>
      </c>
      <c r="V200" s="43">
        <f t="shared" si="78"/>
        <v>0</v>
      </c>
      <c r="W200" s="43">
        <f t="shared" si="79"/>
        <v>0</v>
      </c>
      <c r="X200" s="43">
        <f t="shared" si="80"/>
        <v>0</v>
      </c>
      <c r="Y200" s="43">
        <f t="shared" si="81"/>
        <v>0</v>
      </c>
      <c r="Z200" s="43">
        <f t="shared" si="82"/>
        <v>0</v>
      </c>
      <c r="AB200" s="43">
        <f t="shared" si="60"/>
        <v>0</v>
      </c>
      <c r="AC200" s="43">
        <f t="shared" si="61"/>
        <v>0</v>
      </c>
      <c r="AD200" s="43">
        <f t="shared" si="62"/>
        <v>0</v>
      </c>
      <c r="AE200" s="43">
        <f t="shared" si="63"/>
        <v>0</v>
      </c>
      <c r="AF200" s="43">
        <f t="shared" si="64"/>
        <v>0</v>
      </c>
      <c r="AH200" s="43">
        <f t="shared" si="65"/>
        <v>0</v>
      </c>
      <c r="AI200" s="43">
        <f t="shared" si="66"/>
        <v>0</v>
      </c>
      <c r="AJ200" s="43">
        <f t="shared" si="67"/>
        <v>0</v>
      </c>
      <c r="AK200" s="43">
        <f t="shared" si="68"/>
        <v>0</v>
      </c>
      <c r="AL200" s="43">
        <f t="shared" si="69"/>
        <v>0</v>
      </c>
      <c r="AN200" s="47">
        <f t="shared" si="70"/>
        <v>0</v>
      </c>
      <c r="AO200" s="47">
        <f t="shared" si="71"/>
        <v>0</v>
      </c>
      <c r="AP200" s="47">
        <f t="shared" si="72"/>
        <v>0</v>
      </c>
      <c r="AQ200" s="47">
        <f t="shared" si="73"/>
        <v>0</v>
      </c>
      <c r="AR200" s="43">
        <f t="shared" si="74"/>
        <v>0</v>
      </c>
      <c r="AY200" s="3"/>
    </row>
    <row r="201" spans="1:51" ht="13">
      <c r="A201" s="226"/>
      <c r="B201" s="37">
        <f>'13. Desinvesteringen'!B484</f>
        <v>465</v>
      </c>
      <c r="C201" s="48"/>
      <c r="D201" s="48"/>
      <c r="E201" s="48"/>
      <c r="F201" s="42">
        <f>'5. Input GAW-waarde desinv.'!D160</f>
        <v>0</v>
      </c>
      <c r="G201" s="175">
        <f>'13. Desinvesteringen'!D484</f>
        <v>1973</v>
      </c>
      <c r="H201" s="175">
        <f>'13. Desinvesteringen'!G484</f>
        <v>2023</v>
      </c>
      <c r="I201" s="37" t="str">
        <f>'13. Desinvesteringen'!C484</f>
        <v>15 Compressorstations (TT-BT-AT)</v>
      </c>
      <c r="J201" s="164">
        <f>'13. Desinvesteringen'!F484</f>
        <v>0</v>
      </c>
      <c r="K201" s="38">
        <f>_xlfn.XLOOKUP(I201,'3. Input (des)investeringen '!$B$11:$B$89,'3. Input (des)investeringen '!$E$11:$E$89)</f>
        <v>1</v>
      </c>
      <c r="L201" s="48"/>
      <c r="M201" s="38">
        <f>_xlfn.XLOOKUP(I201,'3. Input (des)investeringen '!$B$11:$B$89,'3. Input (des)investeringen '!$D$11:$D$89,0)</f>
        <v>30</v>
      </c>
      <c r="N201" s="38">
        <f t="shared" si="59"/>
        <v>0</v>
      </c>
      <c r="P201" s="43">
        <f t="shared" si="84"/>
        <v>0</v>
      </c>
      <c r="Q201" s="43">
        <f t="shared" si="84"/>
        <v>0</v>
      </c>
      <c r="R201" s="43">
        <f t="shared" si="84"/>
        <v>0</v>
      </c>
      <c r="S201" s="43">
        <f t="shared" si="84"/>
        <v>0</v>
      </c>
      <c r="T201" s="43">
        <f t="shared" si="84"/>
        <v>0</v>
      </c>
      <c r="V201" s="43">
        <f t="shared" si="78"/>
        <v>0</v>
      </c>
      <c r="W201" s="43">
        <f t="shared" si="79"/>
        <v>0</v>
      </c>
      <c r="X201" s="43">
        <f t="shared" si="80"/>
        <v>0</v>
      </c>
      <c r="Y201" s="43">
        <f t="shared" si="81"/>
        <v>0</v>
      </c>
      <c r="Z201" s="43">
        <f t="shared" si="82"/>
        <v>0</v>
      </c>
      <c r="AB201" s="43">
        <f t="shared" si="60"/>
        <v>0</v>
      </c>
      <c r="AC201" s="43">
        <f t="shared" si="61"/>
        <v>0</v>
      </c>
      <c r="AD201" s="43">
        <f t="shared" si="62"/>
        <v>0</v>
      </c>
      <c r="AE201" s="43">
        <f t="shared" si="63"/>
        <v>0</v>
      </c>
      <c r="AF201" s="43">
        <f t="shared" si="64"/>
        <v>0</v>
      </c>
      <c r="AH201" s="43">
        <f t="shared" si="65"/>
        <v>0</v>
      </c>
      <c r="AI201" s="43">
        <f t="shared" si="66"/>
        <v>0</v>
      </c>
      <c r="AJ201" s="43">
        <f t="shared" si="67"/>
        <v>0</v>
      </c>
      <c r="AK201" s="43">
        <f t="shared" si="68"/>
        <v>0</v>
      </c>
      <c r="AL201" s="43">
        <f t="shared" si="69"/>
        <v>0</v>
      </c>
      <c r="AN201" s="47">
        <f t="shared" si="70"/>
        <v>0</v>
      </c>
      <c r="AO201" s="47">
        <f t="shared" si="71"/>
        <v>0</v>
      </c>
      <c r="AP201" s="47">
        <f t="shared" si="72"/>
        <v>0</v>
      </c>
      <c r="AQ201" s="47">
        <f t="shared" si="73"/>
        <v>0</v>
      </c>
      <c r="AR201" s="43">
        <f t="shared" si="74"/>
        <v>0</v>
      </c>
      <c r="AY201" s="3"/>
    </row>
    <row r="202" spans="1:51" ht="13">
      <c r="A202" s="226"/>
      <c r="B202" s="37">
        <f>'13. Desinvesteringen'!B485</f>
        <v>466</v>
      </c>
      <c r="C202" s="48"/>
      <c r="D202" s="48"/>
      <c r="E202" s="48"/>
      <c r="F202" s="42">
        <f>'5. Input GAW-waarde desinv.'!D161</f>
        <v>0</v>
      </c>
      <c r="G202" s="175">
        <f>'13. Desinvesteringen'!D485</f>
        <v>1974</v>
      </c>
      <c r="H202" s="175">
        <f>'13. Desinvesteringen'!G485</f>
        <v>2023</v>
      </c>
      <c r="I202" s="37" t="str">
        <f>'13. Desinvesteringen'!C485</f>
        <v>15 Compressorstations (TT-BT-AT)</v>
      </c>
      <c r="J202" s="164">
        <f>'13. Desinvesteringen'!F485</f>
        <v>0</v>
      </c>
      <c r="K202" s="38">
        <f>_xlfn.XLOOKUP(I202,'3. Input (des)investeringen '!$B$11:$B$89,'3. Input (des)investeringen '!$E$11:$E$89)</f>
        <v>1</v>
      </c>
      <c r="L202" s="48"/>
      <c r="M202" s="38">
        <f>_xlfn.XLOOKUP(I202,'3. Input (des)investeringen '!$B$11:$B$89,'3. Input (des)investeringen '!$D$11:$D$89,0)</f>
        <v>30</v>
      </c>
      <c r="N202" s="38">
        <f t="shared" si="59"/>
        <v>0</v>
      </c>
      <c r="P202" s="43">
        <f t="shared" ref="P202:T211" si="85">IF($M202&gt;0, IF(OR($G202&gt;P$50,$G202+$M202&lt;P$50),0,
VDB($F202,0,$N202,MAX(0,P$50-2022),MIN($N202,P$50-2021),$F$23,FALSE))*(1-$F$26), 0)</f>
        <v>0</v>
      </c>
      <c r="Q202" s="43">
        <f t="shared" si="85"/>
        <v>0</v>
      </c>
      <c r="R202" s="43">
        <f t="shared" si="85"/>
        <v>0</v>
      </c>
      <c r="S202" s="43">
        <f t="shared" si="85"/>
        <v>0</v>
      </c>
      <c r="T202" s="43">
        <f t="shared" si="85"/>
        <v>0</v>
      </c>
      <c r="V202" s="43">
        <f t="shared" si="78"/>
        <v>0</v>
      </c>
      <c r="W202" s="43">
        <f t="shared" si="79"/>
        <v>0</v>
      </c>
      <c r="X202" s="43">
        <f t="shared" si="80"/>
        <v>0</v>
      </c>
      <c r="Y202" s="43">
        <f t="shared" si="81"/>
        <v>0</v>
      </c>
      <c r="Z202" s="43">
        <f t="shared" si="82"/>
        <v>0</v>
      </c>
      <c r="AB202" s="43">
        <f t="shared" si="60"/>
        <v>0</v>
      </c>
      <c r="AC202" s="43">
        <f t="shared" si="61"/>
        <v>0</v>
      </c>
      <c r="AD202" s="43">
        <f t="shared" si="62"/>
        <v>0</v>
      </c>
      <c r="AE202" s="43">
        <f t="shared" si="63"/>
        <v>0</v>
      </c>
      <c r="AF202" s="43">
        <f t="shared" si="64"/>
        <v>0</v>
      </c>
      <c r="AH202" s="43">
        <f t="shared" si="65"/>
        <v>0</v>
      </c>
      <c r="AI202" s="43">
        <f t="shared" si="66"/>
        <v>0</v>
      </c>
      <c r="AJ202" s="43">
        <f t="shared" si="67"/>
        <v>0</v>
      </c>
      <c r="AK202" s="43">
        <f t="shared" si="68"/>
        <v>0</v>
      </c>
      <c r="AL202" s="43">
        <f t="shared" si="69"/>
        <v>0</v>
      </c>
      <c r="AN202" s="47">
        <f t="shared" si="70"/>
        <v>0</v>
      </c>
      <c r="AO202" s="47">
        <f t="shared" si="71"/>
        <v>0</v>
      </c>
      <c r="AP202" s="47">
        <f t="shared" si="72"/>
        <v>0</v>
      </c>
      <c r="AQ202" s="47">
        <f t="shared" si="73"/>
        <v>0</v>
      </c>
      <c r="AR202" s="43">
        <f t="shared" si="74"/>
        <v>0</v>
      </c>
      <c r="AY202" s="3"/>
    </row>
    <row r="203" spans="1:51" ht="13">
      <c r="A203" s="226"/>
      <c r="B203" s="37">
        <f>'13. Desinvesteringen'!B486</f>
        <v>467</v>
      </c>
      <c r="C203" s="48"/>
      <c r="D203" s="48"/>
      <c r="E203" s="48"/>
      <c r="F203" s="42">
        <f>'5. Input GAW-waarde desinv.'!D162</f>
        <v>0</v>
      </c>
      <c r="G203" s="175">
        <f>'13. Desinvesteringen'!D486</f>
        <v>1977</v>
      </c>
      <c r="H203" s="175">
        <f>'13. Desinvesteringen'!G486</f>
        <v>2023</v>
      </c>
      <c r="I203" s="37" t="str">
        <f>'13. Desinvesteringen'!C486</f>
        <v>15 Compressorstations (TT-BT-AT)</v>
      </c>
      <c r="J203" s="164">
        <f>'13. Desinvesteringen'!F486</f>
        <v>0</v>
      </c>
      <c r="K203" s="38">
        <f>_xlfn.XLOOKUP(I203,'3. Input (des)investeringen '!$B$11:$B$89,'3. Input (des)investeringen '!$E$11:$E$89)</f>
        <v>1</v>
      </c>
      <c r="L203" s="48"/>
      <c r="M203" s="38">
        <f>_xlfn.XLOOKUP(I203,'3. Input (des)investeringen '!$B$11:$B$89,'3. Input (des)investeringen '!$D$11:$D$89,0)</f>
        <v>30</v>
      </c>
      <c r="N203" s="38">
        <f t="shared" si="59"/>
        <v>0</v>
      </c>
      <c r="P203" s="43">
        <f t="shared" si="85"/>
        <v>0</v>
      </c>
      <c r="Q203" s="43">
        <f t="shared" si="85"/>
        <v>0</v>
      </c>
      <c r="R203" s="43">
        <f t="shared" si="85"/>
        <v>0</v>
      </c>
      <c r="S203" s="43">
        <f t="shared" si="85"/>
        <v>0</v>
      </c>
      <c r="T203" s="43">
        <f t="shared" si="85"/>
        <v>0</v>
      </c>
      <c r="V203" s="43">
        <f t="shared" si="78"/>
        <v>0</v>
      </c>
      <c r="W203" s="43">
        <f t="shared" si="79"/>
        <v>0</v>
      </c>
      <c r="X203" s="43">
        <f t="shared" si="80"/>
        <v>0</v>
      </c>
      <c r="Y203" s="43">
        <f t="shared" si="81"/>
        <v>0</v>
      </c>
      <c r="Z203" s="43">
        <f t="shared" si="82"/>
        <v>0</v>
      </c>
      <c r="AB203" s="43">
        <f t="shared" si="60"/>
        <v>0</v>
      </c>
      <c r="AC203" s="43">
        <f t="shared" si="61"/>
        <v>0</v>
      </c>
      <c r="AD203" s="43">
        <f t="shared" si="62"/>
        <v>0</v>
      </c>
      <c r="AE203" s="43">
        <f t="shared" si="63"/>
        <v>0</v>
      </c>
      <c r="AF203" s="43">
        <f t="shared" si="64"/>
        <v>0</v>
      </c>
      <c r="AH203" s="43">
        <f t="shared" si="65"/>
        <v>0</v>
      </c>
      <c r="AI203" s="43">
        <f t="shared" si="66"/>
        <v>0</v>
      </c>
      <c r="AJ203" s="43">
        <f t="shared" si="67"/>
        <v>0</v>
      </c>
      <c r="AK203" s="43">
        <f t="shared" si="68"/>
        <v>0</v>
      </c>
      <c r="AL203" s="43">
        <f t="shared" si="69"/>
        <v>0</v>
      </c>
      <c r="AN203" s="47">
        <f t="shared" si="70"/>
        <v>0</v>
      </c>
      <c r="AO203" s="47">
        <f t="shared" si="71"/>
        <v>0</v>
      </c>
      <c r="AP203" s="47">
        <f t="shared" si="72"/>
        <v>0</v>
      </c>
      <c r="AQ203" s="47">
        <f t="shared" si="73"/>
        <v>0</v>
      </c>
      <c r="AR203" s="43">
        <f t="shared" si="74"/>
        <v>0</v>
      </c>
      <c r="AY203" s="3"/>
    </row>
    <row r="204" spans="1:51" ht="13">
      <c r="A204" s="226"/>
      <c r="B204" s="37">
        <f>'13. Desinvesteringen'!B487</f>
        <v>468</v>
      </c>
      <c r="C204" s="48"/>
      <c r="D204" s="48"/>
      <c r="E204" s="48"/>
      <c r="F204" s="42">
        <f>'5. Input GAW-waarde desinv.'!D163</f>
        <v>0</v>
      </c>
      <c r="G204" s="175">
        <f>'13. Desinvesteringen'!D487</f>
        <v>1978</v>
      </c>
      <c r="H204" s="175">
        <f>'13. Desinvesteringen'!G487</f>
        <v>2023</v>
      </c>
      <c r="I204" s="37" t="str">
        <f>'13. Desinvesteringen'!C487</f>
        <v>15 Compressorstations (TT-BT-AT)</v>
      </c>
      <c r="J204" s="164">
        <f>'13. Desinvesteringen'!F487</f>
        <v>0</v>
      </c>
      <c r="K204" s="38">
        <f>_xlfn.XLOOKUP(I204,'3. Input (des)investeringen '!$B$11:$B$89,'3. Input (des)investeringen '!$E$11:$E$89)</f>
        <v>1</v>
      </c>
      <c r="L204" s="48"/>
      <c r="M204" s="38">
        <f>_xlfn.XLOOKUP(I204,'3. Input (des)investeringen '!$B$11:$B$89,'3. Input (des)investeringen '!$D$11:$D$89,0)</f>
        <v>30</v>
      </c>
      <c r="N204" s="38">
        <f t="shared" si="59"/>
        <v>0</v>
      </c>
      <c r="P204" s="43">
        <f t="shared" si="85"/>
        <v>0</v>
      </c>
      <c r="Q204" s="43">
        <f t="shared" si="85"/>
        <v>0</v>
      </c>
      <c r="R204" s="43">
        <f t="shared" si="85"/>
        <v>0</v>
      </c>
      <c r="S204" s="43">
        <f t="shared" si="85"/>
        <v>0</v>
      </c>
      <c r="T204" s="43">
        <f t="shared" si="85"/>
        <v>0</v>
      </c>
      <c r="V204" s="43">
        <f t="shared" si="78"/>
        <v>0</v>
      </c>
      <c r="W204" s="43">
        <f t="shared" si="79"/>
        <v>0</v>
      </c>
      <c r="X204" s="43">
        <f t="shared" si="80"/>
        <v>0</v>
      </c>
      <c r="Y204" s="43">
        <f t="shared" si="81"/>
        <v>0</v>
      </c>
      <c r="Z204" s="43">
        <f t="shared" si="82"/>
        <v>0</v>
      </c>
      <c r="AB204" s="43">
        <f t="shared" si="60"/>
        <v>0</v>
      </c>
      <c r="AC204" s="43">
        <f t="shared" si="61"/>
        <v>0</v>
      </c>
      <c r="AD204" s="43">
        <f t="shared" si="62"/>
        <v>0</v>
      </c>
      <c r="AE204" s="43">
        <f t="shared" si="63"/>
        <v>0</v>
      </c>
      <c r="AF204" s="43">
        <f t="shared" si="64"/>
        <v>0</v>
      </c>
      <c r="AH204" s="43">
        <f t="shared" si="65"/>
        <v>0</v>
      </c>
      <c r="AI204" s="43">
        <f t="shared" si="66"/>
        <v>0</v>
      </c>
      <c r="AJ204" s="43">
        <f t="shared" si="67"/>
        <v>0</v>
      </c>
      <c r="AK204" s="43">
        <f t="shared" si="68"/>
        <v>0</v>
      </c>
      <c r="AL204" s="43">
        <f t="shared" si="69"/>
        <v>0</v>
      </c>
      <c r="AN204" s="47">
        <f t="shared" si="70"/>
        <v>0</v>
      </c>
      <c r="AO204" s="47">
        <f t="shared" si="71"/>
        <v>0</v>
      </c>
      <c r="AP204" s="47">
        <f t="shared" si="72"/>
        <v>0</v>
      </c>
      <c r="AQ204" s="47">
        <f t="shared" si="73"/>
        <v>0</v>
      </c>
      <c r="AR204" s="43">
        <f t="shared" si="74"/>
        <v>0</v>
      </c>
      <c r="AY204" s="3"/>
    </row>
    <row r="205" spans="1:51" ht="13">
      <c r="A205" s="226"/>
      <c r="B205" s="37">
        <f>'13. Desinvesteringen'!B488</f>
        <v>469</v>
      </c>
      <c r="C205" s="48"/>
      <c r="D205" s="48"/>
      <c r="E205" s="48"/>
      <c r="F205" s="42">
        <f>'5. Input GAW-waarde desinv.'!D164</f>
        <v>0</v>
      </c>
      <c r="G205" s="175">
        <f>'13. Desinvesteringen'!D488</f>
        <v>1980</v>
      </c>
      <c r="H205" s="175">
        <f>'13. Desinvesteringen'!G488</f>
        <v>2023</v>
      </c>
      <c r="I205" s="37" t="str">
        <f>'13. Desinvesteringen'!C488</f>
        <v>15 Compressorstations (TT-BT-AT)</v>
      </c>
      <c r="J205" s="164">
        <f>'13. Desinvesteringen'!F488</f>
        <v>0</v>
      </c>
      <c r="K205" s="38">
        <f>_xlfn.XLOOKUP(I205,'3. Input (des)investeringen '!$B$11:$B$89,'3. Input (des)investeringen '!$E$11:$E$89)</f>
        <v>1</v>
      </c>
      <c r="L205" s="48"/>
      <c r="M205" s="38">
        <f>_xlfn.XLOOKUP(I205,'3. Input (des)investeringen '!$B$11:$B$89,'3. Input (des)investeringen '!$D$11:$D$89,0)</f>
        <v>30</v>
      </c>
      <c r="N205" s="38">
        <f t="shared" si="59"/>
        <v>0</v>
      </c>
      <c r="P205" s="43">
        <f t="shared" si="85"/>
        <v>0</v>
      </c>
      <c r="Q205" s="43">
        <f t="shared" si="85"/>
        <v>0</v>
      </c>
      <c r="R205" s="43">
        <f t="shared" si="85"/>
        <v>0</v>
      </c>
      <c r="S205" s="43">
        <f t="shared" si="85"/>
        <v>0</v>
      </c>
      <c r="T205" s="43">
        <f t="shared" si="85"/>
        <v>0</v>
      </c>
      <c r="V205" s="43">
        <f t="shared" si="78"/>
        <v>0</v>
      </c>
      <c r="W205" s="43">
        <f t="shared" si="79"/>
        <v>0</v>
      </c>
      <c r="X205" s="43">
        <f t="shared" si="80"/>
        <v>0</v>
      </c>
      <c r="Y205" s="43">
        <f t="shared" si="81"/>
        <v>0</v>
      </c>
      <c r="Z205" s="43">
        <f t="shared" si="82"/>
        <v>0</v>
      </c>
      <c r="AB205" s="43">
        <f t="shared" si="60"/>
        <v>0</v>
      </c>
      <c r="AC205" s="43">
        <f t="shared" si="61"/>
        <v>0</v>
      </c>
      <c r="AD205" s="43">
        <f t="shared" si="62"/>
        <v>0</v>
      </c>
      <c r="AE205" s="43">
        <f t="shared" si="63"/>
        <v>0</v>
      </c>
      <c r="AF205" s="43">
        <f t="shared" si="64"/>
        <v>0</v>
      </c>
      <c r="AH205" s="43">
        <f t="shared" si="65"/>
        <v>0</v>
      </c>
      <c r="AI205" s="43">
        <f t="shared" si="66"/>
        <v>0</v>
      </c>
      <c r="AJ205" s="43">
        <f t="shared" si="67"/>
        <v>0</v>
      </c>
      <c r="AK205" s="43">
        <f t="shared" si="68"/>
        <v>0</v>
      </c>
      <c r="AL205" s="43">
        <f t="shared" si="69"/>
        <v>0</v>
      </c>
      <c r="AN205" s="47">
        <f t="shared" si="70"/>
        <v>0</v>
      </c>
      <c r="AO205" s="47">
        <f t="shared" si="71"/>
        <v>0</v>
      </c>
      <c r="AP205" s="47">
        <f t="shared" si="72"/>
        <v>0</v>
      </c>
      <c r="AQ205" s="47">
        <f t="shared" si="73"/>
        <v>0</v>
      </c>
      <c r="AR205" s="43">
        <f t="shared" si="74"/>
        <v>0</v>
      </c>
      <c r="AY205" s="3"/>
    </row>
    <row r="206" spans="1:51" ht="13">
      <c r="A206" s="226"/>
      <c r="B206" s="37">
        <f>'13. Desinvesteringen'!B489</f>
        <v>470</v>
      </c>
      <c r="C206" s="48"/>
      <c r="D206" s="48"/>
      <c r="E206" s="48"/>
      <c r="F206" s="42">
        <f>'5. Input GAW-waarde desinv.'!D165</f>
        <v>0</v>
      </c>
      <c r="G206" s="175">
        <f>'13. Desinvesteringen'!D489</f>
        <v>1989</v>
      </c>
      <c r="H206" s="175">
        <f>'13. Desinvesteringen'!G489</f>
        <v>2023</v>
      </c>
      <c r="I206" s="37" t="str">
        <f>'13. Desinvesteringen'!C489</f>
        <v>15 Compressorstations (TT-BT-AT)</v>
      </c>
      <c r="J206" s="164">
        <f>'13. Desinvesteringen'!F489</f>
        <v>0</v>
      </c>
      <c r="K206" s="38">
        <f>_xlfn.XLOOKUP(I206,'3. Input (des)investeringen '!$B$11:$B$89,'3. Input (des)investeringen '!$E$11:$E$89)</f>
        <v>1</v>
      </c>
      <c r="L206" s="48"/>
      <c r="M206" s="38">
        <f>_xlfn.XLOOKUP(I206,'3. Input (des)investeringen '!$B$11:$B$89,'3. Input (des)investeringen '!$D$11:$D$89,0)</f>
        <v>30</v>
      </c>
      <c r="N206" s="38">
        <f t="shared" si="59"/>
        <v>0</v>
      </c>
      <c r="P206" s="43">
        <f t="shared" si="85"/>
        <v>0</v>
      </c>
      <c r="Q206" s="43">
        <f t="shared" si="85"/>
        <v>0</v>
      </c>
      <c r="R206" s="43">
        <f t="shared" si="85"/>
        <v>0</v>
      </c>
      <c r="S206" s="43">
        <f t="shared" si="85"/>
        <v>0</v>
      </c>
      <c r="T206" s="43">
        <f t="shared" si="85"/>
        <v>0</v>
      </c>
      <c r="V206" s="43">
        <f t="shared" si="78"/>
        <v>0</v>
      </c>
      <c r="W206" s="43">
        <f t="shared" si="79"/>
        <v>0</v>
      </c>
      <c r="X206" s="43">
        <f t="shared" si="80"/>
        <v>0</v>
      </c>
      <c r="Y206" s="43">
        <f t="shared" si="81"/>
        <v>0</v>
      </c>
      <c r="Z206" s="43">
        <f t="shared" si="82"/>
        <v>0</v>
      </c>
      <c r="AB206" s="43">
        <f t="shared" si="60"/>
        <v>0</v>
      </c>
      <c r="AC206" s="43">
        <f t="shared" si="61"/>
        <v>0</v>
      </c>
      <c r="AD206" s="43">
        <f t="shared" si="62"/>
        <v>0</v>
      </c>
      <c r="AE206" s="43">
        <f t="shared" si="63"/>
        <v>0</v>
      </c>
      <c r="AF206" s="43">
        <f t="shared" si="64"/>
        <v>0</v>
      </c>
      <c r="AH206" s="43">
        <f t="shared" si="65"/>
        <v>0</v>
      </c>
      <c r="AI206" s="43">
        <f t="shared" si="66"/>
        <v>0</v>
      </c>
      <c r="AJ206" s="43">
        <f t="shared" si="67"/>
        <v>0</v>
      </c>
      <c r="AK206" s="43">
        <f t="shared" si="68"/>
        <v>0</v>
      </c>
      <c r="AL206" s="43">
        <f t="shared" si="69"/>
        <v>0</v>
      </c>
      <c r="AN206" s="47">
        <f t="shared" si="70"/>
        <v>0</v>
      </c>
      <c r="AO206" s="47">
        <f t="shared" si="71"/>
        <v>0</v>
      </c>
      <c r="AP206" s="47">
        <f t="shared" si="72"/>
        <v>0</v>
      </c>
      <c r="AQ206" s="47">
        <f t="shared" si="73"/>
        <v>0</v>
      </c>
      <c r="AR206" s="43">
        <f t="shared" si="74"/>
        <v>0</v>
      </c>
      <c r="AY206" s="3"/>
    </row>
    <row r="207" spans="1:51" ht="13">
      <c r="A207" s="226"/>
      <c r="B207" s="37">
        <f>'13. Desinvesteringen'!B490</f>
        <v>471</v>
      </c>
      <c r="C207" s="48"/>
      <c r="D207" s="48"/>
      <c r="E207" s="48"/>
      <c r="F207" s="42">
        <f>'5. Input GAW-waarde desinv.'!D166</f>
        <v>0</v>
      </c>
      <c r="G207" s="175">
        <f>'13. Desinvesteringen'!D490</f>
        <v>1990</v>
      </c>
      <c r="H207" s="175">
        <f>'13. Desinvesteringen'!G490</f>
        <v>2023</v>
      </c>
      <c r="I207" s="37" t="str">
        <f>'13. Desinvesteringen'!C490</f>
        <v>15 Compressorstations (TT-BT-AT)</v>
      </c>
      <c r="J207" s="164">
        <f>'13. Desinvesteringen'!F490</f>
        <v>0</v>
      </c>
      <c r="K207" s="38">
        <f>_xlfn.XLOOKUP(I207,'3. Input (des)investeringen '!$B$11:$B$89,'3. Input (des)investeringen '!$E$11:$E$89)</f>
        <v>1</v>
      </c>
      <c r="L207" s="48"/>
      <c r="M207" s="38">
        <f>_xlfn.XLOOKUP(I207,'3. Input (des)investeringen '!$B$11:$B$89,'3. Input (des)investeringen '!$D$11:$D$89,0)</f>
        <v>30</v>
      </c>
      <c r="N207" s="38">
        <f t="shared" si="59"/>
        <v>0</v>
      </c>
      <c r="P207" s="43">
        <f t="shared" si="85"/>
        <v>0</v>
      </c>
      <c r="Q207" s="43">
        <f t="shared" si="85"/>
        <v>0</v>
      </c>
      <c r="R207" s="43">
        <f t="shared" si="85"/>
        <v>0</v>
      </c>
      <c r="S207" s="43">
        <f t="shared" si="85"/>
        <v>0</v>
      </c>
      <c r="T207" s="43">
        <f t="shared" si="85"/>
        <v>0</v>
      </c>
      <c r="V207" s="43">
        <f t="shared" si="78"/>
        <v>0</v>
      </c>
      <c r="W207" s="43">
        <f t="shared" si="79"/>
        <v>0</v>
      </c>
      <c r="X207" s="43">
        <f t="shared" si="80"/>
        <v>0</v>
      </c>
      <c r="Y207" s="43">
        <f t="shared" si="81"/>
        <v>0</v>
      </c>
      <c r="Z207" s="43">
        <f t="shared" si="82"/>
        <v>0</v>
      </c>
      <c r="AB207" s="43">
        <f t="shared" si="60"/>
        <v>0</v>
      </c>
      <c r="AC207" s="43">
        <f t="shared" si="61"/>
        <v>0</v>
      </c>
      <c r="AD207" s="43">
        <f t="shared" si="62"/>
        <v>0</v>
      </c>
      <c r="AE207" s="43">
        <f t="shared" si="63"/>
        <v>0</v>
      </c>
      <c r="AF207" s="43">
        <f t="shared" si="64"/>
        <v>0</v>
      </c>
      <c r="AH207" s="43">
        <f t="shared" si="65"/>
        <v>0</v>
      </c>
      <c r="AI207" s="43">
        <f t="shared" si="66"/>
        <v>0</v>
      </c>
      <c r="AJ207" s="43">
        <f t="shared" si="67"/>
        <v>0</v>
      </c>
      <c r="AK207" s="43">
        <f t="shared" si="68"/>
        <v>0</v>
      </c>
      <c r="AL207" s="43">
        <f t="shared" si="69"/>
        <v>0</v>
      </c>
      <c r="AN207" s="47">
        <f t="shared" si="70"/>
        <v>0</v>
      </c>
      <c r="AO207" s="47">
        <f t="shared" si="71"/>
        <v>0</v>
      </c>
      <c r="AP207" s="47">
        <f t="shared" si="72"/>
        <v>0</v>
      </c>
      <c r="AQ207" s="47">
        <f t="shared" si="73"/>
        <v>0</v>
      </c>
      <c r="AR207" s="43">
        <f t="shared" si="74"/>
        <v>0</v>
      </c>
      <c r="AY207" s="3"/>
    </row>
    <row r="208" spans="1:51" ht="13">
      <c r="A208" s="226"/>
      <c r="B208" s="37">
        <f>'13. Desinvesteringen'!B491</f>
        <v>472</v>
      </c>
      <c r="C208" s="48"/>
      <c r="D208" s="48"/>
      <c r="E208" s="48"/>
      <c r="F208" s="42">
        <f>'5. Input GAW-waarde desinv.'!D167</f>
        <v>20595.049218865919</v>
      </c>
      <c r="G208" s="175">
        <f>'13. Desinvesteringen'!D491</f>
        <v>1992</v>
      </c>
      <c r="H208" s="175">
        <f>'13. Desinvesteringen'!G491</f>
        <v>2023</v>
      </c>
      <c r="I208" s="37" t="str">
        <f>'13. Desinvesteringen'!C491</f>
        <v>15 Compressorstations (TT-BT-AT)</v>
      </c>
      <c r="J208" s="164">
        <f>'13. Desinvesteringen'!F491</f>
        <v>0</v>
      </c>
      <c r="K208" s="38">
        <f>_xlfn.XLOOKUP(I208,'3. Input (des)investeringen '!$B$11:$B$89,'3. Input (des)investeringen '!$E$11:$E$89)</f>
        <v>1</v>
      </c>
      <c r="L208" s="48"/>
      <c r="M208" s="38">
        <f>_xlfn.XLOOKUP(I208,'3. Input (des)investeringen '!$B$11:$B$89,'3. Input (des)investeringen '!$D$11:$D$89,0)</f>
        <v>30</v>
      </c>
      <c r="N208" s="38">
        <f t="shared" ref="N208:N267" si="86">IF($M208&gt;0, MAX(0,IF(G208&lt;2022,M208-2021+G208-0.5,M208)), 0)</f>
        <v>0.5</v>
      </c>
      <c r="P208" s="43">
        <f t="shared" si="85"/>
        <v>18535.544296979329</v>
      </c>
      <c r="Q208" s="43">
        <f t="shared" si="85"/>
        <v>0</v>
      </c>
      <c r="R208" s="43">
        <f t="shared" si="85"/>
        <v>0</v>
      </c>
      <c r="S208" s="43">
        <f t="shared" si="85"/>
        <v>0</v>
      </c>
      <c r="T208" s="43">
        <f t="shared" si="85"/>
        <v>0</v>
      </c>
      <c r="V208" s="43">
        <f t="shared" si="78"/>
        <v>2059.504921886592</v>
      </c>
      <c r="W208" s="43">
        <f t="shared" si="79"/>
        <v>0</v>
      </c>
      <c r="X208" s="43">
        <f t="shared" si="80"/>
        <v>0</v>
      </c>
      <c r="Y208" s="43">
        <f t="shared" si="81"/>
        <v>0</v>
      </c>
      <c r="Z208" s="43">
        <f t="shared" si="82"/>
        <v>0</v>
      </c>
      <c r="AB208" s="43">
        <f t="shared" ref="AB208:AB267" si="87">P208+V208</f>
        <v>20595.049218865923</v>
      </c>
      <c r="AC208" s="43">
        <f t="shared" ref="AC208:AC267" si="88">Q208+W208</f>
        <v>0</v>
      </c>
      <c r="AD208" s="43">
        <f t="shared" ref="AD208:AD267" si="89">R208+X208</f>
        <v>0</v>
      </c>
      <c r="AE208" s="43">
        <f t="shared" ref="AE208:AE267" si="90">S208+Y208</f>
        <v>0</v>
      </c>
      <c r="AF208" s="43">
        <f t="shared" ref="AF208:AF267" si="91">T208+Z208</f>
        <v>0</v>
      </c>
      <c r="AH208" s="43">
        <f t="shared" ref="AH208:AH267" si="92">IF($M208&gt;0, IF($M208&gt;0,IF(OR($G208&gt;AH$50,$G208+$M208&lt;=AH$50),0,IF(AH$50=2022,$F208-AB208,AG208-AB208))), $F208)</f>
        <v>0</v>
      </c>
      <c r="AI208" s="43">
        <f t="shared" ref="AI208:AI267" si="93">IF($M208&gt;0, IF(OR($G208&gt;AI$50,$G208+$M208&lt;=AI$50),0,IF(AI$50=2022,$F208-AC208,AH208-AC208)), AH208)</f>
        <v>0</v>
      </c>
      <c r="AJ208" s="43">
        <f t="shared" ref="AJ208:AJ267" si="94">IF($M208&gt;0, IF(OR($G208&gt;AJ$50,$G208+$M208&lt;=AJ$50),0,IF(AJ$50=2022,$F208-AD208,AI208-AD208)), AI208)</f>
        <v>0</v>
      </c>
      <c r="AK208" s="43">
        <f t="shared" ref="AK208:AK267" si="95">IF($M208&gt;0, IF(OR($G208&gt;AK$50,$G208+$M208&lt;=AK$50),0,IF(AK$50=2022,$F208-AE208,AJ208-AE208)), AJ208)</f>
        <v>0</v>
      </c>
      <c r="AL208" s="43">
        <f t="shared" ref="AL208:AL267" si="96">IF($M208&gt;0, IF(OR($G208&gt;AL$50,$G208+$M208&lt;=AL$50),0,IF(AL$50=2022,$F208-AF208,AK208-AF208)), AK208)</f>
        <v>0</v>
      </c>
      <c r="AN208" s="47">
        <f t="shared" ref="AN208:AN267" si="97">(AB208+AH208*H$17)*IF($K208=1,$F$32,1)</f>
        <v>20595.049218865923</v>
      </c>
      <c r="AO208" s="47">
        <f t="shared" ref="AO208:AO267" si="98">(AC208+AI208*I$17)*IF($K208=1,$F$32,1)</f>
        <v>0</v>
      </c>
      <c r="AP208" s="47">
        <f t="shared" ref="AP208:AP267" si="99">(AD208+AJ208*J$17)*IF($K208=1,$F$32,1)</f>
        <v>0</v>
      </c>
      <c r="AQ208" s="47">
        <f t="shared" ref="AQ208:AQ267" si="100">(AE208+AK208*K$17)*IF($K208=1,$F$32,1)</f>
        <v>0</v>
      </c>
      <c r="AR208" s="43">
        <f t="shared" ref="AR208:AR267" si="101">(AF208+AL208*L$17)*IF($K208=1,$F$32,1)</f>
        <v>0</v>
      </c>
      <c r="AY208" s="3"/>
    </row>
    <row r="209" spans="1:51" ht="13">
      <c r="A209" s="226"/>
      <c r="B209" s="37">
        <f>'13. Desinvesteringen'!B492</f>
        <v>473</v>
      </c>
      <c r="C209" s="48"/>
      <c r="D209" s="48"/>
      <c r="E209" s="48"/>
      <c r="F209" s="42">
        <f>'5. Input GAW-waarde desinv.'!D168</f>
        <v>6033.3008476088025</v>
      </c>
      <c r="G209" s="175">
        <f>'13. Desinvesteringen'!D492</f>
        <v>1998</v>
      </c>
      <c r="H209" s="175">
        <f>'13. Desinvesteringen'!G492</f>
        <v>2023</v>
      </c>
      <c r="I209" s="37" t="str">
        <f>'13. Desinvesteringen'!C492</f>
        <v>15 Compressorstations (TT-BT-AT)</v>
      </c>
      <c r="J209" s="164">
        <f>'13. Desinvesteringen'!F492</f>
        <v>0</v>
      </c>
      <c r="K209" s="38">
        <f>_xlfn.XLOOKUP(I209,'3. Input (des)investeringen '!$B$11:$B$89,'3. Input (des)investeringen '!$E$11:$E$89)</f>
        <v>1</v>
      </c>
      <c r="L209" s="48"/>
      <c r="M209" s="38">
        <f>_xlfn.XLOOKUP(I209,'3. Input (des)investeringen '!$B$11:$B$89,'3. Input (des)investeringen '!$D$11:$D$89,0)</f>
        <v>30</v>
      </c>
      <c r="N209" s="38">
        <f t="shared" si="86"/>
        <v>6.5</v>
      </c>
      <c r="P209" s="43">
        <f t="shared" si="85"/>
        <v>1085.9941525695845</v>
      </c>
      <c r="Q209" s="43">
        <f t="shared" si="85"/>
        <v>868.79532205566761</v>
      </c>
      <c r="R209" s="43">
        <f t="shared" si="85"/>
        <v>772.2625084939267</v>
      </c>
      <c r="S209" s="43">
        <f t="shared" si="85"/>
        <v>772.2625084939267</v>
      </c>
      <c r="T209" s="43">
        <f t="shared" si="85"/>
        <v>772.2625084939267</v>
      </c>
      <c r="V209" s="43">
        <f t="shared" si="78"/>
        <v>92.820013040135436</v>
      </c>
      <c r="W209" s="43">
        <f t="shared" si="79"/>
        <v>92.820013040135422</v>
      </c>
      <c r="X209" s="43">
        <f t="shared" si="80"/>
        <v>92.820013040135422</v>
      </c>
      <c r="Y209" s="43">
        <f t="shared" si="81"/>
        <v>92.820013040135422</v>
      </c>
      <c r="Z209" s="43">
        <f t="shared" si="82"/>
        <v>92.820013040135422</v>
      </c>
      <c r="AB209" s="43">
        <f t="shared" si="87"/>
        <v>1178.8141656097198</v>
      </c>
      <c r="AC209" s="43">
        <f t="shared" si="88"/>
        <v>961.61533509580306</v>
      </c>
      <c r="AD209" s="43">
        <f t="shared" si="89"/>
        <v>865.08252153406215</v>
      </c>
      <c r="AE209" s="43">
        <f t="shared" si="90"/>
        <v>865.08252153406215</v>
      </c>
      <c r="AF209" s="43">
        <f t="shared" si="91"/>
        <v>865.08252153406215</v>
      </c>
      <c r="AH209" s="43">
        <f t="shared" si="92"/>
        <v>4854.486681999083</v>
      </c>
      <c r="AI209" s="43">
        <f t="shared" si="93"/>
        <v>3892.87134690328</v>
      </c>
      <c r="AJ209" s="43">
        <f t="shared" si="94"/>
        <v>3027.7888253692181</v>
      </c>
      <c r="AK209" s="43">
        <f t="shared" si="95"/>
        <v>2162.7063038351562</v>
      </c>
      <c r="AL209" s="43">
        <f t="shared" si="96"/>
        <v>1297.623782301094</v>
      </c>
      <c r="AN209" s="47">
        <f t="shared" si="97"/>
        <v>1377.8481195716822</v>
      </c>
      <c r="AO209" s="47">
        <f t="shared" si="98"/>
        <v>1160.1517737878703</v>
      </c>
      <c r="AP209" s="47">
        <f t="shared" si="99"/>
        <v>1019.4997516278922</v>
      </c>
      <c r="AQ209" s="47">
        <f t="shared" si="100"/>
        <v>984.03136824499575</v>
      </c>
      <c r="AR209" s="43">
        <f t="shared" si="101"/>
        <v>914.39222526150377</v>
      </c>
      <c r="AY209" s="3"/>
    </row>
    <row r="210" spans="1:51" ht="13">
      <c r="A210" s="226"/>
      <c r="B210" s="37">
        <f>'13. Desinvesteringen'!B493</f>
        <v>474</v>
      </c>
      <c r="C210" s="48"/>
      <c r="D210" s="48"/>
      <c r="E210" s="48"/>
      <c r="F210" s="42">
        <f>'5. Input GAW-waarde desinv.'!D169</f>
        <v>114286.36357614314</v>
      </c>
      <c r="G210" s="175">
        <f>'13. Desinvesteringen'!D493</f>
        <v>2002</v>
      </c>
      <c r="H210" s="175">
        <f>'13. Desinvesteringen'!G493</f>
        <v>2023</v>
      </c>
      <c r="I210" s="37" t="str">
        <f>'13. Desinvesteringen'!C493</f>
        <v>15 Compressorstations (TT-BT-AT)</v>
      </c>
      <c r="J210" s="164">
        <f>'13. Desinvesteringen'!F493</f>
        <v>0</v>
      </c>
      <c r="K210" s="38">
        <f>_xlfn.XLOOKUP(I210,'3. Input (des)investeringen '!$B$11:$B$89,'3. Input (des)investeringen '!$E$11:$E$89)</f>
        <v>1</v>
      </c>
      <c r="L210" s="48"/>
      <c r="M210" s="38">
        <f>_xlfn.XLOOKUP(I210,'3. Input (des)investeringen '!$B$11:$B$89,'3. Input (des)investeringen '!$D$11:$D$89,0)</f>
        <v>30</v>
      </c>
      <c r="N210" s="38">
        <f t="shared" si="86"/>
        <v>10.5</v>
      </c>
      <c r="P210" s="43">
        <f t="shared" si="85"/>
        <v>12734.76622705595</v>
      </c>
      <c r="Q210" s="43">
        <f t="shared" si="85"/>
        <v>11158.080884658546</v>
      </c>
      <c r="R210" s="43">
        <f t="shared" si="85"/>
        <v>9776.6042037008228</v>
      </c>
      <c r="S210" s="43">
        <f t="shared" si="85"/>
        <v>9225.1034537484684</v>
      </c>
      <c r="T210" s="43">
        <f t="shared" si="85"/>
        <v>9225.1034537484684</v>
      </c>
      <c r="V210" s="43">
        <f t="shared" si="78"/>
        <v>1088.4415578680298</v>
      </c>
      <c r="W210" s="43">
        <f t="shared" si="79"/>
        <v>1088.4415578680298</v>
      </c>
      <c r="X210" s="43">
        <f t="shared" si="80"/>
        <v>1088.4415578680298</v>
      </c>
      <c r="Y210" s="43">
        <f t="shared" si="81"/>
        <v>1088.4415578680298</v>
      </c>
      <c r="Z210" s="43">
        <f t="shared" si="82"/>
        <v>1088.4415578680298</v>
      </c>
      <c r="AB210" s="43">
        <f t="shared" si="87"/>
        <v>13823.207784923979</v>
      </c>
      <c r="AC210" s="43">
        <f t="shared" si="88"/>
        <v>12246.522442526575</v>
      </c>
      <c r="AD210" s="43">
        <f t="shared" si="89"/>
        <v>10865.045761568852</v>
      </c>
      <c r="AE210" s="43">
        <f t="shared" si="90"/>
        <v>10313.545011616498</v>
      </c>
      <c r="AF210" s="43">
        <f t="shared" si="91"/>
        <v>10313.545011616498</v>
      </c>
      <c r="AH210" s="43">
        <f t="shared" si="92"/>
        <v>100463.15579121915</v>
      </c>
      <c r="AI210" s="43">
        <f t="shared" si="93"/>
        <v>88216.633348692572</v>
      </c>
      <c r="AJ210" s="43">
        <f t="shared" si="94"/>
        <v>77351.587587123722</v>
      </c>
      <c r="AK210" s="43">
        <f t="shared" si="95"/>
        <v>67038.042575507221</v>
      </c>
      <c r="AL210" s="43">
        <f t="shared" si="96"/>
        <v>56724.49756389072</v>
      </c>
      <c r="AN210" s="47">
        <f t="shared" si="97"/>
        <v>17942.197172363965</v>
      </c>
      <c r="AO210" s="47">
        <f t="shared" si="98"/>
        <v>16745.570743309894</v>
      </c>
      <c r="AP210" s="47">
        <f t="shared" si="99"/>
        <v>14809.976728512162</v>
      </c>
      <c r="AQ210" s="47">
        <f t="shared" si="100"/>
        <v>14000.637353269394</v>
      </c>
      <c r="AR210" s="43">
        <f t="shared" si="101"/>
        <v>12469.075919044346</v>
      </c>
      <c r="AY210" s="3"/>
    </row>
    <row r="211" spans="1:51" ht="13">
      <c r="A211" s="226"/>
      <c r="B211" s="37">
        <f>'13. Desinvesteringen'!B494</f>
        <v>475</v>
      </c>
      <c r="C211" s="48"/>
      <c r="D211" s="48"/>
      <c r="E211" s="48"/>
      <c r="F211" s="42">
        <f>'5. Input GAW-waarde desinv.'!D170</f>
        <v>1010914.3326142207</v>
      </c>
      <c r="G211" s="175">
        <f>'13. Desinvesteringen'!D494</f>
        <v>2004</v>
      </c>
      <c r="H211" s="175">
        <f>'13. Desinvesteringen'!G494</f>
        <v>2023</v>
      </c>
      <c r="I211" s="37" t="str">
        <f>'13. Desinvesteringen'!C494</f>
        <v>15 Compressorstations (TT-BT-AT)</v>
      </c>
      <c r="J211" s="164">
        <f>'13. Desinvesteringen'!F494</f>
        <v>0</v>
      </c>
      <c r="K211" s="38">
        <f>_xlfn.XLOOKUP(I211,'3. Input (des)investeringen '!$B$11:$B$89,'3. Input (des)investeringen '!$E$11:$E$89)</f>
        <v>1</v>
      </c>
      <c r="L211" s="48"/>
      <c r="M211" s="38">
        <f>_xlfn.XLOOKUP(I211,'3. Input (des)investeringen '!$B$11:$B$89,'3. Input (des)investeringen '!$D$11:$D$89,0)</f>
        <v>30</v>
      </c>
      <c r="N211" s="38">
        <f t="shared" si="86"/>
        <v>12.5</v>
      </c>
      <c r="P211" s="43">
        <f t="shared" si="85"/>
        <v>94621.581532691067</v>
      </c>
      <c r="Q211" s="43">
        <f t="shared" si="85"/>
        <v>84780.937053291185</v>
      </c>
      <c r="R211" s="43">
        <f t="shared" si="85"/>
        <v>75963.719599748918</v>
      </c>
      <c r="S211" s="43">
        <f t="shared" si="85"/>
        <v>68890.174859691324</v>
      </c>
      <c r="T211" s="43">
        <f t="shared" si="85"/>
        <v>68890.174859691324</v>
      </c>
      <c r="V211" s="43">
        <f t="shared" si="78"/>
        <v>8087.3146609137657</v>
      </c>
      <c r="W211" s="43">
        <f t="shared" si="79"/>
        <v>8087.3146609137657</v>
      </c>
      <c r="X211" s="43">
        <f t="shared" si="80"/>
        <v>8087.3146609137657</v>
      </c>
      <c r="Y211" s="43">
        <f t="shared" si="81"/>
        <v>8087.3146609137657</v>
      </c>
      <c r="Z211" s="43">
        <f t="shared" si="82"/>
        <v>8087.3146609137657</v>
      </c>
      <c r="AB211" s="43">
        <f t="shared" si="87"/>
        <v>102708.89619360483</v>
      </c>
      <c r="AC211" s="43">
        <f t="shared" si="88"/>
        <v>92868.251714204947</v>
      </c>
      <c r="AD211" s="43">
        <f t="shared" si="89"/>
        <v>84051.03426066268</v>
      </c>
      <c r="AE211" s="43">
        <f t="shared" si="90"/>
        <v>76977.489520605086</v>
      </c>
      <c r="AF211" s="43">
        <f t="shared" si="91"/>
        <v>76977.489520605086</v>
      </c>
      <c r="AH211" s="43">
        <f t="shared" si="92"/>
        <v>908205.43642061588</v>
      </c>
      <c r="AI211" s="43">
        <f t="shared" si="93"/>
        <v>815337.18470641098</v>
      </c>
      <c r="AJ211" s="43">
        <f t="shared" si="94"/>
        <v>731286.15044574835</v>
      </c>
      <c r="AK211" s="43">
        <f t="shared" si="95"/>
        <v>654308.66092514328</v>
      </c>
      <c r="AL211" s="43">
        <f t="shared" si="96"/>
        <v>577331.17140453821</v>
      </c>
      <c r="AN211" s="47">
        <f t="shared" si="97"/>
        <v>139945.3190868501</v>
      </c>
      <c r="AO211" s="47">
        <f t="shared" si="98"/>
        <v>134450.4481342319</v>
      </c>
      <c r="AP211" s="47">
        <f t="shared" si="99"/>
        <v>121346.62793339585</v>
      </c>
      <c r="AQ211" s="47">
        <f t="shared" si="100"/>
        <v>112964.46587148798</v>
      </c>
      <c r="AR211" s="43">
        <f t="shared" si="101"/>
        <v>98916.074033977537</v>
      </c>
      <c r="AY211" s="3"/>
    </row>
    <row r="212" spans="1:51" ht="13">
      <c r="A212" s="226"/>
      <c r="B212" s="37">
        <f>'13. Desinvesteringen'!B495</f>
        <v>476</v>
      </c>
      <c r="C212" s="48"/>
      <c r="D212" s="48"/>
      <c r="E212" s="48"/>
      <c r="F212" s="42">
        <f>'5. Input GAW-waarde desinv.'!D171</f>
        <v>110113.496706638</v>
      </c>
      <c r="G212" s="175">
        <f>'13. Desinvesteringen'!D495</f>
        <v>2005</v>
      </c>
      <c r="H212" s="175">
        <f>'13. Desinvesteringen'!G495</f>
        <v>2023</v>
      </c>
      <c r="I212" s="37" t="str">
        <f>'13. Desinvesteringen'!C495</f>
        <v>15 Compressorstations (TT-BT-AT)</v>
      </c>
      <c r="J212" s="164">
        <f>'13. Desinvesteringen'!F495</f>
        <v>0</v>
      </c>
      <c r="K212" s="38">
        <f>_xlfn.XLOOKUP(I212,'3. Input (des)investeringen '!$B$11:$B$89,'3. Input (des)investeringen '!$E$11:$E$89)</f>
        <v>1</v>
      </c>
      <c r="L212" s="48"/>
      <c r="M212" s="38">
        <f>_xlfn.XLOOKUP(I212,'3. Input (des)investeringen '!$B$11:$B$89,'3. Input (des)investeringen '!$D$11:$D$89,0)</f>
        <v>30</v>
      </c>
      <c r="N212" s="38">
        <f t="shared" si="86"/>
        <v>13.5</v>
      </c>
      <c r="P212" s="43">
        <f t="shared" ref="P212:T221" si="102">IF($M212&gt;0, IF(OR($G212&gt;P$50,$G212+$M212&lt;P$50),0,
VDB($F212,0,$N212,MAX(0,P$50-2022),MIN($N212,P$50-2021),$F$23,FALSE))*(1-$F$26), 0)</f>
        <v>9543.1697145752951</v>
      </c>
      <c r="Q212" s="43">
        <f t="shared" si="102"/>
        <v>8624.1978161347088</v>
      </c>
      <c r="R212" s="43">
        <f t="shared" si="102"/>
        <v>7793.7195079143312</v>
      </c>
      <c r="S212" s="43">
        <f t="shared" si="102"/>
        <v>7043.2131849299876</v>
      </c>
      <c r="T212" s="43">
        <f t="shared" si="102"/>
        <v>6957.668085517882</v>
      </c>
      <c r="V212" s="43">
        <f t="shared" si="78"/>
        <v>815.6555311602815</v>
      </c>
      <c r="W212" s="43">
        <f t="shared" si="79"/>
        <v>815.6555311602815</v>
      </c>
      <c r="X212" s="43">
        <f t="shared" si="80"/>
        <v>815.6555311602815</v>
      </c>
      <c r="Y212" s="43">
        <f t="shared" si="81"/>
        <v>815.6555311602815</v>
      </c>
      <c r="Z212" s="43">
        <f t="shared" si="82"/>
        <v>815.6555311602815</v>
      </c>
      <c r="AB212" s="43">
        <f t="shared" si="87"/>
        <v>10358.825245735577</v>
      </c>
      <c r="AC212" s="43">
        <f t="shared" si="88"/>
        <v>9439.8533472949894</v>
      </c>
      <c r="AD212" s="43">
        <f t="shared" si="89"/>
        <v>8609.3750390746136</v>
      </c>
      <c r="AE212" s="43">
        <f t="shared" si="90"/>
        <v>7858.8687160902691</v>
      </c>
      <c r="AF212" s="43">
        <f t="shared" si="91"/>
        <v>7773.3236166781635</v>
      </c>
      <c r="AH212" s="43">
        <f t="shared" si="92"/>
        <v>99754.671460902435</v>
      </c>
      <c r="AI212" s="43">
        <f t="shared" si="93"/>
        <v>90314.818113607442</v>
      </c>
      <c r="AJ212" s="43">
        <f t="shared" si="94"/>
        <v>81705.443074532828</v>
      </c>
      <c r="AK212" s="43">
        <f t="shared" si="95"/>
        <v>73846.574358442565</v>
      </c>
      <c r="AL212" s="43">
        <f t="shared" si="96"/>
        <v>66073.250741764408</v>
      </c>
      <c r="AN212" s="47">
        <f t="shared" si="97"/>
        <v>14448.766775632577</v>
      </c>
      <c r="AO212" s="47">
        <f t="shared" si="98"/>
        <v>14045.909071088969</v>
      </c>
      <c r="AP212" s="47">
        <f t="shared" si="99"/>
        <v>12776.352635875788</v>
      </c>
      <c r="AQ212" s="47">
        <f t="shared" si="100"/>
        <v>11920.43030580461</v>
      </c>
      <c r="AR212" s="43">
        <f t="shared" si="101"/>
        <v>10284.107144865211</v>
      </c>
      <c r="AY212" s="3"/>
    </row>
    <row r="213" spans="1:51" ht="13">
      <c r="A213" s="226"/>
      <c r="B213" s="37">
        <f>'13. Desinvesteringen'!B496</f>
        <v>477</v>
      </c>
      <c r="C213" s="48"/>
      <c r="D213" s="48"/>
      <c r="E213" s="48"/>
      <c r="F213" s="42">
        <f>'5. Input GAW-waarde desinv.'!D172</f>
        <v>26631.619932073358</v>
      </c>
      <c r="G213" s="175">
        <f>'13. Desinvesteringen'!D496</f>
        <v>2006</v>
      </c>
      <c r="H213" s="175">
        <f>'13. Desinvesteringen'!G496</f>
        <v>2023</v>
      </c>
      <c r="I213" s="37" t="str">
        <f>'13. Desinvesteringen'!C496</f>
        <v>15 Compressorstations (TT-BT-AT)</v>
      </c>
      <c r="J213" s="164">
        <f>'13. Desinvesteringen'!F496</f>
        <v>0</v>
      </c>
      <c r="K213" s="38">
        <f>_xlfn.XLOOKUP(I213,'3. Input (des)investeringen '!$B$11:$B$89,'3. Input (des)investeringen '!$E$11:$E$89)</f>
        <v>1</v>
      </c>
      <c r="L213" s="48"/>
      <c r="M213" s="38">
        <f>_xlfn.XLOOKUP(I213,'3. Input (des)investeringen '!$B$11:$B$89,'3. Input (des)investeringen '!$D$11:$D$89,0)</f>
        <v>30</v>
      </c>
      <c r="N213" s="38">
        <f t="shared" si="86"/>
        <v>14.5</v>
      </c>
      <c r="P213" s="43">
        <f t="shared" si="102"/>
        <v>2148.8962290017812</v>
      </c>
      <c r="Q213" s="43">
        <f t="shared" si="102"/>
        <v>1956.2365670912766</v>
      </c>
      <c r="R213" s="43">
        <f t="shared" si="102"/>
        <v>1780.8498403865415</v>
      </c>
      <c r="S213" s="43">
        <f t="shared" si="102"/>
        <v>1621.1874409036102</v>
      </c>
      <c r="T213" s="43">
        <f t="shared" si="102"/>
        <v>1567.741701093601</v>
      </c>
      <c r="V213" s="43">
        <f t="shared" si="78"/>
        <v>183.66634435912661</v>
      </c>
      <c r="W213" s="43">
        <f t="shared" si="79"/>
        <v>183.66634435912658</v>
      </c>
      <c r="X213" s="43">
        <f t="shared" si="80"/>
        <v>183.66634435912658</v>
      </c>
      <c r="Y213" s="43">
        <f t="shared" si="81"/>
        <v>183.66634435912658</v>
      </c>
      <c r="Z213" s="43">
        <f t="shared" si="82"/>
        <v>183.66634435912658</v>
      </c>
      <c r="AB213" s="43">
        <f t="shared" si="87"/>
        <v>2332.5625733609077</v>
      </c>
      <c r="AC213" s="43">
        <f t="shared" si="88"/>
        <v>2139.9029114504033</v>
      </c>
      <c r="AD213" s="43">
        <f t="shared" si="89"/>
        <v>1964.5161847456679</v>
      </c>
      <c r="AE213" s="43">
        <f t="shared" si="90"/>
        <v>1804.8537852627369</v>
      </c>
      <c r="AF213" s="43">
        <f t="shared" si="91"/>
        <v>1751.4080454527275</v>
      </c>
      <c r="AH213" s="43">
        <f t="shared" si="92"/>
        <v>24299.057358712449</v>
      </c>
      <c r="AI213" s="43">
        <f t="shared" si="93"/>
        <v>22159.154447262044</v>
      </c>
      <c r="AJ213" s="43">
        <f t="shared" si="94"/>
        <v>20194.638262516375</v>
      </c>
      <c r="AK213" s="43">
        <f t="shared" si="95"/>
        <v>18389.784477253637</v>
      </c>
      <c r="AL213" s="43">
        <f t="shared" si="96"/>
        <v>16638.376431800909</v>
      </c>
      <c r="AN213" s="47">
        <f t="shared" si="97"/>
        <v>3328.8239250681181</v>
      </c>
      <c r="AO213" s="47">
        <f t="shared" si="98"/>
        <v>3270.0197882607672</v>
      </c>
      <c r="AP213" s="47">
        <f t="shared" si="99"/>
        <v>2994.4427361340031</v>
      </c>
      <c r="AQ213" s="47">
        <f t="shared" si="100"/>
        <v>2816.2919315116869</v>
      </c>
      <c r="AR213" s="43">
        <f t="shared" si="101"/>
        <v>2383.666349861162</v>
      </c>
      <c r="AY213" s="3"/>
    </row>
    <row r="214" spans="1:51" ht="13">
      <c r="A214" s="226"/>
      <c r="B214" s="37">
        <f>'13. Desinvesteringen'!B497</f>
        <v>478</v>
      </c>
      <c r="C214" s="48"/>
      <c r="D214" s="48"/>
      <c r="E214" s="48"/>
      <c r="F214" s="42">
        <f>'5. Input GAW-waarde desinv.'!D173</f>
        <v>1462385.1890917395</v>
      </c>
      <c r="G214" s="175">
        <f>'13. Desinvesteringen'!D497</f>
        <v>2008</v>
      </c>
      <c r="H214" s="175">
        <f>'13. Desinvesteringen'!G497</f>
        <v>2023</v>
      </c>
      <c r="I214" s="37" t="str">
        <f>'13. Desinvesteringen'!C497</f>
        <v>15 Compressorstations (TT-BT-AT)</v>
      </c>
      <c r="J214" s="164">
        <f>'13. Desinvesteringen'!F497</f>
        <v>0</v>
      </c>
      <c r="K214" s="38">
        <f>_xlfn.XLOOKUP(I214,'3. Input (des)investeringen '!$B$11:$B$89,'3. Input (des)investeringen '!$E$11:$E$89)</f>
        <v>1</v>
      </c>
      <c r="L214" s="48"/>
      <c r="M214" s="38">
        <f>_xlfn.XLOOKUP(I214,'3. Input (des)investeringen '!$B$11:$B$89,'3. Input (des)investeringen '!$D$11:$D$89,0)</f>
        <v>30</v>
      </c>
      <c r="N214" s="38">
        <f t="shared" si="86"/>
        <v>16.5</v>
      </c>
      <c r="P214" s="43">
        <f t="shared" si="102"/>
        <v>103696.40431741427</v>
      </c>
      <c r="Q214" s="43">
        <f t="shared" si="102"/>
        <v>95526.384583314968</v>
      </c>
      <c r="R214" s="43">
        <f t="shared" si="102"/>
        <v>88000.063373720463</v>
      </c>
      <c r="S214" s="43">
        <f t="shared" si="102"/>
        <v>81066.725047306114</v>
      </c>
      <c r="T214" s="43">
        <f t="shared" si="102"/>
        <v>75828.567428864786</v>
      </c>
      <c r="V214" s="43">
        <f t="shared" si="78"/>
        <v>8862.9405399499356</v>
      </c>
      <c r="W214" s="43">
        <f t="shared" si="79"/>
        <v>8862.9405399499356</v>
      </c>
      <c r="X214" s="43">
        <f t="shared" si="80"/>
        <v>8862.9405399499356</v>
      </c>
      <c r="Y214" s="43">
        <f t="shared" si="81"/>
        <v>8862.9405399499356</v>
      </c>
      <c r="Z214" s="43">
        <f t="shared" si="82"/>
        <v>8862.9405399499356</v>
      </c>
      <c r="AB214" s="43">
        <f t="shared" si="87"/>
        <v>112559.34485736421</v>
      </c>
      <c r="AC214" s="43">
        <f t="shared" si="88"/>
        <v>104389.32512326491</v>
      </c>
      <c r="AD214" s="43">
        <f t="shared" si="89"/>
        <v>96863.0039136704</v>
      </c>
      <c r="AE214" s="43">
        <f t="shared" si="90"/>
        <v>89929.665587256051</v>
      </c>
      <c r="AF214" s="43">
        <f t="shared" si="91"/>
        <v>84691.507968814723</v>
      </c>
      <c r="AH214" s="43">
        <f t="shared" si="92"/>
        <v>1349825.8442343753</v>
      </c>
      <c r="AI214" s="43">
        <f t="shared" si="93"/>
        <v>1245436.5191111104</v>
      </c>
      <c r="AJ214" s="43">
        <f t="shared" si="94"/>
        <v>1148573.5151974401</v>
      </c>
      <c r="AK214" s="43">
        <f t="shared" si="95"/>
        <v>1058643.8496101841</v>
      </c>
      <c r="AL214" s="43">
        <f t="shared" si="96"/>
        <v>973952.34164136939</v>
      </c>
      <c r="AN214" s="47">
        <f t="shared" si="97"/>
        <v>167902.20447097361</v>
      </c>
      <c r="AO214" s="47">
        <f t="shared" si="98"/>
        <v>167906.58759793153</v>
      </c>
      <c r="AP214" s="47">
        <f t="shared" si="99"/>
        <v>155440.25318873982</v>
      </c>
      <c r="AQ214" s="47">
        <f t="shared" si="100"/>
        <v>148155.07731581619</v>
      </c>
      <c r="AR214" s="43">
        <f t="shared" si="101"/>
        <v>121701.69695118675</v>
      </c>
      <c r="AY214" s="3"/>
    </row>
    <row r="215" spans="1:51" ht="13">
      <c r="A215" s="226"/>
      <c r="B215" s="37">
        <f>'13. Desinvesteringen'!B498</f>
        <v>479</v>
      </c>
      <c r="C215" s="48"/>
      <c r="D215" s="48"/>
      <c r="E215" s="48"/>
      <c r="F215" s="42">
        <f>'5. Input GAW-waarde desinv.'!D174</f>
        <v>26797.310321813446</v>
      </c>
      <c r="G215" s="175">
        <f>'13. Desinvesteringen'!D498</f>
        <v>2009</v>
      </c>
      <c r="H215" s="175">
        <f>'13. Desinvesteringen'!G498</f>
        <v>2023</v>
      </c>
      <c r="I215" s="37" t="str">
        <f>'13. Desinvesteringen'!C498</f>
        <v>15 Compressorstations (TT-BT-AT)</v>
      </c>
      <c r="J215" s="164">
        <f>'13. Desinvesteringen'!F498</f>
        <v>0</v>
      </c>
      <c r="K215" s="38">
        <f>_xlfn.XLOOKUP(I215,'3. Input (des)investeringen '!$B$11:$B$89,'3. Input (des)investeringen '!$E$11:$E$89)</f>
        <v>1</v>
      </c>
      <c r="L215" s="48"/>
      <c r="M215" s="38">
        <f>_xlfn.XLOOKUP(I215,'3. Input (des)investeringen '!$B$11:$B$89,'3. Input (des)investeringen '!$D$11:$D$89,0)</f>
        <v>30</v>
      </c>
      <c r="N215" s="38">
        <f t="shared" si="86"/>
        <v>17.5</v>
      </c>
      <c r="P215" s="43">
        <f t="shared" si="102"/>
        <v>1791.5916043726704</v>
      </c>
      <c r="Q215" s="43">
        <f t="shared" si="102"/>
        <v>1658.5019423335577</v>
      </c>
      <c r="R215" s="43">
        <f t="shared" si="102"/>
        <v>1535.2989409030652</v>
      </c>
      <c r="S215" s="43">
        <f t="shared" si="102"/>
        <v>1421.2481624359802</v>
      </c>
      <c r="T215" s="43">
        <f t="shared" si="102"/>
        <v>1315.6697275121646</v>
      </c>
      <c r="V215" s="43">
        <f t="shared" si="78"/>
        <v>153.12748755321968</v>
      </c>
      <c r="W215" s="43">
        <f t="shared" si="79"/>
        <v>153.12748755321971</v>
      </c>
      <c r="X215" s="43">
        <f t="shared" si="80"/>
        <v>153.12748755321971</v>
      </c>
      <c r="Y215" s="43">
        <f t="shared" si="81"/>
        <v>153.12748755321971</v>
      </c>
      <c r="Z215" s="43">
        <f t="shared" si="82"/>
        <v>153.12748755321971</v>
      </c>
      <c r="AB215" s="43">
        <f t="shared" si="87"/>
        <v>1944.7190919258901</v>
      </c>
      <c r="AC215" s="43">
        <f t="shared" si="88"/>
        <v>1811.6294298867774</v>
      </c>
      <c r="AD215" s="43">
        <f t="shared" si="89"/>
        <v>1688.4264284562848</v>
      </c>
      <c r="AE215" s="43">
        <f t="shared" si="90"/>
        <v>1574.3756499891999</v>
      </c>
      <c r="AF215" s="43">
        <f t="shared" si="91"/>
        <v>1468.7972150653843</v>
      </c>
      <c r="AH215" s="43">
        <f t="shared" si="92"/>
        <v>24852.591229887556</v>
      </c>
      <c r="AI215" s="43">
        <f t="shared" si="93"/>
        <v>23040.961800000779</v>
      </c>
      <c r="AJ215" s="43">
        <f t="shared" si="94"/>
        <v>21352.535371544494</v>
      </c>
      <c r="AK215" s="43">
        <f t="shared" si="95"/>
        <v>19778.159721555294</v>
      </c>
      <c r="AL215" s="43">
        <f t="shared" si="96"/>
        <v>18309.36250648991</v>
      </c>
      <c r="AN215" s="47">
        <f t="shared" si="97"/>
        <v>2963.6753323512798</v>
      </c>
      <c r="AO215" s="47">
        <f t="shared" si="98"/>
        <v>2986.7184816868171</v>
      </c>
      <c r="AP215" s="47">
        <f t="shared" si="99"/>
        <v>2777.4057324050541</v>
      </c>
      <c r="AQ215" s="47">
        <f t="shared" si="100"/>
        <v>2662.174434674741</v>
      </c>
      <c r="AR215" s="43">
        <f t="shared" si="101"/>
        <v>2164.5529903120009</v>
      </c>
      <c r="AY215" s="3"/>
    </row>
    <row r="216" spans="1:51" ht="13">
      <c r="A216" s="226"/>
      <c r="B216" s="37">
        <f>'13. Desinvesteringen'!B499</f>
        <v>480</v>
      </c>
      <c r="C216" s="48"/>
      <c r="D216" s="48"/>
      <c r="E216" s="48"/>
      <c r="F216" s="42">
        <f>'5. Input GAW-waarde desinv.'!D175</f>
        <v>143440.45474083052</v>
      </c>
      <c r="G216" s="175">
        <f>'13. Desinvesteringen'!D499</f>
        <v>2010</v>
      </c>
      <c r="H216" s="175">
        <f>'13. Desinvesteringen'!G499</f>
        <v>2023</v>
      </c>
      <c r="I216" s="37" t="str">
        <f>'13. Desinvesteringen'!C499</f>
        <v>15 Compressorstations (TT-BT-AT)</v>
      </c>
      <c r="J216" s="164">
        <f>'13. Desinvesteringen'!F499</f>
        <v>0</v>
      </c>
      <c r="K216" s="38">
        <f>_xlfn.XLOOKUP(I216,'3. Input (des)investeringen '!$B$11:$B$89,'3. Input (des)investeringen '!$E$11:$E$89)</f>
        <v>1</v>
      </c>
      <c r="L216" s="48"/>
      <c r="M216" s="38">
        <f>_xlfn.XLOOKUP(I216,'3. Input (des)investeringen '!$B$11:$B$89,'3. Input (des)investeringen '!$D$11:$D$89,0)</f>
        <v>30</v>
      </c>
      <c r="N216" s="38">
        <f t="shared" si="86"/>
        <v>18.5</v>
      </c>
      <c r="P216" s="43">
        <f t="shared" si="102"/>
        <v>9071.6395700957692</v>
      </c>
      <c r="Q216" s="43">
        <f t="shared" si="102"/>
        <v>8434.1730057106597</v>
      </c>
      <c r="R216" s="43">
        <f t="shared" si="102"/>
        <v>7841.5013890931541</v>
      </c>
      <c r="S216" s="43">
        <f t="shared" si="102"/>
        <v>7290.4769671568783</v>
      </c>
      <c r="T216" s="43">
        <f t="shared" si="102"/>
        <v>6778.1731802755849</v>
      </c>
      <c r="V216" s="43">
        <f t="shared" si="78"/>
        <v>775.35380940989489</v>
      </c>
      <c r="W216" s="43">
        <f t="shared" si="79"/>
        <v>775.35380940989478</v>
      </c>
      <c r="X216" s="43">
        <f t="shared" si="80"/>
        <v>775.35380940989478</v>
      </c>
      <c r="Y216" s="43">
        <f t="shared" si="81"/>
        <v>775.35380940989478</v>
      </c>
      <c r="Z216" s="43">
        <f t="shared" si="82"/>
        <v>775.35380940989478</v>
      </c>
      <c r="AB216" s="43">
        <f t="shared" si="87"/>
        <v>9846.9933795056641</v>
      </c>
      <c r="AC216" s="43">
        <f t="shared" si="88"/>
        <v>9209.5268151205546</v>
      </c>
      <c r="AD216" s="43">
        <f t="shared" si="89"/>
        <v>8616.8551985030481</v>
      </c>
      <c r="AE216" s="43">
        <f t="shared" si="90"/>
        <v>8065.8307765667732</v>
      </c>
      <c r="AF216" s="43">
        <f t="shared" si="91"/>
        <v>7553.5269896854797</v>
      </c>
      <c r="AH216" s="43">
        <f t="shared" si="92"/>
        <v>133593.46136132485</v>
      </c>
      <c r="AI216" s="43">
        <f t="shared" si="93"/>
        <v>124383.9345462043</v>
      </c>
      <c r="AJ216" s="43">
        <f t="shared" si="94"/>
        <v>115767.07934770125</v>
      </c>
      <c r="AK216" s="43">
        <f t="shared" si="95"/>
        <v>107701.24857113448</v>
      </c>
      <c r="AL216" s="43">
        <f t="shared" si="96"/>
        <v>100147.721581449</v>
      </c>
      <c r="AN216" s="47">
        <f t="shared" si="97"/>
        <v>15324.325295319984</v>
      </c>
      <c r="AO216" s="47">
        <f t="shared" si="98"/>
        <v>15553.107476976973</v>
      </c>
      <c r="AP216" s="47">
        <f t="shared" si="99"/>
        <v>14520.976245235812</v>
      </c>
      <c r="AQ216" s="47">
        <f t="shared" si="100"/>
        <v>13989.399447979169</v>
      </c>
      <c r="AR216" s="43">
        <f t="shared" si="101"/>
        <v>11359.140409780543</v>
      </c>
      <c r="AY216" s="3"/>
    </row>
    <row r="217" spans="1:51" ht="13">
      <c r="A217" s="226"/>
      <c r="B217" s="37">
        <f>'13. Desinvesteringen'!B500</f>
        <v>481</v>
      </c>
      <c r="C217" s="48"/>
      <c r="D217" s="48"/>
      <c r="E217" s="48"/>
      <c r="F217" s="42">
        <f>'5. Input GAW-waarde desinv.'!D176</f>
        <v>37686.268046364217</v>
      </c>
      <c r="G217" s="175">
        <f>'13. Desinvesteringen'!D500</f>
        <v>2011</v>
      </c>
      <c r="H217" s="175">
        <f>'13. Desinvesteringen'!G500</f>
        <v>2023</v>
      </c>
      <c r="I217" s="37" t="str">
        <f>'13. Desinvesteringen'!C500</f>
        <v>15 Compressorstations (TT-BT-AT)</v>
      </c>
      <c r="J217" s="164">
        <f>'13. Desinvesteringen'!F500</f>
        <v>0</v>
      </c>
      <c r="K217" s="38">
        <f>_xlfn.XLOOKUP(I217,'3. Input (des)investeringen '!$B$11:$B$89,'3. Input (des)investeringen '!$E$11:$E$89)</f>
        <v>1</v>
      </c>
      <c r="L217" s="48"/>
      <c r="M217" s="38">
        <f>_xlfn.XLOOKUP(I217,'3. Input (des)investeringen '!$B$11:$B$89,'3. Input (des)investeringen '!$D$11:$D$89,0)</f>
        <v>30</v>
      </c>
      <c r="N217" s="38">
        <f t="shared" si="86"/>
        <v>19.5</v>
      </c>
      <c r="P217" s="43">
        <f t="shared" si="102"/>
        <v>2261.176082781853</v>
      </c>
      <c r="Q217" s="43">
        <f t="shared" si="102"/>
        <v>2110.4310105963964</v>
      </c>
      <c r="R217" s="43">
        <f t="shared" si="102"/>
        <v>1969.7356098899697</v>
      </c>
      <c r="S217" s="43">
        <f t="shared" si="102"/>
        <v>1838.4199025639718</v>
      </c>
      <c r="T217" s="43">
        <f t="shared" si="102"/>
        <v>1715.8585757263738</v>
      </c>
      <c r="V217" s="43">
        <f t="shared" si="78"/>
        <v>193.26291305827806</v>
      </c>
      <c r="W217" s="43">
        <f t="shared" si="79"/>
        <v>193.26291305827803</v>
      </c>
      <c r="X217" s="43">
        <f t="shared" si="80"/>
        <v>193.26291305827803</v>
      </c>
      <c r="Y217" s="43">
        <f t="shared" si="81"/>
        <v>193.26291305827803</v>
      </c>
      <c r="Z217" s="43">
        <f t="shared" si="82"/>
        <v>193.26291305827803</v>
      </c>
      <c r="AB217" s="43">
        <f t="shared" si="87"/>
        <v>2454.4389958401312</v>
      </c>
      <c r="AC217" s="43">
        <f t="shared" si="88"/>
        <v>2303.6939236546746</v>
      </c>
      <c r="AD217" s="43">
        <f t="shared" si="89"/>
        <v>2162.9985229482477</v>
      </c>
      <c r="AE217" s="43">
        <f t="shared" si="90"/>
        <v>2031.6828156222498</v>
      </c>
      <c r="AF217" s="43">
        <f t="shared" si="91"/>
        <v>1909.1214887846518</v>
      </c>
      <c r="AH217" s="43">
        <f t="shared" si="92"/>
        <v>35231.829050524088</v>
      </c>
      <c r="AI217" s="43">
        <f t="shared" si="93"/>
        <v>32928.135126869412</v>
      </c>
      <c r="AJ217" s="43">
        <f t="shared" si="94"/>
        <v>30765.136603921164</v>
      </c>
      <c r="AK217" s="43">
        <f t="shared" si="95"/>
        <v>28733.453788298913</v>
      </c>
      <c r="AL217" s="43">
        <f t="shared" si="96"/>
        <v>26824.332299514263</v>
      </c>
      <c r="AN217" s="47">
        <f t="shared" si="97"/>
        <v>3898.9439869116186</v>
      </c>
      <c r="AO217" s="47">
        <f t="shared" si="98"/>
        <v>3983.0288151250143</v>
      </c>
      <c r="AP217" s="47">
        <f t="shared" si="99"/>
        <v>3732.0204897482272</v>
      </c>
      <c r="AQ217" s="47">
        <f t="shared" si="100"/>
        <v>3612.0227739786901</v>
      </c>
      <c r="AR217" s="43">
        <f t="shared" si="101"/>
        <v>2928.4461161661939</v>
      </c>
      <c r="AY217" s="3"/>
    </row>
    <row r="218" spans="1:51" ht="13">
      <c r="A218" s="226"/>
      <c r="B218" s="37">
        <f>'13. Desinvesteringen'!B501</f>
        <v>482</v>
      </c>
      <c r="C218" s="48"/>
      <c r="D218" s="48"/>
      <c r="E218" s="48"/>
      <c r="F218" s="42">
        <f>'5. Input GAW-waarde desinv.'!D177</f>
        <v>5687877.4465793725</v>
      </c>
      <c r="G218" s="175">
        <f>'13. Desinvesteringen'!D501</f>
        <v>2012</v>
      </c>
      <c r="H218" s="175">
        <f>'13. Desinvesteringen'!G501</f>
        <v>2023</v>
      </c>
      <c r="I218" s="37" t="str">
        <f>'13. Desinvesteringen'!C501</f>
        <v>15 Compressorstations (TT-BT-AT)</v>
      </c>
      <c r="J218" s="164">
        <f>'13. Desinvesteringen'!F501</f>
        <v>0</v>
      </c>
      <c r="K218" s="38">
        <f>_xlfn.XLOOKUP(I218,'3. Input (des)investeringen '!$B$11:$B$89,'3. Input (des)investeringen '!$E$11:$E$89)</f>
        <v>1</v>
      </c>
      <c r="L218" s="48"/>
      <c r="M218" s="38">
        <f>_xlfn.XLOOKUP(I218,'3. Input (des)investeringen '!$B$11:$B$89,'3. Input (des)investeringen '!$D$11:$D$89,0)</f>
        <v>30</v>
      </c>
      <c r="N218" s="38">
        <f t="shared" si="86"/>
        <v>20.5</v>
      </c>
      <c r="P218" s="43">
        <f t="shared" si="102"/>
        <v>324625.20060965198</v>
      </c>
      <c r="Q218" s="43">
        <f t="shared" si="102"/>
        <v>304039.21227830823</v>
      </c>
      <c r="R218" s="43">
        <f t="shared" si="102"/>
        <v>284758.67686553742</v>
      </c>
      <c r="S218" s="43">
        <f t="shared" si="102"/>
        <v>266700.80955211306</v>
      </c>
      <c r="T218" s="43">
        <f t="shared" si="102"/>
        <v>249788.07528783273</v>
      </c>
      <c r="V218" s="43">
        <f t="shared" si="78"/>
        <v>27745.743641850597</v>
      </c>
      <c r="W218" s="43">
        <f t="shared" si="79"/>
        <v>27745.743641850597</v>
      </c>
      <c r="X218" s="43">
        <f t="shared" si="80"/>
        <v>27745.743641850597</v>
      </c>
      <c r="Y218" s="43">
        <f t="shared" si="81"/>
        <v>27745.743641850597</v>
      </c>
      <c r="Z218" s="43">
        <f t="shared" si="82"/>
        <v>27745.743641850597</v>
      </c>
      <c r="AB218" s="43">
        <f t="shared" si="87"/>
        <v>352370.94425150257</v>
      </c>
      <c r="AC218" s="43">
        <f t="shared" si="88"/>
        <v>331784.95592015883</v>
      </c>
      <c r="AD218" s="43">
        <f t="shared" si="89"/>
        <v>312504.42050738801</v>
      </c>
      <c r="AE218" s="43">
        <f t="shared" si="90"/>
        <v>294446.55319396366</v>
      </c>
      <c r="AF218" s="43">
        <f t="shared" si="91"/>
        <v>277533.8189296833</v>
      </c>
      <c r="AH218" s="43">
        <f t="shared" si="92"/>
        <v>5335506.5023278696</v>
      </c>
      <c r="AI218" s="43">
        <f t="shared" si="93"/>
        <v>5003721.5464077108</v>
      </c>
      <c r="AJ218" s="43">
        <f t="shared" si="94"/>
        <v>4691217.1259003226</v>
      </c>
      <c r="AK218" s="43">
        <f t="shared" si="95"/>
        <v>4396770.5727063585</v>
      </c>
      <c r="AL218" s="43">
        <f t="shared" si="96"/>
        <v>4119236.7537766751</v>
      </c>
      <c r="AN218" s="47">
        <f t="shared" si="97"/>
        <v>571126.71084694518</v>
      </c>
      <c r="AO218" s="47">
        <f t="shared" si="98"/>
        <v>586974.75478695205</v>
      </c>
      <c r="AP218" s="47">
        <f t="shared" si="99"/>
        <v>551756.49392830441</v>
      </c>
      <c r="AQ218" s="47">
        <f t="shared" si="100"/>
        <v>536268.93469281332</v>
      </c>
      <c r="AR218" s="43">
        <f t="shared" si="101"/>
        <v>434064.81557319697</v>
      </c>
      <c r="AY218" s="3"/>
    </row>
    <row r="219" spans="1:51" ht="13">
      <c r="A219" s="226"/>
      <c r="B219" s="37">
        <f>'13. Desinvesteringen'!B502</f>
        <v>483</v>
      </c>
      <c r="C219" s="48"/>
      <c r="D219" s="48"/>
      <c r="E219" s="48"/>
      <c r="F219" s="42">
        <f>'5. Input GAW-waarde desinv.'!D178</f>
        <v>611283.63783680694</v>
      </c>
      <c r="G219" s="175">
        <f>'13. Desinvesteringen'!D502</f>
        <v>2014</v>
      </c>
      <c r="H219" s="175">
        <f>'13. Desinvesteringen'!G502</f>
        <v>2023</v>
      </c>
      <c r="I219" s="37" t="str">
        <f>'13. Desinvesteringen'!C502</f>
        <v>15 Compressorstations (TT-BT-AT)</v>
      </c>
      <c r="J219" s="164">
        <f>'13. Desinvesteringen'!F502</f>
        <v>0</v>
      </c>
      <c r="K219" s="38">
        <f>_xlfn.XLOOKUP(I219,'3. Input (des)investeringen '!$B$11:$B$89,'3. Input (des)investeringen '!$E$11:$E$89)</f>
        <v>1</v>
      </c>
      <c r="L219" s="48"/>
      <c r="M219" s="38">
        <f>_xlfn.XLOOKUP(I219,'3. Input (des)investeringen '!$B$11:$B$89,'3. Input (des)investeringen '!$D$11:$D$89,0)</f>
        <v>30</v>
      </c>
      <c r="N219" s="38">
        <f t="shared" si="86"/>
        <v>22.5</v>
      </c>
      <c r="P219" s="43">
        <f t="shared" si="102"/>
        <v>31786.749167513968</v>
      </c>
      <c r="Q219" s="43">
        <f t="shared" si="102"/>
        <v>29950.181437835377</v>
      </c>
      <c r="R219" s="43">
        <f t="shared" si="102"/>
        <v>28219.726510315999</v>
      </c>
      <c r="S219" s="43">
        <f t="shared" si="102"/>
        <v>26589.253423053295</v>
      </c>
      <c r="T219" s="43">
        <f t="shared" si="102"/>
        <v>25052.985447499104</v>
      </c>
      <c r="V219" s="43">
        <f t="shared" si="78"/>
        <v>2716.8161681635866</v>
      </c>
      <c r="W219" s="43">
        <f t="shared" si="79"/>
        <v>2716.8161681635866</v>
      </c>
      <c r="X219" s="43">
        <f t="shared" si="80"/>
        <v>2716.8161681635866</v>
      </c>
      <c r="Y219" s="43">
        <f t="shared" si="81"/>
        <v>2716.8161681635866</v>
      </c>
      <c r="Z219" s="43">
        <f t="shared" si="82"/>
        <v>2716.8161681635866</v>
      </c>
      <c r="AB219" s="43">
        <f t="shared" si="87"/>
        <v>34503.565335677558</v>
      </c>
      <c r="AC219" s="43">
        <f t="shared" si="88"/>
        <v>32666.997605998964</v>
      </c>
      <c r="AD219" s="43">
        <f t="shared" si="89"/>
        <v>30936.542678479585</v>
      </c>
      <c r="AE219" s="43">
        <f t="shared" si="90"/>
        <v>29306.069591216881</v>
      </c>
      <c r="AF219" s="43">
        <f t="shared" si="91"/>
        <v>27769.801615662691</v>
      </c>
      <c r="AH219" s="43">
        <f t="shared" si="92"/>
        <v>576780.07250112935</v>
      </c>
      <c r="AI219" s="43">
        <f t="shared" si="93"/>
        <v>544113.07489513035</v>
      </c>
      <c r="AJ219" s="43">
        <f t="shared" si="94"/>
        <v>513176.53221665078</v>
      </c>
      <c r="AK219" s="43">
        <f t="shared" si="95"/>
        <v>483870.46262543392</v>
      </c>
      <c r="AL219" s="43">
        <f t="shared" si="96"/>
        <v>456100.66100977123</v>
      </c>
      <c r="AN219" s="47">
        <f t="shared" si="97"/>
        <v>58151.548308223864</v>
      </c>
      <c r="AO219" s="47">
        <f t="shared" si="98"/>
        <v>60416.76442565061</v>
      </c>
      <c r="AP219" s="47">
        <f t="shared" si="99"/>
        <v>57108.545821528773</v>
      </c>
      <c r="AQ219" s="47">
        <f t="shared" si="100"/>
        <v>55918.945035615747</v>
      </c>
      <c r="AR219" s="43">
        <f t="shared" si="101"/>
        <v>45101.626734033998</v>
      </c>
      <c r="AY219" s="3"/>
    </row>
    <row r="220" spans="1:51" ht="13">
      <c r="A220" s="226"/>
      <c r="B220" s="37">
        <f>'13. Desinvesteringen'!B503</f>
        <v>484</v>
      </c>
      <c r="C220" s="48"/>
      <c r="D220" s="48"/>
      <c r="E220" s="48"/>
      <c r="F220" s="42">
        <f>'5. Input GAW-waarde desinv.'!D179</f>
        <v>348308.75445981714</v>
      </c>
      <c r="G220" s="175">
        <f>'13. Desinvesteringen'!D503</f>
        <v>2015</v>
      </c>
      <c r="H220" s="175">
        <f>'13. Desinvesteringen'!G503</f>
        <v>2023</v>
      </c>
      <c r="I220" s="37" t="str">
        <f>'13. Desinvesteringen'!C503</f>
        <v>15 Compressorstations (TT-BT-AT)</v>
      </c>
      <c r="J220" s="164">
        <f>'13. Desinvesteringen'!F503</f>
        <v>0</v>
      </c>
      <c r="K220" s="38">
        <f>_xlfn.XLOOKUP(I220,'3. Input (des)investeringen '!$B$11:$B$89,'3. Input (des)investeringen '!$E$11:$E$89)</f>
        <v>1</v>
      </c>
      <c r="L220" s="48"/>
      <c r="M220" s="38">
        <f>_xlfn.XLOOKUP(I220,'3. Input (des)investeringen '!$B$11:$B$89,'3. Input (des)investeringen '!$D$11:$D$89,0)</f>
        <v>30</v>
      </c>
      <c r="N220" s="38">
        <f t="shared" si="86"/>
        <v>23.5</v>
      </c>
      <c r="P220" s="43">
        <f t="shared" si="102"/>
        <v>17341.329477361112</v>
      </c>
      <c r="Q220" s="43">
        <f t="shared" si="102"/>
        <v>16382.021889251773</v>
      </c>
      <c r="R220" s="43">
        <f t="shared" si="102"/>
        <v>15475.782380484654</v>
      </c>
      <c r="S220" s="43">
        <f t="shared" si="102"/>
        <v>14619.675270074862</v>
      </c>
      <c r="T220" s="43">
        <f t="shared" si="102"/>
        <v>13810.927276411147</v>
      </c>
      <c r="V220" s="43">
        <f t="shared" si="78"/>
        <v>1482.1649125949666</v>
      </c>
      <c r="W220" s="43">
        <f t="shared" si="79"/>
        <v>1482.1649125949666</v>
      </c>
      <c r="X220" s="43">
        <f t="shared" si="80"/>
        <v>1482.1649125949666</v>
      </c>
      <c r="Y220" s="43">
        <f t="shared" si="81"/>
        <v>1482.1649125949666</v>
      </c>
      <c r="Z220" s="43">
        <f t="shared" si="82"/>
        <v>1482.1649125949666</v>
      </c>
      <c r="AB220" s="43">
        <f t="shared" si="87"/>
        <v>18823.494389956079</v>
      </c>
      <c r="AC220" s="43">
        <f t="shared" si="88"/>
        <v>17864.186801846739</v>
      </c>
      <c r="AD220" s="43">
        <f t="shared" si="89"/>
        <v>16957.947293079622</v>
      </c>
      <c r="AE220" s="43">
        <f t="shared" si="90"/>
        <v>16101.840182669828</v>
      </c>
      <c r="AF220" s="43">
        <f t="shared" si="91"/>
        <v>15293.092189006113</v>
      </c>
      <c r="AH220" s="43">
        <f t="shared" si="92"/>
        <v>329485.26006986108</v>
      </c>
      <c r="AI220" s="43">
        <f t="shared" si="93"/>
        <v>311621.07326801436</v>
      </c>
      <c r="AJ220" s="43">
        <f t="shared" si="94"/>
        <v>294663.12597493472</v>
      </c>
      <c r="AK220" s="43">
        <f t="shared" si="95"/>
        <v>278561.28579226491</v>
      </c>
      <c r="AL220" s="43">
        <f t="shared" si="96"/>
        <v>263268.19360325881</v>
      </c>
      <c r="AN220" s="47">
        <f t="shared" si="97"/>
        <v>32332.390052820381</v>
      </c>
      <c r="AO220" s="47">
        <f t="shared" si="98"/>
        <v>33756.86153851547</v>
      </c>
      <c r="AP220" s="47">
        <f t="shared" si="99"/>
        <v>31985.766717801293</v>
      </c>
      <c r="AQ220" s="47">
        <f t="shared" si="100"/>
        <v>31422.710901244398</v>
      </c>
      <c r="AR220" s="43">
        <f t="shared" si="101"/>
        <v>25297.283545929946</v>
      </c>
      <c r="AY220" s="3"/>
    </row>
    <row r="221" spans="1:51" ht="13">
      <c r="A221" s="226"/>
      <c r="B221" s="37">
        <f>'13. Desinvesteringen'!B504</f>
        <v>485</v>
      </c>
      <c r="C221" s="48"/>
      <c r="D221" s="48"/>
      <c r="E221" s="48"/>
      <c r="F221" s="42">
        <f>'5. Input GAW-waarde desinv.'!D180</f>
        <v>119705.82972723366</v>
      </c>
      <c r="G221" s="175">
        <f>'13. Desinvesteringen'!D504</f>
        <v>2016</v>
      </c>
      <c r="H221" s="175">
        <f>'13. Desinvesteringen'!G504</f>
        <v>2023</v>
      </c>
      <c r="I221" s="37" t="str">
        <f>'13. Desinvesteringen'!C504</f>
        <v>15 Compressorstations (TT-BT-AT)</v>
      </c>
      <c r="J221" s="164">
        <f>'13. Desinvesteringen'!F504</f>
        <v>0</v>
      </c>
      <c r="K221" s="38">
        <f>_xlfn.XLOOKUP(I221,'3. Input (des)investeringen '!$B$11:$B$89,'3. Input (des)investeringen '!$E$11:$E$89)</f>
        <v>1</v>
      </c>
      <c r="L221" s="48"/>
      <c r="M221" s="38">
        <f>_xlfn.XLOOKUP(I221,'3. Input (des)investeringen '!$B$11:$B$89,'3. Input (des)investeringen '!$D$11:$D$89,0)</f>
        <v>30</v>
      </c>
      <c r="N221" s="38">
        <f t="shared" si="86"/>
        <v>24.5</v>
      </c>
      <c r="P221" s="43">
        <f t="shared" si="102"/>
        <v>5716.5641135046289</v>
      </c>
      <c r="Q221" s="43">
        <f t="shared" si="102"/>
        <v>5413.2362217676491</v>
      </c>
      <c r="R221" s="43">
        <f t="shared" si="102"/>
        <v>5126.003279388141</v>
      </c>
      <c r="S221" s="43">
        <f t="shared" si="102"/>
        <v>4854.0112686450966</v>
      </c>
      <c r="T221" s="43">
        <f t="shared" si="102"/>
        <v>4596.4514870435205</v>
      </c>
      <c r="V221" s="43">
        <f t="shared" si="78"/>
        <v>488.59522337646399</v>
      </c>
      <c r="W221" s="43">
        <f t="shared" si="79"/>
        <v>488.59522337646399</v>
      </c>
      <c r="X221" s="43">
        <f t="shared" si="80"/>
        <v>488.59522337646399</v>
      </c>
      <c r="Y221" s="43">
        <f t="shared" si="81"/>
        <v>488.59522337646399</v>
      </c>
      <c r="Z221" s="43">
        <f t="shared" si="82"/>
        <v>488.59522337646399</v>
      </c>
      <c r="AB221" s="43">
        <f t="shared" si="87"/>
        <v>6205.1593368810927</v>
      </c>
      <c r="AC221" s="43">
        <f t="shared" si="88"/>
        <v>5901.8314451441129</v>
      </c>
      <c r="AD221" s="43">
        <f t="shared" si="89"/>
        <v>5614.5985027646047</v>
      </c>
      <c r="AE221" s="43">
        <f t="shared" si="90"/>
        <v>5342.6064920215604</v>
      </c>
      <c r="AF221" s="43">
        <f t="shared" si="91"/>
        <v>5085.0467104199843</v>
      </c>
      <c r="AH221" s="43">
        <f t="shared" si="92"/>
        <v>113500.67039035258</v>
      </c>
      <c r="AI221" s="43">
        <f t="shared" si="93"/>
        <v>107598.83894520847</v>
      </c>
      <c r="AJ221" s="43">
        <f t="shared" si="94"/>
        <v>101984.24044244386</v>
      </c>
      <c r="AK221" s="43">
        <f t="shared" si="95"/>
        <v>96641.6339504223</v>
      </c>
      <c r="AL221" s="43">
        <f t="shared" si="96"/>
        <v>91556.587240002322</v>
      </c>
      <c r="AN221" s="47">
        <f t="shared" si="97"/>
        <v>10858.686822885549</v>
      </c>
      <c r="AO221" s="47">
        <f t="shared" si="98"/>
        <v>11389.372231349746</v>
      </c>
      <c r="AP221" s="47">
        <f t="shared" si="99"/>
        <v>10815.794765329241</v>
      </c>
      <c r="AQ221" s="47">
        <f t="shared" si="100"/>
        <v>10657.896359294788</v>
      </c>
      <c r="AR221" s="43">
        <f t="shared" si="101"/>
        <v>8564.197025540072</v>
      </c>
      <c r="AY221" s="3"/>
    </row>
    <row r="222" spans="1:51" ht="13">
      <c r="A222" s="226"/>
      <c r="B222" s="37">
        <f>'13. Desinvesteringen'!B505</f>
        <v>486</v>
      </c>
      <c r="C222" s="48"/>
      <c r="D222" s="48"/>
      <c r="E222" s="48"/>
      <c r="F222" s="42">
        <f>'5. Input GAW-waarde desinv.'!D181</f>
        <v>0</v>
      </c>
      <c r="G222" s="175">
        <f>'13. Desinvesteringen'!D505</f>
        <v>1977</v>
      </c>
      <c r="H222" s="175">
        <f>'13. Desinvesteringen'!G505</f>
        <v>2023</v>
      </c>
      <c r="I222" s="37" t="str">
        <f>'13. Desinvesteringen'!C505</f>
        <v>16 LNG installaties</v>
      </c>
      <c r="J222" s="164">
        <f>'13. Desinvesteringen'!F505</f>
        <v>0</v>
      </c>
      <c r="K222" s="38">
        <f>_xlfn.XLOOKUP(I222,'3. Input (des)investeringen '!$B$11:$B$89,'3. Input (des)investeringen '!$E$11:$E$89)</f>
        <v>0</v>
      </c>
      <c r="L222" s="48"/>
      <c r="M222" s="38">
        <f>_xlfn.XLOOKUP(I222,'3. Input (des)investeringen '!$B$11:$B$89,'3. Input (des)investeringen '!$D$11:$D$89,0)</f>
        <v>30</v>
      </c>
      <c r="N222" s="38">
        <f t="shared" si="86"/>
        <v>0</v>
      </c>
      <c r="P222" s="43">
        <f t="shared" ref="P222:T231" si="103">IF($M222&gt;0, IF(OR($G222&gt;P$50,$G222+$M222&lt;P$50),0,
VDB($F222,0,$N222,MAX(0,P$50-2022),MIN($N222,P$50-2021),$F$23,FALSE))*(1-$F$26), 0)</f>
        <v>0</v>
      </c>
      <c r="Q222" s="43">
        <f t="shared" si="103"/>
        <v>0</v>
      </c>
      <c r="R222" s="43">
        <f t="shared" si="103"/>
        <v>0</v>
      </c>
      <c r="S222" s="43">
        <f t="shared" si="103"/>
        <v>0</v>
      </c>
      <c r="T222" s="43">
        <f t="shared" si="103"/>
        <v>0</v>
      </c>
      <c r="V222" s="43">
        <f t="shared" si="78"/>
        <v>0</v>
      </c>
      <c r="W222" s="43">
        <f t="shared" si="79"/>
        <v>0</v>
      </c>
      <c r="X222" s="43">
        <f t="shared" si="80"/>
        <v>0</v>
      </c>
      <c r="Y222" s="43">
        <f t="shared" si="81"/>
        <v>0</v>
      </c>
      <c r="Z222" s="43">
        <f t="shared" si="82"/>
        <v>0</v>
      </c>
      <c r="AB222" s="43">
        <f t="shared" si="87"/>
        <v>0</v>
      </c>
      <c r="AC222" s="43">
        <f t="shared" si="88"/>
        <v>0</v>
      </c>
      <c r="AD222" s="43">
        <f t="shared" si="89"/>
        <v>0</v>
      </c>
      <c r="AE222" s="43">
        <f t="shared" si="90"/>
        <v>0</v>
      </c>
      <c r="AF222" s="43">
        <f t="shared" si="91"/>
        <v>0</v>
      </c>
      <c r="AH222" s="43">
        <f t="shared" si="92"/>
        <v>0</v>
      </c>
      <c r="AI222" s="43">
        <f t="shared" si="93"/>
        <v>0</v>
      </c>
      <c r="AJ222" s="43">
        <f t="shared" si="94"/>
        <v>0</v>
      </c>
      <c r="AK222" s="43">
        <f t="shared" si="95"/>
        <v>0</v>
      </c>
      <c r="AL222" s="43">
        <f t="shared" si="96"/>
        <v>0</v>
      </c>
      <c r="AN222" s="47">
        <f t="shared" si="97"/>
        <v>0</v>
      </c>
      <c r="AO222" s="47">
        <f t="shared" si="98"/>
        <v>0</v>
      </c>
      <c r="AP222" s="47">
        <f t="shared" si="99"/>
        <v>0</v>
      </c>
      <c r="AQ222" s="47">
        <f t="shared" si="100"/>
        <v>0</v>
      </c>
      <c r="AR222" s="43">
        <f t="shared" si="101"/>
        <v>0</v>
      </c>
      <c r="AY222" s="3"/>
    </row>
    <row r="223" spans="1:51" ht="13">
      <c r="A223" s="226"/>
      <c r="B223" s="37">
        <f>'13. Desinvesteringen'!B506</f>
        <v>487</v>
      </c>
      <c r="C223" s="48"/>
      <c r="D223" s="48"/>
      <c r="E223" s="48"/>
      <c r="F223" s="42">
        <f>'5. Input GAW-waarde desinv.'!D182</f>
        <v>0</v>
      </c>
      <c r="G223" s="175">
        <f>'13. Desinvesteringen'!D506</f>
        <v>1985</v>
      </c>
      <c r="H223" s="175">
        <f>'13. Desinvesteringen'!G506</f>
        <v>2023</v>
      </c>
      <c r="I223" s="37" t="str">
        <f>'13. Desinvesteringen'!C506</f>
        <v>17 Mengstations</v>
      </c>
      <c r="J223" s="164">
        <f>'13. Desinvesteringen'!F506</f>
        <v>0</v>
      </c>
      <c r="K223" s="38">
        <f>_xlfn.XLOOKUP(I223,'3. Input (des)investeringen '!$B$11:$B$89,'3. Input (des)investeringen '!$E$11:$E$89)</f>
        <v>0</v>
      </c>
      <c r="L223" s="48"/>
      <c r="M223" s="38">
        <f>_xlfn.XLOOKUP(I223,'3. Input (des)investeringen '!$B$11:$B$89,'3. Input (des)investeringen '!$D$11:$D$89,0)</f>
        <v>30</v>
      </c>
      <c r="N223" s="38">
        <f t="shared" si="86"/>
        <v>0</v>
      </c>
      <c r="P223" s="43">
        <f t="shared" si="103"/>
        <v>0</v>
      </c>
      <c r="Q223" s="43">
        <f t="shared" si="103"/>
        <v>0</v>
      </c>
      <c r="R223" s="43">
        <f t="shared" si="103"/>
        <v>0</v>
      </c>
      <c r="S223" s="43">
        <f t="shared" si="103"/>
        <v>0</v>
      </c>
      <c r="T223" s="43">
        <f t="shared" si="103"/>
        <v>0</v>
      </c>
      <c r="V223" s="43">
        <f t="shared" si="78"/>
        <v>0</v>
      </c>
      <c r="W223" s="43">
        <f t="shared" si="79"/>
        <v>0</v>
      </c>
      <c r="X223" s="43">
        <f t="shared" si="80"/>
        <v>0</v>
      </c>
      <c r="Y223" s="43">
        <f t="shared" si="81"/>
        <v>0</v>
      </c>
      <c r="Z223" s="43">
        <f t="shared" si="82"/>
        <v>0</v>
      </c>
      <c r="AB223" s="43">
        <f t="shared" si="87"/>
        <v>0</v>
      </c>
      <c r="AC223" s="43">
        <f t="shared" si="88"/>
        <v>0</v>
      </c>
      <c r="AD223" s="43">
        <f t="shared" si="89"/>
        <v>0</v>
      </c>
      <c r="AE223" s="43">
        <f t="shared" si="90"/>
        <v>0</v>
      </c>
      <c r="AF223" s="43">
        <f t="shared" si="91"/>
        <v>0</v>
      </c>
      <c r="AH223" s="43">
        <f t="shared" si="92"/>
        <v>0</v>
      </c>
      <c r="AI223" s="43">
        <f t="shared" si="93"/>
        <v>0</v>
      </c>
      <c r="AJ223" s="43">
        <f t="shared" si="94"/>
        <v>0</v>
      </c>
      <c r="AK223" s="43">
        <f t="shared" si="95"/>
        <v>0</v>
      </c>
      <c r="AL223" s="43">
        <f t="shared" si="96"/>
        <v>0</v>
      </c>
      <c r="AN223" s="47">
        <f t="shared" si="97"/>
        <v>0</v>
      </c>
      <c r="AO223" s="47">
        <f t="shared" si="98"/>
        <v>0</v>
      </c>
      <c r="AP223" s="47">
        <f t="shared" si="99"/>
        <v>0</v>
      </c>
      <c r="AQ223" s="47">
        <f t="shared" si="100"/>
        <v>0</v>
      </c>
      <c r="AR223" s="43">
        <f t="shared" si="101"/>
        <v>0</v>
      </c>
      <c r="AY223" s="3"/>
    </row>
    <row r="224" spans="1:51" ht="13">
      <c r="A224" s="226"/>
      <c r="B224" s="37">
        <f>'13. Desinvesteringen'!B507</f>
        <v>488</v>
      </c>
      <c r="C224" s="48"/>
      <c r="D224" s="48"/>
      <c r="E224" s="48"/>
      <c r="F224" s="42">
        <f>'5. Input GAW-waarde desinv.'!D183</f>
        <v>0</v>
      </c>
      <c r="G224" s="175">
        <f>'13. Desinvesteringen'!D507</f>
        <v>1988</v>
      </c>
      <c r="H224" s="175">
        <f>'13. Desinvesteringen'!G507</f>
        <v>2023</v>
      </c>
      <c r="I224" s="37" t="str">
        <f>'13. Desinvesteringen'!C507</f>
        <v>17 Mengstations</v>
      </c>
      <c r="J224" s="164">
        <f>'13. Desinvesteringen'!F507</f>
        <v>0</v>
      </c>
      <c r="K224" s="38">
        <f>_xlfn.XLOOKUP(I224,'3. Input (des)investeringen '!$B$11:$B$89,'3. Input (des)investeringen '!$E$11:$E$89)</f>
        <v>0</v>
      </c>
      <c r="L224" s="48"/>
      <c r="M224" s="38">
        <f>_xlfn.XLOOKUP(I224,'3. Input (des)investeringen '!$B$11:$B$89,'3. Input (des)investeringen '!$D$11:$D$89,0)</f>
        <v>30</v>
      </c>
      <c r="N224" s="38">
        <f t="shared" si="86"/>
        <v>0</v>
      </c>
      <c r="P224" s="43">
        <f t="shared" si="103"/>
        <v>0</v>
      </c>
      <c r="Q224" s="43">
        <f t="shared" si="103"/>
        <v>0</v>
      </c>
      <c r="R224" s="43">
        <f t="shared" si="103"/>
        <v>0</v>
      </c>
      <c r="S224" s="43">
        <f t="shared" si="103"/>
        <v>0</v>
      </c>
      <c r="T224" s="43">
        <f t="shared" si="103"/>
        <v>0</v>
      </c>
      <c r="V224" s="43">
        <f t="shared" si="78"/>
        <v>0</v>
      </c>
      <c r="W224" s="43">
        <f t="shared" si="79"/>
        <v>0</v>
      </c>
      <c r="X224" s="43">
        <f t="shared" si="80"/>
        <v>0</v>
      </c>
      <c r="Y224" s="43">
        <f t="shared" si="81"/>
        <v>0</v>
      </c>
      <c r="Z224" s="43">
        <f t="shared" si="82"/>
        <v>0</v>
      </c>
      <c r="AB224" s="43">
        <f t="shared" si="87"/>
        <v>0</v>
      </c>
      <c r="AC224" s="43">
        <f t="shared" si="88"/>
        <v>0</v>
      </c>
      <c r="AD224" s="43">
        <f t="shared" si="89"/>
        <v>0</v>
      </c>
      <c r="AE224" s="43">
        <f t="shared" si="90"/>
        <v>0</v>
      </c>
      <c r="AF224" s="43">
        <f t="shared" si="91"/>
        <v>0</v>
      </c>
      <c r="AH224" s="43">
        <f t="shared" si="92"/>
        <v>0</v>
      </c>
      <c r="AI224" s="43">
        <f t="shared" si="93"/>
        <v>0</v>
      </c>
      <c r="AJ224" s="43">
        <f t="shared" si="94"/>
        <v>0</v>
      </c>
      <c r="AK224" s="43">
        <f t="shared" si="95"/>
        <v>0</v>
      </c>
      <c r="AL224" s="43">
        <f t="shared" si="96"/>
        <v>0</v>
      </c>
      <c r="AN224" s="47">
        <f t="shared" si="97"/>
        <v>0</v>
      </c>
      <c r="AO224" s="47">
        <f t="shared" si="98"/>
        <v>0</v>
      </c>
      <c r="AP224" s="47">
        <f t="shared" si="99"/>
        <v>0</v>
      </c>
      <c r="AQ224" s="47">
        <f t="shared" si="100"/>
        <v>0</v>
      </c>
      <c r="AR224" s="43">
        <f t="shared" si="101"/>
        <v>0</v>
      </c>
      <c r="AY224" s="3"/>
    </row>
    <row r="225" spans="1:51" ht="13">
      <c r="A225" s="226"/>
      <c r="B225" s="37">
        <f>'13. Desinvesteringen'!B508</f>
        <v>489</v>
      </c>
      <c r="C225" s="48"/>
      <c r="D225" s="48"/>
      <c r="E225" s="48"/>
      <c r="F225" s="42">
        <f>'5. Input GAW-waarde desinv.'!D184</f>
        <v>0</v>
      </c>
      <c r="G225" s="175">
        <f>'13. Desinvesteringen'!D508</f>
        <v>1990</v>
      </c>
      <c r="H225" s="175">
        <f>'13. Desinvesteringen'!G508</f>
        <v>2023</v>
      </c>
      <c r="I225" s="37" t="str">
        <f>'13. Desinvesteringen'!C508</f>
        <v>17 Mengstations</v>
      </c>
      <c r="J225" s="164">
        <f>'13. Desinvesteringen'!F508</f>
        <v>0</v>
      </c>
      <c r="K225" s="38">
        <f>_xlfn.XLOOKUP(I225,'3. Input (des)investeringen '!$B$11:$B$89,'3. Input (des)investeringen '!$E$11:$E$89)</f>
        <v>0</v>
      </c>
      <c r="L225" s="48"/>
      <c r="M225" s="38">
        <f>_xlfn.XLOOKUP(I225,'3. Input (des)investeringen '!$B$11:$B$89,'3. Input (des)investeringen '!$D$11:$D$89,0)</f>
        <v>30</v>
      </c>
      <c r="N225" s="38">
        <f t="shared" si="86"/>
        <v>0</v>
      </c>
      <c r="P225" s="43">
        <f t="shared" si="103"/>
        <v>0</v>
      </c>
      <c r="Q225" s="43">
        <f t="shared" si="103"/>
        <v>0</v>
      </c>
      <c r="R225" s="43">
        <f t="shared" si="103"/>
        <v>0</v>
      </c>
      <c r="S225" s="43">
        <f t="shared" si="103"/>
        <v>0</v>
      </c>
      <c r="T225" s="43">
        <f t="shared" si="103"/>
        <v>0</v>
      </c>
      <c r="V225" s="43">
        <f t="shared" si="78"/>
        <v>0</v>
      </c>
      <c r="W225" s="43">
        <f t="shared" si="79"/>
        <v>0</v>
      </c>
      <c r="X225" s="43">
        <f t="shared" si="80"/>
        <v>0</v>
      </c>
      <c r="Y225" s="43">
        <f t="shared" si="81"/>
        <v>0</v>
      </c>
      <c r="Z225" s="43">
        <f t="shared" si="82"/>
        <v>0</v>
      </c>
      <c r="AB225" s="43">
        <f t="shared" si="87"/>
        <v>0</v>
      </c>
      <c r="AC225" s="43">
        <f t="shared" si="88"/>
        <v>0</v>
      </c>
      <c r="AD225" s="43">
        <f t="shared" si="89"/>
        <v>0</v>
      </c>
      <c r="AE225" s="43">
        <f t="shared" si="90"/>
        <v>0</v>
      </c>
      <c r="AF225" s="43">
        <f t="shared" si="91"/>
        <v>0</v>
      </c>
      <c r="AH225" s="43">
        <f t="shared" si="92"/>
        <v>0</v>
      </c>
      <c r="AI225" s="43">
        <f t="shared" si="93"/>
        <v>0</v>
      </c>
      <c r="AJ225" s="43">
        <f t="shared" si="94"/>
        <v>0</v>
      </c>
      <c r="AK225" s="43">
        <f t="shared" si="95"/>
        <v>0</v>
      </c>
      <c r="AL225" s="43">
        <f t="shared" si="96"/>
        <v>0</v>
      </c>
      <c r="AN225" s="47">
        <f t="shared" si="97"/>
        <v>0</v>
      </c>
      <c r="AO225" s="47">
        <f t="shared" si="98"/>
        <v>0</v>
      </c>
      <c r="AP225" s="47">
        <f t="shared" si="99"/>
        <v>0</v>
      </c>
      <c r="AQ225" s="47">
        <f t="shared" si="100"/>
        <v>0</v>
      </c>
      <c r="AR225" s="43">
        <f t="shared" si="101"/>
        <v>0</v>
      </c>
      <c r="AY225" s="3"/>
    </row>
    <row r="226" spans="1:51" ht="13">
      <c r="A226" s="226"/>
      <c r="B226" s="37">
        <f>'13. Desinvesteringen'!B509</f>
        <v>490</v>
      </c>
      <c r="C226" s="48"/>
      <c r="D226" s="48"/>
      <c r="E226" s="48"/>
      <c r="F226" s="42">
        <f>'5. Input GAW-waarde desinv.'!D185</f>
        <v>165539.3694759488</v>
      </c>
      <c r="G226" s="175">
        <f>'13. Desinvesteringen'!D509</f>
        <v>1992</v>
      </c>
      <c r="H226" s="175">
        <f>'13. Desinvesteringen'!G509</f>
        <v>2023</v>
      </c>
      <c r="I226" s="37" t="str">
        <f>'13. Desinvesteringen'!C509</f>
        <v>17 Mengstations</v>
      </c>
      <c r="J226" s="164">
        <f>'13. Desinvesteringen'!F509</f>
        <v>0</v>
      </c>
      <c r="K226" s="38">
        <f>_xlfn.XLOOKUP(I226,'3. Input (des)investeringen '!$B$11:$B$89,'3. Input (des)investeringen '!$E$11:$E$89)</f>
        <v>0</v>
      </c>
      <c r="L226" s="48"/>
      <c r="M226" s="38">
        <f>_xlfn.XLOOKUP(I226,'3. Input (des)investeringen '!$B$11:$B$89,'3. Input (des)investeringen '!$D$11:$D$89,0)</f>
        <v>30</v>
      </c>
      <c r="N226" s="38">
        <f t="shared" si="86"/>
        <v>0.5</v>
      </c>
      <c r="P226" s="43">
        <f t="shared" si="103"/>
        <v>148985.43252835394</v>
      </c>
      <c r="Q226" s="43">
        <f t="shared" si="103"/>
        <v>0</v>
      </c>
      <c r="R226" s="43">
        <f t="shared" si="103"/>
        <v>0</v>
      </c>
      <c r="S226" s="43">
        <f t="shared" si="103"/>
        <v>0</v>
      </c>
      <c r="T226" s="43">
        <f t="shared" si="103"/>
        <v>0</v>
      </c>
      <c r="V226" s="43">
        <f t="shared" si="78"/>
        <v>16553.936947594881</v>
      </c>
      <c r="W226" s="43">
        <f t="shared" si="79"/>
        <v>0</v>
      </c>
      <c r="X226" s="43">
        <f t="shared" si="80"/>
        <v>0</v>
      </c>
      <c r="Y226" s="43">
        <f t="shared" si="81"/>
        <v>0</v>
      </c>
      <c r="Z226" s="43">
        <f t="shared" si="82"/>
        <v>0</v>
      </c>
      <c r="AB226" s="43">
        <f t="shared" si="87"/>
        <v>165539.36947594883</v>
      </c>
      <c r="AC226" s="43">
        <f t="shared" si="88"/>
        <v>0</v>
      </c>
      <c r="AD226" s="43">
        <f t="shared" si="89"/>
        <v>0</v>
      </c>
      <c r="AE226" s="43">
        <f t="shared" si="90"/>
        <v>0</v>
      </c>
      <c r="AF226" s="43">
        <f t="shared" si="91"/>
        <v>0</v>
      </c>
      <c r="AH226" s="43">
        <f t="shared" si="92"/>
        <v>0</v>
      </c>
      <c r="AI226" s="43">
        <f t="shared" si="93"/>
        <v>0</v>
      </c>
      <c r="AJ226" s="43">
        <f t="shared" si="94"/>
        <v>0</v>
      </c>
      <c r="AK226" s="43">
        <f t="shared" si="95"/>
        <v>0</v>
      </c>
      <c r="AL226" s="43">
        <f t="shared" si="96"/>
        <v>0</v>
      </c>
      <c r="AN226" s="47">
        <f t="shared" si="97"/>
        <v>165539.36947594883</v>
      </c>
      <c r="AO226" s="47">
        <f t="shared" si="98"/>
        <v>0</v>
      </c>
      <c r="AP226" s="47">
        <f t="shared" si="99"/>
        <v>0</v>
      </c>
      <c r="AQ226" s="47">
        <f t="shared" si="100"/>
        <v>0</v>
      </c>
      <c r="AR226" s="43">
        <f t="shared" si="101"/>
        <v>0</v>
      </c>
      <c r="AY226" s="3"/>
    </row>
    <row r="227" spans="1:51" ht="13">
      <c r="A227" s="226"/>
      <c r="B227" s="37">
        <f>'13. Desinvesteringen'!B510</f>
        <v>491</v>
      </c>
      <c r="C227" s="48"/>
      <c r="D227" s="48"/>
      <c r="E227" s="48"/>
      <c r="F227" s="42">
        <f>'5. Input GAW-waarde desinv.'!D186</f>
        <v>487022.63956122473</v>
      </c>
      <c r="G227" s="175">
        <f>'13. Desinvesteringen'!D510</f>
        <v>1995</v>
      </c>
      <c r="H227" s="175">
        <f>'13. Desinvesteringen'!G510</f>
        <v>2023</v>
      </c>
      <c r="I227" s="37" t="str">
        <f>'13. Desinvesteringen'!C510</f>
        <v>17 Mengstations</v>
      </c>
      <c r="J227" s="164">
        <f>'13. Desinvesteringen'!F510</f>
        <v>0</v>
      </c>
      <c r="K227" s="38">
        <f>_xlfn.XLOOKUP(I227,'3. Input (des)investeringen '!$B$11:$B$89,'3. Input (des)investeringen '!$E$11:$E$89)</f>
        <v>0</v>
      </c>
      <c r="L227" s="48"/>
      <c r="M227" s="38">
        <f>_xlfn.XLOOKUP(I227,'3. Input (des)investeringen '!$B$11:$B$89,'3. Input (des)investeringen '!$D$11:$D$89,0)</f>
        <v>30</v>
      </c>
      <c r="N227" s="38">
        <f t="shared" si="86"/>
        <v>3.5</v>
      </c>
      <c r="P227" s="43">
        <f t="shared" si="103"/>
        <v>162804.71093903799</v>
      </c>
      <c r="Q227" s="43">
        <f t="shared" si="103"/>
        <v>110206.26586642572</v>
      </c>
      <c r="R227" s="43">
        <f t="shared" si="103"/>
        <v>110206.26586642572</v>
      </c>
      <c r="S227" s="43">
        <f t="shared" si="103"/>
        <v>55103.132933212859</v>
      </c>
      <c r="T227" s="43">
        <f t="shared" si="103"/>
        <v>0</v>
      </c>
      <c r="V227" s="43">
        <f t="shared" si="78"/>
        <v>13914.932558892135</v>
      </c>
      <c r="W227" s="43">
        <f t="shared" si="79"/>
        <v>13914.932558892138</v>
      </c>
      <c r="X227" s="43">
        <f t="shared" si="80"/>
        <v>13914.932558892138</v>
      </c>
      <c r="Y227" s="43">
        <f t="shared" si="81"/>
        <v>6957.4662794460692</v>
      </c>
      <c r="Z227" s="43">
        <f t="shared" si="82"/>
        <v>0</v>
      </c>
      <c r="AB227" s="43">
        <f t="shared" si="87"/>
        <v>176719.64349793014</v>
      </c>
      <c r="AC227" s="43">
        <f t="shared" si="88"/>
        <v>124121.19842531785</v>
      </c>
      <c r="AD227" s="43">
        <f t="shared" si="89"/>
        <v>124121.19842531785</v>
      </c>
      <c r="AE227" s="43">
        <f t="shared" si="90"/>
        <v>62060.599212658926</v>
      </c>
      <c r="AF227" s="43">
        <f t="shared" si="91"/>
        <v>0</v>
      </c>
      <c r="AH227" s="43">
        <f t="shared" si="92"/>
        <v>310302.99606329459</v>
      </c>
      <c r="AI227" s="43">
        <f t="shared" si="93"/>
        <v>186181.79763797674</v>
      </c>
      <c r="AJ227" s="43">
        <f t="shared" si="94"/>
        <v>62060.599212658883</v>
      </c>
      <c r="AK227" s="43">
        <f t="shared" si="95"/>
        <v>0</v>
      </c>
      <c r="AL227" s="43">
        <f t="shared" si="96"/>
        <v>0</v>
      </c>
      <c r="AN227" s="47">
        <f t="shared" si="97"/>
        <v>189442.06633652523</v>
      </c>
      <c r="AO227" s="47">
        <f t="shared" si="98"/>
        <v>133616.47010485467</v>
      </c>
      <c r="AP227" s="47">
        <f t="shared" si="99"/>
        <v>127286.28898516345</v>
      </c>
      <c r="AQ227" s="47">
        <f t="shared" si="100"/>
        <v>62060.599212658926</v>
      </c>
      <c r="AR227" s="43">
        <f t="shared" si="101"/>
        <v>0</v>
      </c>
      <c r="AY227" s="3"/>
    </row>
    <row r="228" spans="1:51" ht="13">
      <c r="A228" s="226"/>
      <c r="B228" s="37">
        <f>'13. Desinvesteringen'!B511</f>
        <v>492</v>
      </c>
      <c r="C228" s="48"/>
      <c r="D228" s="48"/>
      <c r="E228" s="48"/>
      <c r="F228" s="42">
        <f>'5. Input GAW-waarde desinv.'!D187</f>
        <v>2791.7858330904492</v>
      </c>
      <c r="G228" s="175">
        <f>'13. Desinvesteringen'!D511</f>
        <v>1996</v>
      </c>
      <c r="H228" s="175">
        <f>'13. Desinvesteringen'!G511</f>
        <v>2023</v>
      </c>
      <c r="I228" s="37" t="str">
        <f>'13. Desinvesteringen'!C511</f>
        <v>17 Mengstations</v>
      </c>
      <c r="J228" s="164">
        <f>'13. Desinvesteringen'!F511</f>
        <v>0</v>
      </c>
      <c r="K228" s="38">
        <f>_xlfn.XLOOKUP(I228,'3. Input (des)investeringen '!$B$11:$B$89,'3. Input (des)investeringen '!$E$11:$E$89)</f>
        <v>0</v>
      </c>
      <c r="L228" s="48"/>
      <c r="M228" s="38">
        <f>_xlfn.XLOOKUP(I228,'3. Input (des)investeringen '!$B$11:$B$89,'3. Input (des)investeringen '!$D$11:$D$89,0)</f>
        <v>30</v>
      </c>
      <c r="N228" s="38">
        <f t="shared" si="86"/>
        <v>4.5</v>
      </c>
      <c r="P228" s="43">
        <f t="shared" si="103"/>
        <v>725.86431660351684</v>
      </c>
      <c r="Q228" s="43">
        <f t="shared" si="103"/>
        <v>516.17018069583412</v>
      </c>
      <c r="R228" s="43">
        <f t="shared" si="103"/>
        <v>508.22910099282126</v>
      </c>
      <c r="S228" s="43">
        <f t="shared" si="103"/>
        <v>508.22910099282126</v>
      </c>
      <c r="T228" s="43">
        <f t="shared" si="103"/>
        <v>254.11455049641063</v>
      </c>
      <c r="V228" s="43">
        <f t="shared" si="78"/>
        <v>62.039685179787767</v>
      </c>
      <c r="W228" s="43">
        <f t="shared" si="79"/>
        <v>62.039685179787767</v>
      </c>
      <c r="X228" s="43">
        <f t="shared" si="80"/>
        <v>62.039685179787767</v>
      </c>
      <c r="Y228" s="43">
        <f t="shared" si="81"/>
        <v>62.039685179787767</v>
      </c>
      <c r="Z228" s="43">
        <f t="shared" si="82"/>
        <v>31.019842589893884</v>
      </c>
      <c r="AB228" s="43">
        <f t="shared" si="87"/>
        <v>787.90400178330458</v>
      </c>
      <c r="AC228" s="43">
        <f t="shared" si="88"/>
        <v>578.20986587562186</v>
      </c>
      <c r="AD228" s="43">
        <f t="shared" si="89"/>
        <v>570.268786172609</v>
      </c>
      <c r="AE228" s="43">
        <f t="shared" si="90"/>
        <v>570.268786172609</v>
      </c>
      <c r="AF228" s="43">
        <f t="shared" si="91"/>
        <v>285.1343930863045</v>
      </c>
      <c r="AH228" s="43">
        <f t="shared" si="92"/>
        <v>2003.8818313071447</v>
      </c>
      <c r="AI228" s="43">
        <f t="shared" si="93"/>
        <v>1425.6719654315229</v>
      </c>
      <c r="AJ228" s="43">
        <f t="shared" si="94"/>
        <v>855.40317925891395</v>
      </c>
      <c r="AK228" s="43">
        <f t="shared" si="95"/>
        <v>285.13439308630495</v>
      </c>
      <c r="AL228" s="43">
        <f t="shared" si="96"/>
        <v>0</v>
      </c>
      <c r="AN228" s="47">
        <f t="shared" si="97"/>
        <v>870.06315686689754</v>
      </c>
      <c r="AO228" s="47">
        <f t="shared" si="98"/>
        <v>650.91913611262953</v>
      </c>
      <c r="AP228" s="47">
        <f t="shared" si="99"/>
        <v>613.89434831481356</v>
      </c>
      <c r="AQ228" s="47">
        <f t="shared" si="100"/>
        <v>585.95117779235579</v>
      </c>
      <c r="AR228" s="43">
        <f t="shared" si="101"/>
        <v>285.1343930863045</v>
      </c>
      <c r="AY228" s="3"/>
    </row>
    <row r="229" spans="1:51" ht="13">
      <c r="A229" s="226"/>
      <c r="B229" s="37">
        <f>'13. Desinvesteringen'!B512</f>
        <v>493</v>
      </c>
      <c r="C229" s="48"/>
      <c r="D229" s="48"/>
      <c r="E229" s="48"/>
      <c r="F229" s="42">
        <f>'5. Input GAW-waarde desinv.'!D188</f>
        <v>9448.553239950219</v>
      </c>
      <c r="G229" s="175">
        <f>'13. Desinvesteringen'!D512</f>
        <v>1998</v>
      </c>
      <c r="H229" s="175">
        <f>'13. Desinvesteringen'!G512</f>
        <v>2023</v>
      </c>
      <c r="I229" s="37" t="str">
        <f>'13. Desinvesteringen'!C512</f>
        <v>17 Mengstations</v>
      </c>
      <c r="J229" s="164">
        <f>'13. Desinvesteringen'!F512</f>
        <v>0</v>
      </c>
      <c r="K229" s="38">
        <f>_xlfn.XLOOKUP(I229,'3. Input (des)investeringen '!$B$11:$B$89,'3. Input (des)investeringen '!$E$11:$E$89)</f>
        <v>0</v>
      </c>
      <c r="L229" s="48"/>
      <c r="M229" s="38">
        <f>_xlfn.XLOOKUP(I229,'3. Input (des)investeringen '!$B$11:$B$89,'3. Input (des)investeringen '!$D$11:$D$89,0)</f>
        <v>30</v>
      </c>
      <c r="N229" s="38">
        <f t="shared" si="86"/>
        <v>6.5</v>
      </c>
      <c r="P229" s="43">
        <f t="shared" si="103"/>
        <v>1700.7395831910396</v>
      </c>
      <c r="Q229" s="43">
        <f t="shared" si="103"/>
        <v>1360.5916665528316</v>
      </c>
      <c r="R229" s="43">
        <f t="shared" si="103"/>
        <v>1209.4148147136282</v>
      </c>
      <c r="S229" s="43">
        <f t="shared" si="103"/>
        <v>1209.4148147136282</v>
      </c>
      <c r="T229" s="43">
        <f t="shared" si="103"/>
        <v>1209.4148147136282</v>
      </c>
      <c r="V229" s="43">
        <f t="shared" si="78"/>
        <v>145.36235753769569</v>
      </c>
      <c r="W229" s="43">
        <f t="shared" si="79"/>
        <v>145.36235753769569</v>
      </c>
      <c r="X229" s="43">
        <f t="shared" si="80"/>
        <v>145.36235753769569</v>
      </c>
      <c r="Y229" s="43">
        <f t="shared" si="81"/>
        <v>145.36235753769569</v>
      </c>
      <c r="Z229" s="43">
        <f t="shared" si="82"/>
        <v>145.36235753769569</v>
      </c>
      <c r="AB229" s="43">
        <f t="shared" si="87"/>
        <v>1846.1019407287354</v>
      </c>
      <c r="AC229" s="43">
        <f t="shared" si="88"/>
        <v>1505.9540240905274</v>
      </c>
      <c r="AD229" s="43">
        <f t="shared" si="89"/>
        <v>1354.7771722513239</v>
      </c>
      <c r="AE229" s="43">
        <f t="shared" si="90"/>
        <v>1354.7771722513239</v>
      </c>
      <c r="AF229" s="43">
        <f t="shared" si="91"/>
        <v>1354.7771722513239</v>
      </c>
      <c r="AH229" s="43">
        <f t="shared" si="92"/>
        <v>7602.4512992214841</v>
      </c>
      <c r="AI229" s="43">
        <f t="shared" si="93"/>
        <v>6096.497275130957</v>
      </c>
      <c r="AJ229" s="43">
        <f t="shared" si="94"/>
        <v>4741.7201028796335</v>
      </c>
      <c r="AK229" s="43">
        <f t="shared" si="95"/>
        <v>3386.9429306283096</v>
      </c>
      <c r="AL229" s="43">
        <f t="shared" si="96"/>
        <v>2032.1657583769857</v>
      </c>
      <c r="AN229" s="47">
        <f t="shared" si="97"/>
        <v>2157.8024439968162</v>
      </c>
      <c r="AO229" s="47">
        <f t="shared" si="98"/>
        <v>1816.8753851222061</v>
      </c>
      <c r="AP229" s="47">
        <f t="shared" si="99"/>
        <v>1596.6048974981852</v>
      </c>
      <c r="AQ229" s="47">
        <f t="shared" si="100"/>
        <v>1541.059033435881</v>
      </c>
      <c r="AR229" s="43">
        <f t="shared" si="101"/>
        <v>1431.9994710696494</v>
      </c>
      <c r="AY229" s="3"/>
    </row>
    <row r="230" spans="1:51" ht="13">
      <c r="A230" s="226"/>
      <c r="B230" s="37">
        <f>'13. Desinvesteringen'!B513</f>
        <v>494</v>
      </c>
      <c r="C230" s="48"/>
      <c r="D230" s="48"/>
      <c r="E230" s="48"/>
      <c r="F230" s="42">
        <f>'5. Input GAW-waarde desinv.'!D189</f>
        <v>124976.62709455805</v>
      </c>
      <c r="G230" s="175">
        <f>'13. Desinvesteringen'!D513</f>
        <v>2001</v>
      </c>
      <c r="H230" s="175">
        <f>'13. Desinvesteringen'!G513</f>
        <v>2023</v>
      </c>
      <c r="I230" s="37" t="str">
        <f>'13. Desinvesteringen'!C513</f>
        <v>17 Mengstations</v>
      </c>
      <c r="J230" s="164">
        <f>'13. Desinvesteringen'!F513</f>
        <v>0</v>
      </c>
      <c r="K230" s="38">
        <f>_xlfn.XLOOKUP(I230,'3. Input (des)investeringen '!$B$11:$B$89,'3. Input (des)investeringen '!$E$11:$E$89)</f>
        <v>0</v>
      </c>
      <c r="L230" s="48"/>
      <c r="M230" s="38">
        <f>_xlfn.XLOOKUP(I230,'3. Input (des)investeringen '!$B$11:$B$89,'3. Input (des)investeringen '!$D$11:$D$89,0)</f>
        <v>30</v>
      </c>
      <c r="N230" s="38">
        <f t="shared" si="86"/>
        <v>9.5</v>
      </c>
      <c r="P230" s="43">
        <f t="shared" si="103"/>
        <v>15391.85828427715</v>
      </c>
      <c r="Q230" s="43">
        <f t="shared" si="103"/>
        <v>13285.603992744487</v>
      </c>
      <c r="R230" s="43">
        <f t="shared" si="103"/>
        <v>11467.573972684715</v>
      </c>
      <c r="S230" s="43">
        <f t="shared" si="103"/>
        <v>11128.296636214753</v>
      </c>
      <c r="T230" s="43">
        <f t="shared" si="103"/>
        <v>11128.296636214753</v>
      </c>
      <c r="V230" s="43">
        <f t="shared" si="78"/>
        <v>1315.5434431006111</v>
      </c>
      <c r="W230" s="43">
        <f t="shared" si="79"/>
        <v>1315.5434431006111</v>
      </c>
      <c r="X230" s="43">
        <f t="shared" si="80"/>
        <v>1315.5434431006111</v>
      </c>
      <c r="Y230" s="43">
        <f t="shared" si="81"/>
        <v>1315.5434431006111</v>
      </c>
      <c r="Z230" s="43">
        <f t="shared" si="82"/>
        <v>1315.5434431006111</v>
      </c>
      <c r="AB230" s="43">
        <f t="shared" si="87"/>
        <v>16707.401727377761</v>
      </c>
      <c r="AC230" s="43">
        <f t="shared" si="88"/>
        <v>14601.147435845098</v>
      </c>
      <c r="AD230" s="43">
        <f t="shared" si="89"/>
        <v>12783.117415785326</v>
      </c>
      <c r="AE230" s="43">
        <f t="shared" si="90"/>
        <v>12443.840079315363</v>
      </c>
      <c r="AF230" s="43">
        <f t="shared" si="91"/>
        <v>12443.840079315363</v>
      </c>
      <c r="AH230" s="43">
        <f t="shared" si="92"/>
        <v>108269.22536718029</v>
      </c>
      <c r="AI230" s="43">
        <f t="shared" si="93"/>
        <v>93668.077931335196</v>
      </c>
      <c r="AJ230" s="43">
        <f t="shared" si="94"/>
        <v>80884.960515549872</v>
      </c>
      <c r="AK230" s="43">
        <f t="shared" si="95"/>
        <v>68441.120436234516</v>
      </c>
      <c r="AL230" s="43">
        <f t="shared" si="96"/>
        <v>55997.280356919153</v>
      </c>
      <c r="AN230" s="47">
        <f t="shared" si="97"/>
        <v>21146.439967432154</v>
      </c>
      <c r="AO230" s="47">
        <f t="shared" si="98"/>
        <v>19378.21941034319</v>
      </c>
      <c r="AP230" s="47">
        <f t="shared" si="99"/>
        <v>16908.250402078367</v>
      </c>
      <c r="AQ230" s="47">
        <f t="shared" si="100"/>
        <v>16208.101703308261</v>
      </c>
      <c r="AR230" s="43">
        <f t="shared" si="101"/>
        <v>14571.736732878291</v>
      </c>
      <c r="AY230" s="3"/>
    </row>
    <row r="231" spans="1:51" ht="13">
      <c r="A231" s="226"/>
      <c r="B231" s="37">
        <f>'13. Desinvesteringen'!B514</f>
        <v>495</v>
      </c>
      <c r="C231" s="48"/>
      <c r="D231" s="48"/>
      <c r="E231" s="48"/>
      <c r="F231" s="42">
        <f>'5. Input GAW-waarde desinv.'!D190</f>
        <v>18067.471447845164</v>
      </c>
      <c r="G231" s="175">
        <f>'13. Desinvesteringen'!D514</f>
        <v>2003</v>
      </c>
      <c r="H231" s="175">
        <f>'13. Desinvesteringen'!G514</f>
        <v>2023</v>
      </c>
      <c r="I231" s="37" t="str">
        <f>'13. Desinvesteringen'!C514</f>
        <v>17 Mengstations</v>
      </c>
      <c r="J231" s="164">
        <f>'13. Desinvesteringen'!F514</f>
        <v>0</v>
      </c>
      <c r="K231" s="38">
        <f>_xlfn.XLOOKUP(I231,'3. Input (des)investeringen '!$B$11:$B$89,'3. Input (des)investeringen '!$E$11:$E$89)</f>
        <v>0</v>
      </c>
      <c r="L231" s="48"/>
      <c r="M231" s="38">
        <f>_xlfn.XLOOKUP(I231,'3. Input (des)investeringen '!$B$11:$B$89,'3. Input (des)investeringen '!$D$11:$D$89,0)</f>
        <v>30</v>
      </c>
      <c r="N231" s="38">
        <f t="shared" si="86"/>
        <v>11.5</v>
      </c>
      <c r="P231" s="43">
        <f t="shared" si="103"/>
        <v>1838.1688342590298</v>
      </c>
      <c r="Q231" s="43">
        <f t="shared" si="103"/>
        <v>1630.3758356036612</v>
      </c>
      <c r="R231" s="43">
        <f t="shared" si="103"/>
        <v>1446.0724802745515</v>
      </c>
      <c r="S231" s="43">
        <f t="shared" si="103"/>
        <v>1334.8361356380476</v>
      </c>
      <c r="T231" s="43">
        <f t="shared" si="103"/>
        <v>1334.8361356380476</v>
      </c>
      <c r="V231" s="43">
        <f t="shared" si="78"/>
        <v>157.10844737256664</v>
      </c>
      <c r="W231" s="43">
        <f t="shared" si="79"/>
        <v>157.10844737256664</v>
      </c>
      <c r="X231" s="43">
        <f t="shared" si="80"/>
        <v>157.10844737256664</v>
      </c>
      <c r="Y231" s="43">
        <f t="shared" si="81"/>
        <v>157.10844737256664</v>
      </c>
      <c r="Z231" s="43">
        <f t="shared" si="82"/>
        <v>157.10844737256664</v>
      </c>
      <c r="AB231" s="43">
        <f t="shared" si="87"/>
        <v>1995.2772816315965</v>
      </c>
      <c r="AC231" s="43">
        <f t="shared" si="88"/>
        <v>1787.4842829762279</v>
      </c>
      <c r="AD231" s="43">
        <f t="shared" si="89"/>
        <v>1603.1809276471181</v>
      </c>
      <c r="AE231" s="43">
        <f t="shared" si="90"/>
        <v>1491.9445830106142</v>
      </c>
      <c r="AF231" s="43">
        <f t="shared" si="91"/>
        <v>1491.9445830106142</v>
      </c>
      <c r="AH231" s="43">
        <f t="shared" si="92"/>
        <v>16072.194166213569</v>
      </c>
      <c r="AI231" s="43">
        <f t="shared" si="93"/>
        <v>14284.709883237341</v>
      </c>
      <c r="AJ231" s="43">
        <f t="shared" si="94"/>
        <v>12681.528955590224</v>
      </c>
      <c r="AK231" s="43">
        <f t="shared" si="95"/>
        <v>11189.584372579609</v>
      </c>
      <c r="AL231" s="43">
        <f t="shared" si="96"/>
        <v>9697.6397895689952</v>
      </c>
      <c r="AN231" s="47">
        <f t="shared" si="97"/>
        <v>2654.2372424463529</v>
      </c>
      <c r="AO231" s="47">
        <f t="shared" si="98"/>
        <v>2516.0044870213324</v>
      </c>
      <c r="AP231" s="47">
        <f t="shared" si="99"/>
        <v>2249.9389043822193</v>
      </c>
      <c r="AQ231" s="47">
        <f t="shared" si="100"/>
        <v>2107.3717235024928</v>
      </c>
      <c r="AR231" s="43">
        <f t="shared" si="101"/>
        <v>1860.4548950142362</v>
      </c>
      <c r="AY231" s="3"/>
    </row>
    <row r="232" spans="1:51" ht="13">
      <c r="A232" s="226"/>
      <c r="B232" s="37">
        <f>'13. Desinvesteringen'!B515</f>
        <v>496</v>
      </c>
      <c r="C232" s="48"/>
      <c r="D232" s="48"/>
      <c r="E232" s="48"/>
      <c r="F232" s="42">
        <f>'5. Input GAW-waarde desinv.'!D191</f>
        <v>24745.075221292602</v>
      </c>
      <c r="G232" s="175">
        <f>'13. Desinvesteringen'!D515</f>
        <v>2004</v>
      </c>
      <c r="H232" s="175">
        <f>'13. Desinvesteringen'!G515</f>
        <v>2023</v>
      </c>
      <c r="I232" s="37" t="str">
        <f>'13. Desinvesteringen'!C515</f>
        <v>17 Mengstations</v>
      </c>
      <c r="J232" s="164">
        <f>'13. Desinvesteringen'!F515</f>
        <v>0</v>
      </c>
      <c r="K232" s="38">
        <f>_xlfn.XLOOKUP(I232,'3. Input (des)investeringen '!$B$11:$B$89,'3. Input (des)investeringen '!$E$11:$E$89)</f>
        <v>0</v>
      </c>
      <c r="L232" s="48"/>
      <c r="M232" s="38">
        <f>_xlfn.XLOOKUP(I232,'3. Input (des)investeringen '!$B$11:$B$89,'3. Input (des)investeringen '!$D$11:$D$89,0)</f>
        <v>30</v>
      </c>
      <c r="N232" s="38">
        <f t="shared" si="86"/>
        <v>12.5</v>
      </c>
      <c r="P232" s="43">
        <f t="shared" ref="P232:T241" si="104">IF($M232&gt;0, IF(OR($G232&gt;P$50,$G232+$M232&lt;P$50),0,
VDB($F232,0,$N232,MAX(0,P$50-2022),MIN($N232,P$50-2021),$F$23,FALSE))*(1-$F$26), 0)</f>
        <v>2316.1390407129879</v>
      </c>
      <c r="Q232" s="43">
        <f t="shared" si="104"/>
        <v>2075.2605804788373</v>
      </c>
      <c r="R232" s="43">
        <f t="shared" si="104"/>
        <v>1859.4334801090379</v>
      </c>
      <c r="S232" s="43">
        <f t="shared" si="104"/>
        <v>1686.2878524065766</v>
      </c>
      <c r="T232" s="43">
        <f t="shared" si="104"/>
        <v>1686.2878524065766</v>
      </c>
      <c r="V232" s="43">
        <f t="shared" si="78"/>
        <v>197.96060177034084</v>
      </c>
      <c r="W232" s="43">
        <f t="shared" si="79"/>
        <v>197.96060177034082</v>
      </c>
      <c r="X232" s="43">
        <f t="shared" si="80"/>
        <v>197.96060177034082</v>
      </c>
      <c r="Y232" s="43">
        <f t="shared" si="81"/>
        <v>197.96060177034082</v>
      </c>
      <c r="Z232" s="43">
        <f t="shared" si="82"/>
        <v>197.96060177034082</v>
      </c>
      <c r="AB232" s="43">
        <f t="shared" si="87"/>
        <v>2514.0996424833288</v>
      </c>
      <c r="AC232" s="43">
        <f t="shared" si="88"/>
        <v>2273.2211822491781</v>
      </c>
      <c r="AD232" s="43">
        <f t="shared" si="89"/>
        <v>2057.3940818793785</v>
      </c>
      <c r="AE232" s="43">
        <f t="shared" si="90"/>
        <v>1884.2484541769174</v>
      </c>
      <c r="AF232" s="43">
        <f t="shared" si="91"/>
        <v>1884.2484541769174</v>
      </c>
      <c r="AH232" s="43">
        <f t="shared" si="92"/>
        <v>22230.975578809273</v>
      </c>
      <c r="AI232" s="43">
        <f t="shared" si="93"/>
        <v>19957.754396560096</v>
      </c>
      <c r="AJ232" s="43">
        <f t="shared" si="94"/>
        <v>17900.360314680718</v>
      </c>
      <c r="AK232" s="43">
        <f t="shared" si="95"/>
        <v>16016.111860503801</v>
      </c>
      <c r="AL232" s="43">
        <f t="shared" si="96"/>
        <v>14131.863406326884</v>
      </c>
      <c r="AN232" s="47">
        <f t="shared" si="97"/>
        <v>3425.5696412145089</v>
      </c>
      <c r="AO232" s="47">
        <f t="shared" si="98"/>
        <v>3291.066656473743</v>
      </c>
      <c r="AP232" s="47">
        <f t="shared" si="99"/>
        <v>2970.3124579280952</v>
      </c>
      <c r="AQ232" s="47">
        <f t="shared" si="100"/>
        <v>2765.1346065046264</v>
      </c>
      <c r="AR232" s="43">
        <f t="shared" si="101"/>
        <v>2421.259263617339</v>
      </c>
      <c r="AY232" s="3"/>
    </row>
    <row r="233" spans="1:51" ht="13">
      <c r="A233" s="226"/>
      <c r="B233" s="37">
        <f>'13. Desinvesteringen'!B516</f>
        <v>497</v>
      </c>
      <c r="C233" s="48"/>
      <c r="D233" s="48"/>
      <c r="E233" s="48"/>
      <c r="F233" s="42">
        <f>'5. Input GAW-waarde desinv.'!D192</f>
        <v>96007.434247363446</v>
      </c>
      <c r="G233" s="175">
        <f>'13. Desinvesteringen'!D516</f>
        <v>2005</v>
      </c>
      <c r="H233" s="175">
        <f>'13. Desinvesteringen'!G516</f>
        <v>2023</v>
      </c>
      <c r="I233" s="37" t="str">
        <f>'13. Desinvesteringen'!C516</f>
        <v>17 Mengstations</v>
      </c>
      <c r="J233" s="164">
        <f>'13. Desinvesteringen'!F516</f>
        <v>0</v>
      </c>
      <c r="K233" s="38">
        <f>_xlfn.XLOOKUP(I233,'3. Input (des)investeringen '!$B$11:$B$89,'3. Input (des)investeringen '!$E$11:$E$89)</f>
        <v>0</v>
      </c>
      <c r="L233" s="48"/>
      <c r="M233" s="38">
        <f>_xlfn.XLOOKUP(I233,'3. Input (des)investeringen '!$B$11:$B$89,'3. Input (des)investeringen '!$D$11:$D$89,0)</f>
        <v>30</v>
      </c>
      <c r="N233" s="38">
        <f t="shared" si="86"/>
        <v>13.5</v>
      </c>
      <c r="P233" s="43">
        <f t="shared" si="104"/>
        <v>8320.6443014381657</v>
      </c>
      <c r="Q233" s="43">
        <f t="shared" si="104"/>
        <v>7519.3970724107858</v>
      </c>
      <c r="R233" s="43">
        <f t="shared" si="104"/>
        <v>6795.306983956415</v>
      </c>
      <c r="S233" s="43">
        <f t="shared" si="104"/>
        <v>6140.9440892050561</v>
      </c>
      <c r="T233" s="43">
        <f t="shared" si="104"/>
        <v>6066.3577237491245</v>
      </c>
      <c r="V233" s="43">
        <f t="shared" si="78"/>
        <v>711.16617961009968</v>
      </c>
      <c r="W233" s="43">
        <f t="shared" si="79"/>
        <v>711.16617961009968</v>
      </c>
      <c r="X233" s="43">
        <f t="shared" si="80"/>
        <v>711.16617961009968</v>
      </c>
      <c r="Y233" s="43">
        <f t="shared" si="81"/>
        <v>711.16617961009968</v>
      </c>
      <c r="Z233" s="43">
        <f t="shared" si="82"/>
        <v>711.16617961009968</v>
      </c>
      <c r="AB233" s="43">
        <f t="shared" si="87"/>
        <v>9031.8104810482655</v>
      </c>
      <c r="AC233" s="43">
        <f t="shared" si="88"/>
        <v>8230.5632520208856</v>
      </c>
      <c r="AD233" s="43">
        <f t="shared" si="89"/>
        <v>7506.4731635665148</v>
      </c>
      <c r="AE233" s="43">
        <f t="shared" si="90"/>
        <v>6852.1102688151559</v>
      </c>
      <c r="AF233" s="43">
        <f t="shared" si="91"/>
        <v>6777.5239033592243</v>
      </c>
      <c r="AH233" s="43">
        <f t="shared" si="92"/>
        <v>86975.623766315184</v>
      </c>
      <c r="AI233" s="43">
        <f t="shared" si="93"/>
        <v>78745.060514294295</v>
      </c>
      <c r="AJ233" s="43">
        <f t="shared" si="94"/>
        <v>71238.587350727787</v>
      </c>
      <c r="AK233" s="43">
        <f t="shared" si="95"/>
        <v>64386.477081912628</v>
      </c>
      <c r="AL233" s="43">
        <f t="shared" si="96"/>
        <v>57608.953178553405</v>
      </c>
      <c r="AN233" s="47">
        <f t="shared" si="97"/>
        <v>12597.811055467188</v>
      </c>
      <c r="AO233" s="47">
        <f t="shared" si="98"/>
        <v>12246.561338249894</v>
      </c>
      <c r="AP233" s="47">
        <f t="shared" si="99"/>
        <v>11139.641118453632</v>
      </c>
      <c r="AQ233" s="47">
        <f t="shared" si="100"/>
        <v>10393.36650832035</v>
      </c>
      <c r="AR233" s="43">
        <f t="shared" si="101"/>
        <v>8966.6641241442539</v>
      </c>
      <c r="AY233" s="3"/>
    </row>
    <row r="234" spans="1:51" ht="13">
      <c r="A234" s="226"/>
      <c r="B234" s="37">
        <f>'13. Desinvesteringen'!B517</f>
        <v>498</v>
      </c>
      <c r="C234" s="48"/>
      <c r="D234" s="48"/>
      <c r="E234" s="48"/>
      <c r="F234" s="42">
        <f>'5. Input GAW-waarde desinv.'!D193</f>
        <v>256937.21086962681</v>
      </c>
      <c r="G234" s="175">
        <f>'13. Desinvesteringen'!D517</f>
        <v>2006</v>
      </c>
      <c r="H234" s="175">
        <f>'13. Desinvesteringen'!G517</f>
        <v>2023</v>
      </c>
      <c r="I234" s="37" t="str">
        <f>'13. Desinvesteringen'!C517</f>
        <v>17 Mengstations</v>
      </c>
      <c r="J234" s="164">
        <f>'13. Desinvesteringen'!F517</f>
        <v>0</v>
      </c>
      <c r="K234" s="38">
        <f>_xlfn.XLOOKUP(I234,'3. Input (des)investeringen '!$B$11:$B$89,'3. Input (des)investeringen '!$E$11:$E$89)</f>
        <v>0</v>
      </c>
      <c r="L234" s="48"/>
      <c r="M234" s="38">
        <f>_xlfn.XLOOKUP(I234,'3. Input (des)investeringen '!$B$11:$B$89,'3. Input (des)investeringen '!$D$11:$D$89,0)</f>
        <v>30</v>
      </c>
      <c r="N234" s="38">
        <f t="shared" si="86"/>
        <v>14.5</v>
      </c>
      <c r="P234" s="43">
        <f t="shared" si="104"/>
        <v>20732.174946031959</v>
      </c>
      <c r="Q234" s="43">
        <f t="shared" si="104"/>
        <v>18873.42822673254</v>
      </c>
      <c r="R234" s="43">
        <f t="shared" si="104"/>
        <v>17181.327765025486</v>
      </c>
      <c r="S234" s="43">
        <f t="shared" si="104"/>
        <v>15640.932861954232</v>
      </c>
      <c r="T234" s="43">
        <f t="shared" si="104"/>
        <v>15125.297712659039</v>
      </c>
      <c r="V234" s="43">
        <f t="shared" si="78"/>
        <v>1771.9807646181159</v>
      </c>
      <c r="W234" s="43">
        <f t="shared" si="79"/>
        <v>1771.9807646181159</v>
      </c>
      <c r="X234" s="43">
        <f t="shared" si="80"/>
        <v>1771.9807646181159</v>
      </c>
      <c r="Y234" s="43">
        <f t="shared" si="81"/>
        <v>1771.9807646181159</v>
      </c>
      <c r="Z234" s="43">
        <f t="shared" si="82"/>
        <v>1771.9807646181159</v>
      </c>
      <c r="AB234" s="43">
        <f t="shared" si="87"/>
        <v>22504.155710650073</v>
      </c>
      <c r="AC234" s="43">
        <f t="shared" si="88"/>
        <v>20645.408991350654</v>
      </c>
      <c r="AD234" s="43">
        <f t="shared" si="89"/>
        <v>18953.3085296436</v>
      </c>
      <c r="AE234" s="43">
        <f t="shared" si="90"/>
        <v>17412.913626572346</v>
      </c>
      <c r="AF234" s="43">
        <f t="shared" si="91"/>
        <v>16897.278477277156</v>
      </c>
      <c r="AH234" s="43">
        <f t="shared" si="92"/>
        <v>234433.05515897673</v>
      </c>
      <c r="AI234" s="43">
        <f t="shared" si="93"/>
        <v>213787.64616762608</v>
      </c>
      <c r="AJ234" s="43">
        <f t="shared" si="94"/>
        <v>194834.33763798248</v>
      </c>
      <c r="AK234" s="43">
        <f t="shared" si="95"/>
        <v>177421.42401141013</v>
      </c>
      <c r="AL234" s="43">
        <f t="shared" si="96"/>
        <v>160524.14553413296</v>
      </c>
      <c r="AN234" s="47">
        <f t="shared" si="97"/>
        <v>32115.91097216812</v>
      </c>
      <c r="AO234" s="47">
        <f t="shared" si="98"/>
        <v>31548.578945899586</v>
      </c>
      <c r="AP234" s="47">
        <f t="shared" si="99"/>
        <v>28889.859749180705</v>
      </c>
      <c r="AQ234" s="47">
        <f t="shared" si="100"/>
        <v>27171.091947199904</v>
      </c>
      <c r="AR234" s="43">
        <f t="shared" si="101"/>
        <v>22997.19600757421</v>
      </c>
      <c r="AY234" s="3"/>
    </row>
    <row r="235" spans="1:51" ht="13">
      <c r="A235" s="226"/>
      <c r="B235" s="37">
        <f>'13. Desinvesteringen'!B518</f>
        <v>499</v>
      </c>
      <c r="C235" s="48"/>
      <c r="D235" s="48"/>
      <c r="E235" s="48"/>
      <c r="F235" s="42">
        <f>'5. Input GAW-waarde desinv.'!D194</f>
        <v>702049.39906389359</v>
      </c>
      <c r="G235" s="175">
        <f>'13. Desinvesteringen'!D518</f>
        <v>2007</v>
      </c>
      <c r="H235" s="175">
        <f>'13. Desinvesteringen'!G518</f>
        <v>2023</v>
      </c>
      <c r="I235" s="37" t="str">
        <f>'13. Desinvesteringen'!C518</f>
        <v>17 Mengstations</v>
      </c>
      <c r="J235" s="164">
        <f>'13. Desinvesteringen'!F518</f>
        <v>0</v>
      </c>
      <c r="K235" s="38">
        <f>_xlfn.XLOOKUP(I235,'3. Input (des)investeringen '!$B$11:$B$89,'3. Input (des)investeringen '!$E$11:$E$89)</f>
        <v>0</v>
      </c>
      <c r="L235" s="48"/>
      <c r="M235" s="38">
        <f>_xlfn.XLOOKUP(I235,'3. Input (des)investeringen '!$B$11:$B$89,'3. Input (des)investeringen '!$D$11:$D$89,0)</f>
        <v>30</v>
      </c>
      <c r="N235" s="38">
        <f t="shared" si="86"/>
        <v>15.5</v>
      </c>
      <c r="P235" s="43">
        <f t="shared" si="104"/>
        <v>52993.40625191971</v>
      </c>
      <c r="Q235" s="43">
        <f t="shared" si="104"/>
        <v>48548.797985629673</v>
      </c>
      <c r="R235" s="43">
        <f t="shared" si="104"/>
        <v>44476.963315867186</v>
      </c>
      <c r="S235" s="43">
        <f t="shared" si="104"/>
        <v>40746.637360342836</v>
      </c>
      <c r="T235" s="43">
        <f t="shared" si="104"/>
        <v>38702.491673369113</v>
      </c>
      <c r="V235" s="43">
        <f t="shared" si="78"/>
        <v>4529.3509617025402</v>
      </c>
      <c r="W235" s="43">
        <f t="shared" si="79"/>
        <v>4529.3509617025402</v>
      </c>
      <c r="X235" s="43">
        <f t="shared" si="80"/>
        <v>4529.3509617025402</v>
      </c>
      <c r="Y235" s="43">
        <f t="shared" si="81"/>
        <v>4529.3509617025402</v>
      </c>
      <c r="Z235" s="43">
        <f t="shared" si="82"/>
        <v>4529.3509617025402</v>
      </c>
      <c r="AB235" s="43">
        <f t="shared" si="87"/>
        <v>57522.757213622252</v>
      </c>
      <c r="AC235" s="43">
        <f t="shared" si="88"/>
        <v>53078.148947332214</v>
      </c>
      <c r="AD235" s="43">
        <f t="shared" si="89"/>
        <v>49006.314277569727</v>
      </c>
      <c r="AE235" s="43">
        <f t="shared" si="90"/>
        <v>45275.988322045378</v>
      </c>
      <c r="AF235" s="43">
        <f t="shared" si="91"/>
        <v>43231.842635071655</v>
      </c>
      <c r="AH235" s="43">
        <f t="shared" si="92"/>
        <v>644526.64185027138</v>
      </c>
      <c r="AI235" s="43">
        <f t="shared" si="93"/>
        <v>591448.49290293921</v>
      </c>
      <c r="AJ235" s="43">
        <f t="shared" si="94"/>
        <v>542442.17862536944</v>
      </c>
      <c r="AK235" s="43">
        <f t="shared" si="95"/>
        <v>497166.19030332408</v>
      </c>
      <c r="AL235" s="43">
        <f t="shared" si="96"/>
        <v>453934.34766825242</v>
      </c>
      <c r="AN235" s="47">
        <f t="shared" si="97"/>
        <v>83948.349529483385</v>
      </c>
      <c r="AO235" s="47">
        <f t="shared" si="98"/>
        <v>83242.022085382108</v>
      </c>
      <c r="AP235" s="47">
        <f t="shared" si="99"/>
        <v>76670.865387463564</v>
      </c>
      <c r="AQ235" s="47">
        <f t="shared" si="100"/>
        <v>72620.128788728209</v>
      </c>
      <c r="AR235" s="43">
        <f t="shared" si="101"/>
        <v>60481.347846465243</v>
      </c>
      <c r="AY235" s="3"/>
    </row>
    <row r="236" spans="1:51" ht="13">
      <c r="A236" s="226"/>
      <c r="B236" s="37">
        <f>'13. Desinvesteringen'!B519</f>
        <v>500</v>
      </c>
      <c r="C236" s="48"/>
      <c r="D236" s="48"/>
      <c r="E236" s="48"/>
      <c r="F236" s="42">
        <f>'5. Input GAW-waarde desinv.'!D195</f>
        <v>1042957.4504958389</v>
      </c>
      <c r="G236" s="175">
        <f>'13. Desinvesteringen'!D519</f>
        <v>2008</v>
      </c>
      <c r="H236" s="175">
        <f>'13. Desinvesteringen'!G519</f>
        <v>2023</v>
      </c>
      <c r="I236" s="37" t="str">
        <f>'13. Desinvesteringen'!C519</f>
        <v>17 Mengstations</v>
      </c>
      <c r="J236" s="164">
        <f>'13. Desinvesteringen'!F519</f>
        <v>0</v>
      </c>
      <c r="K236" s="38">
        <f>_xlfn.XLOOKUP(I236,'3. Input (des)investeringen '!$B$11:$B$89,'3. Input (des)investeringen '!$E$11:$E$89)</f>
        <v>0</v>
      </c>
      <c r="L236" s="48"/>
      <c r="M236" s="38">
        <f>_xlfn.XLOOKUP(I236,'3. Input (des)investeringen '!$B$11:$B$89,'3. Input (des)investeringen '!$D$11:$D$89,0)</f>
        <v>30</v>
      </c>
      <c r="N236" s="38">
        <f t="shared" si="86"/>
        <v>16.5</v>
      </c>
      <c r="P236" s="43">
        <f t="shared" si="104"/>
        <v>73955.164671523133</v>
      </c>
      <c r="Q236" s="43">
        <f t="shared" si="104"/>
        <v>68128.394121645557</v>
      </c>
      <c r="R236" s="43">
        <f t="shared" si="104"/>
        <v>62760.702463576497</v>
      </c>
      <c r="S236" s="43">
        <f t="shared" si="104"/>
        <v>57815.919845234115</v>
      </c>
      <c r="T236" s="43">
        <f t="shared" si="104"/>
        <v>54080.121947542058</v>
      </c>
      <c r="V236" s="43">
        <f t="shared" si="78"/>
        <v>6320.9542454293269</v>
      </c>
      <c r="W236" s="43">
        <f t="shared" si="79"/>
        <v>6320.9542454293269</v>
      </c>
      <c r="X236" s="43">
        <f t="shared" si="80"/>
        <v>6320.9542454293269</v>
      </c>
      <c r="Y236" s="43">
        <f t="shared" si="81"/>
        <v>6320.9542454293269</v>
      </c>
      <c r="Z236" s="43">
        <f t="shared" si="82"/>
        <v>6320.9542454293269</v>
      </c>
      <c r="AB236" s="43">
        <f t="shared" si="87"/>
        <v>80276.118916952459</v>
      </c>
      <c r="AC236" s="43">
        <f t="shared" si="88"/>
        <v>74449.348367074883</v>
      </c>
      <c r="AD236" s="43">
        <f t="shared" si="89"/>
        <v>69081.656709005823</v>
      </c>
      <c r="AE236" s="43">
        <f t="shared" si="90"/>
        <v>64136.874090663441</v>
      </c>
      <c r="AF236" s="43">
        <f t="shared" si="91"/>
        <v>60401.076192971384</v>
      </c>
      <c r="AH236" s="43">
        <f t="shared" si="92"/>
        <v>962681.33157888637</v>
      </c>
      <c r="AI236" s="43">
        <f t="shared" si="93"/>
        <v>888231.98321181152</v>
      </c>
      <c r="AJ236" s="43">
        <f t="shared" si="94"/>
        <v>819150.32650280569</v>
      </c>
      <c r="AK236" s="43">
        <f t="shared" si="95"/>
        <v>755013.4524121423</v>
      </c>
      <c r="AL236" s="43">
        <f t="shared" si="96"/>
        <v>694612.37621917087</v>
      </c>
      <c r="AN236" s="47">
        <f t="shared" si="97"/>
        <v>119746.0535116868</v>
      </c>
      <c r="AO236" s="47">
        <f t="shared" si="98"/>
        <v>119749.17951087726</v>
      </c>
      <c r="AP236" s="47">
        <f t="shared" si="99"/>
        <v>110858.32336064891</v>
      </c>
      <c r="AQ236" s="47">
        <f t="shared" si="100"/>
        <v>105662.61397333126</v>
      </c>
      <c r="AR236" s="43">
        <f t="shared" si="101"/>
        <v>86796.346489299875</v>
      </c>
      <c r="AY236" s="3"/>
    </row>
    <row r="237" spans="1:51" ht="13">
      <c r="A237" s="226"/>
      <c r="B237" s="37">
        <f>'13. Desinvesteringen'!B520</f>
        <v>501</v>
      </c>
      <c r="C237" s="48"/>
      <c r="D237" s="48"/>
      <c r="E237" s="48"/>
      <c r="F237" s="42">
        <f>'5. Input GAW-waarde desinv.'!D196</f>
        <v>70079.94837897965</v>
      </c>
      <c r="G237" s="175">
        <f>'13. Desinvesteringen'!D520</f>
        <v>2009</v>
      </c>
      <c r="H237" s="175">
        <f>'13. Desinvesteringen'!G520</f>
        <v>2023</v>
      </c>
      <c r="I237" s="37" t="str">
        <f>'13. Desinvesteringen'!C520</f>
        <v>17 Mengstations</v>
      </c>
      <c r="J237" s="164">
        <f>'13. Desinvesteringen'!F520</f>
        <v>0</v>
      </c>
      <c r="K237" s="38">
        <f>_xlfn.XLOOKUP(I237,'3. Input (des)investeringen '!$B$11:$B$89,'3. Input (des)investeringen '!$E$11:$E$89)</f>
        <v>0</v>
      </c>
      <c r="L237" s="48"/>
      <c r="M237" s="38">
        <f>_xlfn.XLOOKUP(I237,'3. Input (des)investeringen '!$B$11:$B$89,'3. Input (des)investeringen '!$D$11:$D$89,0)</f>
        <v>30</v>
      </c>
      <c r="N237" s="38">
        <f t="shared" si="86"/>
        <v>17.5</v>
      </c>
      <c r="P237" s="43">
        <f t="shared" si="104"/>
        <v>4685.34512019464</v>
      </c>
      <c r="Q237" s="43">
        <f t="shared" si="104"/>
        <v>4337.2909112658954</v>
      </c>
      <c r="R237" s="43">
        <f t="shared" si="104"/>
        <v>4015.0921578575717</v>
      </c>
      <c r="S237" s="43">
        <f t="shared" si="104"/>
        <v>3716.8281689881514</v>
      </c>
      <c r="T237" s="43">
        <f t="shared" si="104"/>
        <v>3440.7209335776029</v>
      </c>
      <c r="V237" s="43">
        <f t="shared" si="78"/>
        <v>400.45684787988375</v>
      </c>
      <c r="W237" s="43">
        <f t="shared" si="79"/>
        <v>400.4568478798837</v>
      </c>
      <c r="X237" s="43">
        <f t="shared" si="80"/>
        <v>400.4568478798837</v>
      </c>
      <c r="Y237" s="43">
        <f t="shared" si="81"/>
        <v>400.4568478798837</v>
      </c>
      <c r="Z237" s="43">
        <f t="shared" si="82"/>
        <v>400.4568478798837</v>
      </c>
      <c r="AB237" s="43">
        <f t="shared" si="87"/>
        <v>5085.8019680745238</v>
      </c>
      <c r="AC237" s="43">
        <f t="shared" si="88"/>
        <v>4737.7477591457791</v>
      </c>
      <c r="AD237" s="43">
        <f t="shared" si="89"/>
        <v>4415.5490057374554</v>
      </c>
      <c r="AE237" s="43">
        <f t="shared" si="90"/>
        <v>4117.2850168680352</v>
      </c>
      <c r="AF237" s="43">
        <f t="shared" si="91"/>
        <v>3841.1777814574866</v>
      </c>
      <c r="AH237" s="43">
        <f t="shared" si="92"/>
        <v>64994.14641090513</v>
      </c>
      <c r="AI237" s="43">
        <f t="shared" si="93"/>
        <v>60256.398651759351</v>
      </c>
      <c r="AJ237" s="43">
        <f t="shared" si="94"/>
        <v>55840.849646021896</v>
      </c>
      <c r="AK237" s="43">
        <f t="shared" si="95"/>
        <v>51723.564629153858</v>
      </c>
      <c r="AL237" s="43">
        <f t="shared" si="96"/>
        <v>47882.386847696369</v>
      </c>
      <c r="AN237" s="47">
        <f t="shared" si="97"/>
        <v>7750.5619709216344</v>
      </c>
      <c r="AO237" s="47">
        <f t="shared" si="98"/>
        <v>7810.8240903855058</v>
      </c>
      <c r="AP237" s="47">
        <f t="shared" si="99"/>
        <v>7263.4323376845714</v>
      </c>
      <c r="AQ237" s="47">
        <f t="shared" si="100"/>
        <v>6962.0810714714971</v>
      </c>
      <c r="AR237" s="43">
        <f t="shared" si="101"/>
        <v>5660.7084816699489</v>
      </c>
      <c r="AY237" s="3"/>
    </row>
    <row r="238" spans="1:51" ht="13">
      <c r="A238" s="226"/>
      <c r="B238" s="37">
        <f>'13. Desinvesteringen'!B521</f>
        <v>502</v>
      </c>
      <c r="C238" s="48"/>
      <c r="D238" s="48"/>
      <c r="E238" s="48"/>
      <c r="F238" s="42">
        <f>'5. Input GAW-waarde desinv.'!D197</f>
        <v>704771.29332217178</v>
      </c>
      <c r="G238" s="175">
        <f>'13. Desinvesteringen'!D521</f>
        <v>2010</v>
      </c>
      <c r="H238" s="175">
        <f>'13. Desinvesteringen'!G521</f>
        <v>2023</v>
      </c>
      <c r="I238" s="37" t="str">
        <f>'13. Desinvesteringen'!C521</f>
        <v>17 Mengstations</v>
      </c>
      <c r="J238" s="164">
        <f>'13. Desinvesteringen'!F521</f>
        <v>0</v>
      </c>
      <c r="K238" s="38">
        <f>_xlfn.XLOOKUP(I238,'3. Input (des)investeringen '!$B$11:$B$89,'3. Input (des)investeringen '!$E$11:$E$89)</f>
        <v>0</v>
      </c>
      <c r="L238" s="48"/>
      <c r="M238" s="38">
        <f>_xlfn.XLOOKUP(I238,'3. Input (des)investeringen '!$B$11:$B$89,'3. Input (des)investeringen '!$D$11:$D$89,0)</f>
        <v>30</v>
      </c>
      <c r="N238" s="38">
        <f t="shared" si="86"/>
        <v>18.5</v>
      </c>
      <c r="P238" s="43">
        <f t="shared" si="104"/>
        <v>44572.022334429246</v>
      </c>
      <c r="Q238" s="43">
        <f t="shared" si="104"/>
        <v>41439.934278496374</v>
      </c>
      <c r="R238" s="43">
        <f t="shared" si="104"/>
        <v>38527.938896764193</v>
      </c>
      <c r="S238" s="43">
        <f t="shared" si="104"/>
        <v>35820.57021753212</v>
      </c>
      <c r="T238" s="43">
        <f t="shared" si="104"/>
        <v>33303.449067110945</v>
      </c>
      <c r="V238" s="43">
        <f t="shared" si="78"/>
        <v>3809.574558498226</v>
      </c>
      <c r="W238" s="43">
        <f t="shared" si="79"/>
        <v>3809.574558498226</v>
      </c>
      <c r="X238" s="43">
        <f t="shared" si="80"/>
        <v>3809.574558498226</v>
      </c>
      <c r="Y238" s="43">
        <f t="shared" si="81"/>
        <v>3809.574558498226</v>
      </c>
      <c r="Z238" s="43">
        <f t="shared" si="82"/>
        <v>3809.574558498226</v>
      </c>
      <c r="AB238" s="43">
        <f t="shared" si="87"/>
        <v>48381.596892927475</v>
      </c>
      <c r="AC238" s="43">
        <f t="shared" si="88"/>
        <v>45249.508836994602</v>
      </c>
      <c r="AD238" s="43">
        <f t="shared" si="89"/>
        <v>42337.513455262422</v>
      </c>
      <c r="AE238" s="43">
        <f t="shared" si="90"/>
        <v>39630.144776030349</v>
      </c>
      <c r="AF238" s="43">
        <f t="shared" si="91"/>
        <v>37113.023625609174</v>
      </c>
      <c r="AH238" s="43">
        <f t="shared" si="92"/>
        <v>656389.69642924436</v>
      </c>
      <c r="AI238" s="43">
        <f t="shared" si="93"/>
        <v>611140.18759224971</v>
      </c>
      <c r="AJ238" s="43">
        <f t="shared" si="94"/>
        <v>568802.67413698731</v>
      </c>
      <c r="AK238" s="43">
        <f t="shared" si="95"/>
        <v>529172.52936095698</v>
      </c>
      <c r="AL238" s="43">
        <f t="shared" si="96"/>
        <v>492059.5057353478</v>
      </c>
      <c r="AN238" s="47">
        <f t="shared" si="97"/>
        <v>75293.574446526502</v>
      </c>
      <c r="AO238" s="47">
        <f t="shared" si="98"/>
        <v>76417.658404199334</v>
      </c>
      <c r="AP238" s="47">
        <f t="shared" si="99"/>
        <v>71346.449836248765</v>
      </c>
      <c r="AQ238" s="47">
        <f t="shared" si="100"/>
        <v>68734.633890882978</v>
      </c>
      <c r="AR238" s="43">
        <f t="shared" si="101"/>
        <v>55811.284843552392</v>
      </c>
      <c r="AY238" s="3"/>
    </row>
    <row r="239" spans="1:51" ht="13">
      <c r="A239" s="226"/>
      <c r="B239" s="37">
        <f>'13. Desinvesteringen'!B522</f>
        <v>503</v>
      </c>
      <c r="C239" s="48"/>
      <c r="D239" s="48"/>
      <c r="E239" s="48"/>
      <c r="F239" s="42">
        <f>'5. Input GAW-waarde desinv.'!D198</f>
        <v>1024239.4945113533</v>
      </c>
      <c r="G239" s="175">
        <f>'13. Desinvesteringen'!D522</f>
        <v>2011</v>
      </c>
      <c r="H239" s="175">
        <f>'13. Desinvesteringen'!G522</f>
        <v>2023</v>
      </c>
      <c r="I239" s="37" t="str">
        <f>'13. Desinvesteringen'!C522</f>
        <v>17 Mengstations</v>
      </c>
      <c r="J239" s="164">
        <f>'13. Desinvesteringen'!F522</f>
        <v>0</v>
      </c>
      <c r="K239" s="38">
        <f>_xlfn.XLOOKUP(I239,'3. Input (des)investeringen '!$B$11:$B$89,'3. Input (des)investeringen '!$E$11:$E$89)</f>
        <v>0</v>
      </c>
      <c r="L239" s="48"/>
      <c r="M239" s="38">
        <f>_xlfn.XLOOKUP(I239,'3. Input (des)investeringen '!$B$11:$B$89,'3. Input (des)investeringen '!$D$11:$D$89,0)</f>
        <v>30</v>
      </c>
      <c r="N239" s="38">
        <f t="shared" si="86"/>
        <v>19.5</v>
      </c>
      <c r="P239" s="43">
        <f t="shared" si="104"/>
        <v>61454.369670681204</v>
      </c>
      <c r="Q239" s="43">
        <f t="shared" si="104"/>
        <v>57357.411692635782</v>
      </c>
      <c r="R239" s="43">
        <f t="shared" si="104"/>
        <v>53533.584246460072</v>
      </c>
      <c r="S239" s="43">
        <f t="shared" si="104"/>
        <v>49964.678630029397</v>
      </c>
      <c r="T239" s="43">
        <f t="shared" si="104"/>
        <v>46633.700054694113</v>
      </c>
      <c r="V239" s="43">
        <f t="shared" si="78"/>
        <v>5252.5102282633507</v>
      </c>
      <c r="W239" s="43">
        <f t="shared" si="79"/>
        <v>5252.5102282633507</v>
      </c>
      <c r="X239" s="43">
        <f t="shared" si="80"/>
        <v>5252.5102282633507</v>
      </c>
      <c r="Y239" s="43">
        <f t="shared" si="81"/>
        <v>5252.5102282633507</v>
      </c>
      <c r="Z239" s="43">
        <f t="shared" si="82"/>
        <v>5252.5102282633507</v>
      </c>
      <c r="AB239" s="43">
        <f t="shared" si="87"/>
        <v>66706.879898944549</v>
      </c>
      <c r="AC239" s="43">
        <f t="shared" si="88"/>
        <v>62609.921920899134</v>
      </c>
      <c r="AD239" s="43">
        <f t="shared" si="89"/>
        <v>58786.094474723424</v>
      </c>
      <c r="AE239" s="43">
        <f t="shared" si="90"/>
        <v>55217.18885829275</v>
      </c>
      <c r="AF239" s="43">
        <f t="shared" si="91"/>
        <v>51886.210282957465</v>
      </c>
      <c r="AH239" s="43">
        <f t="shared" si="92"/>
        <v>957532.6146124088</v>
      </c>
      <c r="AI239" s="43">
        <f t="shared" si="93"/>
        <v>894922.69269150961</v>
      </c>
      <c r="AJ239" s="43">
        <f t="shared" si="94"/>
        <v>836136.59821678617</v>
      </c>
      <c r="AK239" s="43">
        <f t="shared" si="95"/>
        <v>780919.4093584934</v>
      </c>
      <c r="AL239" s="43">
        <f t="shared" si="96"/>
        <v>729033.19907553599</v>
      </c>
      <c r="AN239" s="47">
        <f t="shared" si="97"/>
        <v>105965.71709805331</v>
      </c>
      <c r="AO239" s="47">
        <f t="shared" si="98"/>
        <v>108250.97924816611</v>
      </c>
      <c r="AP239" s="47">
        <f t="shared" si="99"/>
        <v>101429.06098377952</v>
      </c>
      <c r="AQ239" s="47">
        <f t="shared" si="100"/>
        <v>98167.756373009877</v>
      </c>
      <c r="AR239" s="43">
        <f t="shared" si="101"/>
        <v>79589.471847827837</v>
      </c>
      <c r="AY239" s="3"/>
    </row>
    <row r="240" spans="1:51" ht="13">
      <c r="A240" s="226"/>
      <c r="B240" s="37">
        <f>'13. Desinvesteringen'!B523</f>
        <v>504</v>
      </c>
      <c r="C240" s="48"/>
      <c r="D240" s="48"/>
      <c r="E240" s="48"/>
      <c r="F240" s="42">
        <f>'5. Input GAW-waarde desinv.'!D199</f>
        <v>376397.15055039537</v>
      </c>
      <c r="G240" s="175">
        <f>'13. Desinvesteringen'!D523</f>
        <v>2012</v>
      </c>
      <c r="H240" s="175">
        <f>'13. Desinvesteringen'!G523</f>
        <v>2023</v>
      </c>
      <c r="I240" s="37" t="str">
        <f>'13. Desinvesteringen'!C523</f>
        <v>17 Mengstations</v>
      </c>
      <c r="J240" s="164">
        <f>'13. Desinvesteringen'!F523</f>
        <v>0</v>
      </c>
      <c r="K240" s="38">
        <f>_xlfn.XLOOKUP(I240,'3. Input (des)investeringen '!$B$11:$B$89,'3. Input (des)investeringen '!$E$11:$E$89)</f>
        <v>0</v>
      </c>
      <c r="L240" s="48"/>
      <c r="M240" s="38">
        <f>_xlfn.XLOOKUP(I240,'3. Input (des)investeringen '!$B$11:$B$89,'3. Input (des)investeringen '!$D$11:$D$89,0)</f>
        <v>30</v>
      </c>
      <c r="N240" s="38">
        <f t="shared" si="86"/>
        <v>20.5</v>
      </c>
      <c r="P240" s="43">
        <f t="shared" si="104"/>
        <v>21482.178836290856</v>
      </c>
      <c r="Q240" s="43">
        <f t="shared" si="104"/>
        <v>20119.894324721194</v>
      </c>
      <c r="R240" s="43">
        <f t="shared" si="104"/>
        <v>18843.99858705595</v>
      </c>
      <c r="S240" s="43">
        <f t="shared" si="104"/>
        <v>17649.013310803621</v>
      </c>
      <c r="T240" s="43">
        <f t="shared" si="104"/>
        <v>16529.807588655094</v>
      </c>
      <c r="V240" s="43">
        <f t="shared" si="78"/>
        <v>1836.0836612214407</v>
      </c>
      <c r="W240" s="43">
        <f t="shared" si="79"/>
        <v>1836.0836612214412</v>
      </c>
      <c r="X240" s="43">
        <f t="shared" si="80"/>
        <v>1836.0836612214412</v>
      </c>
      <c r="Y240" s="43">
        <f t="shared" si="81"/>
        <v>1836.0836612214412</v>
      </c>
      <c r="Z240" s="43">
        <f t="shared" si="82"/>
        <v>1836.0836612214412</v>
      </c>
      <c r="AB240" s="43">
        <f t="shared" si="87"/>
        <v>23318.262497512296</v>
      </c>
      <c r="AC240" s="43">
        <f t="shared" si="88"/>
        <v>21955.977985942634</v>
      </c>
      <c r="AD240" s="43">
        <f t="shared" si="89"/>
        <v>20680.082248277391</v>
      </c>
      <c r="AE240" s="43">
        <f t="shared" si="90"/>
        <v>19485.096972025061</v>
      </c>
      <c r="AF240" s="43">
        <f t="shared" si="91"/>
        <v>18365.891249876535</v>
      </c>
      <c r="AH240" s="43">
        <f t="shared" si="92"/>
        <v>353078.88805288309</v>
      </c>
      <c r="AI240" s="43">
        <f t="shared" si="93"/>
        <v>331122.91006694047</v>
      </c>
      <c r="AJ240" s="43">
        <f t="shared" si="94"/>
        <v>310442.82781866309</v>
      </c>
      <c r="AK240" s="43">
        <f t="shared" si="95"/>
        <v>290957.73084663803</v>
      </c>
      <c r="AL240" s="43">
        <f t="shared" si="96"/>
        <v>272591.83959676151</v>
      </c>
      <c r="AN240" s="47">
        <f t="shared" si="97"/>
        <v>37794.496907680499</v>
      </c>
      <c r="AO240" s="47">
        <f t="shared" si="98"/>
        <v>38843.246399356598</v>
      </c>
      <c r="AP240" s="47">
        <f t="shared" si="99"/>
        <v>36512.666467029208</v>
      </c>
      <c r="AQ240" s="47">
        <f t="shared" si="100"/>
        <v>35487.772168590156</v>
      </c>
      <c r="AR240" s="43">
        <f t="shared" si="101"/>
        <v>28724.38115455347</v>
      </c>
      <c r="AY240" s="3"/>
    </row>
    <row r="241" spans="1:51" ht="13">
      <c r="A241" s="226"/>
      <c r="B241" s="37">
        <f>'13. Desinvesteringen'!B524</f>
        <v>505</v>
      </c>
      <c r="C241" s="48"/>
      <c r="D241" s="48"/>
      <c r="E241" s="48"/>
      <c r="F241" s="42">
        <f>'5. Input GAW-waarde desinv.'!D200</f>
        <v>514916.23301467963</v>
      </c>
      <c r="G241" s="175">
        <f>'13. Desinvesteringen'!D524</f>
        <v>2013</v>
      </c>
      <c r="H241" s="175">
        <f>'13. Desinvesteringen'!G524</f>
        <v>2023</v>
      </c>
      <c r="I241" s="37" t="str">
        <f>'13. Desinvesteringen'!C524</f>
        <v>17 Mengstations</v>
      </c>
      <c r="J241" s="164">
        <f>'13. Desinvesteringen'!F524</f>
        <v>0</v>
      </c>
      <c r="K241" s="38">
        <f>_xlfn.XLOOKUP(I241,'3. Input (des)investeringen '!$B$11:$B$89,'3. Input (des)investeringen '!$E$11:$E$89)</f>
        <v>0</v>
      </c>
      <c r="L241" s="48"/>
      <c r="M241" s="38">
        <f>_xlfn.XLOOKUP(I241,'3. Input (des)investeringen '!$B$11:$B$89,'3. Input (des)investeringen '!$D$11:$D$89,0)</f>
        <v>30</v>
      </c>
      <c r="N241" s="38">
        <f t="shared" si="86"/>
        <v>21.5</v>
      </c>
      <c r="P241" s="43">
        <f t="shared" si="104"/>
        <v>28021.022912891869</v>
      </c>
      <c r="Q241" s="43">
        <f t="shared" si="104"/>
        <v>26326.728504205381</v>
      </c>
      <c r="R241" s="43">
        <f t="shared" si="104"/>
        <v>24734.879803951102</v>
      </c>
      <c r="S241" s="43">
        <f t="shared" si="104"/>
        <v>23239.282420456388</v>
      </c>
      <c r="T241" s="43">
        <f t="shared" si="104"/>
        <v>21834.116506661347</v>
      </c>
      <c r="V241" s="43">
        <f t="shared" si="78"/>
        <v>2394.9592233240915</v>
      </c>
      <c r="W241" s="43">
        <f t="shared" si="79"/>
        <v>2394.9592233240915</v>
      </c>
      <c r="X241" s="43">
        <f t="shared" si="80"/>
        <v>2394.9592233240915</v>
      </c>
      <c r="Y241" s="43">
        <f t="shared" si="81"/>
        <v>2394.9592233240915</v>
      </c>
      <c r="Z241" s="43">
        <f t="shared" si="82"/>
        <v>2394.9592233240915</v>
      </c>
      <c r="AB241" s="43">
        <f t="shared" si="87"/>
        <v>30415.98213621596</v>
      </c>
      <c r="AC241" s="43">
        <f t="shared" si="88"/>
        <v>28721.687727529472</v>
      </c>
      <c r="AD241" s="43">
        <f t="shared" si="89"/>
        <v>27129.839027275193</v>
      </c>
      <c r="AE241" s="43">
        <f t="shared" si="90"/>
        <v>25634.241643780479</v>
      </c>
      <c r="AF241" s="43">
        <f t="shared" si="91"/>
        <v>24229.075729985438</v>
      </c>
      <c r="AH241" s="43">
        <f t="shared" si="92"/>
        <v>484500.25087846367</v>
      </c>
      <c r="AI241" s="43">
        <f t="shared" si="93"/>
        <v>455778.56315093418</v>
      </c>
      <c r="AJ241" s="43">
        <f t="shared" si="94"/>
        <v>428648.72412365896</v>
      </c>
      <c r="AK241" s="43">
        <f t="shared" si="95"/>
        <v>403014.48247987847</v>
      </c>
      <c r="AL241" s="43">
        <f t="shared" si="96"/>
        <v>378785.40674989304</v>
      </c>
      <c r="AN241" s="47">
        <f t="shared" si="97"/>
        <v>50280.492422232972</v>
      </c>
      <c r="AO241" s="47">
        <f t="shared" si="98"/>
        <v>51966.394448227118</v>
      </c>
      <c r="AP241" s="47">
        <f t="shared" si="99"/>
        <v>48990.923957581799</v>
      </c>
      <c r="AQ241" s="47">
        <f t="shared" si="100"/>
        <v>47800.038180173797</v>
      </c>
      <c r="AR241" s="43">
        <f t="shared" si="101"/>
        <v>38622.92118648137</v>
      </c>
      <c r="AY241" s="3"/>
    </row>
    <row r="242" spans="1:51" ht="13">
      <c r="A242" s="226"/>
      <c r="B242" s="37">
        <f>'13. Desinvesteringen'!B525</f>
        <v>506</v>
      </c>
      <c r="C242" s="48"/>
      <c r="D242" s="48"/>
      <c r="E242" s="48"/>
      <c r="F242" s="42">
        <f>'5. Input GAW-waarde desinv.'!D201</f>
        <v>1302.0888101333342</v>
      </c>
      <c r="G242" s="175">
        <f>'13. Desinvesteringen'!D525</f>
        <v>2014</v>
      </c>
      <c r="H242" s="175">
        <f>'13. Desinvesteringen'!G525</f>
        <v>2023</v>
      </c>
      <c r="I242" s="37" t="str">
        <f>'13. Desinvesteringen'!C525</f>
        <v>17 Mengstations</v>
      </c>
      <c r="J242" s="164">
        <f>'13. Desinvesteringen'!F525</f>
        <v>0</v>
      </c>
      <c r="K242" s="38">
        <f>_xlfn.XLOOKUP(I242,'3. Input (des)investeringen '!$B$11:$B$89,'3. Input (des)investeringen '!$E$11:$E$89)</f>
        <v>0</v>
      </c>
      <c r="L242" s="48"/>
      <c r="M242" s="38">
        <f>_xlfn.XLOOKUP(I242,'3. Input (des)investeringen '!$B$11:$B$89,'3. Input (des)investeringen '!$D$11:$D$89,0)</f>
        <v>30</v>
      </c>
      <c r="N242" s="38">
        <f t="shared" si="86"/>
        <v>22.5</v>
      </c>
      <c r="P242" s="43">
        <f t="shared" ref="P242:T251" si="105">IF($M242&gt;0, IF(OR($G242&gt;P$50,$G242+$M242&lt;P$50),0,
VDB($F242,0,$N242,MAX(0,P$50-2022),MIN($N242,P$50-2021),$F$23,FALSE))*(1-$F$26), 0)</f>
        <v>67.708618126933374</v>
      </c>
      <c r="Q242" s="43">
        <f t="shared" si="105"/>
        <v>63.796564635155015</v>
      </c>
      <c r="R242" s="43">
        <f t="shared" si="105"/>
        <v>60.110540900679389</v>
      </c>
      <c r="S242" s="43">
        <f t="shared" si="105"/>
        <v>56.637487426417906</v>
      </c>
      <c r="T242" s="43">
        <f t="shared" si="105"/>
        <v>53.365099264002652</v>
      </c>
      <c r="V242" s="43">
        <f t="shared" si="78"/>
        <v>5.7870613783703746</v>
      </c>
      <c r="W242" s="43">
        <f t="shared" si="79"/>
        <v>5.7870613783703746</v>
      </c>
      <c r="X242" s="43">
        <f t="shared" si="80"/>
        <v>5.7870613783703746</v>
      </c>
      <c r="Y242" s="43">
        <f t="shared" si="81"/>
        <v>5.7870613783703746</v>
      </c>
      <c r="Z242" s="43">
        <f t="shared" si="82"/>
        <v>5.7870613783703746</v>
      </c>
      <c r="AB242" s="43">
        <f t="shared" si="87"/>
        <v>73.495679505303741</v>
      </c>
      <c r="AC242" s="43">
        <f t="shared" si="88"/>
        <v>69.583626013525389</v>
      </c>
      <c r="AD242" s="43">
        <f t="shared" si="89"/>
        <v>65.897602279049764</v>
      </c>
      <c r="AE242" s="43">
        <f t="shared" si="90"/>
        <v>62.42454880478828</v>
      </c>
      <c r="AF242" s="43">
        <f t="shared" si="91"/>
        <v>59.152160642373026</v>
      </c>
      <c r="AH242" s="43">
        <f t="shared" si="92"/>
        <v>1228.5931306280304</v>
      </c>
      <c r="AI242" s="43">
        <f t="shared" si="93"/>
        <v>1159.009504614505</v>
      </c>
      <c r="AJ242" s="43">
        <f t="shared" si="94"/>
        <v>1093.1119023354552</v>
      </c>
      <c r="AK242" s="43">
        <f t="shared" si="95"/>
        <v>1030.687353530667</v>
      </c>
      <c r="AL242" s="43">
        <f t="shared" si="96"/>
        <v>971.53519288829398</v>
      </c>
      <c r="AN242" s="47">
        <f t="shared" si="97"/>
        <v>123.867997861053</v>
      </c>
      <c r="AO242" s="47">
        <f t="shared" si="98"/>
        <v>128.69311074886514</v>
      </c>
      <c r="AP242" s="47">
        <f t="shared" si="99"/>
        <v>121.64630929815797</v>
      </c>
      <c r="AQ242" s="47">
        <f t="shared" si="100"/>
        <v>119.11235324897496</v>
      </c>
      <c r="AR242" s="43">
        <f t="shared" si="101"/>
        <v>96.070497972128194</v>
      </c>
      <c r="AY242" s="3"/>
    </row>
    <row r="243" spans="1:51" ht="13">
      <c r="A243" s="226"/>
      <c r="B243" s="37">
        <f>'13. Desinvesteringen'!B526</f>
        <v>507</v>
      </c>
      <c r="C243" s="48"/>
      <c r="D243" s="48"/>
      <c r="E243" s="48"/>
      <c r="F243" s="42">
        <f>'5. Input GAW-waarde desinv.'!D202</f>
        <v>32369.723836884237</v>
      </c>
      <c r="G243" s="175">
        <f>'13. Desinvesteringen'!D526</f>
        <v>2016</v>
      </c>
      <c r="H243" s="175">
        <f>'13. Desinvesteringen'!G526</f>
        <v>2023</v>
      </c>
      <c r="I243" s="37" t="str">
        <f>'13. Desinvesteringen'!C526</f>
        <v>17 Mengstations</v>
      </c>
      <c r="J243" s="164">
        <f>'13. Desinvesteringen'!F526</f>
        <v>0</v>
      </c>
      <c r="K243" s="38">
        <f>_xlfn.XLOOKUP(I243,'3. Input (des)investeringen '!$B$11:$B$89,'3. Input (des)investeringen '!$E$11:$E$89)</f>
        <v>0</v>
      </c>
      <c r="L243" s="48"/>
      <c r="M243" s="38">
        <f>_xlfn.XLOOKUP(I243,'3. Input (des)investeringen '!$B$11:$B$89,'3. Input (des)investeringen '!$D$11:$D$89,0)</f>
        <v>30</v>
      </c>
      <c r="N243" s="38">
        <f t="shared" si="86"/>
        <v>24.5</v>
      </c>
      <c r="P243" s="43">
        <f t="shared" si="105"/>
        <v>1545.8194648634515</v>
      </c>
      <c r="Q243" s="43">
        <f t="shared" si="105"/>
        <v>1463.7963912176356</v>
      </c>
      <c r="R243" s="43">
        <f t="shared" si="105"/>
        <v>1386.1255622958836</v>
      </c>
      <c r="S243" s="43">
        <f t="shared" si="105"/>
        <v>1312.5760426638572</v>
      </c>
      <c r="T243" s="43">
        <f t="shared" si="105"/>
        <v>1242.9291506041425</v>
      </c>
      <c r="V243" s="43">
        <f t="shared" si="78"/>
        <v>132.12132178320095</v>
      </c>
      <c r="W243" s="43">
        <f t="shared" si="79"/>
        <v>132.12132178320095</v>
      </c>
      <c r="X243" s="43">
        <f t="shared" si="80"/>
        <v>132.12132178320095</v>
      </c>
      <c r="Y243" s="43">
        <f t="shared" si="81"/>
        <v>132.12132178320095</v>
      </c>
      <c r="Z243" s="43">
        <f t="shared" si="82"/>
        <v>132.12132178320095</v>
      </c>
      <c r="AB243" s="43">
        <f t="shared" si="87"/>
        <v>1677.9407866466524</v>
      </c>
      <c r="AC243" s="43">
        <f t="shared" si="88"/>
        <v>1595.9177130008366</v>
      </c>
      <c r="AD243" s="43">
        <f t="shared" si="89"/>
        <v>1518.2468840790846</v>
      </c>
      <c r="AE243" s="43">
        <f t="shared" si="90"/>
        <v>1444.6973644470581</v>
      </c>
      <c r="AF243" s="43">
        <f t="shared" si="91"/>
        <v>1375.0504723873435</v>
      </c>
      <c r="AH243" s="43">
        <f t="shared" si="92"/>
        <v>30691.783050237584</v>
      </c>
      <c r="AI243" s="43">
        <f t="shared" si="93"/>
        <v>29095.865337236748</v>
      </c>
      <c r="AJ243" s="43">
        <f t="shared" si="94"/>
        <v>27577.618453157662</v>
      </c>
      <c r="AK243" s="43">
        <f t="shared" si="95"/>
        <v>26132.921088710602</v>
      </c>
      <c r="AL243" s="43">
        <f t="shared" si="96"/>
        <v>24757.87061632326</v>
      </c>
      <c r="AN243" s="47">
        <f t="shared" si="97"/>
        <v>2936.3038917063932</v>
      </c>
      <c r="AO243" s="47">
        <f t="shared" si="98"/>
        <v>3079.8068451999106</v>
      </c>
      <c r="AP243" s="47">
        <f t="shared" si="99"/>
        <v>2924.7054251901254</v>
      </c>
      <c r="AQ243" s="47">
        <f t="shared" si="100"/>
        <v>2882.0080243261409</v>
      </c>
      <c r="AR243" s="43">
        <f t="shared" si="101"/>
        <v>2315.8495558076274</v>
      </c>
      <c r="AY243" s="3"/>
    </row>
    <row r="244" spans="1:51" ht="13">
      <c r="A244" s="226"/>
      <c r="B244" s="37">
        <f>'13. Desinvesteringen'!B527</f>
        <v>508</v>
      </c>
      <c r="C244" s="48"/>
      <c r="D244" s="48"/>
      <c r="E244" s="48"/>
      <c r="F244" s="42">
        <f>'5. Input GAW-waarde desinv.'!D203</f>
        <v>0</v>
      </c>
      <c r="G244" s="175">
        <f>'13. Desinvesteringen'!D527</f>
        <v>1964</v>
      </c>
      <c r="H244" s="175">
        <f>'13. Desinvesteringen'!G527</f>
        <v>2023</v>
      </c>
      <c r="I244" s="37" t="str">
        <f>'13. Desinvesteringen'!C527</f>
        <v>21 Hoofdtransportleiding</v>
      </c>
      <c r="J244" s="164">
        <f>'13. Desinvesteringen'!F527</f>
        <v>0</v>
      </c>
      <c r="K244" s="38">
        <f>_xlfn.XLOOKUP(I244,'3. Input (des)investeringen '!$B$11:$B$89,'3. Input (des)investeringen '!$E$11:$E$89)</f>
        <v>1</v>
      </c>
      <c r="L244" s="48"/>
      <c r="M244" s="38">
        <f>_xlfn.XLOOKUP(I244,'3. Input (des)investeringen '!$B$11:$B$89,'3. Input (des)investeringen '!$D$11:$D$89,0)</f>
        <v>55</v>
      </c>
      <c r="N244" s="38">
        <f t="shared" si="86"/>
        <v>0</v>
      </c>
      <c r="P244" s="43">
        <f t="shared" si="105"/>
        <v>0</v>
      </c>
      <c r="Q244" s="43">
        <f t="shared" si="105"/>
        <v>0</v>
      </c>
      <c r="R244" s="43">
        <f t="shared" si="105"/>
        <v>0</v>
      </c>
      <c r="S244" s="43">
        <f t="shared" si="105"/>
        <v>0</v>
      </c>
      <c r="T244" s="43">
        <f t="shared" si="105"/>
        <v>0</v>
      </c>
      <c r="V244" s="43">
        <f t="shared" ref="V244:V307" si="106">IF($M244&gt;0, IF(OR($G244&gt;V$50,$G244+$M244&lt;V$50),0,
VDB($F244,0,$N244,MAX(0,P$50-2022),MIN($N244,P$50-2021),1,FALSE))*$F$26, 0)</f>
        <v>0</v>
      </c>
      <c r="W244" s="43">
        <f t="shared" ref="W244:W307" si="107">IF($M244&gt;0, IF(OR($G244&gt;W$50,$G244+$M244&lt;W$50),0,
VDB($F244,0,$N244,MAX(0,Q$50-2022),MIN($N244,Q$50-2021),1,FALSE))*$F$26, 0)</f>
        <v>0</v>
      </c>
      <c r="X244" s="43">
        <f t="shared" ref="X244:X307" si="108">IF($M244&gt;0, IF(OR($G244&gt;X$50,$G244+$M244&lt;X$50),0,
VDB($F244,0,$N244,MAX(0,R$50-2022),MIN($N244,R$50-2021),1,FALSE))*$F$26, 0)</f>
        <v>0</v>
      </c>
      <c r="Y244" s="43">
        <f t="shared" ref="Y244:Y307" si="109">IF($M244&gt;0, IF(OR($G244&gt;Y$50,$G244+$M244&lt;Y$50),0,
VDB($F244,0,$N244,MAX(0,S$50-2022),MIN($N244,S$50-2021),1,FALSE))*$F$26, 0)</f>
        <v>0</v>
      </c>
      <c r="Z244" s="43">
        <f t="shared" ref="Z244:Z307" si="110">IF($M244&gt;0, IF(OR($G244&gt;Z$50,$G244+$M244&lt;Z$50),0,
VDB($F244,0,$N244,MAX(0,T$50-2022),MIN($N244,T$50-2021),1,FALSE))*$F$26, 0)</f>
        <v>0</v>
      </c>
      <c r="AB244" s="43">
        <f t="shared" si="87"/>
        <v>0</v>
      </c>
      <c r="AC244" s="43">
        <f t="shared" si="88"/>
        <v>0</v>
      </c>
      <c r="AD244" s="43">
        <f t="shared" si="89"/>
        <v>0</v>
      </c>
      <c r="AE244" s="43">
        <f t="shared" si="90"/>
        <v>0</v>
      </c>
      <c r="AF244" s="43">
        <f t="shared" si="91"/>
        <v>0</v>
      </c>
      <c r="AH244" s="43">
        <f t="shared" si="92"/>
        <v>0</v>
      </c>
      <c r="AI244" s="43">
        <f t="shared" si="93"/>
        <v>0</v>
      </c>
      <c r="AJ244" s="43">
        <f t="shared" si="94"/>
        <v>0</v>
      </c>
      <c r="AK244" s="43">
        <f t="shared" si="95"/>
        <v>0</v>
      </c>
      <c r="AL244" s="43">
        <f t="shared" si="96"/>
        <v>0</v>
      </c>
      <c r="AN244" s="47">
        <f t="shared" si="97"/>
        <v>0</v>
      </c>
      <c r="AO244" s="47">
        <f t="shared" si="98"/>
        <v>0</v>
      </c>
      <c r="AP244" s="47">
        <f t="shared" si="99"/>
        <v>0</v>
      </c>
      <c r="AQ244" s="47">
        <f t="shared" si="100"/>
        <v>0</v>
      </c>
      <c r="AR244" s="43">
        <f t="shared" si="101"/>
        <v>0</v>
      </c>
      <c r="AY244" s="3"/>
    </row>
    <row r="245" spans="1:51" ht="13">
      <c r="A245" s="226"/>
      <c r="B245" s="37">
        <f>'13. Desinvesteringen'!B528</f>
        <v>509</v>
      </c>
      <c r="C245" s="48"/>
      <c r="D245" s="48"/>
      <c r="E245" s="48"/>
      <c r="F245" s="42">
        <f>'5. Input GAW-waarde desinv.'!D204</f>
        <v>0</v>
      </c>
      <c r="G245" s="175">
        <f>'13. Desinvesteringen'!D528</f>
        <v>1966</v>
      </c>
      <c r="H245" s="175">
        <f>'13. Desinvesteringen'!G528</f>
        <v>2023</v>
      </c>
      <c r="I245" s="37" t="str">
        <f>'13. Desinvesteringen'!C528</f>
        <v>21 Hoofdtransportleiding</v>
      </c>
      <c r="J245" s="164">
        <f>'13. Desinvesteringen'!F528</f>
        <v>0</v>
      </c>
      <c r="K245" s="38">
        <f>_xlfn.XLOOKUP(I245,'3. Input (des)investeringen '!$B$11:$B$89,'3. Input (des)investeringen '!$E$11:$E$89)</f>
        <v>1</v>
      </c>
      <c r="L245" s="48"/>
      <c r="M245" s="38">
        <f>_xlfn.XLOOKUP(I245,'3. Input (des)investeringen '!$B$11:$B$89,'3. Input (des)investeringen '!$D$11:$D$89,0)</f>
        <v>55</v>
      </c>
      <c r="N245" s="38">
        <f t="shared" si="86"/>
        <v>0</v>
      </c>
      <c r="P245" s="43">
        <f t="shared" si="105"/>
        <v>0</v>
      </c>
      <c r="Q245" s="43">
        <f t="shared" si="105"/>
        <v>0</v>
      </c>
      <c r="R245" s="43">
        <f t="shared" si="105"/>
        <v>0</v>
      </c>
      <c r="S245" s="43">
        <f t="shared" si="105"/>
        <v>0</v>
      </c>
      <c r="T245" s="43">
        <f t="shared" si="105"/>
        <v>0</v>
      </c>
      <c r="V245" s="43">
        <f t="shared" si="106"/>
        <v>0</v>
      </c>
      <c r="W245" s="43">
        <f t="shared" si="107"/>
        <v>0</v>
      </c>
      <c r="X245" s="43">
        <f t="shared" si="108"/>
        <v>0</v>
      </c>
      <c r="Y245" s="43">
        <f t="shared" si="109"/>
        <v>0</v>
      </c>
      <c r="Z245" s="43">
        <f t="shared" si="110"/>
        <v>0</v>
      </c>
      <c r="AB245" s="43">
        <f t="shared" si="87"/>
        <v>0</v>
      </c>
      <c r="AC245" s="43">
        <f t="shared" si="88"/>
        <v>0</v>
      </c>
      <c r="AD245" s="43">
        <f t="shared" si="89"/>
        <v>0</v>
      </c>
      <c r="AE245" s="43">
        <f t="shared" si="90"/>
        <v>0</v>
      </c>
      <c r="AF245" s="43">
        <f t="shared" si="91"/>
        <v>0</v>
      </c>
      <c r="AH245" s="43">
        <f t="shared" si="92"/>
        <v>0</v>
      </c>
      <c r="AI245" s="43">
        <f t="shared" si="93"/>
        <v>0</v>
      </c>
      <c r="AJ245" s="43">
        <f t="shared" si="94"/>
        <v>0</v>
      </c>
      <c r="AK245" s="43">
        <f t="shared" si="95"/>
        <v>0</v>
      </c>
      <c r="AL245" s="43">
        <f t="shared" si="96"/>
        <v>0</v>
      </c>
      <c r="AN245" s="47">
        <f t="shared" si="97"/>
        <v>0</v>
      </c>
      <c r="AO245" s="47">
        <f t="shared" si="98"/>
        <v>0</v>
      </c>
      <c r="AP245" s="47">
        <f t="shared" si="99"/>
        <v>0</v>
      </c>
      <c r="AQ245" s="47">
        <f t="shared" si="100"/>
        <v>0</v>
      </c>
      <c r="AR245" s="43">
        <f t="shared" si="101"/>
        <v>0</v>
      </c>
      <c r="AY245" s="3"/>
    </row>
    <row r="246" spans="1:51" ht="13">
      <c r="A246" s="226"/>
      <c r="B246" s="37">
        <f>'13. Desinvesteringen'!B529</f>
        <v>510</v>
      </c>
      <c r="C246" s="48"/>
      <c r="D246" s="48"/>
      <c r="E246" s="48"/>
      <c r="F246" s="42">
        <f>'5. Input GAW-waarde desinv.'!D205</f>
        <v>391.2500930325707</v>
      </c>
      <c r="G246" s="175">
        <f>'13. Desinvesteringen'!D529</f>
        <v>1967</v>
      </c>
      <c r="H246" s="175">
        <f>'13. Desinvesteringen'!G529</f>
        <v>2023</v>
      </c>
      <c r="I246" s="37" t="str">
        <f>'13. Desinvesteringen'!C529</f>
        <v>21 Hoofdtransportleiding</v>
      </c>
      <c r="J246" s="164">
        <f>'13. Desinvesteringen'!F529</f>
        <v>0</v>
      </c>
      <c r="K246" s="38">
        <f>_xlfn.XLOOKUP(I246,'3. Input (des)investeringen '!$B$11:$B$89,'3. Input (des)investeringen '!$E$11:$E$89)</f>
        <v>1</v>
      </c>
      <c r="L246" s="48"/>
      <c r="M246" s="38">
        <f>_xlfn.XLOOKUP(I246,'3. Input (des)investeringen '!$B$11:$B$89,'3. Input (des)investeringen '!$D$11:$D$89,0)</f>
        <v>55</v>
      </c>
      <c r="N246" s="38">
        <f t="shared" si="86"/>
        <v>0.5</v>
      </c>
      <c r="P246" s="43">
        <f t="shared" si="105"/>
        <v>352.12508372931364</v>
      </c>
      <c r="Q246" s="43">
        <f t="shared" si="105"/>
        <v>0</v>
      </c>
      <c r="R246" s="43">
        <f t="shared" si="105"/>
        <v>0</v>
      </c>
      <c r="S246" s="43">
        <f t="shared" si="105"/>
        <v>0</v>
      </c>
      <c r="T246" s="43">
        <f t="shared" si="105"/>
        <v>0</v>
      </c>
      <c r="V246" s="43">
        <f t="shared" si="106"/>
        <v>39.125009303257073</v>
      </c>
      <c r="W246" s="43">
        <f t="shared" si="107"/>
        <v>0</v>
      </c>
      <c r="X246" s="43">
        <f t="shared" si="108"/>
        <v>0</v>
      </c>
      <c r="Y246" s="43">
        <f t="shared" si="109"/>
        <v>0</v>
      </c>
      <c r="Z246" s="43">
        <f t="shared" si="110"/>
        <v>0</v>
      </c>
      <c r="AB246" s="43">
        <f t="shared" si="87"/>
        <v>391.2500930325707</v>
      </c>
      <c r="AC246" s="43">
        <f t="shared" si="88"/>
        <v>0</v>
      </c>
      <c r="AD246" s="43">
        <f t="shared" si="89"/>
        <v>0</v>
      </c>
      <c r="AE246" s="43">
        <f t="shared" si="90"/>
        <v>0</v>
      </c>
      <c r="AF246" s="43">
        <f t="shared" si="91"/>
        <v>0</v>
      </c>
      <c r="AH246" s="43">
        <f t="shared" si="92"/>
        <v>0</v>
      </c>
      <c r="AI246" s="43">
        <f t="shared" si="93"/>
        <v>0</v>
      </c>
      <c r="AJ246" s="43">
        <f t="shared" si="94"/>
        <v>0</v>
      </c>
      <c r="AK246" s="43">
        <f t="shared" si="95"/>
        <v>0</v>
      </c>
      <c r="AL246" s="43">
        <f t="shared" si="96"/>
        <v>0</v>
      </c>
      <c r="AN246" s="47">
        <f t="shared" si="97"/>
        <v>391.2500930325707</v>
      </c>
      <c r="AO246" s="47">
        <f t="shared" si="98"/>
        <v>0</v>
      </c>
      <c r="AP246" s="47">
        <f t="shared" si="99"/>
        <v>0</v>
      </c>
      <c r="AQ246" s="47">
        <f t="shared" si="100"/>
        <v>0</v>
      </c>
      <c r="AR246" s="43">
        <f t="shared" si="101"/>
        <v>0</v>
      </c>
      <c r="AY246" s="3"/>
    </row>
    <row r="247" spans="1:51" ht="13">
      <c r="A247" s="226"/>
      <c r="B247" s="37">
        <f>'13. Desinvesteringen'!B530</f>
        <v>511</v>
      </c>
      <c r="C247" s="48"/>
      <c r="D247" s="48"/>
      <c r="E247" s="48"/>
      <c r="F247" s="42">
        <f>'5. Input GAW-waarde desinv.'!D206</f>
        <v>5807.0127406390793</v>
      </c>
      <c r="G247" s="175">
        <f>'13. Desinvesteringen'!D530</f>
        <v>1970</v>
      </c>
      <c r="H247" s="175">
        <f>'13. Desinvesteringen'!G530</f>
        <v>2023</v>
      </c>
      <c r="I247" s="37" t="str">
        <f>'13. Desinvesteringen'!C530</f>
        <v>21 Hoofdtransportleiding</v>
      </c>
      <c r="J247" s="164">
        <f>'13. Desinvesteringen'!F530</f>
        <v>0</v>
      </c>
      <c r="K247" s="38">
        <f>_xlfn.XLOOKUP(I247,'3. Input (des)investeringen '!$B$11:$B$89,'3. Input (des)investeringen '!$E$11:$E$89)</f>
        <v>1</v>
      </c>
      <c r="L247" s="48"/>
      <c r="M247" s="38">
        <f>_xlfn.XLOOKUP(I247,'3. Input (des)investeringen '!$B$11:$B$89,'3. Input (des)investeringen '!$D$11:$D$89,0)</f>
        <v>55</v>
      </c>
      <c r="N247" s="38">
        <f t="shared" si="86"/>
        <v>3.5</v>
      </c>
      <c r="P247" s="43">
        <f t="shared" si="105"/>
        <v>1941.201401870778</v>
      </c>
      <c r="Q247" s="43">
        <f t="shared" si="105"/>
        <v>1314.0440258817573</v>
      </c>
      <c r="R247" s="43">
        <f t="shared" si="105"/>
        <v>1314.0440258817573</v>
      </c>
      <c r="S247" s="43">
        <f t="shared" si="105"/>
        <v>657.02201294087865</v>
      </c>
      <c r="T247" s="43">
        <f t="shared" si="105"/>
        <v>0</v>
      </c>
      <c r="V247" s="43">
        <f t="shared" si="106"/>
        <v>165.91464973254514</v>
      </c>
      <c r="W247" s="43">
        <f t="shared" si="107"/>
        <v>165.91464973254514</v>
      </c>
      <c r="X247" s="43">
        <f t="shared" si="108"/>
        <v>165.91464973254514</v>
      </c>
      <c r="Y247" s="43">
        <f t="shared" si="109"/>
        <v>82.957324866272572</v>
      </c>
      <c r="Z247" s="43">
        <f t="shared" si="110"/>
        <v>0</v>
      </c>
      <c r="AB247" s="43">
        <f t="shared" si="87"/>
        <v>2107.1160516033233</v>
      </c>
      <c r="AC247" s="43">
        <f t="shared" si="88"/>
        <v>1479.9586756143024</v>
      </c>
      <c r="AD247" s="43">
        <f t="shared" si="89"/>
        <v>1479.9586756143024</v>
      </c>
      <c r="AE247" s="43">
        <f t="shared" si="90"/>
        <v>739.97933780715118</v>
      </c>
      <c r="AF247" s="43">
        <f t="shared" si="91"/>
        <v>0</v>
      </c>
      <c r="AH247" s="43">
        <f t="shared" si="92"/>
        <v>3699.896689035756</v>
      </c>
      <c r="AI247" s="43">
        <f t="shared" si="93"/>
        <v>2219.9380134214534</v>
      </c>
      <c r="AJ247" s="43">
        <f t="shared" si="94"/>
        <v>739.97933780715107</v>
      </c>
      <c r="AK247" s="43">
        <f t="shared" si="95"/>
        <v>0</v>
      </c>
      <c r="AL247" s="43">
        <f t="shared" si="96"/>
        <v>0</v>
      </c>
      <c r="AN247" s="47">
        <f t="shared" si="97"/>
        <v>2258.8118158537891</v>
      </c>
      <c r="AO247" s="47">
        <f t="shared" si="98"/>
        <v>1593.1755142987965</v>
      </c>
      <c r="AP247" s="47">
        <f t="shared" si="99"/>
        <v>1517.697621842467</v>
      </c>
      <c r="AQ247" s="47">
        <f t="shared" si="100"/>
        <v>739.97933780715118</v>
      </c>
      <c r="AR247" s="43">
        <f t="shared" si="101"/>
        <v>0</v>
      </c>
      <c r="AY247" s="3"/>
    </row>
    <row r="248" spans="1:51" ht="13">
      <c r="A248" s="226"/>
      <c r="B248" s="37">
        <f>'13. Desinvesteringen'!B531</f>
        <v>512</v>
      </c>
      <c r="C248" s="48"/>
      <c r="D248" s="48"/>
      <c r="E248" s="48"/>
      <c r="F248" s="42">
        <f>'5. Input GAW-waarde desinv.'!D207</f>
        <v>3846.4772684956265</v>
      </c>
      <c r="G248" s="175">
        <f>'13. Desinvesteringen'!D531</f>
        <v>1971</v>
      </c>
      <c r="H248" s="175">
        <f>'13. Desinvesteringen'!G531</f>
        <v>2023</v>
      </c>
      <c r="I248" s="37" t="str">
        <f>'13. Desinvesteringen'!C531</f>
        <v>21 Hoofdtransportleiding</v>
      </c>
      <c r="J248" s="164">
        <f>'13. Desinvesteringen'!F531</f>
        <v>0</v>
      </c>
      <c r="K248" s="38">
        <f>_xlfn.XLOOKUP(I248,'3. Input (des)investeringen '!$B$11:$B$89,'3. Input (des)investeringen '!$E$11:$E$89)</f>
        <v>1</v>
      </c>
      <c r="L248" s="48"/>
      <c r="M248" s="38">
        <f>_xlfn.XLOOKUP(I248,'3. Input (des)investeringen '!$B$11:$B$89,'3. Input (des)investeringen '!$D$11:$D$89,0)</f>
        <v>55</v>
      </c>
      <c r="N248" s="38">
        <f t="shared" si="86"/>
        <v>4.5</v>
      </c>
      <c r="P248" s="43">
        <f t="shared" si="105"/>
        <v>1000.084089808863</v>
      </c>
      <c r="Q248" s="43">
        <f t="shared" si="105"/>
        <v>711.17090830852476</v>
      </c>
      <c r="R248" s="43">
        <f t="shared" si="105"/>
        <v>700.22981741147044</v>
      </c>
      <c r="S248" s="43">
        <f t="shared" si="105"/>
        <v>700.22981741147044</v>
      </c>
      <c r="T248" s="43">
        <f t="shared" si="105"/>
        <v>350.11490870573522</v>
      </c>
      <c r="V248" s="43">
        <f t="shared" si="106"/>
        <v>85.477272633236154</v>
      </c>
      <c r="W248" s="43">
        <f t="shared" si="107"/>
        <v>85.477272633236154</v>
      </c>
      <c r="X248" s="43">
        <f t="shared" si="108"/>
        <v>85.477272633236154</v>
      </c>
      <c r="Y248" s="43">
        <f t="shared" si="109"/>
        <v>85.477272633236154</v>
      </c>
      <c r="Z248" s="43">
        <f t="shared" si="110"/>
        <v>42.738636316618077</v>
      </c>
      <c r="AB248" s="43">
        <f t="shared" si="87"/>
        <v>1085.5613624420992</v>
      </c>
      <c r="AC248" s="43">
        <f t="shared" si="88"/>
        <v>796.64818094176087</v>
      </c>
      <c r="AD248" s="43">
        <f t="shared" si="89"/>
        <v>785.70709004470655</v>
      </c>
      <c r="AE248" s="43">
        <f t="shared" si="90"/>
        <v>785.70709004470655</v>
      </c>
      <c r="AF248" s="43">
        <f t="shared" si="91"/>
        <v>392.85354502235327</v>
      </c>
      <c r="AH248" s="43">
        <f t="shared" si="92"/>
        <v>2760.9159060535276</v>
      </c>
      <c r="AI248" s="43">
        <f t="shared" si="93"/>
        <v>1964.2677251117666</v>
      </c>
      <c r="AJ248" s="43">
        <f t="shared" si="94"/>
        <v>1178.56063506706</v>
      </c>
      <c r="AK248" s="43">
        <f t="shared" si="95"/>
        <v>392.8535450223535</v>
      </c>
      <c r="AL248" s="43">
        <f t="shared" si="96"/>
        <v>0</v>
      </c>
      <c r="AN248" s="47">
        <f t="shared" si="97"/>
        <v>1198.7589145902939</v>
      </c>
      <c r="AO248" s="47">
        <f t="shared" si="98"/>
        <v>896.8258349224609</v>
      </c>
      <c r="AP248" s="47">
        <f t="shared" si="99"/>
        <v>845.81368243312659</v>
      </c>
      <c r="AQ248" s="47">
        <f t="shared" si="100"/>
        <v>807.31403502093599</v>
      </c>
      <c r="AR248" s="43">
        <f t="shared" si="101"/>
        <v>392.85354502235327</v>
      </c>
      <c r="AY248" s="3"/>
    </row>
    <row r="249" spans="1:51" ht="13">
      <c r="A249" s="226"/>
      <c r="B249" s="37">
        <f>'13. Desinvesteringen'!B532</f>
        <v>513</v>
      </c>
      <c r="C249" s="48"/>
      <c r="D249" s="48"/>
      <c r="E249" s="48"/>
      <c r="F249" s="42">
        <f>'5. Input GAW-waarde desinv.'!D208</f>
        <v>68227.138320870654</v>
      </c>
      <c r="G249" s="175">
        <f>'13. Desinvesteringen'!D532</f>
        <v>1975</v>
      </c>
      <c r="H249" s="175">
        <f>'13. Desinvesteringen'!G532</f>
        <v>2023</v>
      </c>
      <c r="I249" s="37" t="str">
        <f>'13. Desinvesteringen'!C532</f>
        <v>21 Hoofdtransportleiding</v>
      </c>
      <c r="J249" s="164">
        <f>'13. Desinvesteringen'!F532</f>
        <v>0</v>
      </c>
      <c r="K249" s="38">
        <f>_xlfn.XLOOKUP(I249,'3. Input (des)investeringen '!$B$11:$B$89,'3. Input (des)investeringen '!$E$11:$E$89)</f>
        <v>1</v>
      </c>
      <c r="L249" s="48"/>
      <c r="M249" s="38">
        <f>_xlfn.XLOOKUP(I249,'3. Input (des)investeringen '!$B$11:$B$89,'3. Input (des)investeringen '!$D$11:$D$89,0)</f>
        <v>55</v>
      </c>
      <c r="N249" s="38">
        <f t="shared" si="86"/>
        <v>8.5</v>
      </c>
      <c r="P249" s="43">
        <f t="shared" si="105"/>
        <v>9391.2649218139613</v>
      </c>
      <c r="Q249" s="43">
        <f t="shared" si="105"/>
        <v>7954.9538161247665</v>
      </c>
      <c r="R249" s="43">
        <f t="shared" si="105"/>
        <v>6778.1855001299782</v>
      </c>
      <c r="S249" s="43">
        <f t="shared" si="105"/>
        <v>6778.1855001299782</v>
      </c>
      <c r="T249" s="43">
        <f t="shared" si="105"/>
        <v>6778.1855001299782</v>
      </c>
      <c r="V249" s="43">
        <f t="shared" si="106"/>
        <v>802.67221553965476</v>
      </c>
      <c r="W249" s="43">
        <f t="shared" si="107"/>
        <v>802.67221553965476</v>
      </c>
      <c r="X249" s="43">
        <f t="shared" si="108"/>
        <v>802.67221553965476</v>
      </c>
      <c r="Y249" s="43">
        <f t="shared" si="109"/>
        <v>802.67221553965476</v>
      </c>
      <c r="Z249" s="43">
        <f t="shared" si="110"/>
        <v>802.67221553965476</v>
      </c>
      <c r="AB249" s="43">
        <f t="shared" si="87"/>
        <v>10193.937137353616</v>
      </c>
      <c r="AC249" s="43">
        <f t="shared" si="88"/>
        <v>8757.626031664422</v>
      </c>
      <c r="AD249" s="43">
        <f t="shared" si="89"/>
        <v>7580.8577156696329</v>
      </c>
      <c r="AE249" s="43">
        <f t="shared" si="90"/>
        <v>7580.8577156696329</v>
      </c>
      <c r="AF249" s="43">
        <f t="shared" si="91"/>
        <v>7580.8577156696329</v>
      </c>
      <c r="AH249" s="43">
        <f t="shared" si="92"/>
        <v>58033.201183517041</v>
      </c>
      <c r="AI249" s="43">
        <f t="shared" si="93"/>
        <v>49275.575151852623</v>
      </c>
      <c r="AJ249" s="43">
        <f t="shared" si="94"/>
        <v>41694.717436182989</v>
      </c>
      <c r="AK249" s="43">
        <f t="shared" si="95"/>
        <v>34113.859720513356</v>
      </c>
      <c r="AL249" s="43">
        <f t="shared" si="96"/>
        <v>26533.002004843722</v>
      </c>
      <c r="AN249" s="47">
        <f t="shared" si="97"/>
        <v>12573.298385877815</v>
      </c>
      <c r="AO249" s="47">
        <f t="shared" si="98"/>
        <v>11270.680364408905</v>
      </c>
      <c r="AP249" s="47">
        <f t="shared" si="99"/>
        <v>9707.2883049149641</v>
      </c>
      <c r="AQ249" s="47">
        <f t="shared" si="100"/>
        <v>9457.1200002978676</v>
      </c>
      <c r="AR249" s="43">
        <f t="shared" si="101"/>
        <v>8589.1117918536947</v>
      </c>
      <c r="AY249" s="3"/>
    </row>
    <row r="250" spans="1:51" ht="13">
      <c r="A250" s="226"/>
      <c r="B250" s="37">
        <f>'13. Desinvesteringen'!B533</f>
        <v>514</v>
      </c>
      <c r="C250" s="48"/>
      <c r="D250" s="48"/>
      <c r="E250" s="48"/>
      <c r="F250" s="42">
        <f>'5. Input GAW-waarde desinv.'!D209</f>
        <v>18541.10836769961</v>
      </c>
      <c r="G250" s="175">
        <f>'13. Desinvesteringen'!D533</f>
        <v>1976</v>
      </c>
      <c r="H250" s="175">
        <f>'13. Desinvesteringen'!G533</f>
        <v>2023</v>
      </c>
      <c r="I250" s="37" t="str">
        <f>'13. Desinvesteringen'!C533</f>
        <v>21 Hoofdtransportleiding</v>
      </c>
      <c r="J250" s="164">
        <f>'13. Desinvesteringen'!F533</f>
        <v>0</v>
      </c>
      <c r="K250" s="38">
        <f>_xlfn.XLOOKUP(I250,'3. Input (des)investeringen '!$B$11:$B$89,'3. Input (des)investeringen '!$E$11:$E$89)</f>
        <v>1</v>
      </c>
      <c r="L250" s="48"/>
      <c r="M250" s="38">
        <f>_xlfn.XLOOKUP(I250,'3. Input (des)investeringen '!$B$11:$B$89,'3. Input (des)investeringen '!$D$11:$D$89,0)</f>
        <v>55</v>
      </c>
      <c r="N250" s="38">
        <f t="shared" si="86"/>
        <v>9.5</v>
      </c>
      <c r="P250" s="43">
        <f t="shared" si="105"/>
        <v>2283.4838726535313</v>
      </c>
      <c r="Q250" s="43">
        <f t="shared" si="105"/>
        <v>1971.0071321851531</v>
      </c>
      <c r="R250" s="43">
        <f t="shared" si="105"/>
        <v>1701.2903667282374</v>
      </c>
      <c r="S250" s="43">
        <f t="shared" si="105"/>
        <v>1650.9563322096503</v>
      </c>
      <c r="T250" s="43">
        <f t="shared" si="105"/>
        <v>1650.9563322096503</v>
      </c>
      <c r="V250" s="43">
        <f t="shared" si="106"/>
        <v>195.16956176525906</v>
      </c>
      <c r="W250" s="43">
        <f t="shared" si="107"/>
        <v>195.16956176525906</v>
      </c>
      <c r="X250" s="43">
        <f t="shared" si="108"/>
        <v>195.16956176525906</v>
      </c>
      <c r="Y250" s="43">
        <f t="shared" si="109"/>
        <v>195.16956176525906</v>
      </c>
      <c r="Z250" s="43">
        <f t="shared" si="110"/>
        <v>195.16956176525906</v>
      </c>
      <c r="AB250" s="43">
        <f t="shared" si="87"/>
        <v>2478.6534344187903</v>
      </c>
      <c r="AC250" s="43">
        <f t="shared" si="88"/>
        <v>2166.1766939504123</v>
      </c>
      <c r="AD250" s="43">
        <f t="shared" si="89"/>
        <v>1896.4599284934964</v>
      </c>
      <c r="AE250" s="43">
        <f t="shared" si="90"/>
        <v>1846.1258939749093</v>
      </c>
      <c r="AF250" s="43">
        <f t="shared" si="91"/>
        <v>1846.1258939749093</v>
      </c>
      <c r="AH250" s="43">
        <f t="shared" si="92"/>
        <v>16062.45493328082</v>
      </c>
      <c r="AI250" s="43">
        <f t="shared" si="93"/>
        <v>13896.278239330408</v>
      </c>
      <c r="AJ250" s="43">
        <f t="shared" si="94"/>
        <v>11999.818310836912</v>
      </c>
      <c r="AK250" s="43">
        <f t="shared" si="95"/>
        <v>10153.692416862003</v>
      </c>
      <c r="AL250" s="43">
        <f t="shared" si="96"/>
        <v>8307.566522887093</v>
      </c>
      <c r="AN250" s="47">
        <f t="shared" si="97"/>
        <v>3137.2140866833042</v>
      </c>
      <c r="AO250" s="47">
        <f t="shared" si="98"/>
        <v>2874.886884156263</v>
      </c>
      <c r="AP250" s="47">
        <f t="shared" si="99"/>
        <v>2508.4506623461789</v>
      </c>
      <c r="AQ250" s="47">
        <f t="shared" si="100"/>
        <v>2404.5789769023195</v>
      </c>
      <c r="AR250" s="43">
        <f t="shared" si="101"/>
        <v>2161.8134218446189</v>
      </c>
      <c r="AY250" s="3"/>
    </row>
    <row r="251" spans="1:51" ht="13">
      <c r="A251" s="226"/>
      <c r="B251" s="37">
        <f>'13. Desinvesteringen'!B534</f>
        <v>515</v>
      </c>
      <c r="C251" s="48"/>
      <c r="D251" s="48"/>
      <c r="E251" s="48"/>
      <c r="F251" s="42">
        <f>'5. Input GAW-waarde desinv.'!D210</f>
        <v>9654.3986266756274</v>
      </c>
      <c r="G251" s="175">
        <f>'13. Desinvesteringen'!D534</f>
        <v>1978</v>
      </c>
      <c r="H251" s="175">
        <f>'13. Desinvesteringen'!G534</f>
        <v>2023</v>
      </c>
      <c r="I251" s="37" t="str">
        <f>'13. Desinvesteringen'!C534</f>
        <v>21 Hoofdtransportleiding</v>
      </c>
      <c r="J251" s="164">
        <f>'13. Desinvesteringen'!F534</f>
        <v>0</v>
      </c>
      <c r="K251" s="38">
        <f>_xlfn.XLOOKUP(I251,'3. Input (des)investeringen '!$B$11:$B$89,'3. Input (des)investeringen '!$E$11:$E$89)</f>
        <v>1</v>
      </c>
      <c r="L251" s="48"/>
      <c r="M251" s="38">
        <f>_xlfn.XLOOKUP(I251,'3. Input (des)investeringen '!$B$11:$B$89,'3. Input (des)investeringen '!$D$11:$D$89,0)</f>
        <v>55</v>
      </c>
      <c r="N251" s="38">
        <f t="shared" si="86"/>
        <v>11.5</v>
      </c>
      <c r="P251" s="43">
        <f t="shared" si="105"/>
        <v>982.23012114873779</v>
      </c>
      <c r="Q251" s="43">
        <f t="shared" si="105"/>
        <v>871.19541180148906</v>
      </c>
      <c r="R251" s="43">
        <f t="shared" si="105"/>
        <v>772.71245220653816</v>
      </c>
      <c r="S251" s="43">
        <f t="shared" si="105"/>
        <v>713.27303280603519</v>
      </c>
      <c r="T251" s="43">
        <f t="shared" si="105"/>
        <v>713.27303280603519</v>
      </c>
      <c r="V251" s="43">
        <f t="shared" si="106"/>
        <v>83.951292405875023</v>
      </c>
      <c r="W251" s="43">
        <f t="shared" si="107"/>
        <v>83.951292405875023</v>
      </c>
      <c r="X251" s="43">
        <f t="shared" si="108"/>
        <v>83.951292405875023</v>
      </c>
      <c r="Y251" s="43">
        <f t="shared" si="109"/>
        <v>83.951292405875023</v>
      </c>
      <c r="Z251" s="43">
        <f t="shared" si="110"/>
        <v>83.951292405875023</v>
      </c>
      <c r="AB251" s="43">
        <f t="shared" si="87"/>
        <v>1066.1814135546128</v>
      </c>
      <c r="AC251" s="43">
        <f t="shared" si="88"/>
        <v>955.14670420736411</v>
      </c>
      <c r="AD251" s="43">
        <f t="shared" si="89"/>
        <v>856.66374461241321</v>
      </c>
      <c r="AE251" s="43">
        <f t="shared" si="90"/>
        <v>797.22432521191024</v>
      </c>
      <c r="AF251" s="43">
        <f t="shared" si="91"/>
        <v>797.22432521191024</v>
      </c>
      <c r="AH251" s="43">
        <f t="shared" si="92"/>
        <v>8588.2172131210136</v>
      </c>
      <c r="AI251" s="43">
        <f t="shared" si="93"/>
        <v>7633.07050891365</v>
      </c>
      <c r="AJ251" s="43">
        <f t="shared" si="94"/>
        <v>6776.4067643012368</v>
      </c>
      <c r="AK251" s="43">
        <f t="shared" si="95"/>
        <v>5979.1824390893262</v>
      </c>
      <c r="AL251" s="43">
        <f t="shared" si="96"/>
        <v>5181.9581138774156</v>
      </c>
      <c r="AN251" s="47">
        <f t="shared" si="97"/>
        <v>1418.2983192925744</v>
      </c>
      <c r="AO251" s="47">
        <f t="shared" si="98"/>
        <v>1344.4333001619602</v>
      </c>
      <c r="AP251" s="47">
        <f t="shared" si="99"/>
        <v>1202.2604895917761</v>
      </c>
      <c r="AQ251" s="47">
        <f t="shared" si="100"/>
        <v>1126.0793593618232</v>
      </c>
      <c r="AR251" s="43">
        <f t="shared" si="101"/>
        <v>994.13873353925203</v>
      </c>
      <c r="AY251" s="3"/>
    </row>
    <row r="252" spans="1:51" ht="13">
      <c r="A252" s="226"/>
      <c r="B252" s="37">
        <f>'13. Desinvesteringen'!B535</f>
        <v>516</v>
      </c>
      <c r="C252" s="48"/>
      <c r="D252" s="48"/>
      <c r="E252" s="48"/>
      <c r="F252" s="42">
        <f>'5. Input GAW-waarde desinv.'!D211</f>
        <v>11416.655239751346</v>
      </c>
      <c r="G252" s="175">
        <f>'13. Desinvesteringen'!D535</f>
        <v>1980</v>
      </c>
      <c r="H252" s="175">
        <f>'13. Desinvesteringen'!G535</f>
        <v>2023</v>
      </c>
      <c r="I252" s="37" t="str">
        <f>'13. Desinvesteringen'!C535</f>
        <v>21 Hoofdtransportleiding</v>
      </c>
      <c r="J252" s="164">
        <f>'13. Desinvesteringen'!F535</f>
        <v>0</v>
      </c>
      <c r="K252" s="38">
        <f>_xlfn.XLOOKUP(I252,'3. Input (des)investeringen '!$B$11:$B$89,'3. Input (des)investeringen '!$E$11:$E$89)</f>
        <v>1</v>
      </c>
      <c r="L252" s="48"/>
      <c r="M252" s="38">
        <f>_xlfn.XLOOKUP(I252,'3. Input (des)investeringen '!$B$11:$B$89,'3. Input (des)investeringen '!$D$11:$D$89,0)</f>
        <v>55</v>
      </c>
      <c r="N252" s="38">
        <f t="shared" si="86"/>
        <v>13.5</v>
      </c>
      <c r="P252" s="43">
        <f t="shared" ref="P252:T261" si="111">IF($M252&gt;0, IF(OR($G252&gt;P$50,$G252+$M252&lt;P$50),0,
VDB($F252,0,$N252,MAX(0,P$50-2022),MIN($N252,P$50-2021),$F$23,FALSE))*(1-$F$26), 0)</f>
        <v>989.44345411178335</v>
      </c>
      <c r="Q252" s="43">
        <f t="shared" si="111"/>
        <v>894.1637140862041</v>
      </c>
      <c r="R252" s="43">
        <f t="shared" si="111"/>
        <v>808.05906013716231</v>
      </c>
      <c r="S252" s="43">
        <f t="shared" si="111"/>
        <v>730.24596545728741</v>
      </c>
      <c r="T252" s="43">
        <f t="shared" si="111"/>
        <v>721.37658126144981</v>
      </c>
      <c r="V252" s="43">
        <f t="shared" si="106"/>
        <v>84.567816590750724</v>
      </c>
      <c r="W252" s="43">
        <f t="shared" si="107"/>
        <v>84.567816590750724</v>
      </c>
      <c r="X252" s="43">
        <f t="shared" si="108"/>
        <v>84.567816590750724</v>
      </c>
      <c r="Y252" s="43">
        <f t="shared" si="109"/>
        <v>84.567816590750724</v>
      </c>
      <c r="Z252" s="43">
        <f t="shared" si="110"/>
        <v>84.567816590750724</v>
      </c>
      <c r="AB252" s="43">
        <f t="shared" si="87"/>
        <v>1074.0112707025341</v>
      </c>
      <c r="AC252" s="43">
        <f t="shared" si="88"/>
        <v>978.73153067695478</v>
      </c>
      <c r="AD252" s="43">
        <f t="shared" si="89"/>
        <v>892.62687672791299</v>
      </c>
      <c r="AE252" s="43">
        <f t="shared" si="90"/>
        <v>814.81378204803809</v>
      </c>
      <c r="AF252" s="43">
        <f t="shared" si="91"/>
        <v>805.9443978522005</v>
      </c>
      <c r="AH252" s="43">
        <f t="shared" si="92"/>
        <v>10342.643969048811</v>
      </c>
      <c r="AI252" s="43">
        <f t="shared" si="93"/>
        <v>9363.9124383718572</v>
      </c>
      <c r="AJ252" s="43">
        <f t="shared" si="94"/>
        <v>8471.2855616439447</v>
      </c>
      <c r="AK252" s="43">
        <f t="shared" si="95"/>
        <v>7656.4717795959068</v>
      </c>
      <c r="AL252" s="43">
        <f t="shared" si="96"/>
        <v>6850.5273817437064</v>
      </c>
      <c r="AN252" s="47">
        <f t="shared" si="97"/>
        <v>1498.0596734335354</v>
      </c>
      <c r="AO252" s="47">
        <f t="shared" si="98"/>
        <v>1456.2910650339195</v>
      </c>
      <c r="AP252" s="47">
        <f t="shared" si="99"/>
        <v>1324.6624403717542</v>
      </c>
      <c r="AQ252" s="47">
        <f t="shared" si="100"/>
        <v>1235.919729925813</v>
      </c>
      <c r="AR252" s="43">
        <f t="shared" si="101"/>
        <v>1066.2644383584613</v>
      </c>
      <c r="AY252" s="3"/>
    </row>
    <row r="253" spans="1:51" ht="13">
      <c r="A253" s="226"/>
      <c r="B253" s="37">
        <f>'13. Desinvesteringen'!B536</f>
        <v>517</v>
      </c>
      <c r="C253" s="48"/>
      <c r="D253" s="48"/>
      <c r="E253" s="48"/>
      <c r="F253" s="42">
        <f>'5. Input GAW-waarde desinv.'!D212</f>
        <v>17633.404807314058</v>
      </c>
      <c r="G253" s="175">
        <f>'13. Desinvesteringen'!D536</f>
        <v>1982</v>
      </c>
      <c r="H253" s="175">
        <f>'13. Desinvesteringen'!G536</f>
        <v>2023</v>
      </c>
      <c r="I253" s="37" t="str">
        <f>'13. Desinvesteringen'!C536</f>
        <v>21 Hoofdtransportleiding</v>
      </c>
      <c r="J253" s="164">
        <f>'13. Desinvesteringen'!F536</f>
        <v>0</v>
      </c>
      <c r="K253" s="38">
        <f>_xlfn.XLOOKUP(I253,'3. Input (des)investeringen '!$B$11:$B$89,'3. Input (des)investeringen '!$E$11:$E$89)</f>
        <v>1</v>
      </c>
      <c r="L253" s="48"/>
      <c r="M253" s="38">
        <f>_xlfn.XLOOKUP(I253,'3. Input (des)investeringen '!$B$11:$B$89,'3. Input (des)investeringen '!$D$11:$D$89,0)</f>
        <v>55</v>
      </c>
      <c r="N253" s="38">
        <f t="shared" si="86"/>
        <v>15.5</v>
      </c>
      <c r="P253" s="43">
        <f t="shared" si="111"/>
        <v>1331.0376531972547</v>
      </c>
      <c r="Q253" s="43">
        <f t="shared" si="111"/>
        <v>1219.4022371226463</v>
      </c>
      <c r="R253" s="43">
        <f t="shared" si="111"/>
        <v>1117.1297914284889</v>
      </c>
      <c r="S253" s="43">
        <f t="shared" si="111"/>
        <v>1023.4350347280349</v>
      </c>
      <c r="T253" s="43">
        <f t="shared" si="111"/>
        <v>972.09214000923726</v>
      </c>
      <c r="V253" s="43">
        <f t="shared" si="106"/>
        <v>113.76390198267134</v>
      </c>
      <c r="W253" s="43">
        <f t="shared" si="107"/>
        <v>113.76390198267134</v>
      </c>
      <c r="X253" s="43">
        <f t="shared" si="108"/>
        <v>113.76390198267134</v>
      </c>
      <c r="Y253" s="43">
        <f t="shared" si="109"/>
        <v>113.76390198267134</v>
      </c>
      <c r="Z253" s="43">
        <f t="shared" si="110"/>
        <v>113.76390198267134</v>
      </c>
      <c r="AB253" s="43">
        <f t="shared" si="87"/>
        <v>1444.801555179926</v>
      </c>
      <c r="AC253" s="43">
        <f t="shared" si="88"/>
        <v>1333.1661391053176</v>
      </c>
      <c r="AD253" s="43">
        <f t="shared" si="89"/>
        <v>1230.8936934111603</v>
      </c>
      <c r="AE253" s="43">
        <f t="shared" si="90"/>
        <v>1137.1989367107062</v>
      </c>
      <c r="AF253" s="43">
        <f t="shared" si="91"/>
        <v>1085.8560419919086</v>
      </c>
      <c r="AH253" s="43">
        <f t="shared" si="92"/>
        <v>16188.603252134133</v>
      </c>
      <c r="AI253" s="43">
        <f t="shared" si="93"/>
        <v>14855.437113028816</v>
      </c>
      <c r="AJ253" s="43">
        <f t="shared" si="94"/>
        <v>13624.543419617656</v>
      </c>
      <c r="AK253" s="43">
        <f t="shared" si="95"/>
        <v>12487.344482906949</v>
      </c>
      <c r="AL253" s="43">
        <f t="shared" si="96"/>
        <v>11401.48844091504</v>
      </c>
      <c r="AN253" s="47">
        <f t="shared" si="97"/>
        <v>2108.5342885174255</v>
      </c>
      <c r="AO253" s="47">
        <f t="shared" si="98"/>
        <v>2090.7934318697871</v>
      </c>
      <c r="AP253" s="47">
        <f t="shared" si="99"/>
        <v>1925.7454078116607</v>
      </c>
      <c r="AQ253" s="47">
        <f t="shared" si="100"/>
        <v>1824.0028832705884</v>
      </c>
      <c r="AR253" s="43">
        <f t="shared" si="101"/>
        <v>1519.1126027466801</v>
      </c>
      <c r="AY253" s="3"/>
    </row>
    <row r="254" spans="1:51" ht="13">
      <c r="A254" s="226"/>
      <c r="B254" s="37">
        <f>'13. Desinvesteringen'!B537</f>
        <v>518</v>
      </c>
      <c r="C254" s="48"/>
      <c r="D254" s="48"/>
      <c r="E254" s="48"/>
      <c r="F254" s="42">
        <f>'5. Input GAW-waarde desinv.'!D213</f>
        <v>15300.61437397597</v>
      </c>
      <c r="G254" s="175">
        <f>'13. Desinvesteringen'!D537</f>
        <v>1986</v>
      </c>
      <c r="H254" s="175">
        <f>'13. Desinvesteringen'!G537</f>
        <v>2023</v>
      </c>
      <c r="I254" s="37" t="str">
        <f>'13. Desinvesteringen'!C537</f>
        <v>21 Hoofdtransportleiding</v>
      </c>
      <c r="J254" s="164">
        <f>'13. Desinvesteringen'!F537</f>
        <v>0</v>
      </c>
      <c r="K254" s="38">
        <f>_xlfn.XLOOKUP(I254,'3. Input (des)investeringen '!$B$11:$B$89,'3. Input (des)investeringen '!$E$11:$E$89)</f>
        <v>1</v>
      </c>
      <c r="L254" s="48"/>
      <c r="M254" s="38">
        <f>_xlfn.XLOOKUP(I254,'3. Input (des)investeringen '!$B$11:$B$89,'3. Input (des)investeringen '!$D$11:$D$89,0)</f>
        <v>55</v>
      </c>
      <c r="N254" s="38">
        <f t="shared" si="86"/>
        <v>19.5</v>
      </c>
      <c r="P254" s="43">
        <f t="shared" si="111"/>
        <v>918.03686243855816</v>
      </c>
      <c r="Q254" s="43">
        <f t="shared" si="111"/>
        <v>856.83440494265426</v>
      </c>
      <c r="R254" s="43">
        <f t="shared" si="111"/>
        <v>799.71211127981076</v>
      </c>
      <c r="S254" s="43">
        <f t="shared" si="111"/>
        <v>746.39797052782342</v>
      </c>
      <c r="T254" s="43">
        <f t="shared" si="111"/>
        <v>696.63810582596852</v>
      </c>
      <c r="V254" s="43">
        <f t="shared" si="106"/>
        <v>78.464689097312672</v>
      </c>
      <c r="W254" s="43">
        <f t="shared" si="107"/>
        <v>78.464689097312672</v>
      </c>
      <c r="X254" s="43">
        <f t="shared" si="108"/>
        <v>78.464689097312672</v>
      </c>
      <c r="Y254" s="43">
        <f t="shared" si="109"/>
        <v>78.464689097312672</v>
      </c>
      <c r="Z254" s="43">
        <f t="shared" si="110"/>
        <v>78.464689097312672</v>
      </c>
      <c r="AB254" s="43">
        <f t="shared" si="87"/>
        <v>996.50155153587082</v>
      </c>
      <c r="AC254" s="43">
        <f t="shared" si="88"/>
        <v>935.29909403996692</v>
      </c>
      <c r="AD254" s="43">
        <f t="shared" si="89"/>
        <v>878.17680037712341</v>
      </c>
      <c r="AE254" s="43">
        <f t="shared" si="90"/>
        <v>824.86265962513608</v>
      </c>
      <c r="AF254" s="43">
        <f t="shared" si="91"/>
        <v>775.10279492328118</v>
      </c>
      <c r="AH254" s="43">
        <f t="shared" si="92"/>
        <v>14304.1128224401</v>
      </c>
      <c r="AI254" s="43">
        <f t="shared" si="93"/>
        <v>13368.813728400133</v>
      </c>
      <c r="AJ254" s="43">
        <f t="shared" si="94"/>
        <v>12490.63692802301</v>
      </c>
      <c r="AK254" s="43">
        <f t="shared" si="95"/>
        <v>11665.774268397874</v>
      </c>
      <c r="AL254" s="43">
        <f t="shared" si="96"/>
        <v>10890.671473474593</v>
      </c>
      <c r="AN254" s="47">
        <f t="shared" si="97"/>
        <v>1582.9701772559149</v>
      </c>
      <c r="AO254" s="47">
        <f t="shared" si="98"/>
        <v>1617.1085941883737</v>
      </c>
      <c r="AP254" s="47">
        <f t="shared" si="99"/>
        <v>1515.1992837062969</v>
      </c>
      <c r="AQ254" s="47">
        <f t="shared" si="100"/>
        <v>1466.4802443870192</v>
      </c>
      <c r="AR254" s="43">
        <f t="shared" si="101"/>
        <v>1188.9483109153157</v>
      </c>
      <c r="AY254" s="3"/>
    </row>
    <row r="255" spans="1:51" ht="13">
      <c r="A255" s="226"/>
      <c r="B255" s="37">
        <f>'13. Desinvesteringen'!B538</f>
        <v>519</v>
      </c>
      <c r="C255" s="48"/>
      <c r="D255" s="48"/>
      <c r="E255" s="48"/>
      <c r="F255" s="42">
        <f>'5. Input GAW-waarde desinv.'!D214</f>
        <v>16001.249643380297</v>
      </c>
      <c r="G255" s="175">
        <f>'13. Desinvesteringen'!D538</f>
        <v>1987</v>
      </c>
      <c r="H255" s="175">
        <f>'13. Desinvesteringen'!G538</f>
        <v>2023</v>
      </c>
      <c r="I255" s="37" t="str">
        <f>'13. Desinvesteringen'!C538</f>
        <v>21 Hoofdtransportleiding</v>
      </c>
      <c r="J255" s="164">
        <f>'13. Desinvesteringen'!F538</f>
        <v>0</v>
      </c>
      <c r="K255" s="38">
        <f>_xlfn.XLOOKUP(I255,'3. Input (des)investeringen '!$B$11:$B$89,'3. Input (des)investeringen '!$E$11:$E$89)</f>
        <v>1</v>
      </c>
      <c r="L255" s="48"/>
      <c r="M255" s="38">
        <f>_xlfn.XLOOKUP(I255,'3. Input (des)investeringen '!$B$11:$B$89,'3. Input (des)investeringen '!$D$11:$D$89,0)</f>
        <v>55</v>
      </c>
      <c r="N255" s="38">
        <f t="shared" si="86"/>
        <v>20.5</v>
      </c>
      <c r="P255" s="43">
        <f t="shared" si="111"/>
        <v>913.24205281731452</v>
      </c>
      <c r="Q255" s="43">
        <f t="shared" si="111"/>
        <v>855.32914215085066</v>
      </c>
      <c r="R255" s="43">
        <f t="shared" si="111"/>
        <v>801.08875752665028</v>
      </c>
      <c r="S255" s="43">
        <f t="shared" si="111"/>
        <v>750.28800704935065</v>
      </c>
      <c r="T255" s="43">
        <f t="shared" si="111"/>
        <v>702.70876757792826</v>
      </c>
      <c r="V255" s="43">
        <f t="shared" si="106"/>
        <v>78.054876309172187</v>
      </c>
      <c r="W255" s="43">
        <f t="shared" si="107"/>
        <v>78.054876309172187</v>
      </c>
      <c r="X255" s="43">
        <f t="shared" si="108"/>
        <v>78.054876309172187</v>
      </c>
      <c r="Y255" s="43">
        <f t="shared" si="109"/>
        <v>78.054876309172187</v>
      </c>
      <c r="Z255" s="43">
        <f t="shared" si="110"/>
        <v>78.054876309172187</v>
      </c>
      <c r="AB255" s="43">
        <f t="shared" si="87"/>
        <v>991.2969291264867</v>
      </c>
      <c r="AC255" s="43">
        <f t="shared" si="88"/>
        <v>933.38401846002284</v>
      </c>
      <c r="AD255" s="43">
        <f t="shared" si="89"/>
        <v>879.14363383582247</v>
      </c>
      <c r="AE255" s="43">
        <f t="shared" si="90"/>
        <v>828.34288335852284</v>
      </c>
      <c r="AF255" s="43">
        <f t="shared" si="91"/>
        <v>780.76364388710044</v>
      </c>
      <c r="AH255" s="43">
        <f t="shared" si="92"/>
        <v>15009.95271425381</v>
      </c>
      <c r="AI255" s="43">
        <f t="shared" si="93"/>
        <v>14076.568695793787</v>
      </c>
      <c r="AJ255" s="43">
        <f t="shared" si="94"/>
        <v>13197.425061957965</v>
      </c>
      <c r="AK255" s="43">
        <f t="shared" si="95"/>
        <v>12369.082178599443</v>
      </c>
      <c r="AL255" s="43">
        <f t="shared" si="96"/>
        <v>11588.318534712344</v>
      </c>
      <c r="AN255" s="47">
        <f t="shared" si="97"/>
        <v>1606.7049904108931</v>
      </c>
      <c r="AO255" s="47">
        <f t="shared" si="98"/>
        <v>1651.289021945506</v>
      </c>
      <c r="AP255" s="47">
        <f t="shared" si="99"/>
        <v>1552.2123119956786</v>
      </c>
      <c r="AQ255" s="47">
        <f t="shared" si="100"/>
        <v>1508.6424031814922</v>
      </c>
      <c r="AR255" s="43">
        <f t="shared" si="101"/>
        <v>1221.1197482061696</v>
      </c>
      <c r="AY255" s="3"/>
    </row>
    <row r="256" spans="1:51" ht="13">
      <c r="A256" s="226"/>
      <c r="B256" s="37">
        <f>'13. Desinvesteringen'!B539</f>
        <v>520</v>
      </c>
      <c r="C256" s="48"/>
      <c r="D256" s="48"/>
      <c r="E256" s="48"/>
      <c r="F256" s="42">
        <f>'5. Input GAW-waarde desinv.'!D215</f>
        <v>20208.996722083291</v>
      </c>
      <c r="G256" s="175">
        <f>'13. Desinvesteringen'!D539</f>
        <v>1993</v>
      </c>
      <c r="H256" s="175">
        <f>'13. Desinvesteringen'!G539</f>
        <v>2023</v>
      </c>
      <c r="I256" s="37" t="str">
        <f>'13. Desinvesteringen'!C539</f>
        <v>21 Hoofdtransportleiding</v>
      </c>
      <c r="J256" s="164">
        <f>'13. Desinvesteringen'!F539</f>
        <v>0</v>
      </c>
      <c r="K256" s="38">
        <f>_xlfn.XLOOKUP(I256,'3. Input (des)investeringen '!$B$11:$B$89,'3. Input (des)investeringen '!$E$11:$E$89)</f>
        <v>1</v>
      </c>
      <c r="L256" s="48"/>
      <c r="M256" s="38">
        <f>_xlfn.XLOOKUP(I256,'3. Input (des)investeringen '!$B$11:$B$89,'3. Input (des)investeringen '!$D$11:$D$89,0)</f>
        <v>55</v>
      </c>
      <c r="N256" s="38">
        <f t="shared" si="86"/>
        <v>26.5</v>
      </c>
      <c r="P256" s="43">
        <f t="shared" si="111"/>
        <v>892.24627037122457</v>
      </c>
      <c r="Q256" s="43">
        <f t="shared" si="111"/>
        <v>848.47569861716443</v>
      </c>
      <c r="R256" s="43">
        <f t="shared" si="111"/>
        <v>806.85236245858664</v>
      </c>
      <c r="S256" s="43">
        <f t="shared" si="111"/>
        <v>767.27092580967485</v>
      </c>
      <c r="T256" s="43">
        <f t="shared" si="111"/>
        <v>729.631220015238</v>
      </c>
      <c r="V256" s="43">
        <f t="shared" si="106"/>
        <v>76.260364988993544</v>
      </c>
      <c r="W256" s="43">
        <f t="shared" si="107"/>
        <v>76.260364988993558</v>
      </c>
      <c r="X256" s="43">
        <f t="shared" si="108"/>
        <v>76.260364988993558</v>
      </c>
      <c r="Y256" s="43">
        <f t="shared" si="109"/>
        <v>76.260364988993558</v>
      </c>
      <c r="Z256" s="43">
        <f t="shared" si="110"/>
        <v>76.260364988993558</v>
      </c>
      <c r="AB256" s="43">
        <f t="shared" si="87"/>
        <v>968.50663536021807</v>
      </c>
      <c r="AC256" s="43">
        <f t="shared" si="88"/>
        <v>924.73606360615804</v>
      </c>
      <c r="AD256" s="43">
        <f t="shared" si="89"/>
        <v>883.11272744758026</v>
      </c>
      <c r="AE256" s="43">
        <f t="shared" si="90"/>
        <v>843.53129079866835</v>
      </c>
      <c r="AF256" s="43">
        <f t="shared" si="91"/>
        <v>805.8915850042315</v>
      </c>
      <c r="AH256" s="43">
        <f t="shared" si="92"/>
        <v>19240.490086723072</v>
      </c>
      <c r="AI256" s="43">
        <f t="shared" si="93"/>
        <v>18315.754023116915</v>
      </c>
      <c r="AJ256" s="43">
        <f t="shared" si="94"/>
        <v>17432.641295669335</v>
      </c>
      <c r="AK256" s="43">
        <f t="shared" si="95"/>
        <v>16589.110004870665</v>
      </c>
      <c r="AL256" s="43">
        <f t="shared" si="96"/>
        <v>15783.218419866433</v>
      </c>
      <c r="AN256" s="47">
        <f t="shared" si="97"/>
        <v>1757.3667289158641</v>
      </c>
      <c r="AO256" s="47">
        <f t="shared" si="98"/>
        <v>1858.8395187851206</v>
      </c>
      <c r="AP256" s="47">
        <f t="shared" si="99"/>
        <v>1772.1774335267164</v>
      </c>
      <c r="AQ256" s="47">
        <f t="shared" si="100"/>
        <v>1755.932341066555</v>
      </c>
      <c r="AR256" s="43">
        <f t="shared" si="101"/>
        <v>1405.6538849591559</v>
      </c>
      <c r="AY256" s="3"/>
    </row>
    <row r="257" spans="1:51" ht="13">
      <c r="A257" s="226"/>
      <c r="B257" s="37">
        <f>'13. Desinvesteringen'!B540</f>
        <v>521</v>
      </c>
      <c r="C257" s="48"/>
      <c r="D257" s="48"/>
      <c r="E257" s="48"/>
      <c r="F257" s="42">
        <f>'5. Input GAW-waarde desinv.'!D216</f>
        <v>58527.314744578129</v>
      </c>
      <c r="G257" s="175">
        <f>'13. Desinvesteringen'!D540</f>
        <v>1996</v>
      </c>
      <c r="H257" s="175">
        <f>'13. Desinvesteringen'!G540</f>
        <v>2023</v>
      </c>
      <c r="I257" s="37" t="str">
        <f>'13. Desinvesteringen'!C540</f>
        <v>21 Hoofdtransportleiding</v>
      </c>
      <c r="J257" s="164">
        <f>'13. Desinvesteringen'!F540</f>
        <v>0</v>
      </c>
      <c r="K257" s="38">
        <f>_xlfn.XLOOKUP(I257,'3. Input (des)investeringen '!$B$11:$B$89,'3. Input (des)investeringen '!$E$11:$E$89)</f>
        <v>1</v>
      </c>
      <c r="L257" s="48"/>
      <c r="M257" s="38">
        <f>_xlfn.XLOOKUP(I257,'3. Input (des)investeringen '!$B$11:$B$89,'3. Input (des)investeringen '!$D$11:$D$89,0)</f>
        <v>55</v>
      </c>
      <c r="N257" s="38">
        <f t="shared" si="86"/>
        <v>29.5</v>
      </c>
      <c r="P257" s="43">
        <f t="shared" si="111"/>
        <v>2321.2528220730987</v>
      </c>
      <c r="Q257" s="43">
        <f t="shared" si="111"/>
        <v>2218.9603248291992</v>
      </c>
      <c r="R257" s="43">
        <f t="shared" si="111"/>
        <v>2121.1756325485908</v>
      </c>
      <c r="S257" s="43">
        <f t="shared" si="111"/>
        <v>2027.7000961989918</v>
      </c>
      <c r="T257" s="43">
        <f t="shared" si="111"/>
        <v>1938.3438207732736</v>
      </c>
      <c r="V257" s="43">
        <f t="shared" si="106"/>
        <v>198.39767710026484</v>
      </c>
      <c r="W257" s="43">
        <f t="shared" si="107"/>
        <v>198.39767710026484</v>
      </c>
      <c r="X257" s="43">
        <f t="shared" si="108"/>
        <v>198.39767710026484</v>
      </c>
      <c r="Y257" s="43">
        <f t="shared" si="109"/>
        <v>198.39767710026484</v>
      </c>
      <c r="Z257" s="43">
        <f t="shared" si="110"/>
        <v>198.39767710026484</v>
      </c>
      <c r="AB257" s="43">
        <f t="shared" si="87"/>
        <v>2519.6504991733636</v>
      </c>
      <c r="AC257" s="43">
        <f t="shared" si="88"/>
        <v>2417.3580019294641</v>
      </c>
      <c r="AD257" s="43">
        <f t="shared" si="89"/>
        <v>2319.5733096488557</v>
      </c>
      <c r="AE257" s="43">
        <f t="shared" si="90"/>
        <v>2226.0977732992565</v>
      </c>
      <c r="AF257" s="43">
        <f t="shared" si="91"/>
        <v>2136.7414978735383</v>
      </c>
      <c r="AH257" s="43">
        <f t="shared" si="92"/>
        <v>56007.664245404769</v>
      </c>
      <c r="AI257" s="43">
        <f t="shared" si="93"/>
        <v>53590.306243475308</v>
      </c>
      <c r="AJ257" s="43">
        <f t="shared" si="94"/>
        <v>51270.732933826454</v>
      </c>
      <c r="AK257" s="43">
        <f t="shared" si="95"/>
        <v>49044.635160527199</v>
      </c>
      <c r="AL257" s="43">
        <f t="shared" si="96"/>
        <v>46907.89366265366</v>
      </c>
      <c r="AN257" s="47">
        <f t="shared" si="97"/>
        <v>4815.9647332349596</v>
      </c>
      <c r="AO257" s="47">
        <f t="shared" si="98"/>
        <v>5150.4636203467053</v>
      </c>
      <c r="AP257" s="47">
        <f t="shared" si="99"/>
        <v>4934.3806892740049</v>
      </c>
      <c r="AQ257" s="47">
        <f t="shared" si="100"/>
        <v>4923.5527071282522</v>
      </c>
      <c r="AR257" s="43">
        <f t="shared" si="101"/>
        <v>3919.241457054377</v>
      </c>
      <c r="AY257" s="3"/>
    </row>
    <row r="258" spans="1:51" ht="13">
      <c r="A258" s="226"/>
      <c r="B258" s="37">
        <f>'13. Desinvesteringen'!B541</f>
        <v>522</v>
      </c>
      <c r="C258" s="48"/>
      <c r="D258" s="48"/>
      <c r="E258" s="48"/>
      <c r="F258" s="42">
        <f>'5. Input GAW-waarde desinv.'!D217</f>
        <v>247531.06540005477</v>
      </c>
      <c r="G258" s="175">
        <f>'13. Desinvesteringen'!D541</f>
        <v>2002</v>
      </c>
      <c r="H258" s="175">
        <f>'13. Desinvesteringen'!G541</f>
        <v>2023</v>
      </c>
      <c r="I258" s="37" t="str">
        <f>'13. Desinvesteringen'!C541</f>
        <v>21 Hoofdtransportleiding</v>
      </c>
      <c r="J258" s="164">
        <f>'13. Desinvesteringen'!F541</f>
        <v>0</v>
      </c>
      <c r="K258" s="38">
        <f>_xlfn.XLOOKUP(I258,'3. Input (des)investeringen '!$B$11:$B$89,'3. Input (des)investeringen '!$E$11:$E$89)</f>
        <v>1</v>
      </c>
      <c r="L258" s="48"/>
      <c r="M258" s="38">
        <f>_xlfn.XLOOKUP(I258,'3. Input (des)investeringen '!$B$11:$B$89,'3. Input (des)investeringen '!$D$11:$D$89,0)</f>
        <v>55</v>
      </c>
      <c r="N258" s="38">
        <f t="shared" si="86"/>
        <v>35.5</v>
      </c>
      <c r="P258" s="43">
        <f t="shared" si="111"/>
        <v>8158.066099100397</v>
      </c>
      <c r="Q258" s="43">
        <f t="shared" si="111"/>
        <v>7859.3200165981289</v>
      </c>
      <c r="R258" s="43">
        <f t="shared" si="111"/>
        <v>7571.5139314832686</v>
      </c>
      <c r="S258" s="43">
        <f t="shared" si="111"/>
        <v>7294.247224133177</v>
      </c>
      <c r="T258" s="43">
        <f t="shared" si="111"/>
        <v>7027.1339455029474</v>
      </c>
      <c r="V258" s="43">
        <f t="shared" si="106"/>
        <v>697.27060676071778</v>
      </c>
      <c r="W258" s="43">
        <f t="shared" si="107"/>
        <v>697.27060676071767</v>
      </c>
      <c r="X258" s="43">
        <f t="shared" si="108"/>
        <v>697.27060676071767</v>
      </c>
      <c r="Y258" s="43">
        <f t="shared" si="109"/>
        <v>697.27060676071767</v>
      </c>
      <c r="Z258" s="43">
        <f t="shared" si="110"/>
        <v>697.27060676071767</v>
      </c>
      <c r="AB258" s="43">
        <f t="shared" si="87"/>
        <v>8855.3367058611148</v>
      </c>
      <c r="AC258" s="43">
        <f t="shared" si="88"/>
        <v>8556.5906233588466</v>
      </c>
      <c r="AD258" s="43">
        <f t="shared" si="89"/>
        <v>8268.7845382439864</v>
      </c>
      <c r="AE258" s="43">
        <f t="shared" si="90"/>
        <v>7991.5178308938948</v>
      </c>
      <c r="AF258" s="43">
        <f t="shared" si="91"/>
        <v>7724.4045522636652</v>
      </c>
      <c r="AH258" s="43">
        <f t="shared" si="92"/>
        <v>238675.72869419365</v>
      </c>
      <c r="AI258" s="43">
        <f t="shared" si="93"/>
        <v>230119.1380708348</v>
      </c>
      <c r="AJ258" s="43">
        <f t="shared" si="94"/>
        <v>221850.35353259082</v>
      </c>
      <c r="AK258" s="43">
        <f t="shared" si="95"/>
        <v>213858.83570169692</v>
      </c>
      <c r="AL258" s="43">
        <f t="shared" si="96"/>
        <v>206134.43114943325</v>
      </c>
      <c r="AN258" s="47">
        <f t="shared" si="97"/>
        <v>18641.041582323054</v>
      </c>
      <c r="AO258" s="47">
        <f t="shared" si="98"/>
        <v>20292.666664971421</v>
      </c>
      <c r="AP258" s="47">
        <f t="shared" si="99"/>
        <v>19583.15256840612</v>
      </c>
      <c r="AQ258" s="47">
        <f t="shared" si="100"/>
        <v>19753.753794487227</v>
      </c>
      <c r="AR258" s="43">
        <f t="shared" si="101"/>
        <v>15557.51293594213</v>
      </c>
      <c r="AY258" s="3"/>
    </row>
    <row r="259" spans="1:51" ht="13">
      <c r="A259" s="226"/>
      <c r="B259" s="37">
        <f>'13. Desinvesteringen'!B542</f>
        <v>523</v>
      </c>
      <c r="C259" s="48"/>
      <c r="D259" s="48"/>
      <c r="E259" s="48"/>
      <c r="F259" s="42">
        <f>'5. Input GAW-waarde desinv.'!D218</f>
        <v>31800.173255745365</v>
      </c>
      <c r="G259" s="175">
        <f>'13. Desinvesteringen'!D542</f>
        <v>2008</v>
      </c>
      <c r="H259" s="175">
        <f>'13. Desinvesteringen'!G542</f>
        <v>2023</v>
      </c>
      <c r="I259" s="37" t="str">
        <f>'13. Desinvesteringen'!C542</f>
        <v>21 Hoofdtransportleiding</v>
      </c>
      <c r="J259" s="164">
        <f>'13. Desinvesteringen'!F542</f>
        <v>0</v>
      </c>
      <c r="K259" s="38">
        <f>_xlfn.XLOOKUP(I259,'3. Input (des)investeringen '!$B$11:$B$89,'3. Input (des)investeringen '!$E$11:$E$89)</f>
        <v>1</v>
      </c>
      <c r="L259" s="48"/>
      <c r="M259" s="38">
        <f>_xlfn.XLOOKUP(I259,'3. Input (des)investeringen '!$B$11:$B$89,'3. Input (des)investeringen '!$D$11:$D$89,0)</f>
        <v>55</v>
      </c>
      <c r="N259" s="38">
        <f t="shared" si="86"/>
        <v>41.5</v>
      </c>
      <c r="P259" s="43">
        <f t="shared" si="111"/>
        <v>896.53500504149588</v>
      </c>
      <c r="Q259" s="43">
        <f t="shared" si="111"/>
        <v>868.45077596790691</v>
      </c>
      <c r="R259" s="43">
        <f t="shared" si="111"/>
        <v>841.24629382915316</v>
      </c>
      <c r="S259" s="43">
        <f t="shared" si="111"/>
        <v>814.89400028751697</v>
      </c>
      <c r="T259" s="43">
        <f t="shared" si="111"/>
        <v>789.36720027851038</v>
      </c>
      <c r="V259" s="43">
        <f t="shared" si="106"/>
        <v>76.626923507820166</v>
      </c>
      <c r="W259" s="43">
        <f t="shared" si="107"/>
        <v>76.626923507820152</v>
      </c>
      <c r="X259" s="43">
        <f t="shared" si="108"/>
        <v>76.626923507820152</v>
      </c>
      <c r="Y259" s="43">
        <f t="shared" si="109"/>
        <v>76.626923507820152</v>
      </c>
      <c r="Z259" s="43">
        <f t="shared" si="110"/>
        <v>76.626923507820152</v>
      </c>
      <c r="AB259" s="43">
        <f t="shared" si="87"/>
        <v>973.16192854931603</v>
      </c>
      <c r="AC259" s="43">
        <f t="shared" si="88"/>
        <v>945.07769947572706</v>
      </c>
      <c r="AD259" s="43">
        <f t="shared" si="89"/>
        <v>917.87321733697331</v>
      </c>
      <c r="AE259" s="43">
        <f t="shared" si="90"/>
        <v>891.52092379533713</v>
      </c>
      <c r="AF259" s="43">
        <f t="shared" si="91"/>
        <v>865.99412378633053</v>
      </c>
      <c r="AH259" s="43">
        <f t="shared" si="92"/>
        <v>30827.011327196051</v>
      </c>
      <c r="AI259" s="43">
        <f t="shared" si="93"/>
        <v>29881.933627720326</v>
      </c>
      <c r="AJ259" s="43">
        <f t="shared" si="94"/>
        <v>28964.060410383354</v>
      </c>
      <c r="AK259" s="43">
        <f t="shared" si="95"/>
        <v>28072.539486588015</v>
      </c>
      <c r="AL259" s="43">
        <f t="shared" si="96"/>
        <v>27206.545362801684</v>
      </c>
      <c r="AN259" s="47">
        <f t="shared" si="97"/>
        <v>2237.0693929643544</v>
      </c>
      <c r="AO259" s="47">
        <f t="shared" si="98"/>
        <v>2469.0563144894636</v>
      </c>
      <c r="AP259" s="47">
        <f t="shared" si="99"/>
        <v>2395.0402982665246</v>
      </c>
      <c r="AQ259" s="47">
        <f t="shared" si="100"/>
        <v>2435.5105955576778</v>
      </c>
      <c r="AR259" s="43">
        <f t="shared" si="101"/>
        <v>1899.8428475727947</v>
      </c>
      <c r="AY259" s="3"/>
    </row>
    <row r="260" spans="1:51" ht="13">
      <c r="A260" s="226"/>
      <c r="B260" s="37">
        <f>'13. Desinvesteringen'!B543</f>
        <v>524</v>
      </c>
      <c r="C260" s="48"/>
      <c r="D260" s="48"/>
      <c r="E260" s="48"/>
      <c r="F260" s="42">
        <f>'5. Input GAW-waarde desinv.'!D219</f>
        <v>0</v>
      </c>
      <c r="G260" s="175">
        <f>'13. Desinvesteringen'!D543</f>
        <v>1974</v>
      </c>
      <c r="H260" s="175">
        <f>'13. Desinvesteringen'!G543</f>
        <v>2023</v>
      </c>
      <c r="I260" s="37" t="str">
        <f>'13. Desinvesteringen'!C543</f>
        <v>32 M&amp;R stations</v>
      </c>
      <c r="J260" s="164">
        <f>'13. Desinvesteringen'!F543</f>
        <v>0</v>
      </c>
      <c r="K260" s="38">
        <f>_xlfn.XLOOKUP(I260,'3. Input (des)investeringen '!$B$11:$B$89,'3. Input (des)investeringen '!$E$11:$E$89)</f>
        <v>1</v>
      </c>
      <c r="L260" s="48"/>
      <c r="M260" s="38">
        <f>_xlfn.XLOOKUP(I260,'3. Input (des)investeringen '!$B$11:$B$89,'3. Input (des)investeringen '!$D$11:$D$89,0)</f>
        <v>30</v>
      </c>
      <c r="N260" s="38">
        <f t="shared" si="86"/>
        <v>0</v>
      </c>
      <c r="P260" s="43">
        <f t="shared" si="111"/>
        <v>0</v>
      </c>
      <c r="Q260" s="43">
        <f t="shared" si="111"/>
        <v>0</v>
      </c>
      <c r="R260" s="43">
        <f t="shared" si="111"/>
        <v>0</v>
      </c>
      <c r="S260" s="43">
        <f t="shared" si="111"/>
        <v>0</v>
      </c>
      <c r="T260" s="43">
        <f t="shared" si="111"/>
        <v>0</v>
      </c>
      <c r="V260" s="43">
        <f t="shared" si="106"/>
        <v>0</v>
      </c>
      <c r="W260" s="43">
        <f t="shared" si="107"/>
        <v>0</v>
      </c>
      <c r="X260" s="43">
        <f t="shared" si="108"/>
        <v>0</v>
      </c>
      <c r="Y260" s="43">
        <f t="shared" si="109"/>
        <v>0</v>
      </c>
      <c r="Z260" s="43">
        <f t="shared" si="110"/>
        <v>0</v>
      </c>
      <c r="AB260" s="43">
        <f t="shared" si="87"/>
        <v>0</v>
      </c>
      <c r="AC260" s="43">
        <f t="shared" si="88"/>
        <v>0</v>
      </c>
      <c r="AD260" s="43">
        <f t="shared" si="89"/>
        <v>0</v>
      </c>
      <c r="AE260" s="43">
        <f t="shared" si="90"/>
        <v>0</v>
      </c>
      <c r="AF260" s="43">
        <f t="shared" si="91"/>
        <v>0</v>
      </c>
      <c r="AH260" s="43">
        <f t="shared" si="92"/>
        <v>0</v>
      </c>
      <c r="AI260" s="43">
        <f t="shared" si="93"/>
        <v>0</v>
      </c>
      <c r="AJ260" s="43">
        <f t="shared" si="94"/>
        <v>0</v>
      </c>
      <c r="AK260" s="43">
        <f t="shared" si="95"/>
        <v>0</v>
      </c>
      <c r="AL260" s="43">
        <f t="shared" si="96"/>
        <v>0</v>
      </c>
      <c r="AN260" s="47">
        <f t="shared" si="97"/>
        <v>0</v>
      </c>
      <c r="AO260" s="47">
        <f t="shared" si="98"/>
        <v>0</v>
      </c>
      <c r="AP260" s="47">
        <f t="shared" si="99"/>
        <v>0</v>
      </c>
      <c r="AQ260" s="47">
        <f t="shared" si="100"/>
        <v>0</v>
      </c>
      <c r="AR260" s="43">
        <f t="shared" si="101"/>
        <v>0</v>
      </c>
      <c r="AY260" s="3"/>
    </row>
    <row r="261" spans="1:51" ht="13">
      <c r="A261" s="226"/>
      <c r="B261" s="37">
        <f>'13. Desinvesteringen'!B544</f>
        <v>525</v>
      </c>
      <c r="C261" s="48"/>
      <c r="D261" s="48"/>
      <c r="E261" s="48"/>
      <c r="F261" s="42">
        <f>'5. Input GAW-waarde desinv.'!D220</f>
        <v>0</v>
      </c>
      <c r="G261" s="175">
        <f>'13. Desinvesteringen'!D544</f>
        <v>1966</v>
      </c>
      <c r="H261" s="175">
        <f>'13. Desinvesteringen'!G544</f>
        <v>2023</v>
      </c>
      <c r="I261" s="37" t="str">
        <f>'13. Desinvesteringen'!C544</f>
        <v>33 Exportstations</v>
      </c>
      <c r="J261" s="164">
        <f>'13. Desinvesteringen'!F544</f>
        <v>0</v>
      </c>
      <c r="K261" s="38">
        <f>_xlfn.XLOOKUP(I261,'3. Input (des)investeringen '!$B$11:$B$89,'3. Input (des)investeringen '!$E$11:$E$89)</f>
        <v>1</v>
      </c>
      <c r="L261" s="48"/>
      <c r="M261" s="38">
        <f>_xlfn.XLOOKUP(I261,'3. Input (des)investeringen '!$B$11:$B$89,'3. Input (des)investeringen '!$D$11:$D$89,0)</f>
        <v>30</v>
      </c>
      <c r="N261" s="38">
        <f t="shared" si="86"/>
        <v>0</v>
      </c>
      <c r="P261" s="43">
        <f t="shared" si="111"/>
        <v>0</v>
      </c>
      <c r="Q261" s="43">
        <f t="shared" si="111"/>
        <v>0</v>
      </c>
      <c r="R261" s="43">
        <f t="shared" si="111"/>
        <v>0</v>
      </c>
      <c r="S261" s="43">
        <f t="shared" si="111"/>
        <v>0</v>
      </c>
      <c r="T261" s="43">
        <f t="shared" si="111"/>
        <v>0</v>
      </c>
      <c r="V261" s="43">
        <f t="shared" si="106"/>
        <v>0</v>
      </c>
      <c r="W261" s="43">
        <f t="shared" si="107"/>
        <v>0</v>
      </c>
      <c r="X261" s="43">
        <f t="shared" si="108"/>
        <v>0</v>
      </c>
      <c r="Y261" s="43">
        <f t="shared" si="109"/>
        <v>0</v>
      </c>
      <c r="Z261" s="43">
        <f t="shared" si="110"/>
        <v>0</v>
      </c>
      <c r="AB261" s="43">
        <f t="shared" si="87"/>
        <v>0</v>
      </c>
      <c r="AC261" s="43">
        <f t="shared" si="88"/>
        <v>0</v>
      </c>
      <c r="AD261" s="43">
        <f t="shared" si="89"/>
        <v>0</v>
      </c>
      <c r="AE261" s="43">
        <f t="shared" si="90"/>
        <v>0</v>
      </c>
      <c r="AF261" s="43">
        <f t="shared" si="91"/>
        <v>0</v>
      </c>
      <c r="AH261" s="43">
        <f t="shared" si="92"/>
        <v>0</v>
      </c>
      <c r="AI261" s="43">
        <f t="shared" si="93"/>
        <v>0</v>
      </c>
      <c r="AJ261" s="43">
        <f t="shared" si="94"/>
        <v>0</v>
      </c>
      <c r="AK261" s="43">
        <f t="shared" si="95"/>
        <v>0</v>
      </c>
      <c r="AL261" s="43">
        <f t="shared" si="96"/>
        <v>0</v>
      </c>
      <c r="AN261" s="47">
        <f t="shared" si="97"/>
        <v>0</v>
      </c>
      <c r="AO261" s="47">
        <f t="shared" si="98"/>
        <v>0</v>
      </c>
      <c r="AP261" s="47">
        <f t="shared" si="99"/>
        <v>0</v>
      </c>
      <c r="AQ261" s="47">
        <f t="shared" si="100"/>
        <v>0</v>
      </c>
      <c r="AR261" s="43">
        <f t="shared" si="101"/>
        <v>0</v>
      </c>
      <c r="AY261" s="3"/>
    </row>
    <row r="262" spans="1:51" ht="13">
      <c r="A262" s="226"/>
      <c r="B262" s="37">
        <f>'13. Desinvesteringen'!B545</f>
        <v>526</v>
      </c>
      <c r="C262" s="48"/>
      <c r="D262" s="48"/>
      <c r="E262" s="48"/>
      <c r="F262" s="42">
        <f>'5. Input GAW-waarde desinv.'!D221</f>
        <v>0</v>
      </c>
      <c r="G262" s="175">
        <f>'13. Desinvesteringen'!D545</f>
        <v>1967</v>
      </c>
      <c r="H262" s="175">
        <f>'13. Desinvesteringen'!G545</f>
        <v>2023</v>
      </c>
      <c r="I262" s="37" t="str">
        <f>'13. Desinvesteringen'!C545</f>
        <v>33 Exportstations</v>
      </c>
      <c r="J262" s="164">
        <f>'13. Desinvesteringen'!F545</f>
        <v>0</v>
      </c>
      <c r="K262" s="38">
        <f>_xlfn.XLOOKUP(I262,'3. Input (des)investeringen '!$B$11:$B$89,'3. Input (des)investeringen '!$E$11:$E$89)</f>
        <v>1</v>
      </c>
      <c r="L262" s="48"/>
      <c r="M262" s="38">
        <f>_xlfn.XLOOKUP(I262,'3. Input (des)investeringen '!$B$11:$B$89,'3. Input (des)investeringen '!$D$11:$D$89,0)</f>
        <v>30</v>
      </c>
      <c r="N262" s="38">
        <f t="shared" si="86"/>
        <v>0</v>
      </c>
      <c r="P262" s="43">
        <f t="shared" ref="P262:T271" si="112">IF($M262&gt;0, IF(OR($G262&gt;P$50,$G262+$M262&lt;P$50),0,
VDB($F262,0,$N262,MAX(0,P$50-2022),MIN($N262,P$50-2021),$F$23,FALSE))*(1-$F$26), 0)</f>
        <v>0</v>
      </c>
      <c r="Q262" s="43">
        <f t="shared" si="112"/>
        <v>0</v>
      </c>
      <c r="R262" s="43">
        <f t="shared" si="112"/>
        <v>0</v>
      </c>
      <c r="S262" s="43">
        <f t="shared" si="112"/>
        <v>0</v>
      </c>
      <c r="T262" s="43">
        <f t="shared" si="112"/>
        <v>0</v>
      </c>
      <c r="V262" s="43">
        <f t="shared" si="106"/>
        <v>0</v>
      </c>
      <c r="W262" s="43">
        <f t="shared" si="107"/>
        <v>0</v>
      </c>
      <c r="X262" s="43">
        <f t="shared" si="108"/>
        <v>0</v>
      </c>
      <c r="Y262" s="43">
        <f t="shared" si="109"/>
        <v>0</v>
      </c>
      <c r="Z262" s="43">
        <f t="shared" si="110"/>
        <v>0</v>
      </c>
      <c r="AB262" s="43">
        <f t="shared" si="87"/>
        <v>0</v>
      </c>
      <c r="AC262" s="43">
        <f t="shared" si="88"/>
        <v>0</v>
      </c>
      <c r="AD262" s="43">
        <f t="shared" si="89"/>
        <v>0</v>
      </c>
      <c r="AE262" s="43">
        <f t="shared" si="90"/>
        <v>0</v>
      </c>
      <c r="AF262" s="43">
        <f t="shared" si="91"/>
        <v>0</v>
      </c>
      <c r="AH262" s="43">
        <f t="shared" si="92"/>
        <v>0</v>
      </c>
      <c r="AI262" s="43">
        <f t="shared" si="93"/>
        <v>0</v>
      </c>
      <c r="AJ262" s="43">
        <f t="shared" si="94"/>
        <v>0</v>
      </c>
      <c r="AK262" s="43">
        <f t="shared" si="95"/>
        <v>0</v>
      </c>
      <c r="AL262" s="43">
        <f t="shared" si="96"/>
        <v>0</v>
      </c>
      <c r="AN262" s="47">
        <f t="shared" si="97"/>
        <v>0</v>
      </c>
      <c r="AO262" s="47">
        <f t="shared" si="98"/>
        <v>0</v>
      </c>
      <c r="AP262" s="47">
        <f t="shared" si="99"/>
        <v>0</v>
      </c>
      <c r="AQ262" s="47">
        <f t="shared" si="100"/>
        <v>0</v>
      </c>
      <c r="AR262" s="43">
        <f t="shared" si="101"/>
        <v>0</v>
      </c>
      <c r="AY262" s="3"/>
    </row>
    <row r="263" spans="1:51" ht="13">
      <c r="A263" s="226"/>
      <c r="B263" s="37">
        <f>'13. Desinvesteringen'!B546</f>
        <v>527</v>
      </c>
      <c r="C263" s="48"/>
      <c r="D263" s="48"/>
      <c r="E263" s="48"/>
      <c r="F263" s="42">
        <f>'5. Input GAW-waarde desinv.'!D222</f>
        <v>0</v>
      </c>
      <c r="G263" s="175">
        <f>'13. Desinvesteringen'!D546</f>
        <v>1972</v>
      </c>
      <c r="H263" s="175">
        <f>'13. Desinvesteringen'!G546</f>
        <v>2023</v>
      </c>
      <c r="I263" s="37" t="str">
        <f>'13. Desinvesteringen'!C546</f>
        <v>33 Exportstations</v>
      </c>
      <c r="J263" s="164">
        <f>'13. Desinvesteringen'!F546</f>
        <v>0</v>
      </c>
      <c r="K263" s="38">
        <f>_xlfn.XLOOKUP(I263,'3. Input (des)investeringen '!$B$11:$B$89,'3. Input (des)investeringen '!$E$11:$E$89)</f>
        <v>1</v>
      </c>
      <c r="L263" s="48"/>
      <c r="M263" s="38">
        <f>_xlfn.XLOOKUP(I263,'3. Input (des)investeringen '!$B$11:$B$89,'3. Input (des)investeringen '!$D$11:$D$89,0)</f>
        <v>30</v>
      </c>
      <c r="N263" s="38">
        <f t="shared" si="86"/>
        <v>0</v>
      </c>
      <c r="P263" s="43">
        <f t="shared" si="112"/>
        <v>0</v>
      </c>
      <c r="Q263" s="43">
        <f t="shared" si="112"/>
        <v>0</v>
      </c>
      <c r="R263" s="43">
        <f t="shared" si="112"/>
        <v>0</v>
      </c>
      <c r="S263" s="43">
        <f t="shared" si="112"/>
        <v>0</v>
      </c>
      <c r="T263" s="43">
        <f t="shared" si="112"/>
        <v>0</v>
      </c>
      <c r="V263" s="43">
        <f t="shared" si="106"/>
        <v>0</v>
      </c>
      <c r="W263" s="43">
        <f t="shared" si="107"/>
        <v>0</v>
      </c>
      <c r="X263" s="43">
        <f t="shared" si="108"/>
        <v>0</v>
      </c>
      <c r="Y263" s="43">
        <f t="shared" si="109"/>
        <v>0</v>
      </c>
      <c r="Z263" s="43">
        <f t="shared" si="110"/>
        <v>0</v>
      </c>
      <c r="AB263" s="43">
        <f t="shared" si="87"/>
        <v>0</v>
      </c>
      <c r="AC263" s="43">
        <f t="shared" si="88"/>
        <v>0</v>
      </c>
      <c r="AD263" s="43">
        <f t="shared" si="89"/>
        <v>0</v>
      </c>
      <c r="AE263" s="43">
        <f t="shared" si="90"/>
        <v>0</v>
      </c>
      <c r="AF263" s="43">
        <f t="shared" si="91"/>
        <v>0</v>
      </c>
      <c r="AH263" s="43">
        <f t="shared" si="92"/>
        <v>0</v>
      </c>
      <c r="AI263" s="43">
        <f t="shared" si="93"/>
        <v>0</v>
      </c>
      <c r="AJ263" s="43">
        <f t="shared" si="94"/>
        <v>0</v>
      </c>
      <c r="AK263" s="43">
        <f t="shared" si="95"/>
        <v>0</v>
      </c>
      <c r="AL263" s="43">
        <f t="shared" si="96"/>
        <v>0</v>
      </c>
      <c r="AN263" s="47">
        <f t="shared" si="97"/>
        <v>0</v>
      </c>
      <c r="AO263" s="47">
        <f t="shared" si="98"/>
        <v>0</v>
      </c>
      <c r="AP263" s="47">
        <f t="shared" si="99"/>
        <v>0</v>
      </c>
      <c r="AQ263" s="47">
        <f t="shared" si="100"/>
        <v>0</v>
      </c>
      <c r="AR263" s="43">
        <f t="shared" si="101"/>
        <v>0</v>
      </c>
      <c r="AY263" s="3"/>
    </row>
    <row r="264" spans="1:51" ht="13">
      <c r="A264" s="226"/>
      <c r="B264" s="37">
        <f>'13. Desinvesteringen'!B547</f>
        <v>528</v>
      </c>
      <c r="C264" s="48"/>
      <c r="D264" s="48"/>
      <c r="E264" s="48"/>
      <c r="F264" s="42">
        <f>'5. Input GAW-waarde desinv.'!D223</f>
        <v>0</v>
      </c>
      <c r="G264" s="175">
        <f>'13. Desinvesteringen'!D547</f>
        <v>1974</v>
      </c>
      <c r="H264" s="175">
        <f>'13. Desinvesteringen'!G547</f>
        <v>2023</v>
      </c>
      <c r="I264" s="37" t="str">
        <f>'13. Desinvesteringen'!C547</f>
        <v>33 Exportstations</v>
      </c>
      <c r="J264" s="164">
        <f>'13. Desinvesteringen'!F547</f>
        <v>0</v>
      </c>
      <c r="K264" s="38">
        <f>_xlfn.XLOOKUP(I264,'3. Input (des)investeringen '!$B$11:$B$89,'3. Input (des)investeringen '!$E$11:$E$89)</f>
        <v>1</v>
      </c>
      <c r="L264" s="48"/>
      <c r="M264" s="38">
        <f>_xlfn.XLOOKUP(I264,'3. Input (des)investeringen '!$B$11:$B$89,'3. Input (des)investeringen '!$D$11:$D$89,0)</f>
        <v>30</v>
      </c>
      <c r="N264" s="38">
        <f t="shared" si="86"/>
        <v>0</v>
      </c>
      <c r="P264" s="43">
        <f t="shared" si="112"/>
        <v>0</v>
      </c>
      <c r="Q264" s="43">
        <f t="shared" si="112"/>
        <v>0</v>
      </c>
      <c r="R264" s="43">
        <f t="shared" si="112"/>
        <v>0</v>
      </c>
      <c r="S264" s="43">
        <f t="shared" si="112"/>
        <v>0</v>
      </c>
      <c r="T264" s="43">
        <f t="shared" si="112"/>
        <v>0</v>
      </c>
      <c r="V264" s="43">
        <f t="shared" si="106"/>
        <v>0</v>
      </c>
      <c r="W264" s="43">
        <f t="shared" si="107"/>
        <v>0</v>
      </c>
      <c r="X264" s="43">
        <f t="shared" si="108"/>
        <v>0</v>
      </c>
      <c r="Y264" s="43">
        <f t="shared" si="109"/>
        <v>0</v>
      </c>
      <c r="Z264" s="43">
        <f t="shared" si="110"/>
        <v>0</v>
      </c>
      <c r="AB264" s="43">
        <f t="shared" si="87"/>
        <v>0</v>
      </c>
      <c r="AC264" s="43">
        <f t="shared" si="88"/>
        <v>0</v>
      </c>
      <c r="AD264" s="43">
        <f t="shared" si="89"/>
        <v>0</v>
      </c>
      <c r="AE264" s="43">
        <f t="shared" si="90"/>
        <v>0</v>
      </c>
      <c r="AF264" s="43">
        <f t="shared" si="91"/>
        <v>0</v>
      </c>
      <c r="AH264" s="43">
        <f t="shared" si="92"/>
        <v>0</v>
      </c>
      <c r="AI264" s="43">
        <f t="shared" si="93"/>
        <v>0</v>
      </c>
      <c r="AJ264" s="43">
        <f t="shared" si="94"/>
        <v>0</v>
      </c>
      <c r="AK264" s="43">
        <f t="shared" si="95"/>
        <v>0</v>
      </c>
      <c r="AL264" s="43">
        <f t="shared" si="96"/>
        <v>0</v>
      </c>
      <c r="AN264" s="47">
        <f t="shared" si="97"/>
        <v>0</v>
      </c>
      <c r="AO264" s="47">
        <f t="shared" si="98"/>
        <v>0</v>
      </c>
      <c r="AP264" s="47">
        <f t="shared" si="99"/>
        <v>0</v>
      </c>
      <c r="AQ264" s="47">
        <f t="shared" si="100"/>
        <v>0</v>
      </c>
      <c r="AR264" s="43">
        <f t="shared" si="101"/>
        <v>0</v>
      </c>
      <c r="AY264" s="3"/>
    </row>
    <row r="265" spans="1:51" ht="13">
      <c r="A265" s="226"/>
      <c r="B265" s="37">
        <f>'13. Desinvesteringen'!B548</f>
        <v>529</v>
      </c>
      <c r="C265" s="48"/>
      <c r="D265" s="48"/>
      <c r="E265" s="48"/>
      <c r="F265" s="42">
        <f>'5. Input GAW-waarde desinv.'!D224</f>
        <v>0</v>
      </c>
      <c r="G265" s="175">
        <f>'13. Desinvesteringen'!D548</f>
        <v>1975</v>
      </c>
      <c r="H265" s="175">
        <f>'13. Desinvesteringen'!G548</f>
        <v>2023</v>
      </c>
      <c r="I265" s="37" t="str">
        <f>'13. Desinvesteringen'!C548</f>
        <v>33 Exportstations</v>
      </c>
      <c r="J265" s="164">
        <f>'13. Desinvesteringen'!F548</f>
        <v>0</v>
      </c>
      <c r="K265" s="38">
        <f>_xlfn.XLOOKUP(I265,'3. Input (des)investeringen '!$B$11:$B$89,'3. Input (des)investeringen '!$E$11:$E$89)</f>
        <v>1</v>
      </c>
      <c r="L265" s="48"/>
      <c r="M265" s="38">
        <f>_xlfn.XLOOKUP(I265,'3. Input (des)investeringen '!$B$11:$B$89,'3. Input (des)investeringen '!$D$11:$D$89,0)</f>
        <v>30</v>
      </c>
      <c r="N265" s="38">
        <f t="shared" si="86"/>
        <v>0</v>
      </c>
      <c r="P265" s="43">
        <f t="shared" si="112"/>
        <v>0</v>
      </c>
      <c r="Q265" s="43">
        <f t="shared" si="112"/>
        <v>0</v>
      </c>
      <c r="R265" s="43">
        <f t="shared" si="112"/>
        <v>0</v>
      </c>
      <c r="S265" s="43">
        <f t="shared" si="112"/>
        <v>0</v>
      </c>
      <c r="T265" s="43">
        <f t="shared" si="112"/>
        <v>0</v>
      </c>
      <c r="V265" s="43">
        <f t="shared" si="106"/>
        <v>0</v>
      </c>
      <c r="W265" s="43">
        <f t="shared" si="107"/>
        <v>0</v>
      </c>
      <c r="X265" s="43">
        <f t="shared" si="108"/>
        <v>0</v>
      </c>
      <c r="Y265" s="43">
        <f t="shared" si="109"/>
        <v>0</v>
      </c>
      <c r="Z265" s="43">
        <f t="shared" si="110"/>
        <v>0</v>
      </c>
      <c r="AB265" s="43">
        <f t="shared" si="87"/>
        <v>0</v>
      </c>
      <c r="AC265" s="43">
        <f t="shared" si="88"/>
        <v>0</v>
      </c>
      <c r="AD265" s="43">
        <f t="shared" si="89"/>
        <v>0</v>
      </c>
      <c r="AE265" s="43">
        <f t="shared" si="90"/>
        <v>0</v>
      </c>
      <c r="AF265" s="43">
        <f t="shared" si="91"/>
        <v>0</v>
      </c>
      <c r="AH265" s="43">
        <f t="shared" si="92"/>
        <v>0</v>
      </c>
      <c r="AI265" s="43">
        <f t="shared" si="93"/>
        <v>0</v>
      </c>
      <c r="AJ265" s="43">
        <f t="shared" si="94"/>
        <v>0</v>
      </c>
      <c r="AK265" s="43">
        <f t="shared" si="95"/>
        <v>0</v>
      </c>
      <c r="AL265" s="43">
        <f t="shared" si="96"/>
        <v>0</v>
      </c>
      <c r="AN265" s="47">
        <f t="shared" si="97"/>
        <v>0</v>
      </c>
      <c r="AO265" s="47">
        <f t="shared" si="98"/>
        <v>0</v>
      </c>
      <c r="AP265" s="47">
        <f t="shared" si="99"/>
        <v>0</v>
      </c>
      <c r="AQ265" s="47">
        <f t="shared" si="100"/>
        <v>0</v>
      </c>
      <c r="AR265" s="43">
        <f t="shared" si="101"/>
        <v>0</v>
      </c>
      <c r="AY265" s="3"/>
    </row>
    <row r="266" spans="1:51" ht="13">
      <c r="A266" s="226"/>
      <c r="B266" s="37">
        <f>'13. Desinvesteringen'!B549</f>
        <v>530</v>
      </c>
      <c r="C266" s="48"/>
      <c r="D266" s="48"/>
      <c r="E266" s="48"/>
      <c r="F266" s="42">
        <f>'5. Input GAW-waarde desinv.'!D225</f>
        <v>0</v>
      </c>
      <c r="G266" s="175">
        <f>'13. Desinvesteringen'!D549</f>
        <v>1979</v>
      </c>
      <c r="H266" s="175">
        <f>'13. Desinvesteringen'!G549</f>
        <v>2023</v>
      </c>
      <c r="I266" s="37" t="str">
        <f>'13. Desinvesteringen'!C549</f>
        <v>34 Reduceerstations</v>
      </c>
      <c r="J266" s="164">
        <f>'13. Desinvesteringen'!F549</f>
        <v>0</v>
      </c>
      <c r="K266" s="38">
        <f>_xlfn.XLOOKUP(I266,'3. Input (des)investeringen '!$B$11:$B$89,'3. Input (des)investeringen '!$E$11:$E$89)</f>
        <v>1</v>
      </c>
      <c r="L266" s="48"/>
      <c r="M266" s="38">
        <f>_xlfn.XLOOKUP(I266,'3. Input (des)investeringen '!$B$11:$B$89,'3. Input (des)investeringen '!$D$11:$D$89,0)</f>
        <v>30</v>
      </c>
      <c r="N266" s="38">
        <f t="shared" si="86"/>
        <v>0</v>
      </c>
      <c r="P266" s="43">
        <f t="shared" si="112"/>
        <v>0</v>
      </c>
      <c r="Q266" s="43">
        <f t="shared" si="112"/>
        <v>0</v>
      </c>
      <c r="R266" s="43">
        <f t="shared" si="112"/>
        <v>0</v>
      </c>
      <c r="S266" s="43">
        <f t="shared" si="112"/>
        <v>0</v>
      </c>
      <c r="T266" s="43">
        <f t="shared" si="112"/>
        <v>0</v>
      </c>
      <c r="V266" s="43">
        <f t="shared" si="106"/>
        <v>0</v>
      </c>
      <c r="W266" s="43">
        <f t="shared" si="107"/>
        <v>0</v>
      </c>
      <c r="X266" s="43">
        <f t="shared" si="108"/>
        <v>0</v>
      </c>
      <c r="Y266" s="43">
        <f t="shared" si="109"/>
        <v>0</v>
      </c>
      <c r="Z266" s="43">
        <f t="shared" si="110"/>
        <v>0</v>
      </c>
      <c r="AB266" s="43">
        <f t="shared" si="87"/>
        <v>0</v>
      </c>
      <c r="AC266" s="43">
        <f t="shared" si="88"/>
        <v>0</v>
      </c>
      <c r="AD266" s="43">
        <f t="shared" si="89"/>
        <v>0</v>
      </c>
      <c r="AE266" s="43">
        <f t="shared" si="90"/>
        <v>0</v>
      </c>
      <c r="AF266" s="43">
        <f t="shared" si="91"/>
        <v>0</v>
      </c>
      <c r="AH266" s="43">
        <f t="shared" si="92"/>
        <v>0</v>
      </c>
      <c r="AI266" s="43">
        <f t="shared" si="93"/>
        <v>0</v>
      </c>
      <c r="AJ266" s="43">
        <f t="shared" si="94"/>
        <v>0</v>
      </c>
      <c r="AK266" s="43">
        <f t="shared" si="95"/>
        <v>0</v>
      </c>
      <c r="AL266" s="43">
        <f t="shared" si="96"/>
        <v>0</v>
      </c>
      <c r="AN266" s="47">
        <f t="shared" si="97"/>
        <v>0</v>
      </c>
      <c r="AO266" s="47">
        <f t="shared" si="98"/>
        <v>0</v>
      </c>
      <c r="AP266" s="47">
        <f t="shared" si="99"/>
        <v>0</v>
      </c>
      <c r="AQ266" s="47">
        <f t="shared" si="100"/>
        <v>0</v>
      </c>
      <c r="AR266" s="43">
        <f t="shared" si="101"/>
        <v>0</v>
      </c>
      <c r="AY266" s="3"/>
    </row>
    <row r="267" spans="1:51" ht="13">
      <c r="A267" s="226"/>
      <c r="B267" s="37">
        <f>'13. Desinvesteringen'!B550</f>
        <v>531</v>
      </c>
      <c r="C267" s="48"/>
      <c r="D267" s="48"/>
      <c r="E267" s="48"/>
      <c r="F267" s="42">
        <f>'5. Input GAW-waarde desinv.'!D226</f>
        <v>2913299.7564751511</v>
      </c>
      <c r="G267" s="175">
        <f>'13. Desinvesteringen'!D550</f>
        <v>2007</v>
      </c>
      <c r="H267" s="175">
        <f>'13. Desinvesteringen'!G550</f>
        <v>2023</v>
      </c>
      <c r="I267" s="37" t="str">
        <f>'13. Desinvesteringen'!C550</f>
        <v>36 Luchtscheidingsunit</v>
      </c>
      <c r="J267" s="164">
        <f>'13. Desinvesteringen'!F550</f>
        <v>0</v>
      </c>
      <c r="K267" s="38">
        <f>_xlfn.XLOOKUP(I267,'3. Input (des)investeringen '!$B$11:$B$89,'3. Input (des)investeringen '!$E$11:$E$89)</f>
        <v>0</v>
      </c>
      <c r="L267" s="48"/>
      <c r="M267" s="38">
        <f>_xlfn.XLOOKUP(I267,'3. Input (des)investeringen '!$B$11:$B$89,'3. Input (des)investeringen '!$D$11:$D$89,0)</f>
        <v>30</v>
      </c>
      <c r="N267" s="38">
        <f t="shared" si="86"/>
        <v>15.5</v>
      </c>
      <c r="P267" s="43">
        <f t="shared" si="112"/>
        <v>219907.14290812434</v>
      </c>
      <c r="Q267" s="43">
        <f t="shared" si="112"/>
        <v>201463.31801905585</v>
      </c>
      <c r="R267" s="43">
        <f t="shared" si="112"/>
        <v>184566.39457229633</v>
      </c>
      <c r="S267" s="43">
        <f t="shared" si="112"/>
        <v>169086.63244687792</v>
      </c>
      <c r="T267" s="43">
        <f t="shared" si="112"/>
        <v>160604.02546793755</v>
      </c>
      <c r="V267" s="43">
        <f t="shared" si="106"/>
        <v>18795.482299839685</v>
      </c>
      <c r="W267" s="43">
        <f t="shared" si="107"/>
        <v>18795.482299839681</v>
      </c>
      <c r="X267" s="43">
        <f t="shared" si="108"/>
        <v>18795.482299839681</v>
      </c>
      <c r="Y267" s="43">
        <f t="shared" si="109"/>
        <v>18795.482299839681</v>
      </c>
      <c r="Z267" s="43">
        <f t="shared" si="110"/>
        <v>18795.482299839681</v>
      </c>
      <c r="AB267" s="43">
        <f t="shared" si="87"/>
        <v>238702.62520796404</v>
      </c>
      <c r="AC267" s="43">
        <f t="shared" si="88"/>
        <v>220258.80031889552</v>
      </c>
      <c r="AD267" s="43">
        <f t="shared" si="89"/>
        <v>203361.876872136</v>
      </c>
      <c r="AE267" s="43">
        <f t="shared" si="90"/>
        <v>187882.11474671759</v>
      </c>
      <c r="AF267" s="43">
        <f t="shared" si="91"/>
        <v>179399.50776777722</v>
      </c>
      <c r="AH267" s="43">
        <f t="shared" si="92"/>
        <v>2674597.1312671872</v>
      </c>
      <c r="AI267" s="43">
        <f t="shared" si="93"/>
        <v>2454338.3309482918</v>
      </c>
      <c r="AJ267" s="43">
        <f t="shared" si="94"/>
        <v>2250976.454076156</v>
      </c>
      <c r="AK267" s="43">
        <f t="shared" si="95"/>
        <v>2063094.3393294385</v>
      </c>
      <c r="AL267" s="43">
        <f t="shared" si="96"/>
        <v>1883694.8315616613</v>
      </c>
      <c r="AN267" s="47">
        <f t="shared" si="97"/>
        <v>348361.10758991871</v>
      </c>
      <c r="AO267" s="47">
        <f t="shared" si="98"/>
        <v>345430.05519725836</v>
      </c>
      <c r="AP267" s="47">
        <f t="shared" si="99"/>
        <v>318161.67603001994</v>
      </c>
      <c r="AQ267" s="47">
        <f t="shared" si="100"/>
        <v>301352.30340983672</v>
      </c>
      <c r="AR267" s="43">
        <f t="shared" si="101"/>
        <v>250979.91136712034</v>
      </c>
      <c r="AY267" s="3"/>
    </row>
    <row r="268" spans="1:51" s="89" customFormat="1" ht="13">
      <c r="A268" s="226"/>
      <c r="B268" s="37">
        <f>'13. Desinvesteringen'!B551</f>
        <v>532</v>
      </c>
      <c r="C268" s="331"/>
      <c r="D268" s="331"/>
      <c r="E268" s="331"/>
      <c r="F268" s="42">
        <f>'5. Input GAW-waarde desinv.'!D227</f>
        <v>0</v>
      </c>
      <c r="G268" s="175">
        <f>'13. Desinvesteringen'!D551</f>
        <v>1946</v>
      </c>
      <c r="H268" s="175">
        <f>'13. Desinvesteringen'!G551</f>
        <v>2024</v>
      </c>
      <c r="I268" s="37" t="str">
        <f>'13. Desinvesteringen'!C551</f>
        <v>01 Regionale leidingen</v>
      </c>
      <c r="J268" s="164">
        <f>'13. Desinvesteringen'!F551</f>
        <v>0</v>
      </c>
      <c r="K268" s="38">
        <f>_xlfn.XLOOKUP(I268,'3. Input (des)investeringen '!$B$11:$B$89,'3. Input (des)investeringen '!$E$11:$E$89)</f>
        <v>1</v>
      </c>
      <c r="L268" s="331"/>
      <c r="M268" s="38">
        <f>_xlfn.XLOOKUP(I268,'3. Input (des)investeringen '!$B$11:$B$89,'3. Input (des)investeringen '!$D$11:$D$89,0)</f>
        <v>55</v>
      </c>
      <c r="N268" s="38">
        <f t="shared" ref="N268:N331" si="113">IF($M268&gt;0, MAX(0,IF(G268&lt;2022,M268-2021+G268-0.5,M268)), 0)</f>
        <v>0</v>
      </c>
      <c r="P268" s="43">
        <f t="shared" si="112"/>
        <v>0</v>
      </c>
      <c r="Q268" s="43">
        <f t="shared" si="112"/>
        <v>0</v>
      </c>
      <c r="R268" s="43">
        <f t="shared" si="112"/>
        <v>0</v>
      </c>
      <c r="S268" s="43">
        <f t="shared" si="112"/>
        <v>0</v>
      </c>
      <c r="T268" s="43">
        <f t="shared" si="112"/>
        <v>0</v>
      </c>
      <c r="V268" s="43">
        <f t="shared" si="106"/>
        <v>0</v>
      </c>
      <c r="W268" s="43">
        <f t="shared" si="107"/>
        <v>0</v>
      </c>
      <c r="X268" s="43">
        <f t="shared" si="108"/>
        <v>0</v>
      </c>
      <c r="Y268" s="43">
        <f t="shared" si="109"/>
        <v>0</v>
      </c>
      <c r="Z268" s="43">
        <f t="shared" si="110"/>
        <v>0</v>
      </c>
      <c r="AB268" s="43">
        <f t="shared" ref="AB268:AB331" si="114">P268+V268</f>
        <v>0</v>
      </c>
      <c r="AC268" s="43">
        <f t="shared" ref="AC268:AC331" si="115">Q268+W268</f>
        <v>0</v>
      </c>
      <c r="AD268" s="43">
        <f t="shared" ref="AD268:AD331" si="116">R268+X268</f>
        <v>0</v>
      </c>
      <c r="AE268" s="43">
        <f t="shared" ref="AE268:AE331" si="117">S268+Y268</f>
        <v>0</v>
      </c>
      <c r="AF268" s="43">
        <f t="shared" ref="AF268:AF331" si="118">T268+Z268</f>
        <v>0</v>
      </c>
      <c r="AH268" s="43">
        <f t="shared" ref="AH268:AH331" si="119">IF($M268&gt;0, IF($M268&gt;0,IF(OR($G268&gt;AH$50,$G268+$M268&lt;=AH$50),0,IF(AH$50=2022,$F268-AB268,AG268-AB268))), $F268)</f>
        <v>0</v>
      </c>
      <c r="AI268" s="43">
        <f t="shared" ref="AI268:AI331" si="120">IF($M268&gt;0, IF(OR($G268&gt;AI$50,$G268+$M268&lt;=AI$50),0,IF(AI$50=2022,$F268-AC268,AH268-AC268)), AH268)</f>
        <v>0</v>
      </c>
      <c r="AJ268" s="43">
        <f t="shared" ref="AJ268:AJ331" si="121">IF($M268&gt;0, IF(OR($G268&gt;AJ$50,$G268+$M268&lt;=AJ$50),0,IF(AJ$50=2022,$F268-AD268,AI268-AD268)), AI268)</f>
        <v>0</v>
      </c>
      <c r="AK268" s="43">
        <f t="shared" ref="AK268:AK331" si="122">IF($M268&gt;0, IF(OR($G268&gt;AK$50,$G268+$M268&lt;=AK$50),0,IF(AK$50=2022,$F268-AE268,AJ268-AE268)), AJ268)</f>
        <v>0</v>
      </c>
      <c r="AL268" s="43">
        <f t="shared" ref="AL268:AL331" si="123">IF($M268&gt;0, IF(OR($G268&gt;AL$50,$G268+$M268&lt;=AL$50),0,IF(AL$50=2022,$F268-AF268,AK268-AF268)), AK268)</f>
        <v>0</v>
      </c>
      <c r="AN268" s="47">
        <f t="shared" ref="AN268:AN331" si="124">(AB268+AH268*H$17)*IF($K268=1,$F$32,1)</f>
        <v>0</v>
      </c>
      <c r="AO268" s="47">
        <f t="shared" ref="AO268:AO331" si="125">(AC268+AI268*I$17)*IF($K268=1,$F$32,1)</f>
        <v>0</v>
      </c>
      <c r="AP268" s="47">
        <f t="shared" ref="AP268:AP331" si="126">(AD268+AJ268*J$17)*IF($K268=1,$F$32,1)</f>
        <v>0</v>
      </c>
      <c r="AQ268" s="47">
        <f t="shared" ref="AQ268:AQ331" si="127">(AE268+AK268*K$17)*IF($K268=1,$F$32,1)</f>
        <v>0</v>
      </c>
      <c r="AR268" s="43">
        <f t="shared" ref="AR268:AR331" si="128">(AF268+AL268*L$17)*IF($K268=1,$F$32,1)</f>
        <v>0</v>
      </c>
      <c r="AS268" s="120"/>
      <c r="AT268" s="120"/>
      <c r="AU268" s="120"/>
      <c r="AV268" s="120"/>
      <c r="AW268" s="120"/>
      <c r="AX268" s="120"/>
    </row>
    <row r="269" spans="1:51" s="89" customFormat="1" ht="13">
      <c r="A269" s="226"/>
      <c r="B269" s="37">
        <f>'13. Desinvesteringen'!B552</f>
        <v>533</v>
      </c>
      <c r="C269" s="331"/>
      <c r="D269" s="331"/>
      <c r="E269" s="331"/>
      <c r="F269" s="42">
        <f>'5. Input GAW-waarde desinv.'!D228</f>
        <v>0</v>
      </c>
      <c r="G269" s="175">
        <f>'13. Desinvesteringen'!D552</f>
        <v>1949</v>
      </c>
      <c r="H269" s="175">
        <f>'13. Desinvesteringen'!G552</f>
        <v>2024</v>
      </c>
      <c r="I269" s="37" t="str">
        <f>'13. Desinvesteringen'!C552</f>
        <v>01 Regionale leidingen</v>
      </c>
      <c r="J269" s="164">
        <f>'13. Desinvesteringen'!F552</f>
        <v>0</v>
      </c>
      <c r="K269" s="38">
        <f>_xlfn.XLOOKUP(I269,'3. Input (des)investeringen '!$B$11:$B$89,'3. Input (des)investeringen '!$E$11:$E$89)</f>
        <v>1</v>
      </c>
      <c r="L269" s="331"/>
      <c r="M269" s="38">
        <f>_xlfn.XLOOKUP(I269,'3. Input (des)investeringen '!$B$11:$B$89,'3. Input (des)investeringen '!$D$11:$D$89,0)</f>
        <v>55</v>
      </c>
      <c r="N269" s="38">
        <f t="shared" si="113"/>
        <v>0</v>
      </c>
      <c r="P269" s="43">
        <f t="shared" si="112"/>
        <v>0</v>
      </c>
      <c r="Q269" s="43">
        <f t="shared" si="112"/>
        <v>0</v>
      </c>
      <c r="R269" s="43">
        <f t="shared" si="112"/>
        <v>0</v>
      </c>
      <c r="S269" s="43">
        <f t="shared" si="112"/>
        <v>0</v>
      </c>
      <c r="T269" s="43">
        <f t="shared" si="112"/>
        <v>0</v>
      </c>
      <c r="V269" s="43">
        <f t="shared" si="106"/>
        <v>0</v>
      </c>
      <c r="W269" s="43">
        <f t="shared" si="107"/>
        <v>0</v>
      </c>
      <c r="X269" s="43">
        <f t="shared" si="108"/>
        <v>0</v>
      </c>
      <c r="Y269" s="43">
        <f t="shared" si="109"/>
        <v>0</v>
      </c>
      <c r="Z269" s="43">
        <f t="shared" si="110"/>
        <v>0</v>
      </c>
      <c r="AB269" s="43">
        <f t="shared" si="114"/>
        <v>0</v>
      </c>
      <c r="AC269" s="43">
        <f t="shared" si="115"/>
        <v>0</v>
      </c>
      <c r="AD269" s="43">
        <f t="shared" si="116"/>
        <v>0</v>
      </c>
      <c r="AE269" s="43">
        <f t="shared" si="117"/>
        <v>0</v>
      </c>
      <c r="AF269" s="43">
        <f t="shared" si="118"/>
        <v>0</v>
      </c>
      <c r="AH269" s="43">
        <f t="shared" si="119"/>
        <v>0</v>
      </c>
      <c r="AI269" s="43">
        <f t="shared" si="120"/>
        <v>0</v>
      </c>
      <c r="AJ269" s="43">
        <f t="shared" si="121"/>
        <v>0</v>
      </c>
      <c r="AK269" s="43">
        <f t="shared" si="122"/>
        <v>0</v>
      </c>
      <c r="AL269" s="43">
        <f t="shared" si="123"/>
        <v>0</v>
      </c>
      <c r="AN269" s="47">
        <f t="shared" si="124"/>
        <v>0</v>
      </c>
      <c r="AO269" s="47">
        <f t="shared" si="125"/>
        <v>0</v>
      </c>
      <c r="AP269" s="47">
        <f t="shared" si="126"/>
        <v>0</v>
      </c>
      <c r="AQ269" s="47">
        <f t="shared" si="127"/>
        <v>0</v>
      </c>
      <c r="AR269" s="43">
        <f t="shared" si="128"/>
        <v>0</v>
      </c>
      <c r="AS269" s="120"/>
      <c r="AT269" s="120"/>
      <c r="AU269" s="120"/>
      <c r="AV269" s="120"/>
      <c r="AW269" s="120"/>
      <c r="AX269" s="120"/>
    </row>
    <row r="270" spans="1:51" s="89" customFormat="1" ht="13">
      <c r="A270" s="226"/>
      <c r="B270" s="37">
        <f>'13. Desinvesteringen'!B553</f>
        <v>534</v>
      </c>
      <c r="C270" s="331"/>
      <c r="D270" s="331"/>
      <c r="E270" s="331"/>
      <c r="F270" s="42">
        <f>'5. Input GAW-waarde desinv.'!D229</f>
        <v>0</v>
      </c>
      <c r="G270" s="175">
        <f>'13. Desinvesteringen'!D553</f>
        <v>1958</v>
      </c>
      <c r="H270" s="175">
        <f>'13. Desinvesteringen'!G553</f>
        <v>2024</v>
      </c>
      <c r="I270" s="37" t="str">
        <f>'13. Desinvesteringen'!C553</f>
        <v>01 Regionale leidingen</v>
      </c>
      <c r="J270" s="164">
        <f>'13. Desinvesteringen'!F553</f>
        <v>0</v>
      </c>
      <c r="K270" s="38">
        <f>_xlfn.XLOOKUP(I270,'3. Input (des)investeringen '!$B$11:$B$89,'3. Input (des)investeringen '!$E$11:$E$89)</f>
        <v>1</v>
      </c>
      <c r="L270" s="331"/>
      <c r="M270" s="38">
        <f>_xlfn.XLOOKUP(I270,'3. Input (des)investeringen '!$B$11:$B$89,'3. Input (des)investeringen '!$D$11:$D$89,0)</f>
        <v>55</v>
      </c>
      <c r="N270" s="38">
        <f t="shared" si="113"/>
        <v>0</v>
      </c>
      <c r="P270" s="43">
        <f t="shared" si="112"/>
        <v>0</v>
      </c>
      <c r="Q270" s="43">
        <f t="shared" si="112"/>
        <v>0</v>
      </c>
      <c r="R270" s="43">
        <f t="shared" si="112"/>
        <v>0</v>
      </c>
      <c r="S270" s="43">
        <f t="shared" si="112"/>
        <v>0</v>
      </c>
      <c r="T270" s="43">
        <f t="shared" si="112"/>
        <v>0</v>
      </c>
      <c r="V270" s="43">
        <f t="shared" si="106"/>
        <v>0</v>
      </c>
      <c r="W270" s="43">
        <f t="shared" si="107"/>
        <v>0</v>
      </c>
      <c r="X270" s="43">
        <f t="shared" si="108"/>
        <v>0</v>
      </c>
      <c r="Y270" s="43">
        <f t="shared" si="109"/>
        <v>0</v>
      </c>
      <c r="Z270" s="43">
        <f t="shared" si="110"/>
        <v>0</v>
      </c>
      <c r="AB270" s="43">
        <f t="shared" si="114"/>
        <v>0</v>
      </c>
      <c r="AC270" s="43">
        <f t="shared" si="115"/>
        <v>0</v>
      </c>
      <c r="AD270" s="43">
        <f t="shared" si="116"/>
        <v>0</v>
      </c>
      <c r="AE270" s="43">
        <f t="shared" si="117"/>
        <v>0</v>
      </c>
      <c r="AF270" s="43">
        <f t="shared" si="118"/>
        <v>0</v>
      </c>
      <c r="AH270" s="43">
        <f t="shared" si="119"/>
        <v>0</v>
      </c>
      <c r="AI270" s="43">
        <f t="shared" si="120"/>
        <v>0</v>
      </c>
      <c r="AJ270" s="43">
        <f t="shared" si="121"/>
        <v>0</v>
      </c>
      <c r="AK270" s="43">
        <f t="shared" si="122"/>
        <v>0</v>
      </c>
      <c r="AL270" s="43">
        <f t="shared" si="123"/>
        <v>0</v>
      </c>
      <c r="AN270" s="47">
        <f t="shared" si="124"/>
        <v>0</v>
      </c>
      <c r="AO270" s="47">
        <f t="shared" si="125"/>
        <v>0</v>
      </c>
      <c r="AP270" s="47">
        <f t="shared" si="126"/>
        <v>0</v>
      </c>
      <c r="AQ270" s="47">
        <f t="shared" si="127"/>
        <v>0</v>
      </c>
      <c r="AR270" s="43">
        <f t="shared" si="128"/>
        <v>0</v>
      </c>
      <c r="AS270" s="120"/>
      <c r="AT270" s="120"/>
      <c r="AU270" s="120"/>
      <c r="AV270" s="120"/>
      <c r="AW270" s="120"/>
      <c r="AX270" s="120"/>
    </row>
    <row r="271" spans="1:51" s="89" customFormat="1" ht="13">
      <c r="A271" s="226"/>
      <c r="B271" s="37">
        <f>'13. Desinvesteringen'!B554</f>
        <v>535</v>
      </c>
      <c r="C271" s="331"/>
      <c r="D271" s="331"/>
      <c r="E271" s="331"/>
      <c r="F271" s="42">
        <f>'5. Input GAW-waarde desinv.'!D230</f>
        <v>0</v>
      </c>
      <c r="G271" s="175">
        <f>'13. Desinvesteringen'!D554</f>
        <v>1961</v>
      </c>
      <c r="H271" s="175">
        <f>'13. Desinvesteringen'!G554</f>
        <v>2024</v>
      </c>
      <c r="I271" s="37" t="str">
        <f>'13. Desinvesteringen'!C554</f>
        <v>01 Regionale leidingen</v>
      </c>
      <c r="J271" s="164">
        <f>'13. Desinvesteringen'!F554</f>
        <v>0</v>
      </c>
      <c r="K271" s="38">
        <f>_xlfn.XLOOKUP(I271,'3. Input (des)investeringen '!$B$11:$B$89,'3. Input (des)investeringen '!$E$11:$E$89)</f>
        <v>1</v>
      </c>
      <c r="L271" s="331"/>
      <c r="M271" s="38">
        <f>_xlfn.XLOOKUP(I271,'3. Input (des)investeringen '!$B$11:$B$89,'3. Input (des)investeringen '!$D$11:$D$89,0)</f>
        <v>55</v>
      </c>
      <c r="N271" s="38">
        <f t="shared" si="113"/>
        <v>0</v>
      </c>
      <c r="P271" s="43">
        <f t="shared" si="112"/>
        <v>0</v>
      </c>
      <c r="Q271" s="43">
        <f t="shared" si="112"/>
        <v>0</v>
      </c>
      <c r="R271" s="43">
        <f t="shared" si="112"/>
        <v>0</v>
      </c>
      <c r="S271" s="43">
        <f t="shared" si="112"/>
        <v>0</v>
      </c>
      <c r="T271" s="43">
        <f t="shared" si="112"/>
        <v>0</v>
      </c>
      <c r="V271" s="43">
        <f t="shared" si="106"/>
        <v>0</v>
      </c>
      <c r="W271" s="43">
        <f t="shared" si="107"/>
        <v>0</v>
      </c>
      <c r="X271" s="43">
        <f t="shared" si="108"/>
        <v>0</v>
      </c>
      <c r="Y271" s="43">
        <f t="shared" si="109"/>
        <v>0</v>
      </c>
      <c r="Z271" s="43">
        <f t="shared" si="110"/>
        <v>0</v>
      </c>
      <c r="AB271" s="43">
        <f t="shared" si="114"/>
        <v>0</v>
      </c>
      <c r="AC271" s="43">
        <f t="shared" si="115"/>
        <v>0</v>
      </c>
      <c r="AD271" s="43">
        <f t="shared" si="116"/>
        <v>0</v>
      </c>
      <c r="AE271" s="43">
        <f t="shared" si="117"/>
        <v>0</v>
      </c>
      <c r="AF271" s="43">
        <f t="shared" si="118"/>
        <v>0</v>
      </c>
      <c r="AH271" s="43">
        <f t="shared" si="119"/>
        <v>0</v>
      </c>
      <c r="AI271" s="43">
        <f t="shared" si="120"/>
        <v>0</v>
      </c>
      <c r="AJ271" s="43">
        <f t="shared" si="121"/>
        <v>0</v>
      </c>
      <c r="AK271" s="43">
        <f t="shared" si="122"/>
        <v>0</v>
      </c>
      <c r="AL271" s="43">
        <f t="shared" si="123"/>
        <v>0</v>
      </c>
      <c r="AN271" s="47">
        <f t="shared" si="124"/>
        <v>0</v>
      </c>
      <c r="AO271" s="47">
        <f t="shared" si="125"/>
        <v>0</v>
      </c>
      <c r="AP271" s="47">
        <f t="shared" si="126"/>
        <v>0</v>
      </c>
      <c r="AQ271" s="47">
        <f t="shared" si="127"/>
        <v>0</v>
      </c>
      <c r="AR271" s="43">
        <f t="shared" si="128"/>
        <v>0</v>
      </c>
      <c r="AS271" s="120"/>
      <c r="AT271" s="120"/>
      <c r="AU271" s="120"/>
      <c r="AV271" s="120"/>
      <c r="AW271" s="120"/>
      <c r="AX271" s="120"/>
    </row>
    <row r="272" spans="1:51" s="89" customFormat="1" ht="13">
      <c r="A272" s="226"/>
      <c r="B272" s="37">
        <f>'13. Desinvesteringen'!B555</f>
        <v>536</v>
      </c>
      <c r="C272" s="331"/>
      <c r="D272" s="331"/>
      <c r="E272" s="331"/>
      <c r="F272" s="42">
        <f>'5. Input GAW-waarde desinv.'!D231</f>
        <v>0</v>
      </c>
      <c r="G272" s="175">
        <f>'13. Desinvesteringen'!D555</f>
        <v>1965</v>
      </c>
      <c r="H272" s="175">
        <f>'13. Desinvesteringen'!G555</f>
        <v>2024</v>
      </c>
      <c r="I272" s="37" t="str">
        <f>'13. Desinvesteringen'!C555</f>
        <v>01 Regionale leidingen</v>
      </c>
      <c r="J272" s="164">
        <f>'13. Desinvesteringen'!F555</f>
        <v>0</v>
      </c>
      <c r="K272" s="38">
        <f>_xlfn.XLOOKUP(I272,'3. Input (des)investeringen '!$B$11:$B$89,'3. Input (des)investeringen '!$E$11:$E$89)</f>
        <v>1</v>
      </c>
      <c r="L272" s="331"/>
      <c r="M272" s="38">
        <f>_xlfn.XLOOKUP(I272,'3. Input (des)investeringen '!$B$11:$B$89,'3. Input (des)investeringen '!$D$11:$D$89,0)</f>
        <v>55</v>
      </c>
      <c r="N272" s="38">
        <f t="shared" si="113"/>
        <v>0</v>
      </c>
      <c r="P272" s="43">
        <f t="shared" ref="P272:T281" si="129">IF($M272&gt;0, IF(OR($G272&gt;P$50,$G272+$M272&lt;P$50),0,
VDB($F272,0,$N272,MAX(0,P$50-2022),MIN($N272,P$50-2021),$F$23,FALSE))*(1-$F$26), 0)</f>
        <v>0</v>
      </c>
      <c r="Q272" s="43">
        <f t="shared" si="129"/>
        <v>0</v>
      </c>
      <c r="R272" s="43">
        <f t="shared" si="129"/>
        <v>0</v>
      </c>
      <c r="S272" s="43">
        <f t="shared" si="129"/>
        <v>0</v>
      </c>
      <c r="T272" s="43">
        <f t="shared" si="129"/>
        <v>0</v>
      </c>
      <c r="V272" s="43">
        <f t="shared" si="106"/>
        <v>0</v>
      </c>
      <c r="W272" s="43">
        <f t="shared" si="107"/>
        <v>0</v>
      </c>
      <c r="X272" s="43">
        <f t="shared" si="108"/>
        <v>0</v>
      </c>
      <c r="Y272" s="43">
        <f t="shared" si="109"/>
        <v>0</v>
      </c>
      <c r="Z272" s="43">
        <f t="shared" si="110"/>
        <v>0</v>
      </c>
      <c r="AB272" s="43">
        <f t="shared" si="114"/>
        <v>0</v>
      </c>
      <c r="AC272" s="43">
        <f t="shared" si="115"/>
        <v>0</v>
      </c>
      <c r="AD272" s="43">
        <f t="shared" si="116"/>
        <v>0</v>
      </c>
      <c r="AE272" s="43">
        <f t="shared" si="117"/>
        <v>0</v>
      </c>
      <c r="AF272" s="43">
        <f t="shared" si="118"/>
        <v>0</v>
      </c>
      <c r="AH272" s="43">
        <f t="shared" si="119"/>
        <v>0</v>
      </c>
      <c r="AI272" s="43">
        <f t="shared" si="120"/>
        <v>0</v>
      </c>
      <c r="AJ272" s="43">
        <f t="shared" si="121"/>
        <v>0</v>
      </c>
      <c r="AK272" s="43">
        <f t="shared" si="122"/>
        <v>0</v>
      </c>
      <c r="AL272" s="43">
        <f t="shared" si="123"/>
        <v>0</v>
      </c>
      <c r="AN272" s="47">
        <f t="shared" si="124"/>
        <v>0</v>
      </c>
      <c r="AO272" s="47">
        <f t="shared" si="125"/>
        <v>0</v>
      </c>
      <c r="AP272" s="47">
        <f t="shared" si="126"/>
        <v>0</v>
      </c>
      <c r="AQ272" s="47">
        <f t="shared" si="127"/>
        <v>0</v>
      </c>
      <c r="AR272" s="43">
        <f t="shared" si="128"/>
        <v>0</v>
      </c>
      <c r="AS272" s="120"/>
      <c r="AT272" s="120"/>
      <c r="AU272" s="120"/>
      <c r="AV272" s="120"/>
      <c r="AW272" s="120"/>
      <c r="AX272" s="120"/>
    </row>
    <row r="273" spans="1:50" s="89" customFormat="1" ht="13">
      <c r="A273" s="226"/>
      <c r="B273" s="37">
        <f>'13. Desinvesteringen'!B556</f>
        <v>537</v>
      </c>
      <c r="C273" s="331"/>
      <c r="D273" s="331"/>
      <c r="E273" s="331"/>
      <c r="F273" s="42">
        <f>'5. Input GAW-waarde desinv.'!D232</f>
        <v>0</v>
      </c>
      <c r="G273" s="175">
        <f>'13. Desinvesteringen'!D556</f>
        <v>1966</v>
      </c>
      <c r="H273" s="175">
        <f>'13. Desinvesteringen'!G556</f>
        <v>2024</v>
      </c>
      <c r="I273" s="37" t="str">
        <f>'13. Desinvesteringen'!C556</f>
        <v>01 Regionale leidingen</v>
      </c>
      <c r="J273" s="164">
        <f>'13. Desinvesteringen'!F556</f>
        <v>0</v>
      </c>
      <c r="K273" s="38">
        <f>_xlfn.XLOOKUP(I273,'3. Input (des)investeringen '!$B$11:$B$89,'3. Input (des)investeringen '!$E$11:$E$89)</f>
        <v>1</v>
      </c>
      <c r="L273" s="331"/>
      <c r="M273" s="38">
        <f>_xlfn.XLOOKUP(I273,'3. Input (des)investeringen '!$B$11:$B$89,'3. Input (des)investeringen '!$D$11:$D$89,0)</f>
        <v>55</v>
      </c>
      <c r="N273" s="38">
        <f t="shared" si="113"/>
        <v>0</v>
      </c>
      <c r="P273" s="43">
        <f t="shared" si="129"/>
        <v>0</v>
      </c>
      <c r="Q273" s="43">
        <f t="shared" si="129"/>
        <v>0</v>
      </c>
      <c r="R273" s="43">
        <f t="shared" si="129"/>
        <v>0</v>
      </c>
      <c r="S273" s="43">
        <f t="shared" si="129"/>
        <v>0</v>
      </c>
      <c r="T273" s="43">
        <f t="shared" si="129"/>
        <v>0</v>
      </c>
      <c r="V273" s="43">
        <f t="shared" si="106"/>
        <v>0</v>
      </c>
      <c r="W273" s="43">
        <f t="shared" si="107"/>
        <v>0</v>
      </c>
      <c r="X273" s="43">
        <f t="shared" si="108"/>
        <v>0</v>
      </c>
      <c r="Y273" s="43">
        <f t="shared" si="109"/>
        <v>0</v>
      </c>
      <c r="Z273" s="43">
        <f t="shared" si="110"/>
        <v>0</v>
      </c>
      <c r="AB273" s="43">
        <f t="shared" si="114"/>
        <v>0</v>
      </c>
      <c r="AC273" s="43">
        <f t="shared" si="115"/>
        <v>0</v>
      </c>
      <c r="AD273" s="43">
        <f t="shared" si="116"/>
        <v>0</v>
      </c>
      <c r="AE273" s="43">
        <f t="shared" si="117"/>
        <v>0</v>
      </c>
      <c r="AF273" s="43">
        <f t="shared" si="118"/>
        <v>0</v>
      </c>
      <c r="AH273" s="43">
        <f t="shared" si="119"/>
        <v>0</v>
      </c>
      <c r="AI273" s="43">
        <f t="shared" si="120"/>
        <v>0</v>
      </c>
      <c r="AJ273" s="43">
        <f t="shared" si="121"/>
        <v>0</v>
      </c>
      <c r="AK273" s="43">
        <f t="shared" si="122"/>
        <v>0</v>
      </c>
      <c r="AL273" s="43">
        <f t="shared" si="123"/>
        <v>0</v>
      </c>
      <c r="AN273" s="47">
        <f t="shared" si="124"/>
        <v>0</v>
      </c>
      <c r="AO273" s="47">
        <f t="shared" si="125"/>
        <v>0</v>
      </c>
      <c r="AP273" s="47">
        <f t="shared" si="126"/>
        <v>0</v>
      </c>
      <c r="AQ273" s="47">
        <f t="shared" si="127"/>
        <v>0</v>
      </c>
      <c r="AR273" s="43">
        <f t="shared" si="128"/>
        <v>0</v>
      </c>
      <c r="AS273" s="120"/>
      <c r="AT273" s="120"/>
      <c r="AU273" s="120"/>
      <c r="AV273" s="120"/>
      <c r="AW273" s="120"/>
      <c r="AX273" s="120"/>
    </row>
    <row r="274" spans="1:50" s="89" customFormat="1" ht="13">
      <c r="A274" s="226"/>
      <c r="B274" s="37">
        <f>'13. Desinvesteringen'!B557</f>
        <v>538</v>
      </c>
      <c r="C274" s="331"/>
      <c r="D274" s="331"/>
      <c r="E274" s="331"/>
      <c r="F274" s="42">
        <f>'5. Input GAW-waarde desinv.'!D233</f>
        <v>1574.447054456984</v>
      </c>
      <c r="G274" s="175">
        <f>'13. Desinvesteringen'!D557</f>
        <v>1967</v>
      </c>
      <c r="H274" s="175">
        <f>'13. Desinvesteringen'!G557</f>
        <v>2024</v>
      </c>
      <c r="I274" s="37" t="str">
        <f>'13. Desinvesteringen'!C557</f>
        <v>01 Regionale leidingen</v>
      </c>
      <c r="J274" s="164">
        <f>'13. Desinvesteringen'!F557</f>
        <v>0</v>
      </c>
      <c r="K274" s="38">
        <f>_xlfn.XLOOKUP(I274,'3. Input (des)investeringen '!$B$11:$B$89,'3. Input (des)investeringen '!$E$11:$E$89)</f>
        <v>1</v>
      </c>
      <c r="L274" s="331"/>
      <c r="M274" s="38">
        <f>_xlfn.XLOOKUP(I274,'3. Input (des)investeringen '!$B$11:$B$89,'3. Input (des)investeringen '!$D$11:$D$89,0)</f>
        <v>55</v>
      </c>
      <c r="N274" s="38">
        <f t="shared" si="113"/>
        <v>0.5</v>
      </c>
      <c r="P274" s="43">
        <f t="shared" si="129"/>
        <v>1417.0023490112856</v>
      </c>
      <c r="Q274" s="43">
        <f t="shared" si="129"/>
        <v>0</v>
      </c>
      <c r="R274" s="43">
        <f t="shared" si="129"/>
        <v>0</v>
      </c>
      <c r="S274" s="43">
        <f t="shared" si="129"/>
        <v>0</v>
      </c>
      <c r="T274" s="43">
        <f t="shared" si="129"/>
        <v>0</v>
      </c>
      <c r="V274" s="43">
        <f t="shared" si="106"/>
        <v>157.44470544569842</v>
      </c>
      <c r="W274" s="43">
        <f t="shared" si="107"/>
        <v>0</v>
      </c>
      <c r="X274" s="43">
        <f t="shared" si="108"/>
        <v>0</v>
      </c>
      <c r="Y274" s="43">
        <f t="shared" si="109"/>
        <v>0</v>
      </c>
      <c r="Z274" s="43">
        <f t="shared" si="110"/>
        <v>0</v>
      </c>
      <c r="AB274" s="43">
        <f t="shared" si="114"/>
        <v>1574.447054456984</v>
      </c>
      <c r="AC274" s="43">
        <f t="shared" si="115"/>
        <v>0</v>
      </c>
      <c r="AD274" s="43">
        <f t="shared" si="116"/>
        <v>0</v>
      </c>
      <c r="AE274" s="43">
        <f t="shared" si="117"/>
        <v>0</v>
      </c>
      <c r="AF274" s="43">
        <f t="shared" si="118"/>
        <v>0</v>
      </c>
      <c r="AH274" s="43">
        <f t="shared" si="119"/>
        <v>0</v>
      </c>
      <c r="AI274" s="43">
        <f t="shared" si="120"/>
        <v>0</v>
      </c>
      <c r="AJ274" s="43">
        <f t="shared" si="121"/>
        <v>0</v>
      </c>
      <c r="AK274" s="43">
        <f t="shared" si="122"/>
        <v>0</v>
      </c>
      <c r="AL274" s="43">
        <f t="shared" si="123"/>
        <v>0</v>
      </c>
      <c r="AN274" s="47">
        <f t="shared" si="124"/>
        <v>1574.447054456984</v>
      </c>
      <c r="AO274" s="47">
        <f t="shared" si="125"/>
        <v>0</v>
      </c>
      <c r="AP274" s="47">
        <f t="shared" si="126"/>
        <v>0</v>
      </c>
      <c r="AQ274" s="47">
        <f t="shared" si="127"/>
        <v>0</v>
      </c>
      <c r="AR274" s="43">
        <f t="shared" si="128"/>
        <v>0</v>
      </c>
      <c r="AS274" s="120"/>
      <c r="AT274" s="120"/>
      <c r="AU274" s="120"/>
      <c r="AV274" s="120"/>
      <c r="AW274" s="120"/>
      <c r="AX274" s="120"/>
    </row>
    <row r="275" spans="1:50" s="89" customFormat="1" ht="13">
      <c r="A275" s="226"/>
      <c r="B275" s="37">
        <f>'13. Desinvesteringen'!B558</f>
        <v>539</v>
      </c>
      <c r="C275" s="331"/>
      <c r="D275" s="331"/>
      <c r="E275" s="331"/>
      <c r="F275" s="42">
        <f>'5. Input GAW-waarde desinv.'!D234</f>
        <v>20479.328356270184</v>
      </c>
      <c r="G275" s="175">
        <f>'13. Desinvesteringen'!D558</f>
        <v>1968</v>
      </c>
      <c r="H275" s="175">
        <f>'13. Desinvesteringen'!G558</f>
        <v>2024</v>
      </c>
      <c r="I275" s="37" t="str">
        <f>'13. Desinvesteringen'!C558</f>
        <v>01 Regionale leidingen</v>
      </c>
      <c r="J275" s="164">
        <f>'13. Desinvesteringen'!F558</f>
        <v>0</v>
      </c>
      <c r="K275" s="38">
        <f>_xlfn.XLOOKUP(I275,'3. Input (des)investeringen '!$B$11:$B$89,'3. Input (des)investeringen '!$E$11:$E$89)</f>
        <v>1</v>
      </c>
      <c r="L275" s="331"/>
      <c r="M275" s="38">
        <f>_xlfn.XLOOKUP(I275,'3. Input (des)investeringen '!$B$11:$B$89,'3. Input (des)investeringen '!$D$11:$D$89,0)</f>
        <v>55</v>
      </c>
      <c r="N275" s="38">
        <f t="shared" si="113"/>
        <v>1.5</v>
      </c>
      <c r="P275" s="43">
        <f t="shared" si="129"/>
        <v>15973.876117890743</v>
      </c>
      <c r="Q275" s="43">
        <f t="shared" si="129"/>
        <v>2457.5194027524226</v>
      </c>
      <c r="R275" s="43">
        <f t="shared" si="129"/>
        <v>0</v>
      </c>
      <c r="S275" s="43">
        <f t="shared" si="129"/>
        <v>0</v>
      </c>
      <c r="T275" s="43">
        <f t="shared" si="129"/>
        <v>0</v>
      </c>
      <c r="V275" s="43">
        <f t="shared" si="106"/>
        <v>1365.288557084679</v>
      </c>
      <c r="W275" s="43">
        <f t="shared" si="107"/>
        <v>682.64427854233952</v>
      </c>
      <c r="X275" s="43">
        <f t="shared" si="108"/>
        <v>0</v>
      </c>
      <c r="Y275" s="43">
        <f t="shared" si="109"/>
        <v>0</v>
      </c>
      <c r="Z275" s="43">
        <f t="shared" si="110"/>
        <v>0</v>
      </c>
      <c r="AB275" s="43">
        <f t="shared" si="114"/>
        <v>17339.164674975422</v>
      </c>
      <c r="AC275" s="43">
        <f t="shared" si="115"/>
        <v>3140.1636812947622</v>
      </c>
      <c r="AD275" s="43">
        <f t="shared" si="116"/>
        <v>0</v>
      </c>
      <c r="AE275" s="43">
        <f t="shared" si="117"/>
        <v>0</v>
      </c>
      <c r="AF275" s="43">
        <f t="shared" si="118"/>
        <v>0</v>
      </c>
      <c r="AH275" s="43">
        <f t="shared" si="119"/>
        <v>3140.1636812947618</v>
      </c>
      <c r="AI275" s="43">
        <f t="shared" si="120"/>
        <v>0</v>
      </c>
      <c r="AJ275" s="43">
        <f t="shared" si="121"/>
        <v>0</v>
      </c>
      <c r="AK275" s="43">
        <f t="shared" si="122"/>
        <v>0</v>
      </c>
      <c r="AL275" s="43">
        <f t="shared" si="123"/>
        <v>0</v>
      </c>
      <c r="AN275" s="47">
        <f t="shared" si="124"/>
        <v>17467.911385908508</v>
      </c>
      <c r="AO275" s="47">
        <f t="shared" si="125"/>
        <v>3140.1636812947622</v>
      </c>
      <c r="AP275" s="47">
        <f t="shared" si="126"/>
        <v>0</v>
      </c>
      <c r="AQ275" s="47">
        <f t="shared" si="127"/>
        <v>0</v>
      </c>
      <c r="AR275" s="43">
        <f t="shared" si="128"/>
        <v>0</v>
      </c>
      <c r="AS275" s="120"/>
      <c r="AT275" s="120"/>
      <c r="AU275" s="120"/>
      <c r="AV275" s="120"/>
      <c r="AW275" s="120"/>
      <c r="AX275" s="120"/>
    </row>
    <row r="276" spans="1:50" s="89" customFormat="1" ht="13">
      <c r="A276" s="226"/>
      <c r="B276" s="37">
        <f>'13. Desinvesteringen'!B559</f>
        <v>540</v>
      </c>
      <c r="C276" s="331"/>
      <c r="D276" s="331"/>
      <c r="E276" s="331"/>
      <c r="F276" s="42">
        <f>'5. Input GAW-waarde desinv.'!D235</f>
        <v>25374.385345644296</v>
      </c>
      <c r="G276" s="175">
        <f>'13. Desinvesteringen'!D559</f>
        <v>1969</v>
      </c>
      <c r="H276" s="175">
        <f>'13. Desinvesteringen'!G559</f>
        <v>2024</v>
      </c>
      <c r="I276" s="37" t="str">
        <f>'13. Desinvesteringen'!C559</f>
        <v>01 Regionale leidingen</v>
      </c>
      <c r="J276" s="164">
        <f>'13. Desinvesteringen'!F559</f>
        <v>0</v>
      </c>
      <c r="K276" s="38">
        <f>_xlfn.XLOOKUP(I276,'3. Input (des)investeringen '!$B$11:$B$89,'3. Input (des)investeringen '!$E$11:$E$89)</f>
        <v>1</v>
      </c>
      <c r="L276" s="331"/>
      <c r="M276" s="38">
        <f>_xlfn.XLOOKUP(I276,'3. Input (des)investeringen '!$B$11:$B$89,'3. Input (des)investeringen '!$D$11:$D$89,0)</f>
        <v>55</v>
      </c>
      <c r="N276" s="38">
        <f t="shared" si="113"/>
        <v>2.5</v>
      </c>
      <c r="P276" s="43">
        <f t="shared" si="129"/>
        <v>11875.212341761531</v>
      </c>
      <c r="Q276" s="43">
        <f t="shared" si="129"/>
        <v>7307.8229795455563</v>
      </c>
      <c r="R276" s="43">
        <f t="shared" si="129"/>
        <v>3653.9114897727782</v>
      </c>
      <c r="S276" s="43">
        <f t="shared" si="129"/>
        <v>0</v>
      </c>
      <c r="T276" s="43">
        <f t="shared" si="129"/>
        <v>0</v>
      </c>
      <c r="V276" s="43">
        <f t="shared" si="106"/>
        <v>1014.9754138257719</v>
      </c>
      <c r="W276" s="43">
        <f t="shared" si="107"/>
        <v>1014.9754138257719</v>
      </c>
      <c r="X276" s="43">
        <f t="shared" si="108"/>
        <v>507.48770691288593</v>
      </c>
      <c r="Y276" s="43">
        <f t="shared" si="109"/>
        <v>0</v>
      </c>
      <c r="Z276" s="43">
        <f t="shared" si="110"/>
        <v>0</v>
      </c>
      <c r="AB276" s="43">
        <f t="shared" si="114"/>
        <v>12890.187755587303</v>
      </c>
      <c r="AC276" s="43">
        <f t="shared" si="115"/>
        <v>8322.7983933713276</v>
      </c>
      <c r="AD276" s="43">
        <f t="shared" si="116"/>
        <v>4161.3991966856638</v>
      </c>
      <c r="AE276" s="43">
        <f t="shared" si="117"/>
        <v>0</v>
      </c>
      <c r="AF276" s="43">
        <f t="shared" si="118"/>
        <v>0</v>
      </c>
      <c r="AH276" s="43">
        <f t="shared" si="119"/>
        <v>12484.197590056992</v>
      </c>
      <c r="AI276" s="43">
        <f t="shared" si="120"/>
        <v>4161.3991966856647</v>
      </c>
      <c r="AJ276" s="43">
        <f t="shared" si="121"/>
        <v>0</v>
      </c>
      <c r="AK276" s="43">
        <f t="shared" si="122"/>
        <v>0</v>
      </c>
      <c r="AL276" s="43">
        <f t="shared" si="123"/>
        <v>0</v>
      </c>
      <c r="AN276" s="47">
        <f t="shared" si="124"/>
        <v>13402.03985677964</v>
      </c>
      <c r="AO276" s="47">
        <f t="shared" si="125"/>
        <v>8535.0297524022972</v>
      </c>
      <c r="AP276" s="47">
        <f t="shared" si="126"/>
        <v>4161.3991966856638</v>
      </c>
      <c r="AQ276" s="47">
        <f t="shared" si="127"/>
        <v>0</v>
      </c>
      <c r="AR276" s="43">
        <f t="shared" si="128"/>
        <v>0</v>
      </c>
      <c r="AS276" s="120"/>
      <c r="AT276" s="120"/>
      <c r="AU276" s="120"/>
      <c r="AV276" s="120"/>
      <c r="AW276" s="120"/>
      <c r="AX276" s="120"/>
    </row>
    <row r="277" spans="1:50" s="89" customFormat="1" ht="13">
      <c r="A277" s="226"/>
      <c r="B277" s="37">
        <f>'13. Desinvesteringen'!B560</f>
        <v>541</v>
      </c>
      <c r="C277" s="331"/>
      <c r="D277" s="331"/>
      <c r="E277" s="331"/>
      <c r="F277" s="42">
        <f>'5. Input GAW-waarde desinv.'!D236</f>
        <v>19518.619853143853</v>
      </c>
      <c r="G277" s="175">
        <f>'13. Desinvesteringen'!D560</f>
        <v>1970</v>
      </c>
      <c r="H277" s="175">
        <f>'13. Desinvesteringen'!G560</f>
        <v>2024</v>
      </c>
      <c r="I277" s="37" t="str">
        <f>'13. Desinvesteringen'!C560</f>
        <v>01 Regionale leidingen</v>
      </c>
      <c r="J277" s="164">
        <f>'13. Desinvesteringen'!F560</f>
        <v>0</v>
      </c>
      <c r="K277" s="38">
        <f>_xlfn.XLOOKUP(I277,'3. Input (des)investeringen '!$B$11:$B$89,'3. Input (des)investeringen '!$E$11:$E$89)</f>
        <v>1</v>
      </c>
      <c r="L277" s="331"/>
      <c r="M277" s="38">
        <f>_xlfn.XLOOKUP(I277,'3. Input (des)investeringen '!$B$11:$B$89,'3. Input (des)investeringen '!$D$11:$D$89,0)</f>
        <v>55</v>
      </c>
      <c r="N277" s="38">
        <f t="shared" si="113"/>
        <v>3.5</v>
      </c>
      <c r="P277" s="43">
        <f t="shared" si="129"/>
        <v>6524.7957794795166</v>
      </c>
      <c r="Q277" s="43">
        <f t="shared" si="129"/>
        <v>4416.7848353399804</v>
      </c>
      <c r="R277" s="43">
        <f t="shared" si="129"/>
        <v>4416.7848353399804</v>
      </c>
      <c r="S277" s="43">
        <f t="shared" si="129"/>
        <v>2208.3924176699902</v>
      </c>
      <c r="T277" s="43">
        <f t="shared" si="129"/>
        <v>0</v>
      </c>
      <c r="V277" s="43">
        <f t="shared" si="106"/>
        <v>557.67485294696723</v>
      </c>
      <c r="W277" s="43">
        <f t="shared" si="107"/>
        <v>557.67485294696723</v>
      </c>
      <c r="X277" s="43">
        <f t="shared" si="108"/>
        <v>557.67485294696723</v>
      </c>
      <c r="Y277" s="43">
        <f t="shared" si="109"/>
        <v>278.83742647348362</v>
      </c>
      <c r="Z277" s="43">
        <f t="shared" si="110"/>
        <v>0</v>
      </c>
      <c r="AB277" s="43">
        <f t="shared" si="114"/>
        <v>7082.4706324264835</v>
      </c>
      <c r="AC277" s="43">
        <f t="shared" si="115"/>
        <v>4974.4596882869473</v>
      </c>
      <c r="AD277" s="43">
        <f t="shared" si="116"/>
        <v>4974.4596882869473</v>
      </c>
      <c r="AE277" s="43">
        <f t="shared" si="117"/>
        <v>2487.2298441434737</v>
      </c>
      <c r="AF277" s="43">
        <f t="shared" si="118"/>
        <v>0</v>
      </c>
      <c r="AH277" s="43">
        <f t="shared" si="119"/>
        <v>12436.149220717369</v>
      </c>
      <c r="AI277" s="43">
        <f t="shared" si="120"/>
        <v>7461.6895324304214</v>
      </c>
      <c r="AJ277" s="43">
        <f t="shared" si="121"/>
        <v>2487.2298441434741</v>
      </c>
      <c r="AK277" s="43">
        <f t="shared" si="122"/>
        <v>0</v>
      </c>
      <c r="AL277" s="43">
        <f t="shared" si="123"/>
        <v>0</v>
      </c>
      <c r="AN277" s="47">
        <f t="shared" si="124"/>
        <v>7592.3527504758958</v>
      </c>
      <c r="AO277" s="47">
        <f t="shared" si="125"/>
        <v>5355.0058544408985</v>
      </c>
      <c r="AP277" s="47">
        <f t="shared" si="126"/>
        <v>5101.3084103382644</v>
      </c>
      <c r="AQ277" s="47">
        <f t="shared" si="127"/>
        <v>2487.2298441434737</v>
      </c>
      <c r="AR277" s="43">
        <f t="shared" si="128"/>
        <v>0</v>
      </c>
      <c r="AS277" s="120"/>
      <c r="AT277" s="120"/>
      <c r="AU277" s="120"/>
      <c r="AV277" s="120"/>
      <c r="AW277" s="120"/>
      <c r="AX277" s="120"/>
    </row>
    <row r="278" spans="1:50" s="89" customFormat="1" ht="13">
      <c r="A278" s="226"/>
      <c r="B278" s="37">
        <f>'13. Desinvesteringen'!B561</f>
        <v>542</v>
      </c>
      <c r="C278" s="331"/>
      <c r="D278" s="331"/>
      <c r="E278" s="331"/>
      <c r="F278" s="42">
        <f>'5. Input GAW-waarde desinv.'!D237</f>
        <v>111800.93961557576</v>
      </c>
      <c r="G278" s="175">
        <f>'13. Desinvesteringen'!D561</f>
        <v>1971</v>
      </c>
      <c r="H278" s="175">
        <f>'13. Desinvesteringen'!G561</f>
        <v>2024</v>
      </c>
      <c r="I278" s="37" t="str">
        <f>'13. Desinvesteringen'!C561</f>
        <v>01 Regionale leidingen</v>
      </c>
      <c r="J278" s="164">
        <f>'13. Desinvesteringen'!F561</f>
        <v>0</v>
      </c>
      <c r="K278" s="38">
        <f>_xlfn.XLOOKUP(I278,'3. Input (des)investeringen '!$B$11:$B$89,'3. Input (des)investeringen '!$E$11:$E$89)</f>
        <v>1</v>
      </c>
      <c r="L278" s="331"/>
      <c r="M278" s="38">
        <f>_xlfn.XLOOKUP(I278,'3. Input (des)investeringen '!$B$11:$B$89,'3. Input (des)investeringen '!$D$11:$D$89,0)</f>
        <v>55</v>
      </c>
      <c r="N278" s="38">
        <f t="shared" si="113"/>
        <v>4.5</v>
      </c>
      <c r="P278" s="43">
        <f t="shared" si="129"/>
        <v>29068.244300049701</v>
      </c>
      <c r="Q278" s="43">
        <f t="shared" si="129"/>
        <v>20670.751502257561</v>
      </c>
      <c r="R278" s="43">
        <f t="shared" si="129"/>
        <v>20352.739940684369</v>
      </c>
      <c r="S278" s="43">
        <f t="shared" si="129"/>
        <v>20352.739940684369</v>
      </c>
      <c r="T278" s="43">
        <f t="shared" si="129"/>
        <v>10176.369970342184</v>
      </c>
      <c r="V278" s="43">
        <f t="shared" si="106"/>
        <v>2484.4653247905726</v>
      </c>
      <c r="W278" s="43">
        <f t="shared" si="107"/>
        <v>2484.4653247905726</v>
      </c>
      <c r="X278" s="43">
        <f t="shared" si="108"/>
        <v>2484.4653247905726</v>
      </c>
      <c r="Y278" s="43">
        <f t="shared" si="109"/>
        <v>2484.4653247905726</v>
      </c>
      <c r="Z278" s="43">
        <f t="shared" si="110"/>
        <v>1242.2326623952863</v>
      </c>
      <c r="AB278" s="43">
        <f t="shared" si="114"/>
        <v>31552.709624840274</v>
      </c>
      <c r="AC278" s="43">
        <f t="shared" si="115"/>
        <v>23155.216827048134</v>
      </c>
      <c r="AD278" s="43">
        <f t="shared" si="116"/>
        <v>22837.205265474942</v>
      </c>
      <c r="AE278" s="43">
        <f t="shared" si="117"/>
        <v>22837.205265474942</v>
      </c>
      <c r="AF278" s="43">
        <f t="shared" si="118"/>
        <v>11418.602632737471</v>
      </c>
      <c r="AH278" s="43">
        <f t="shared" si="119"/>
        <v>80248.229990735475</v>
      </c>
      <c r="AI278" s="43">
        <f t="shared" si="120"/>
        <v>57093.013163687341</v>
      </c>
      <c r="AJ278" s="43">
        <f t="shared" si="121"/>
        <v>34255.807898212399</v>
      </c>
      <c r="AK278" s="43">
        <f t="shared" si="122"/>
        <v>11418.602632737457</v>
      </c>
      <c r="AL278" s="43">
        <f t="shared" si="123"/>
        <v>0</v>
      </c>
      <c r="AN278" s="47">
        <f t="shared" si="124"/>
        <v>34842.887054460429</v>
      </c>
      <c r="AO278" s="47">
        <f t="shared" si="125"/>
        <v>26066.960498396187</v>
      </c>
      <c r="AP278" s="47">
        <f t="shared" si="126"/>
        <v>24584.251468283775</v>
      </c>
      <c r="AQ278" s="47">
        <f t="shared" si="127"/>
        <v>23465.228410275504</v>
      </c>
      <c r="AR278" s="43">
        <f t="shared" si="128"/>
        <v>11418.602632737471</v>
      </c>
      <c r="AS278" s="120"/>
      <c r="AT278" s="120"/>
      <c r="AU278" s="120"/>
      <c r="AV278" s="120"/>
      <c r="AW278" s="120"/>
      <c r="AX278" s="120"/>
    </row>
    <row r="279" spans="1:50" s="89" customFormat="1" ht="13">
      <c r="A279" s="226"/>
      <c r="B279" s="37">
        <f>'13. Desinvesteringen'!B562</f>
        <v>543</v>
      </c>
      <c r="C279" s="331"/>
      <c r="D279" s="331"/>
      <c r="E279" s="331"/>
      <c r="F279" s="42">
        <f>'5. Input GAW-waarde desinv.'!D238</f>
        <v>31700.152105729732</v>
      </c>
      <c r="G279" s="175">
        <f>'13. Desinvesteringen'!D562</f>
        <v>1972</v>
      </c>
      <c r="H279" s="175">
        <f>'13. Desinvesteringen'!G562</f>
        <v>2024</v>
      </c>
      <c r="I279" s="37" t="str">
        <f>'13. Desinvesteringen'!C562</f>
        <v>01 Regionale leidingen</v>
      </c>
      <c r="J279" s="164">
        <f>'13. Desinvesteringen'!F562</f>
        <v>0</v>
      </c>
      <c r="K279" s="38">
        <f>_xlfn.XLOOKUP(I279,'3. Input (des)investeringen '!$B$11:$B$89,'3. Input (des)investeringen '!$E$11:$E$89)</f>
        <v>1</v>
      </c>
      <c r="L279" s="331"/>
      <c r="M279" s="38">
        <f>_xlfn.XLOOKUP(I279,'3. Input (des)investeringen '!$B$11:$B$89,'3. Input (des)investeringen '!$D$11:$D$89,0)</f>
        <v>55</v>
      </c>
      <c r="N279" s="38">
        <f t="shared" si="113"/>
        <v>5.5</v>
      </c>
      <c r="P279" s="43">
        <f t="shared" si="129"/>
        <v>6743.4869024915979</v>
      </c>
      <c r="Q279" s="43">
        <f t="shared" si="129"/>
        <v>5149.5718164481295</v>
      </c>
      <c r="R279" s="43">
        <f t="shared" si="129"/>
        <v>4753.4509074905809</v>
      </c>
      <c r="S279" s="43">
        <f t="shared" si="129"/>
        <v>4753.4509074905809</v>
      </c>
      <c r="T279" s="43">
        <f t="shared" si="129"/>
        <v>4753.4509074905809</v>
      </c>
      <c r="V279" s="43">
        <f t="shared" si="106"/>
        <v>576.36640192235882</v>
      </c>
      <c r="W279" s="43">
        <f t="shared" si="107"/>
        <v>576.3664019223587</v>
      </c>
      <c r="X279" s="43">
        <f t="shared" si="108"/>
        <v>576.3664019223587</v>
      </c>
      <c r="Y279" s="43">
        <f t="shared" si="109"/>
        <v>576.3664019223587</v>
      </c>
      <c r="Z279" s="43">
        <f t="shared" si="110"/>
        <v>576.3664019223587</v>
      </c>
      <c r="AB279" s="43">
        <f t="shared" si="114"/>
        <v>7319.8533044139567</v>
      </c>
      <c r="AC279" s="43">
        <f t="shared" si="115"/>
        <v>5725.9382183704884</v>
      </c>
      <c r="AD279" s="43">
        <f t="shared" si="116"/>
        <v>5329.8173094129397</v>
      </c>
      <c r="AE279" s="43">
        <f t="shared" si="117"/>
        <v>5329.8173094129397</v>
      </c>
      <c r="AF279" s="43">
        <f t="shared" si="118"/>
        <v>5329.8173094129397</v>
      </c>
      <c r="AH279" s="43">
        <f t="shared" si="119"/>
        <v>24380.298801315774</v>
      </c>
      <c r="AI279" s="43">
        <f t="shared" si="120"/>
        <v>18654.360582945286</v>
      </c>
      <c r="AJ279" s="43">
        <f t="shared" si="121"/>
        <v>13324.543273532347</v>
      </c>
      <c r="AK279" s="43">
        <f t="shared" si="122"/>
        <v>7994.7259641194069</v>
      </c>
      <c r="AL279" s="43">
        <f t="shared" si="123"/>
        <v>2664.9086547064671</v>
      </c>
      <c r="AN279" s="47">
        <f t="shared" si="124"/>
        <v>8319.4455552679028</v>
      </c>
      <c r="AO279" s="47">
        <f t="shared" si="125"/>
        <v>6677.3106081006981</v>
      </c>
      <c r="AP279" s="47">
        <f t="shared" si="126"/>
        <v>6009.369016363089</v>
      </c>
      <c r="AQ279" s="47">
        <f t="shared" si="127"/>
        <v>5769.5272374395072</v>
      </c>
      <c r="AR279" s="43">
        <f t="shared" si="128"/>
        <v>5431.0838382917855</v>
      </c>
      <c r="AS279" s="120"/>
      <c r="AT279" s="120"/>
      <c r="AU279" s="120"/>
      <c r="AV279" s="120"/>
      <c r="AW279" s="120"/>
      <c r="AX279" s="120"/>
    </row>
    <row r="280" spans="1:50" s="89" customFormat="1" ht="13">
      <c r="A280" s="226"/>
      <c r="B280" s="37">
        <f>'13. Desinvesteringen'!B563</f>
        <v>544</v>
      </c>
      <c r="C280" s="331"/>
      <c r="D280" s="331"/>
      <c r="E280" s="331"/>
      <c r="F280" s="42">
        <f>'5. Input GAW-waarde desinv.'!D239</f>
        <v>50171.039481668777</v>
      </c>
      <c r="G280" s="175">
        <f>'13. Desinvesteringen'!D563</f>
        <v>1973</v>
      </c>
      <c r="H280" s="175">
        <f>'13. Desinvesteringen'!G563</f>
        <v>2024</v>
      </c>
      <c r="I280" s="37" t="str">
        <f>'13. Desinvesteringen'!C563</f>
        <v>01 Regionale leidingen</v>
      </c>
      <c r="J280" s="164">
        <f>'13. Desinvesteringen'!F563</f>
        <v>0</v>
      </c>
      <c r="K280" s="38">
        <f>_xlfn.XLOOKUP(I280,'3. Input (des)investeringen '!$B$11:$B$89,'3. Input (des)investeringen '!$E$11:$E$89)</f>
        <v>1</v>
      </c>
      <c r="L280" s="331"/>
      <c r="M280" s="38">
        <f>_xlfn.XLOOKUP(I280,'3. Input (des)investeringen '!$B$11:$B$89,'3. Input (des)investeringen '!$D$11:$D$89,0)</f>
        <v>55</v>
      </c>
      <c r="N280" s="38">
        <f t="shared" si="113"/>
        <v>6.5</v>
      </c>
      <c r="P280" s="43">
        <f t="shared" si="129"/>
        <v>9030.7871067003798</v>
      </c>
      <c r="Q280" s="43">
        <f t="shared" si="129"/>
        <v>7224.6296853603044</v>
      </c>
      <c r="R280" s="43">
        <f t="shared" si="129"/>
        <v>6421.8930536536036</v>
      </c>
      <c r="S280" s="43">
        <f t="shared" si="129"/>
        <v>6421.8930536536036</v>
      </c>
      <c r="T280" s="43">
        <f t="shared" si="129"/>
        <v>6421.8930536536036</v>
      </c>
      <c r="V280" s="43">
        <f t="shared" si="106"/>
        <v>771.86214587182747</v>
      </c>
      <c r="W280" s="43">
        <f t="shared" si="107"/>
        <v>771.86214587182735</v>
      </c>
      <c r="X280" s="43">
        <f t="shared" si="108"/>
        <v>771.86214587182735</v>
      </c>
      <c r="Y280" s="43">
        <f t="shared" si="109"/>
        <v>771.86214587182735</v>
      </c>
      <c r="Z280" s="43">
        <f t="shared" si="110"/>
        <v>771.86214587182735</v>
      </c>
      <c r="AB280" s="43">
        <f t="shared" si="114"/>
        <v>9802.6492525722078</v>
      </c>
      <c r="AC280" s="43">
        <f t="shared" si="115"/>
        <v>7996.4918312321315</v>
      </c>
      <c r="AD280" s="43">
        <f t="shared" si="116"/>
        <v>7193.7551995254307</v>
      </c>
      <c r="AE280" s="43">
        <f t="shared" si="117"/>
        <v>7193.7551995254307</v>
      </c>
      <c r="AF280" s="43">
        <f t="shared" si="118"/>
        <v>7193.7551995254307</v>
      </c>
      <c r="AH280" s="43">
        <f t="shared" si="119"/>
        <v>40368.390229096571</v>
      </c>
      <c r="AI280" s="43">
        <f t="shared" si="120"/>
        <v>32371.898397864439</v>
      </c>
      <c r="AJ280" s="43">
        <f t="shared" si="121"/>
        <v>25178.143198339007</v>
      </c>
      <c r="AK280" s="43">
        <f t="shared" si="122"/>
        <v>17984.387998813574</v>
      </c>
      <c r="AL280" s="43">
        <f t="shared" si="123"/>
        <v>10790.632799288143</v>
      </c>
      <c r="AN280" s="47">
        <f t="shared" si="124"/>
        <v>11457.753251965167</v>
      </c>
      <c r="AO280" s="47">
        <f t="shared" si="125"/>
        <v>9647.4586495232179</v>
      </c>
      <c r="AP280" s="47">
        <f t="shared" si="126"/>
        <v>8477.8405026407199</v>
      </c>
      <c r="AQ280" s="47">
        <f t="shared" si="127"/>
        <v>8182.8965394601773</v>
      </c>
      <c r="AR280" s="43">
        <f t="shared" si="128"/>
        <v>7603.7992458983799</v>
      </c>
      <c r="AS280" s="120"/>
      <c r="AT280" s="120"/>
      <c r="AU280" s="120"/>
      <c r="AV280" s="120"/>
      <c r="AW280" s="120"/>
      <c r="AX280" s="120"/>
    </row>
    <row r="281" spans="1:50" s="89" customFormat="1" ht="13">
      <c r="A281" s="226"/>
      <c r="B281" s="37">
        <f>'13. Desinvesteringen'!B564</f>
        <v>545</v>
      </c>
      <c r="C281" s="331"/>
      <c r="D281" s="331"/>
      <c r="E281" s="331"/>
      <c r="F281" s="42">
        <f>'5. Input GAW-waarde desinv.'!D240</f>
        <v>20841.942479994177</v>
      </c>
      <c r="G281" s="175">
        <f>'13. Desinvesteringen'!D564</f>
        <v>1974</v>
      </c>
      <c r="H281" s="175">
        <f>'13. Desinvesteringen'!G564</f>
        <v>2024</v>
      </c>
      <c r="I281" s="37" t="str">
        <f>'13. Desinvesteringen'!C564</f>
        <v>01 Regionale leidingen</v>
      </c>
      <c r="J281" s="164">
        <f>'13. Desinvesteringen'!F564</f>
        <v>0</v>
      </c>
      <c r="K281" s="38">
        <f>_xlfn.XLOOKUP(I281,'3. Input (des)investeringen '!$B$11:$B$89,'3. Input (des)investeringen '!$E$11:$E$89)</f>
        <v>1</v>
      </c>
      <c r="L281" s="331"/>
      <c r="M281" s="38">
        <f>_xlfn.XLOOKUP(I281,'3. Input (des)investeringen '!$B$11:$B$89,'3. Input (des)investeringen '!$D$11:$D$89,0)</f>
        <v>55</v>
      </c>
      <c r="N281" s="38">
        <f t="shared" si="113"/>
        <v>7.5</v>
      </c>
      <c r="P281" s="43">
        <f t="shared" si="129"/>
        <v>3251.3430268790917</v>
      </c>
      <c r="Q281" s="43">
        <f t="shared" si="129"/>
        <v>2687.7769022200491</v>
      </c>
      <c r="R281" s="43">
        <f t="shared" si="129"/>
        <v>2330.6596914355664</v>
      </c>
      <c r="S281" s="43">
        <f t="shared" si="129"/>
        <v>2330.6596914355664</v>
      </c>
      <c r="T281" s="43">
        <f t="shared" si="129"/>
        <v>2330.6596914355664</v>
      </c>
      <c r="V281" s="43">
        <f t="shared" si="106"/>
        <v>277.89256639992237</v>
      </c>
      <c r="W281" s="43">
        <f t="shared" si="107"/>
        <v>277.89256639992237</v>
      </c>
      <c r="X281" s="43">
        <f t="shared" si="108"/>
        <v>277.89256639992237</v>
      </c>
      <c r="Y281" s="43">
        <f t="shared" si="109"/>
        <v>277.89256639992237</v>
      </c>
      <c r="Z281" s="43">
        <f t="shared" si="110"/>
        <v>277.89256639992237</v>
      </c>
      <c r="AB281" s="43">
        <f t="shared" si="114"/>
        <v>3529.2355932790142</v>
      </c>
      <c r="AC281" s="43">
        <f t="shared" si="115"/>
        <v>2965.6694686199717</v>
      </c>
      <c r="AD281" s="43">
        <f t="shared" si="116"/>
        <v>2608.5522578354889</v>
      </c>
      <c r="AE281" s="43">
        <f t="shared" si="117"/>
        <v>2608.5522578354889</v>
      </c>
      <c r="AF281" s="43">
        <f t="shared" si="118"/>
        <v>2608.5522578354889</v>
      </c>
      <c r="AH281" s="43">
        <f t="shared" si="119"/>
        <v>17312.706886715161</v>
      </c>
      <c r="AI281" s="43">
        <f t="shared" si="120"/>
        <v>14347.037418095189</v>
      </c>
      <c r="AJ281" s="43">
        <f t="shared" si="121"/>
        <v>11738.485160259701</v>
      </c>
      <c r="AK281" s="43">
        <f t="shared" si="122"/>
        <v>9129.9329024242124</v>
      </c>
      <c r="AL281" s="43">
        <f t="shared" si="123"/>
        <v>6521.380644588724</v>
      </c>
      <c r="AN281" s="47">
        <f t="shared" si="124"/>
        <v>4239.0565756343358</v>
      </c>
      <c r="AO281" s="47">
        <f t="shared" si="125"/>
        <v>3697.3683769428262</v>
      </c>
      <c r="AP281" s="47">
        <f t="shared" si="126"/>
        <v>3207.2150010087335</v>
      </c>
      <c r="AQ281" s="47">
        <f t="shared" si="127"/>
        <v>3110.6985674688208</v>
      </c>
      <c r="AR281" s="43">
        <f t="shared" si="128"/>
        <v>2856.3647223298603</v>
      </c>
      <c r="AS281" s="120"/>
      <c r="AT281" s="120"/>
      <c r="AU281" s="120"/>
      <c r="AV281" s="120"/>
      <c r="AW281" s="120"/>
      <c r="AX281" s="120"/>
    </row>
    <row r="282" spans="1:50" s="89" customFormat="1" ht="13">
      <c r="A282" s="226"/>
      <c r="B282" s="37">
        <f>'13. Desinvesteringen'!B565</f>
        <v>546</v>
      </c>
      <c r="C282" s="331"/>
      <c r="D282" s="331"/>
      <c r="E282" s="331"/>
      <c r="F282" s="42">
        <f>'5. Input GAW-waarde desinv.'!D241</f>
        <v>21512.630367935792</v>
      </c>
      <c r="G282" s="175">
        <f>'13. Desinvesteringen'!D565</f>
        <v>1975</v>
      </c>
      <c r="H282" s="175">
        <f>'13. Desinvesteringen'!G565</f>
        <v>2024</v>
      </c>
      <c r="I282" s="37" t="str">
        <f>'13. Desinvesteringen'!C565</f>
        <v>01 Regionale leidingen</v>
      </c>
      <c r="J282" s="164">
        <f>'13. Desinvesteringen'!F565</f>
        <v>0</v>
      </c>
      <c r="K282" s="38">
        <f>_xlfn.XLOOKUP(I282,'3. Input (des)investeringen '!$B$11:$B$89,'3. Input (des)investeringen '!$E$11:$E$89)</f>
        <v>1</v>
      </c>
      <c r="L282" s="331"/>
      <c r="M282" s="38">
        <f>_xlfn.XLOOKUP(I282,'3. Input (des)investeringen '!$B$11:$B$89,'3. Input (des)investeringen '!$D$11:$D$89,0)</f>
        <v>55</v>
      </c>
      <c r="N282" s="38">
        <f t="shared" si="113"/>
        <v>8.5</v>
      </c>
      <c r="P282" s="43">
        <f t="shared" ref="P282:T291" si="130">IF($M282&gt;0, IF(OR($G282&gt;P$50,$G282+$M282&lt;P$50),0,
VDB($F282,0,$N282,MAX(0,P$50-2022),MIN($N282,P$50-2021),$F$23,FALSE))*(1-$F$26), 0)</f>
        <v>2961.1502977041032</v>
      </c>
      <c r="Q282" s="43">
        <f t="shared" si="130"/>
        <v>2508.2684874670053</v>
      </c>
      <c r="R282" s="43">
        <f t="shared" si="130"/>
        <v>2137.2228532263239</v>
      </c>
      <c r="S282" s="43">
        <f t="shared" si="130"/>
        <v>2137.2228532263239</v>
      </c>
      <c r="T282" s="43">
        <f t="shared" si="130"/>
        <v>2137.2228532263239</v>
      </c>
      <c r="V282" s="43">
        <f t="shared" si="106"/>
        <v>253.08976903453873</v>
      </c>
      <c r="W282" s="43">
        <f t="shared" si="107"/>
        <v>253.08976903453873</v>
      </c>
      <c r="X282" s="43">
        <f t="shared" si="108"/>
        <v>253.08976903453873</v>
      </c>
      <c r="Y282" s="43">
        <f t="shared" si="109"/>
        <v>253.08976903453873</v>
      </c>
      <c r="Z282" s="43">
        <f t="shared" si="110"/>
        <v>253.08976903453873</v>
      </c>
      <c r="AB282" s="43">
        <f t="shared" si="114"/>
        <v>3214.2400667386419</v>
      </c>
      <c r="AC282" s="43">
        <f t="shared" si="115"/>
        <v>2761.358256501544</v>
      </c>
      <c r="AD282" s="43">
        <f t="shared" si="116"/>
        <v>2390.3126222608626</v>
      </c>
      <c r="AE282" s="43">
        <f t="shared" si="117"/>
        <v>2390.3126222608626</v>
      </c>
      <c r="AF282" s="43">
        <f t="shared" si="118"/>
        <v>2390.3126222608626</v>
      </c>
      <c r="AH282" s="43">
        <f t="shared" si="119"/>
        <v>18298.390301197149</v>
      </c>
      <c r="AI282" s="43">
        <f t="shared" si="120"/>
        <v>15537.032044695605</v>
      </c>
      <c r="AJ282" s="43">
        <f t="shared" si="121"/>
        <v>13146.719422434742</v>
      </c>
      <c r="AK282" s="43">
        <f t="shared" si="122"/>
        <v>10756.40680017388</v>
      </c>
      <c r="AL282" s="43">
        <f t="shared" si="123"/>
        <v>8366.0941779130171</v>
      </c>
      <c r="AN282" s="47">
        <f t="shared" si="124"/>
        <v>3964.4740690877252</v>
      </c>
      <c r="AO282" s="47">
        <f t="shared" si="125"/>
        <v>3553.7468907810198</v>
      </c>
      <c r="AP282" s="47">
        <f t="shared" si="126"/>
        <v>3060.7953128050344</v>
      </c>
      <c r="AQ282" s="47">
        <f t="shared" si="127"/>
        <v>2981.9149962704259</v>
      </c>
      <c r="AR282" s="43">
        <f t="shared" si="128"/>
        <v>2708.2242010215573</v>
      </c>
      <c r="AS282" s="120"/>
      <c r="AT282" s="120"/>
      <c r="AU282" s="120"/>
      <c r="AV282" s="120"/>
      <c r="AW282" s="120"/>
      <c r="AX282" s="120"/>
    </row>
    <row r="283" spans="1:50" s="89" customFormat="1" ht="13">
      <c r="A283" s="226"/>
      <c r="B283" s="37">
        <f>'13. Desinvesteringen'!B566</f>
        <v>547</v>
      </c>
      <c r="C283" s="331"/>
      <c r="D283" s="331"/>
      <c r="E283" s="331"/>
      <c r="F283" s="42">
        <f>'5. Input GAW-waarde desinv.'!D242</f>
        <v>125308.74203121607</v>
      </c>
      <c r="G283" s="175">
        <f>'13. Desinvesteringen'!D566</f>
        <v>1976</v>
      </c>
      <c r="H283" s="175">
        <f>'13. Desinvesteringen'!G566</f>
        <v>2024</v>
      </c>
      <c r="I283" s="37" t="str">
        <f>'13. Desinvesteringen'!C566</f>
        <v>01 Regionale leidingen</v>
      </c>
      <c r="J283" s="164">
        <f>'13. Desinvesteringen'!F566</f>
        <v>0</v>
      </c>
      <c r="K283" s="38">
        <f>_xlfn.XLOOKUP(I283,'3. Input (des)investeringen '!$B$11:$B$89,'3. Input (des)investeringen '!$E$11:$E$89)</f>
        <v>1</v>
      </c>
      <c r="L283" s="331"/>
      <c r="M283" s="38">
        <f>_xlfn.XLOOKUP(I283,'3. Input (des)investeringen '!$B$11:$B$89,'3. Input (des)investeringen '!$D$11:$D$89,0)</f>
        <v>55</v>
      </c>
      <c r="N283" s="38">
        <f t="shared" si="113"/>
        <v>9.5</v>
      </c>
      <c r="P283" s="43">
        <f t="shared" si="130"/>
        <v>15432.760860686612</v>
      </c>
      <c r="Q283" s="43">
        <f t="shared" si="130"/>
        <v>13320.90937448739</v>
      </c>
      <c r="R283" s="43">
        <f t="shared" si="130"/>
        <v>11498.0480916628</v>
      </c>
      <c r="S283" s="43">
        <f t="shared" si="130"/>
        <v>11157.869154039639</v>
      </c>
      <c r="T283" s="43">
        <f t="shared" si="130"/>
        <v>11157.869154039639</v>
      </c>
      <c r="V283" s="43">
        <f t="shared" si="106"/>
        <v>1319.0393898022746</v>
      </c>
      <c r="W283" s="43">
        <f t="shared" si="107"/>
        <v>1319.0393898022746</v>
      </c>
      <c r="X283" s="43">
        <f t="shared" si="108"/>
        <v>1319.0393898022746</v>
      </c>
      <c r="Y283" s="43">
        <f t="shared" si="109"/>
        <v>1319.0393898022746</v>
      </c>
      <c r="Z283" s="43">
        <f t="shared" si="110"/>
        <v>1319.0393898022746</v>
      </c>
      <c r="AB283" s="43">
        <f t="shared" si="114"/>
        <v>16751.800250488886</v>
      </c>
      <c r="AC283" s="43">
        <f t="shared" si="115"/>
        <v>14639.948764289664</v>
      </c>
      <c r="AD283" s="43">
        <f t="shared" si="116"/>
        <v>12817.087481465074</v>
      </c>
      <c r="AE283" s="43">
        <f t="shared" si="117"/>
        <v>12476.908543841913</v>
      </c>
      <c r="AF283" s="43">
        <f t="shared" si="118"/>
        <v>12476.908543841913</v>
      </c>
      <c r="AH283" s="43">
        <f t="shared" si="119"/>
        <v>108556.94178072718</v>
      </c>
      <c r="AI283" s="43">
        <f t="shared" si="120"/>
        <v>93916.993016437511</v>
      </c>
      <c r="AJ283" s="43">
        <f t="shared" si="121"/>
        <v>81099.905534972437</v>
      </c>
      <c r="AK283" s="43">
        <f t="shared" si="122"/>
        <v>68622.996991130523</v>
      </c>
      <c r="AL283" s="43">
        <f t="shared" si="123"/>
        <v>56146.08844728861</v>
      </c>
      <c r="AN283" s="47">
        <f t="shared" si="124"/>
        <v>21202.634863498701</v>
      </c>
      <c r="AO283" s="47">
        <f t="shared" si="125"/>
        <v>19429.715408127977</v>
      </c>
      <c r="AP283" s="47">
        <f t="shared" si="126"/>
        <v>16953.182663748667</v>
      </c>
      <c r="AQ283" s="47">
        <f t="shared" si="127"/>
        <v>16251.173378354091</v>
      </c>
      <c r="AR283" s="43">
        <f t="shared" si="128"/>
        <v>14610.459904838881</v>
      </c>
      <c r="AS283" s="120"/>
      <c r="AT283" s="120"/>
      <c r="AU283" s="120"/>
      <c r="AV283" s="120"/>
      <c r="AW283" s="120"/>
      <c r="AX283" s="120"/>
    </row>
    <row r="284" spans="1:50" s="89" customFormat="1" ht="13">
      <c r="A284" s="226"/>
      <c r="B284" s="37">
        <f>'13. Desinvesteringen'!B567</f>
        <v>548</v>
      </c>
      <c r="C284" s="331"/>
      <c r="D284" s="331"/>
      <c r="E284" s="331"/>
      <c r="F284" s="42">
        <f>'5. Input GAW-waarde desinv.'!D243</f>
        <v>10935.593498707885</v>
      </c>
      <c r="G284" s="175">
        <f>'13. Desinvesteringen'!D567</f>
        <v>1977</v>
      </c>
      <c r="H284" s="175">
        <f>'13. Desinvesteringen'!G567</f>
        <v>2024</v>
      </c>
      <c r="I284" s="37" t="str">
        <f>'13. Desinvesteringen'!C567</f>
        <v>01 Regionale leidingen</v>
      </c>
      <c r="J284" s="164">
        <f>'13. Desinvesteringen'!F567</f>
        <v>0</v>
      </c>
      <c r="K284" s="38">
        <f>_xlfn.XLOOKUP(I284,'3. Input (des)investeringen '!$B$11:$B$89,'3. Input (des)investeringen '!$E$11:$E$89)</f>
        <v>1</v>
      </c>
      <c r="L284" s="331"/>
      <c r="M284" s="38">
        <f>_xlfn.XLOOKUP(I284,'3. Input (des)investeringen '!$B$11:$B$89,'3. Input (des)investeringen '!$D$11:$D$89,0)</f>
        <v>55</v>
      </c>
      <c r="N284" s="38">
        <f t="shared" si="113"/>
        <v>10.5</v>
      </c>
      <c r="P284" s="43">
        <f t="shared" si="130"/>
        <v>1218.537561284593</v>
      </c>
      <c r="Q284" s="43">
        <f t="shared" si="130"/>
        <v>1067.671006077929</v>
      </c>
      <c r="R284" s="43">
        <f t="shared" si="130"/>
        <v>935.48316723018547</v>
      </c>
      <c r="S284" s="43">
        <f t="shared" si="130"/>
        <v>882.71232189925195</v>
      </c>
      <c r="T284" s="43">
        <f t="shared" si="130"/>
        <v>882.71232189925195</v>
      </c>
      <c r="V284" s="43">
        <f t="shared" si="106"/>
        <v>104.14850951150368</v>
      </c>
      <c r="W284" s="43">
        <f t="shared" si="107"/>
        <v>104.14850951150368</v>
      </c>
      <c r="X284" s="43">
        <f t="shared" si="108"/>
        <v>104.14850951150368</v>
      </c>
      <c r="Y284" s="43">
        <f t="shared" si="109"/>
        <v>104.14850951150368</v>
      </c>
      <c r="Z284" s="43">
        <f t="shared" si="110"/>
        <v>104.14850951150368</v>
      </c>
      <c r="AB284" s="43">
        <f t="shared" si="114"/>
        <v>1322.6860707960968</v>
      </c>
      <c r="AC284" s="43">
        <f t="shared" si="115"/>
        <v>1171.8195155894327</v>
      </c>
      <c r="AD284" s="43">
        <f t="shared" si="116"/>
        <v>1039.6316767416893</v>
      </c>
      <c r="AE284" s="43">
        <f t="shared" si="117"/>
        <v>986.86083141075562</v>
      </c>
      <c r="AF284" s="43">
        <f t="shared" si="118"/>
        <v>986.86083141075562</v>
      </c>
      <c r="AH284" s="43">
        <f t="shared" si="119"/>
        <v>9612.9074279117885</v>
      </c>
      <c r="AI284" s="43">
        <f t="shared" si="120"/>
        <v>8441.0879123223567</v>
      </c>
      <c r="AJ284" s="43">
        <f t="shared" si="121"/>
        <v>7401.4562355806675</v>
      </c>
      <c r="AK284" s="43">
        <f t="shared" si="122"/>
        <v>6414.5954041699115</v>
      </c>
      <c r="AL284" s="43">
        <f t="shared" si="123"/>
        <v>5427.7345727591555</v>
      </c>
      <c r="AN284" s="47">
        <f t="shared" si="124"/>
        <v>1716.8152753404802</v>
      </c>
      <c r="AO284" s="47">
        <f t="shared" si="125"/>
        <v>1602.314999117873</v>
      </c>
      <c r="AP284" s="47">
        <f t="shared" si="126"/>
        <v>1417.1059447563034</v>
      </c>
      <c r="AQ284" s="47">
        <f t="shared" si="127"/>
        <v>1339.6635786401007</v>
      </c>
      <c r="AR284" s="43">
        <f t="shared" si="128"/>
        <v>1193.1147451756035</v>
      </c>
      <c r="AS284" s="120"/>
      <c r="AT284" s="120"/>
      <c r="AU284" s="120"/>
      <c r="AV284" s="120"/>
      <c r="AW284" s="120"/>
      <c r="AX284" s="120"/>
    </row>
    <row r="285" spans="1:50" s="89" customFormat="1" ht="13">
      <c r="A285" s="226"/>
      <c r="B285" s="37">
        <f>'13. Desinvesteringen'!B568</f>
        <v>549</v>
      </c>
      <c r="C285" s="331"/>
      <c r="D285" s="331"/>
      <c r="E285" s="331"/>
      <c r="F285" s="42">
        <f>'5. Input GAW-waarde desinv.'!D244</f>
        <v>626.06137659381329</v>
      </c>
      <c r="G285" s="175">
        <f>'13. Desinvesteringen'!D568</f>
        <v>1979</v>
      </c>
      <c r="H285" s="175">
        <f>'13. Desinvesteringen'!G568</f>
        <v>2024</v>
      </c>
      <c r="I285" s="37" t="str">
        <f>'13. Desinvesteringen'!C568</f>
        <v>01 Regionale leidingen</v>
      </c>
      <c r="J285" s="164">
        <f>'13. Desinvesteringen'!F568</f>
        <v>0</v>
      </c>
      <c r="K285" s="38">
        <f>_xlfn.XLOOKUP(I285,'3. Input (des)investeringen '!$B$11:$B$89,'3. Input (des)investeringen '!$E$11:$E$89)</f>
        <v>1</v>
      </c>
      <c r="L285" s="331"/>
      <c r="M285" s="38">
        <f>_xlfn.XLOOKUP(I285,'3. Input (des)investeringen '!$B$11:$B$89,'3. Input (des)investeringen '!$D$11:$D$89,0)</f>
        <v>55</v>
      </c>
      <c r="N285" s="38">
        <f t="shared" si="113"/>
        <v>12.5</v>
      </c>
      <c r="P285" s="43">
        <f t="shared" si="130"/>
        <v>58.59934484918093</v>
      </c>
      <c r="Q285" s="43">
        <f t="shared" si="130"/>
        <v>52.505012984866113</v>
      </c>
      <c r="R285" s="43">
        <f t="shared" si="130"/>
        <v>47.044491634440043</v>
      </c>
      <c r="S285" s="43">
        <f t="shared" si="130"/>
        <v>42.663830470099462</v>
      </c>
      <c r="T285" s="43">
        <f t="shared" si="130"/>
        <v>42.663830470099462</v>
      </c>
      <c r="V285" s="43">
        <f t="shared" si="106"/>
        <v>5.0084910127505067</v>
      </c>
      <c r="W285" s="43">
        <f t="shared" si="107"/>
        <v>5.0084910127505067</v>
      </c>
      <c r="X285" s="43">
        <f t="shared" si="108"/>
        <v>5.0084910127505067</v>
      </c>
      <c r="Y285" s="43">
        <f t="shared" si="109"/>
        <v>5.0084910127505067</v>
      </c>
      <c r="Z285" s="43">
        <f t="shared" si="110"/>
        <v>5.0084910127505067</v>
      </c>
      <c r="AB285" s="43">
        <f t="shared" si="114"/>
        <v>63.607835861931434</v>
      </c>
      <c r="AC285" s="43">
        <f t="shared" si="115"/>
        <v>57.513503997616617</v>
      </c>
      <c r="AD285" s="43">
        <f t="shared" si="116"/>
        <v>52.052982647190547</v>
      </c>
      <c r="AE285" s="43">
        <f t="shared" si="117"/>
        <v>47.672321482849966</v>
      </c>
      <c r="AF285" s="43">
        <f t="shared" si="118"/>
        <v>47.672321482849966</v>
      </c>
      <c r="AH285" s="43">
        <f t="shared" si="119"/>
        <v>562.45354073188184</v>
      </c>
      <c r="AI285" s="43">
        <f t="shared" si="120"/>
        <v>504.94003673426522</v>
      </c>
      <c r="AJ285" s="43">
        <f t="shared" si="121"/>
        <v>452.88705408707466</v>
      </c>
      <c r="AK285" s="43">
        <f t="shared" si="122"/>
        <v>405.21473260422471</v>
      </c>
      <c r="AL285" s="43">
        <f t="shared" si="123"/>
        <v>357.54241112137476</v>
      </c>
      <c r="AN285" s="47">
        <f t="shared" si="124"/>
        <v>86.668431031938596</v>
      </c>
      <c r="AO285" s="47">
        <f t="shared" si="125"/>
        <v>83.265445871064145</v>
      </c>
      <c r="AP285" s="47">
        <f t="shared" si="126"/>
        <v>75.150222405631354</v>
      </c>
      <c r="AQ285" s="47">
        <f t="shared" si="127"/>
        <v>69.95913177608233</v>
      </c>
      <c r="AR285" s="43">
        <f t="shared" si="128"/>
        <v>61.258933105462205</v>
      </c>
      <c r="AS285" s="120"/>
      <c r="AT285" s="120"/>
      <c r="AU285" s="120"/>
      <c r="AV285" s="120"/>
      <c r="AW285" s="120"/>
      <c r="AX285" s="120"/>
    </row>
    <row r="286" spans="1:50" s="89" customFormat="1" ht="13">
      <c r="A286" s="226"/>
      <c r="B286" s="37">
        <f>'13. Desinvesteringen'!B569</f>
        <v>550</v>
      </c>
      <c r="C286" s="331"/>
      <c r="D286" s="331"/>
      <c r="E286" s="331"/>
      <c r="F286" s="42">
        <f>'5. Input GAW-waarde desinv.'!D245</f>
        <v>1810.4047177063972</v>
      </c>
      <c r="G286" s="175">
        <f>'13. Desinvesteringen'!D569</f>
        <v>1985</v>
      </c>
      <c r="H286" s="175">
        <f>'13. Desinvesteringen'!G569</f>
        <v>2024</v>
      </c>
      <c r="I286" s="37" t="str">
        <f>'13. Desinvesteringen'!C569</f>
        <v>01 Regionale leidingen</v>
      </c>
      <c r="J286" s="164">
        <f>'13. Desinvesteringen'!F569</f>
        <v>0</v>
      </c>
      <c r="K286" s="38">
        <f>_xlfn.XLOOKUP(I286,'3. Input (des)investeringen '!$B$11:$B$89,'3. Input (des)investeringen '!$E$11:$E$89)</f>
        <v>1</v>
      </c>
      <c r="L286" s="331"/>
      <c r="M286" s="38">
        <f>_xlfn.XLOOKUP(I286,'3. Input (des)investeringen '!$B$11:$B$89,'3. Input (des)investeringen '!$D$11:$D$89,0)</f>
        <v>55</v>
      </c>
      <c r="N286" s="38">
        <f t="shared" si="113"/>
        <v>18.5</v>
      </c>
      <c r="P286" s="43">
        <f t="shared" si="130"/>
        <v>114.49586593062081</v>
      </c>
      <c r="Q286" s="43">
        <f t="shared" si="130"/>
        <v>106.45021048684744</v>
      </c>
      <c r="R286" s="43">
        <f t="shared" si="130"/>
        <v>98.969925425609517</v>
      </c>
      <c r="S286" s="43">
        <f t="shared" si="130"/>
        <v>92.015282017323429</v>
      </c>
      <c r="T286" s="43">
        <f t="shared" si="130"/>
        <v>85.549343280970973</v>
      </c>
      <c r="V286" s="43">
        <f t="shared" si="106"/>
        <v>9.7859714470616073</v>
      </c>
      <c r="W286" s="43">
        <f t="shared" si="107"/>
        <v>9.7859714470616055</v>
      </c>
      <c r="X286" s="43">
        <f t="shared" si="108"/>
        <v>9.7859714470616055</v>
      </c>
      <c r="Y286" s="43">
        <f t="shared" si="109"/>
        <v>9.7859714470616055</v>
      </c>
      <c r="Z286" s="43">
        <f t="shared" si="110"/>
        <v>9.7859714470616055</v>
      </c>
      <c r="AB286" s="43">
        <f t="shared" si="114"/>
        <v>124.28183737768242</v>
      </c>
      <c r="AC286" s="43">
        <f t="shared" si="115"/>
        <v>116.23618193390905</v>
      </c>
      <c r="AD286" s="43">
        <f t="shared" si="116"/>
        <v>108.75589687267112</v>
      </c>
      <c r="AE286" s="43">
        <f t="shared" si="117"/>
        <v>101.80125346438504</v>
      </c>
      <c r="AF286" s="43">
        <f t="shared" si="118"/>
        <v>95.335314728032586</v>
      </c>
      <c r="AH286" s="43">
        <f t="shared" si="119"/>
        <v>1686.1228803287147</v>
      </c>
      <c r="AI286" s="43">
        <f t="shared" si="120"/>
        <v>1569.8866983948055</v>
      </c>
      <c r="AJ286" s="43">
        <f t="shared" si="121"/>
        <v>1461.1308015221343</v>
      </c>
      <c r="AK286" s="43">
        <f t="shared" si="122"/>
        <v>1359.3295480577492</v>
      </c>
      <c r="AL286" s="43">
        <f t="shared" si="123"/>
        <v>1263.9942333297167</v>
      </c>
      <c r="AN286" s="47">
        <f t="shared" si="124"/>
        <v>193.41287547115974</v>
      </c>
      <c r="AO286" s="47">
        <f t="shared" si="125"/>
        <v>196.30040355204414</v>
      </c>
      <c r="AP286" s="47">
        <f t="shared" si="126"/>
        <v>183.27356775029995</v>
      </c>
      <c r="AQ286" s="47">
        <f t="shared" si="127"/>
        <v>176.56437860756125</v>
      </c>
      <c r="AR286" s="43">
        <f t="shared" si="128"/>
        <v>143.36709559456182</v>
      </c>
      <c r="AS286" s="120"/>
      <c r="AT286" s="120"/>
      <c r="AU286" s="120"/>
      <c r="AV286" s="120"/>
      <c r="AW286" s="120"/>
      <c r="AX286" s="120"/>
    </row>
    <row r="287" spans="1:50" s="89" customFormat="1" ht="13">
      <c r="A287" s="226"/>
      <c r="B287" s="37">
        <f>'13. Desinvesteringen'!B570</f>
        <v>551</v>
      </c>
      <c r="C287" s="331"/>
      <c r="D287" s="331"/>
      <c r="E287" s="331"/>
      <c r="F287" s="42">
        <f>'5. Input GAW-waarde desinv.'!D246</f>
        <v>10852.493952417557</v>
      </c>
      <c r="G287" s="175">
        <f>'13. Desinvesteringen'!D570</f>
        <v>1988</v>
      </c>
      <c r="H287" s="175">
        <f>'13. Desinvesteringen'!G570</f>
        <v>2024</v>
      </c>
      <c r="I287" s="37" t="str">
        <f>'13. Desinvesteringen'!C570</f>
        <v>01 Regionale leidingen</v>
      </c>
      <c r="J287" s="164">
        <f>'13. Desinvesteringen'!F570</f>
        <v>0</v>
      </c>
      <c r="K287" s="38">
        <f>_xlfn.XLOOKUP(I287,'3. Input (des)investeringen '!$B$11:$B$89,'3. Input (des)investeringen '!$E$11:$E$89)</f>
        <v>1</v>
      </c>
      <c r="L287" s="331"/>
      <c r="M287" s="38">
        <f>_xlfn.XLOOKUP(I287,'3. Input (des)investeringen '!$B$11:$B$89,'3. Input (des)investeringen '!$D$11:$D$89,0)</f>
        <v>55</v>
      </c>
      <c r="N287" s="38">
        <f t="shared" si="113"/>
        <v>21.5</v>
      </c>
      <c r="P287" s="43">
        <f t="shared" si="130"/>
        <v>590.57757787574621</v>
      </c>
      <c r="Q287" s="43">
        <f t="shared" si="130"/>
        <v>554.86823595767783</v>
      </c>
      <c r="R287" s="43">
        <f t="shared" si="130"/>
        <v>521.31806355093443</v>
      </c>
      <c r="S287" s="43">
        <f t="shared" si="130"/>
        <v>489.79650621994773</v>
      </c>
      <c r="T287" s="43">
        <f t="shared" si="130"/>
        <v>460.18090351827647</v>
      </c>
      <c r="V287" s="43">
        <f t="shared" si="106"/>
        <v>50.476716057756079</v>
      </c>
      <c r="W287" s="43">
        <f t="shared" si="107"/>
        <v>50.476716057756079</v>
      </c>
      <c r="X287" s="43">
        <f t="shared" si="108"/>
        <v>50.476716057756079</v>
      </c>
      <c r="Y287" s="43">
        <f t="shared" si="109"/>
        <v>50.476716057756079</v>
      </c>
      <c r="Z287" s="43">
        <f t="shared" si="110"/>
        <v>50.476716057756079</v>
      </c>
      <c r="AB287" s="43">
        <f t="shared" si="114"/>
        <v>641.05429393350232</v>
      </c>
      <c r="AC287" s="43">
        <f t="shared" si="115"/>
        <v>605.34495201543393</v>
      </c>
      <c r="AD287" s="43">
        <f t="shared" si="116"/>
        <v>571.79477960869053</v>
      </c>
      <c r="AE287" s="43">
        <f t="shared" si="117"/>
        <v>540.27322227770378</v>
      </c>
      <c r="AF287" s="43">
        <f t="shared" si="118"/>
        <v>510.65761957603252</v>
      </c>
      <c r="AH287" s="43">
        <f t="shared" si="119"/>
        <v>10211.439658484054</v>
      </c>
      <c r="AI287" s="43">
        <f t="shared" si="120"/>
        <v>9606.0947064686206</v>
      </c>
      <c r="AJ287" s="43">
        <f t="shared" si="121"/>
        <v>9034.2999268599306</v>
      </c>
      <c r="AK287" s="43">
        <f t="shared" si="122"/>
        <v>8494.0267045822275</v>
      </c>
      <c r="AL287" s="43">
        <f t="shared" si="123"/>
        <v>7983.3690850061948</v>
      </c>
      <c r="AN287" s="47">
        <f t="shared" si="124"/>
        <v>1059.7233199313487</v>
      </c>
      <c r="AO287" s="47">
        <f t="shared" si="125"/>
        <v>1095.2557820453335</v>
      </c>
      <c r="AP287" s="47">
        <f t="shared" si="126"/>
        <v>1032.5440758785469</v>
      </c>
      <c r="AQ287" s="47">
        <f t="shared" si="127"/>
        <v>1007.4446910297263</v>
      </c>
      <c r="AR287" s="43">
        <f t="shared" si="128"/>
        <v>814.02564480626791</v>
      </c>
      <c r="AS287" s="120"/>
      <c r="AT287" s="120"/>
      <c r="AU287" s="120"/>
      <c r="AV287" s="120"/>
      <c r="AW287" s="120"/>
      <c r="AX287" s="120"/>
    </row>
    <row r="288" spans="1:50" s="89" customFormat="1" ht="13">
      <c r="A288" s="226"/>
      <c r="B288" s="37">
        <f>'13. Desinvesteringen'!B571</f>
        <v>552</v>
      </c>
      <c r="C288" s="331"/>
      <c r="D288" s="331"/>
      <c r="E288" s="331"/>
      <c r="F288" s="42">
        <f>'5. Input GAW-waarde desinv.'!D247</f>
        <v>8422.2344911531891</v>
      </c>
      <c r="G288" s="175">
        <f>'13. Desinvesteringen'!D571</f>
        <v>1990</v>
      </c>
      <c r="H288" s="175">
        <f>'13. Desinvesteringen'!G571</f>
        <v>2024</v>
      </c>
      <c r="I288" s="37" t="str">
        <f>'13. Desinvesteringen'!C571</f>
        <v>01 Regionale leidingen</v>
      </c>
      <c r="J288" s="164">
        <f>'13. Desinvesteringen'!F571</f>
        <v>0</v>
      </c>
      <c r="K288" s="38">
        <f>_xlfn.XLOOKUP(I288,'3. Input (des)investeringen '!$B$11:$B$89,'3. Input (des)investeringen '!$E$11:$E$89)</f>
        <v>1</v>
      </c>
      <c r="L288" s="331"/>
      <c r="M288" s="38">
        <f>_xlfn.XLOOKUP(I288,'3. Input (des)investeringen '!$B$11:$B$89,'3. Input (des)investeringen '!$D$11:$D$89,0)</f>
        <v>55</v>
      </c>
      <c r="N288" s="38">
        <f t="shared" si="113"/>
        <v>23.5</v>
      </c>
      <c r="P288" s="43">
        <f t="shared" si="130"/>
        <v>419.31975977230775</v>
      </c>
      <c r="Q288" s="43">
        <f t="shared" si="130"/>
        <v>396.12334752958435</v>
      </c>
      <c r="R288" s="43">
        <f t="shared" si="130"/>
        <v>374.21014107050098</v>
      </c>
      <c r="S288" s="43">
        <f t="shared" si="130"/>
        <v>353.50915454319664</v>
      </c>
      <c r="T288" s="43">
        <f t="shared" si="130"/>
        <v>333.95332897272192</v>
      </c>
      <c r="V288" s="43">
        <f t="shared" si="106"/>
        <v>35.83929570703485</v>
      </c>
      <c r="W288" s="43">
        <f t="shared" si="107"/>
        <v>35.83929570703485</v>
      </c>
      <c r="X288" s="43">
        <f t="shared" si="108"/>
        <v>35.83929570703485</v>
      </c>
      <c r="Y288" s="43">
        <f t="shared" si="109"/>
        <v>35.83929570703485</v>
      </c>
      <c r="Z288" s="43">
        <f t="shared" si="110"/>
        <v>35.83929570703485</v>
      </c>
      <c r="AB288" s="43">
        <f t="shared" si="114"/>
        <v>455.15905547934261</v>
      </c>
      <c r="AC288" s="43">
        <f t="shared" si="115"/>
        <v>431.96264323661921</v>
      </c>
      <c r="AD288" s="43">
        <f t="shared" si="116"/>
        <v>410.04943677753585</v>
      </c>
      <c r="AE288" s="43">
        <f t="shared" si="117"/>
        <v>389.34845025023151</v>
      </c>
      <c r="AF288" s="43">
        <f t="shared" si="118"/>
        <v>369.79262467975678</v>
      </c>
      <c r="AH288" s="43">
        <f t="shared" si="119"/>
        <v>7967.0754356738462</v>
      </c>
      <c r="AI288" s="43">
        <f t="shared" si="120"/>
        <v>7535.1127924372267</v>
      </c>
      <c r="AJ288" s="43">
        <f t="shared" si="121"/>
        <v>7125.0633556596913</v>
      </c>
      <c r="AK288" s="43">
        <f t="shared" si="122"/>
        <v>6735.7149054094598</v>
      </c>
      <c r="AL288" s="43">
        <f t="shared" si="123"/>
        <v>6365.9222807297028</v>
      </c>
      <c r="AN288" s="47">
        <f t="shared" si="124"/>
        <v>781.80914834197029</v>
      </c>
      <c r="AO288" s="47">
        <f t="shared" si="125"/>
        <v>816.25339565091781</v>
      </c>
      <c r="AP288" s="47">
        <f t="shared" si="126"/>
        <v>773.4276679161801</v>
      </c>
      <c r="AQ288" s="47">
        <f t="shared" si="127"/>
        <v>759.81277004775188</v>
      </c>
      <c r="AR288" s="43">
        <f t="shared" si="128"/>
        <v>611.69767134748554</v>
      </c>
      <c r="AS288" s="120"/>
      <c r="AT288" s="120"/>
      <c r="AU288" s="120"/>
      <c r="AV288" s="120"/>
      <c r="AW288" s="120"/>
      <c r="AX288" s="120"/>
    </row>
    <row r="289" spans="1:50" s="89" customFormat="1" ht="13">
      <c r="A289" s="226"/>
      <c r="B289" s="37">
        <f>'13. Desinvesteringen'!B572</f>
        <v>553</v>
      </c>
      <c r="C289" s="331"/>
      <c r="D289" s="331"/>
      <c r="E289" s="331"/>
      <c r="F289" s="42">
        <f>'5. Input GAW-waarde desinv.'!D248</f>
        <v>104614.15808228625</v>
      </c>
      <c r="G289" s="175">
        <f>'13. Desinvesteringen'!D572</f>
        <v>1992</v>
      </c>
      <c r="H289" s="175">
        <f>'13. Desinvesteringen'!G572</f>
        <v>2024</v>
      </c>
      <c r="I289" s="37" t="str">
        <f>'13. Desinvesteringen'!C572</f>
        <v>01 Regionale leidingen</v>
      </c>
      <c r="J289" s="164">
        <f>'13. Desinvesteringen'!F572</f>
        <v>0</v>
      </c>
      <c r="K289" s="38">
        <f>_xlfn.XLOOKUP(I289,'3. Input (des)investeringen '!$B$11:$B$89,'3. Input (des)investeringen '!$E$11:$E$89)</f>
        <v>1</v>
      </c>
      <c r="L289" s="331"/>
      <c r="M289" s="38">
        <f>_xlfn.XLOOKUP(I289,'3. Input (des)investeringen '!$B$11:$B$89,'3. Input (des)investeringen '!$D$11:$D$89,0)</f>
        <v>55</v>
      </c>
      <c r="N289" s="38">
        <f t="shared" si="113"/>
        <v>25.5</v>
      </c>
      <c r="P289" s="43">
        <f t="shared" si="130"/>
        <v>4799.9437237754864</v>
      </c>
      <c r="Q289" s="43">
        <f t="shared" si="130"/>
        <v>4555.2407104065405</v>
      </c>
      <c r="R289" s="43">
        <f t="shared" si="130"/>
        <v>4323.0127526211099</v>
      </c>
      <c r="S289" s="43">
        <f t="shared" si="130"/>
        <v>4102.6238671933661</v>
      </c>
      <c r="T289" s="43">
        <f t="shared" si="130"/>
        <v>3893.4704935717436</v>
      </c>
      <c r="V289" s="43">
        <f t="shared" si="106"/>
        <v>410.25160032269116</v>
      </c>
      <c r="W289" s="43">
        <f t="shared" si="107"/>
        <v>410.25160032269127</v>
      </c>
      <c r="X289" s="43">
        <f t="shared" si="108"/>
        <v>410.25160032269127</v>
      </c>
      <c r="Y289" s="43">
        <f t="shared" si="109"/>
        <v>410.25160032269127</v>
      </c>
      <c r="Z289" s="43">
        <f t="shared" si="110"/>
        <v>410.25160032269127</v>
      </c>
      <c r="AB289" s="43">
        <f t="shared" si="114"/>
        <v>5210.1953240981775</v>
      </c>
      <c r="AC289" s="43">
        <f t="shared" si="115"/>
        <v>4965.4923107292316</v>
      </c>
      <c r="AD289" s="43">
        <f t="shared" si="116"/>
        <v>4733.264352943801</v>
      </c>
      <c r="AE289" s="43">
        <f t="shared" si="117"/>
        <v>4512.8754675160571</v>
      </c>
      <c r="AF289" s="43">
        <f t="shared" si="118"/>
        <v>4303.7220938944347</v>
      </c>
      <c r="AH289" s="43">
        <f t="shared" si="119"/>
        <v>99403.962758188063</v>
      </c>
      <c r="AI289" s="43">
        <f t="shared" si="120"/>
        <v>94438.470447458836</v>
      </c>
      <c r="AJ289" s="43">
        <f t="shared" si="121"/>
        <v>89705.20609451503</v>
      </c>
      <c r="AK289" s="43">
        <f t="shared" si="122"/>
        <v>85192.33062699897</v>
      </c>
      <c r="AL289" s="43">
        <f t="shared" si="123"/>
        <v>80888.608533104532</v>
      </c>
      <c r="AN289" s="47">
        <f t="shared" si="124"/>
        <v>9285.7577971838873</v>
      </c>
      <c r="AO289" s="47">
        <f t="shared" si="125"/>
        <v>9781.8543035496332</v>
      </c>
      <c r="AP289" s="47">
        <f t="shared" si="126"/>
        <v>9308.229863764067</v>
      </c>
      <c r="AQ289" s="47">
        <f t="shared" si="127"/>
        <v>9198.4536520010006</v>
      </c>
      <c r="AR289" s="43">
        <f t="shared" si="128"/>
        <v>7377.4892181524065</v>
      </c>
      <c r="AS289" s="120"/>
      <c r="AT289" s="120"/>
      <c r="AU289" s="120"/>
      <c r="AV289" s="120"/>
      <c r="AW289" s="120"/>
      <c r="AX289" s="120"/>
    </row>
    <row r="290" spans="1:50" s="89" customFormat="1" ht="13">
      <c r="A290" s="226"/>
      <c r="B290" s="37">
        <f>'13. Desinvesteringen'!B573</f>
        <v>554</v>
      </c>
      <c r="C290" s="331"/>
      <c r="D290" s="331"/>
      <c r="E290" s="331"/>
      <c r="F290" s="42">
        <f>'5. Input GAW-waarde desinv.'!D249</f>
        <v>49487.380757693187</v>
      </c>
      <c r="G290" s="175">
        <f>'13. Desinvesteringen'!D573</f>
        <v>1993</v>
      </c>
      <c r="H290" s="175">
        <f>'13. Desinvesteringen'!G573</f>
        <v>2024</v>
      </c>
      <c r="I290" s="37" t="str">
        <f>'13. Desinvesteringen'!C573</f>
        <v>01 Regionale leidingen</v>
      </c>
      <c r="J290" s="164">
        <f>'13. Desinvesteringen'!F573</f>
        <v>0</v>
      </c>
      <c r="K290" s="38">
        <f>_xlfn.XLOOKUP(I290,'3. Input (des)investeringen '!$B$11:$B$89,'3. Input (des)investeringen '!$E$11:$E$89)</f>
        <v>1</v>
      </c>
      <c r="L290" s="331"/>
      <c r="M290" s="38">
        <f>_xlfn.XLOOKUP(I290,'3. Input (des)investeringen '!$B$11:$B$89,'3. Input (des)investeringen '!$D$11:$D$89,0)</f>
        <v>55</v>
      </c>
      <c r="N290" s="38">
        <f t="shared" si="113"/>
        <v>26.5</v>
      </c>
      <c r="P290" s="43">
        <f t="shared" si="130"/>
        <v>2184.9145466604164</v>
      </c>
      <c r="Q290" s="43">
        <f t="shared" si="130"/>
        <v>2077.7300594657545</v>
      </c>
      <c r="R290" s="43">
        <f t="shared" si="130"/>
        <v>1975.8036791900759</v>
      </c>
      <c r="S290" s="43">
        <f t="shared" si="130"/>
        <v>1878.8774609656568</v>
      </c>
      <c r="T290" s="43">
        <f t="shared" si="130"/>
        <v>1786.7061138239455</v>
      </c>
      <c r="V290" s="43">
        <f t="shared" si="106"/>
        <v>186.74483304789885</v>
      </c>
      <c r="W290" s="43">
        <f t="shared" si="107"/>
        <v>186.74483304789885</v>
      </c>
      <c r="X290" s="43">
        <f t="shared" si="108"/>
        <v>186.74483304789885</v>
      </c>
      <c r="Y290" s="43">
        <f t="shared" si="109"/>
        <v>186.74483304789885</v>
      </c>
      <c r="Z290" s="43">
        <f t="shared" si="110"/>
        <v>186.74483304789885</v>
      </c>
      <c r="AB290" s="43">
        <f t="shared" si="114"/>
        <v>2371.6593797083151</v>
      </c>
      <c r="AC290" s="43">
        <f t="shared" si="115"/>
        <v>2264.4748925136532</v>
      </c>
      <c r="AD290" s="43">
        <f t="shared" si="116"/>
        <v>2162.5485122379746</v>
      </c>
      <c r="AE290" s="43">
        <f t="shared" si="117"/>
        <v>2065.6222940135558</v>
      </c>
      <c r="AF290" s="43">
        <f t="shared" si="118"/>
        <v>1973.4509468718443</v>
      </c>
      <c r="AH290" s="43">
        <f t="shared" si="119"/>
        <v>47115.721377984868</v>
      </c>
      <c r="AI290" s="43">
        <f t="shared" si="120"/>
        <v>44851.246485471216</v>
      </c>
      <c r="AJ290" s="43">
        <f t="shared" si="121"/>
        <v>42688.69797323324</v>
      </c>
      <c r="AK290" s="43">
        <f t="shared" si="122"/>
        <v>40623.075679219684</v>
      </c>
      <c r="AL290" s="43">
        <f t="shared" si="123"/>
        <v>38649.624732347838</v>
      </c>
      <c r="AN290" s="47">
        <f t="shared" si="124"/>
        <v>4303.4039562056951</v>
      </c>
      <c r="AO290" s="47">
        <f t="shared" si="125"/>
        <v>4551.8884632726849</v>
      </c>
      <c r="AP290" s="47">
        <f t="shared" si="126"/>
        <v>4339.67210887287</v>
      </c>
      <c r="AQ290" s="47">
        <f t="shared" si="127"/>
        <v>4299.8914563706385</v>
      </c>
      <c r="AR290" s="43">
        <f t="shared" si="128"/>
        <v>3442.136686701062</v>
      </c>
      <c r="AS290" s="120"/>
      <c r="AT290" s="120"/>
      <c r="AU290" s="120"/>
      <c r="AV290" s="120"/>
      <c r="AW290" s="120"/>
      <c r="AX290" s="120"/>
    </row>
    <row r="291" spans="1:50" s="89" customFormat="1" ht="13">
      <c r="A291" s="226"/>
      <c r="B291" s="37">
        <f>'13. Desinvesteringen'!B574</f>
        <v>555</v>
      </c>
      <c r="C291" s="331"/>
      <c r="D291" s="331"/>
      <c r="E291" s="331"/>
      <c r="F291" s="42">
        <f>'5. Input GAW-waarde desinv.'!D250</f>
        <v>6751.8169181566982</v>
      </c>
      <c r="G291" s="175">
        <f>'13. Desinvesteringen'!D574</f>
        <v>1998</v>
      </c>
      <c r="H291" s="175">
        <f>'13. Desinvesteringen'!G574</f>
        <v>2024</v>
      </c>
      <c r="I291" s="37" t="str">
        <f>'13. Desinvesteringen'!C574</f>
        <v>01 Regionale leidingen</v>
      </c>
      <c r="J291" s="164">
        <f>'13. Desinvesteringen'!F574</f>
        <v>0</v>
      </c>
      <c r="K291" s="38">
        <f>_xlfn.XLOOKUP(I291,'3. Input (des)investeringen '!$B$11:$B$89,'3. Input (des)investeringen '!$E$11:$E$89)</f>
        <v>1</v>
      </c>
      <c r="L291" s="331"/>
      <c r="M291" s="38">
        <f>_xlfn.XLOOKUP(I291,'3. Input (des)investeringen '!$B$11:$B$89,'3. Input (des)investeringen '!$D$11:$D$89,0)</f>
        <v>55</v>
      </c>
      <c r="N291" s="38">
        <f t="shared" si="113"/>
        <v>31.5</v>
      </c>
      <c r="P291" s="43">
        <f t="shared" si="130"/>
        <v>250.78177124582021</v>
      </c>
      <c r="Q291" s="43">
        <f t="shared" si="130"/>
        <v>240.4320473531356</v>
      </c>
      <c r="R291" s="43">
        <f t="shared" si="130"/>
        <v>230.50945492268872</v>
      </c>
      <c r="S291" s="43">
        <f t="shared" si="130"/>
        <v>220.99636630683173</v>
      </c>
      <c r="T291" s="43">
        <f t="shared" si="130"/>
        <v>211.87588134813709</v>
      </c>
      <c r="V291" s="43">
        <f t="shared" si="106"/>
        <v>21.434339422719678</v>
      </c>
      <c r="W291" s="43">
        <f t="shared" si="107"/>
        <v>21.434339422719678</v>
      </c>
      <c r="X291" s="43">
        <f t="shared" si="108"/>
        <v>21.434339422719678</v>
      </c>
      <c r="Y291" s="43">
        <f t="shared" si="109"/>
        <v>21.434339422719678</v>
      </c>
      <c r="Z291" s="43">
        <f t="shared" si="110"/>
        <v>21.434339422719678</v>
      </c>
      <c r="AB291" s="43">
        <f t="shared" si="114"/>
        <v>272.2161106685399</v>
      </c>
      <c r="AC291" s="43">
        <f t="shared" si="115"/>
        <v>261.86638677585529</v>
      </c>
      <c r="AD291" s="43">
        <f t="shared" si="116"/>
        <v>251.94379434540841</v>
      </c>
      <c r="AE291" s="43">
        <f t="shared" si="117"/>
        <v>242.43070572955142</v>
      </c>
      <c r="AF291" s="43">
        <f t="shared" si="118"/>
        <v>233.31022077085677</v>
      </c>
      <c r="AH291" s="43">
        <f t="shared" si="119"/>
        <v>6479.6008074881584</v>
      </c>
      <c r="AI291" s="43">
        <f t="shared" si="120"/>
        <v>6217.7344207123033</v>
      </c>
      <c r="AJ291" s="43">
        <f t="shared" si="121"/>
        <v>5965.7906263668947</v>
      </c>
      <c r="AK291" s="43">
        <f t="shared" si="122"/>
        <v>5723.3599206373428</v>
      </c>
      <c r="AL291" s="43">
        <f t="shared" si="123"/>
        <v>5490.0496998664858</v>
      </c>
      <c r="AN291" s="47">
        <f t="shared" si="124"/>
        <v>537.8797437755544</v>
      </c>
      <c r="AO291" s="47">
        <f t="shared" si="125"/>
        <v>578.9708422321828</v>
      </c>
      <c r="AP291" s="47">
        <f t="shared" si="126"/>
        <v>556.19911629012006</v>
      </c>
      <c r="AQ291" s="47">
        <f t="shared" si="127"/>
        <v>557.2155013646053</v>
      </c>
      <c r="AR291" s="43">
        <f t="shared" si="128"/>
        <v>441.93210936578322</v>
      </c>
      <c r="AS291" s="120"/>
      <c r="AT291" s="120"/>
      <c r="AU291" s="120"/>
      <c r="AV291" s="120"/>
      <c r="AW291" s="120"/>
      <c r="AX291" s="120"/>
    </row>
    <row r="292" spans="1:50" s="89" customFormat="1" ht="13">
      <c r="A292" s="226"/>
      <c r="B292" s="37">
        <f>'13. Desinvesteringen'!B575</f>
        <v>556</v>
      </c>
      <c r="C292" s="331"/>
      <c r="D292" s="331"/>
      <c r="E292" s="331"/>
      <c r="F292" s="42">
        <f>'5. Input GAW-waarde desinv.'!D251</f>
        <v>69100.503781985579</v>
      </c>
      <c r="G292" s="175">
        <f>'13. Desinvesteringen'!D575</f>
        <v>2004</v>
      </c>
      <c r="H292" s="175">
        <f>'13. Desinvesteringen'!G575</f>
        <v>2024</v>
      </c>
      <c r="I292" s="37" t="str">
        <f>'13. Desinvesteringen'!C575</f>
        <v>01 Regionale leidingen</v>
      </c>
      <c r="J292" s="164">
        <f>'13. Desinvesteringen'!F575</f>
        <v>0</v>
      </c>
      <c r="K292" s="38">
        <f>_xlfn.XLOOKUP(I292,'3. Input (des)investeringen '!$B$11:$B$89,'3. Input (des)investeringen '!$E$11:$E$89)</f>
        <v>1</v>
      </c>
      <c r="L292" s="331"/>
      <c r="M292" s="38">
        <f>_xlfn.XLOOKUP(I292,'3. Input (des)investeringen '!$B$11:$B$89,'3. Input (des)investeringen '!$D$11:$D$89,0)</f>
        <v>55</v>
      </c>
      <c r="N292" s="38">
        <f t="shared" si="113"/>
        <v>37.5</v>
      </c>
      <c r="P292" s="43">
        <f t="shared" ref="P292:T301" si="131">IF($M292&gt;0, IF(OR($G292&gt;P$50,$G292+$M292&lt;P$50),0,
VDB($F292,0,$N292,MAX(0,P$50-2022),MIN($N292,P$50-2021),$F$23,FALSE))*(1-$F$26), 0)</f>
        <v>2155.9357179979502</v>
      </c>
      <c r="Q292" s="43">
        <f t="shared" si="131"/>
        <v>2081.1966131073546</v>
      </c>
      <c r="R292" s="43">
        <f t="shared" si="131"/>
        <v>2009.0484638529658</v>
      </c>
      <c r="S292" s="43">
        <f t="shared" si="131"/>
        <v>1939.4014504393967</v>
      </c>
      <c r="T292" s="43">
        <f t="shared" si="131"/>
        <v>1872.1688668241641</v>
      </c>
      <c r="V292" s="43">
        <f t="shared" si="106"/>
        <v>184.26801008529492</v>
      </c>
      <c r="W292" s="43">
        <f t="shared" si="107"/>
        <v>184.26801008529492</v>
      </c>
      <c r="X292" s="43">
        <f t="shared" si="108"/>
        <v>184.26801008529492</v>
      </c>
      <c r="Y292" s="43">
        <f t="shared" si="109"/>
        <v>184.26801008529492</v>
      </c>
      <c r="Z292" s="43">
        <f t="shared" si="110"/>
        <v>184.26801008529492</v>
      </c>
      <c r="AB292" s="43">
        <f t="shared" si="114"/>
        <v>2340.2037280832451</v>
      </c>
      <c r="AC292" s="43">
        <f t="shared" si="115"/>
        <v>2265.4646231926495</v>
      </c>
      <c r="AD292" s="43">
        <f t="shared" si="116"/>
        <v>2193.316473938261</v>
      </c>
      <c r="AE292" s="43">
        <f t="shared" si="117"/>
        <v>2123.6694605246917</v>
      </c>
      <c r="AF292" s="43">
        <f t="shared" si="118"/>
        <v>2056.436876909459</v>
      </c>
      <c r="AH292" s="43">
        <f t="shared" si="119"/>
        <v>66760.300053902334</v>
      </c>
      <c r="AI292" s="43">
        <f t="shared" si="120"/>
        <v>64494.835430709682</v>
      </c>
      <c r="AJ292" s="43">
        <f t="shared" si="121"/>
        <v>62301.518956771419</v>
      </c>
      <c r="AK292" s="43">
        <f t="shared" si="122"/>
        <v>60177.84949624673</v>
      </c>
      <c r="AL292" s="43">
        <f t="shared" si="123"/>
        <v>58121.412619337272</v>
      </c>
      <c r="AN292" s="47">
        <f t="shared" si="124"/>
        <v>5077.3760302932405</v>
      </c>
      <c r="AO292" s="47">
        <f t="shared" si="125"/>
        <v>5554.7012301588429</v>
      </c>
      <c r="AP292" s="47">
        <f t="shared" si="126"/>
        <v>5370.6939407336031</v>
      </c>
      <c r="AQ292" s="47">
        <f t="shared" si="127"/>
        <v>5433.4511828182622</v>
      </c>
      <c r="AR292" s="43">
        <f t="shared" si="128"/>
        <v>4265.0505564442756</v>
      </c>
      <c r="AS292" s="120"/>
      <c r="AT292" s="120"/>
      <c r="AU292" s="120"/>
      <c r="AV292" s="120"/>
      <c r="AW292" s="120"/>
      <c r="AX292" s="120"/>
    </row>
    <row r="293" spans="1:50" s="89" customFormat="1" ht="13">
      <c r="A293" s="226"/>
      <c r="B293" s="37">
        <f>'13. Desinvesteringen'!B576</f>
        <v>557</v>
      </c>
      <c r="C293" s="331"/>
      <c r="D293" s="331"/>
      <c r="E293" s="331"/>
      <c r="F293" s="42">
        <f>'5. Input GAW-waarde desinv.'!D252</f>
        <v>5340.5922809351332</v>
      </c>
      <c r="G293" s="175">
        <f>'13. Desinvesteringen'!D576</f>
        <v>2006</v>
      </c>
      <c r="H293" s="175">
        <f>'13. Desinvesteringen'!G576</f>
        <v>2024</v>
      </c>
      <c r="I293" s="37" t="str">
        <f>'13. Desinvesteringen'!C576</f>
        <v>01 Regionale leidingen</v>
      </c>
      <c r="J293" s="164">
        <f>'13. Desinvesteringen'!F576</f>
        <v>0</v>
      </c>
      <c r="K293" s="38">
        <f>_xlfn.XLOOKUP(I293,'3. Input (des)investeringen '!$B$11:$B$89,'3. Input (des)investeringen '!$E$11:$E$89)</f>
        <v>1</v>
      </c>
      <c r="L293" s="331"/>
      <c r="M293" s="38">
        <f>_xlfn.XLOOKUP(I293,'3. Input (des)investeringen '!$B$11:$B$89,'3. Input (des)investeringen '!$D$11:$D$89,0)</f>
        <v>55</v>
      </c>
      <c r="N293" s="38">
        <f t="shared" si="113"/>
        <v>39.5</v>
      </c>
      <c r="P293" s="43">
        <f t="shared" si="131"/>
        <v>158.18969540997739</v>
      </c>
      <c r="Q293" s="43">
        <f t="shared" si="131"/>
        <v>152.98345226990219</v>
      </c>
      <c r="R293" s="43">
        <f t="shared" si="131"/>
        <v>147.94855384076615</v>
      </c>
      <c r="S293" s="43">
        <f t="shared" si="131"/>
        <v>143.07936092955106</v>
      </c>
      <c r="T293" s="43">
        <f t="shared" si="131"/>
        <v>138.37041993693293</v>
      </c>
      <c r="V293" s="43">
        <f t="shared" si="106"/>
        <v>13.520486787177553</v>
      </c>
      <c r="W293" s="43">
        <f t="shared" si="107"/>
        <v>13.520486787177553</v>
      </c>
      <c r="X293" s="43">
        <f t="shared" si="108"/>
        <v>13.520486787177553</v>
      </c>
      <c r="Y293" s="43">
        <f t="shared" si="109"/>
        <v>13.520486787177553</v>
      </c>
      <c r="Z293" s="43">
        <f t="shared" si="110"/>
        <v>13.520486787177553</v>
      </c>
      <c r="AB293" s="43">
        <f t="shared" si="114"/>
        <v>171.71018219715495</v>
      </c>
      <c r="AC293" s="43">
        <f t="shared" si="115"/>
        <v>166.50393905707975</v>
      </c>
      <c r="AD293" s="43">
        <f t="shared" si="116"/>
        <v>161.46904062794371</v>
      </c>
      <c r="AE293" s="43">
        <f t="shared" si="117"/>
        <v>156.59984771672862</v>
      </c>
      <c r="AF293" s="43">
        <f t="shared" si="118"/>
        <v>151.89090672411049</v>
      </c>
      <c r="AH293" s="43">
        <f t="shared" si="119"/>
        <v>5168.8820987379786</v>
      </c>
      <c r="AI293" s="43">
        <f t="shared" si="120"/>
        <v>5002.3781596808985</v>
      </c>
      <c r="AJ293" s="43">
        <f t="shared" si="121"/>
        <v>4840.9091190529552</v>
      </c>
      <c r="AK293" s="43">
        <f t="shared" si="122"/>
        <v>4684.3092713362266</v>
      </c>
      <c r="AL293" s="43">
        <f t="shared" si="123"/>
        <v>4532.4183646121164</v>
      </c>
      <c r="AN293" s="47">
        <f t="shared" si="124"/>
        <v>383.63434824541207</v>
      </c>
      <c r="AO293" s="47">
        <f t="shared" si="125"/>
        <v>421.62522520080552</v>
      </c>
      <c r="AP293" s="47">
        <f t="shared" si="126"/>
        <v>408.35540569964439</v>
      </c>
      <c r="AQ293" s="47">
        <f t="shared" si="127"/>
        <v>414.2368576402211</v>
      </c>
      <c r="AR293" s="43">
        <f t="shared" si="128"/>
        <v>324.12280457937095</v>
      </c>
      <c r="AS293" s="120"/>
      <c r="AT293" s="120"/>
      <c r="AU293" s="120"/>
      <c r="AV293" s="120"/>
      <c r="AW293" s="120"/>
      <c r="AX293" s="120"/>
    </row>
    <row r="294" spans="1:50" s="89" customFormat="1" ht="13">
      <c r="A294" s="226"/>
      <c r="B294" s="37">
        <f>'13. Desinvesteringen'!B577</f>
        <v>558</v>
      </c>
      <c r="C294" s="331"/>
      <c r="D294" s="331"/>
      <c r="E294" s="331"/>
      <c r="F294" s="42">
        <f>'5. Input GAW-waarde desinv.'!D253</f>
        <v>6203.2247031267789</v>
      </c>
      <c r="G294" s="175">
        <f>'13. Desinvesteringen'!D577</f>
        <v>2007</v>
      </c>
      <c r="H294" s="175">
        <f>'13. Desinvesteringen'!G577</f>
        <v>2024</v>
      </c>
      <c r="I294" s="37" t="str">
        <f>'13. Desinvesteringen'!C577</f>
        <v>01 Regionale leidingen</v>
      </c>
      <c r="J294" s="164">
        <f>'13. Desinvesteringen'!F577</f>
        <v>0</v>
      </c>
      <c r="K294" s="38">
        <f>_xlfn.XLOOKUP(I294,'3. Input (des)investeringen '!$B$11:$B$89,'3. Input (des)investeringen '!$E$11:$E$89)</f>
        <v>1</v>
      </c>
      <c r="L294" s="331"/>
      <c r="M294" s="38">
        <f>_xlfn.XLOOKUP(I294,'3. Input (des)investeringen '!$B$11:$B$89,'3. Input (des)investeringen '!$D$11:$D$89,0)</f>
        <v>55</v>
      </c>
      <c r="N294" s="38">
        <f t="shared" si="113"/>
        <v>40.5</v>
      </c>
      <c r="P294" s="43">
        <f t="shared" si="131"/>
        <v>179.2042692014403</v>
      </c>
      <c r="Q294" s="43">
        <f t="shared" si="131"/>
        <v>173.45203339991258</v>
      </c>
      <c r="R294" s="43">
        <f t="shared" si="131"/>
        <v>167.88443726608821</v>
      </c>
      <c r="S294" s="43">
        <f t="shared" si="131"/>
        <v>162.49555409458415</v>
      </c>
      <c r="T294" s="43">
        <f t="shared" si="131"/>
        <v>157.27964741994319</v>
      </c>
      <c r="V294" s="43">
        <f t="shared" si="106"/>
        <v>15.316604205251307</v>
      </c>
      <c r="W294" s="43">
        <f t="shared" si="107"/>
        <v>15.316604205251307</v>
      </c>
      <c r="X294" s="43">
        <f t="shared" si="108"/>
        <v>15.316604205251307</v>
      </c>
      <c r="Y294" s="43">
        <f t="shared" si="109"/>
        <v>15.316604205251307</v>
      </c>
      <c r="Z294" s="43">
        <f t="shared" si="110"/>
        <v>15.316604205251307</v>
      </c>
      <c r="AB294" s="43">
        <f t="shared" si="114"/>
        <v>194.52087340669161</v>
      </c>
      <c r="AC294" s="43">
        <f t="shared" si="115"/>
        <v>188.76863760516389</v>
      </c>
      <c r="AD294" s="43">
        <f t="shared" si="116"/>
        <v>183.20104147133952</v>
      </c>
      <c r="AE294" s="43">
        <f t="shared" si="117"/>
        <v>177.81215829983546</v>
      </c>
      <c r="AF294" s="43">
        <f t="shared" si="118"/>
        <v>172.5962516251945</v>
      </c>
      <c r="AH294" s="43">
        <f t="shared" si="119"/>
        <v>6008.703829720087</v>
      </c>
      <c r="AI294" s="43">
        <f t="shared" si="120"/>
        <v>5819.9351921149228</v>
      </c>
      <c r="AJ294" s="43">
        <f t="shared" si="121"/>
        <v>5636.7341506435832</v>
      </c>
      <c r="AK294" s="43">
        <f t="shared" si="122"/>
        <v>5458.9219923437477</v>
      </c>
      <c r="AL294" s="43">
        <f t="shared" si="123"/>
        <v>5286.3257407185529</v>
      </c>
      <c r="AN294" s="47">
        <f t="shared" si="124"/>
        <v>440.87773042521519</v>
      </c>
      <c r="AO294" s="47">
        <f t="shared" si="125"/>
        <v>485.58533240302495</v>
      </c>
      <c r="AP294" s="47">
        <f t="shared" si="126"/>
        <v>470.67448315416226</v>
      </c>
      <c r="AQ294" s="47">
        <f t="shared" si="127"/>
        <v>478.05286787874161</v>
      </c>
      <c r="AR294" s="43">
        <f t="shared" si="128"/>
        <v>373.47662977249951</v>
      </c>
      <c r="AS294" s="120"/>
      <c r="AT294" s="120"/>
      <c r="AU294" s="120"/>
      <c r="AV294" s="120"/>
      <c r="AW294" s="120"/>
      <c r="AX294" s="120"/>
    </row>
    <row r="295" spans="1:50" s="89" customFormat="1" ht="13">
      <c r="A295" s="226"/>
      <c r="B295" s="37">
        <f>'13. Desinvesteringen'!B578</f>
        <v>559</v>
      </c>
      <c r="C295" s="331"/>
      <c r="D295" s="331"/>
      <c r="E295" s="331"/>
      <c r="F295" s="42">
        <f>'5. Input GAW-waarde desinv.'!D254</f>
        <v>367448.10804205487</v>
      </c>
      <c r="G295" s="175">
        <f>'13. Desinvesteringen'!D578</f>
        <v>2009</v>
      </c>
      <c r="H295" s="175">
        <f>'13. Desinvesteringen'!G578</f>
        <v>2024</v>
      </c>
      <c r="I295" s="37" t="str">
        <f>'13. Desinvesteringen'!C578</f>
        <v>01 Regionale leidingen</v>
      </c>
      <c r="J295" s="164">
        <f>'13. Desinvesteringen'!F578</f>
        <v>0</v>
      </c>
      <c r="K295" s="38">
        <f>_xlfn.XLOOKUP(I295,'3. Input (des)investeringen '!$B$11:$B$89,'3. Input (des)investeringen '!$E$11:$E$89)</f>
        <v>1</v>
      </c>
      <c r="L295" s="331"/>
      <c r="M295" s="38">
        <f>_xlfn.XLOOKUP(I295,'3. Input (des)investeringen '!$B$11:$B$89,'3. Input (des)investeringen '!$D$11:$D$89,0)</f>
        <v>55</v>
      </c>
      <c r="N295" s="38">
        <f t="shared" si="113"/>
        <v>42.5</v>
      </c>
      <c r="P295" s="43">
        <f t="shared" si="131"/>
        <v>10115.630268451865</v>
      </c>
      <c r="Q295" s="43">
        <f t="shared" si="131"/>
        <v>9806.2109896521597</v>
      </c>
      <c r="R295" s="43">
        <f t="shared" si="131"/>
        <v>9506.2563005569173</v>
      </c>
      <c r="S295" s="43">
        <f t="shared" si="131"/>
        <v>9215.4766960692941</v>
      </c>
      <c r="T295" s="43">
        <f t="shared" si="131"/>
        <v>8933.5915265424701</v>
      </c>
      <c r="V295" s="43">
        <f t="shared" si="106"/>
        <v>864.58378362836447</v>
      </c>
      <c r="W295" s="43">
        <f t="shared" si="107"/>
        <v>864.58378362836436</v>
      </c>
      <c r="X295" s="43">
        <f t="shared" si="108"/>
        <v>864.58378362836436</v>
      </c>
      <c r="Y295" s="43">
        <f t="shared" si="109"/>
        <v>864.58378362836436</v>
      </c>
      <c r="Z295" s="43">
        <f t="shared" si="110"/>
        <v>864.58378362836436</v>
      </c>
      <c r="AB295" s="43">
        <f t="shared" si="114"/>
        <v>10980.21405208023</v>
      </c>
      <c r="AC295" s="43">
        <f t="shared" si="115"/>
        <v>10670.794773280524</v>
      </c>
      <c r="AD295" s="43">
        <f t="shared" si="116"/>
        <v>10370.840084185282</v>
      </c>
      <c r="AE295" s="43">
        <f t="shared" si="117"/>
        <v>10080.060479697659</v>
      </c>
      <c r="AF295" s="43">
        <f t="shared" si="118"/>
        <v>9798.1753101708346</v>
      </c>
      <c r="AH295" s="43">
        <f t="shared" si="119"/>
        <v>356467.89398997463</v>
      </c>
      <c r="AI295" s="43">
        <f t="shared" si="120"/>
        <v>345797.09921669413</v>
      </c>
      <c r="AJ295" s="43">
        <f t="shared" si="121"/>
        <v>335426.25913250883</v>
      </c>
      <c r="AK295" s="43">
        <f t="shared" si="122"/>
        <v>325346.19865281117</v>
      </c>
      <c r="AL295" s="43">
        <f t="shared" si="123"/>
        <v>315548.02334264031</v>
      </c>
      <c r="AN295" s="47">
        <f t="shared" si="124"/>
        <v>25595.397705669187</v>
      </c>
      <c r="AO295" s="47">
        <f t="shared" si="125"/>
        <v>28306.446833331924</v>
      </c>
      <c r="AP295" s="47">
        <f t="shared" si="126"/>
        <v>27477.579299943231</v>
      </c>
      <c r="AQ295" s="47">
        <f t="shared" si="127"/>
        <v>27974.101405602272</v>
      </c>
      <c r="AR295" s="43">
        <f t="shared" si="128"/>
        <v>21789.000197191166</v>
      </c>
      <c r="AS295" s="120"/>
      <c r="AT295" s="120"/>
      <c r="AU295" s="120"/>
      <c r="AV295" s="120"/>
      <c r="AW295" s="120"/>
      <c r="AX295" s="120"/>
    </row>
    <row r="296" spans="1:50" s="89" customFormat="1" ht="13">
      <c r="A296" s="226"/>
      <c r="B296" s="37">
        <f>'13. Desinvesteringen'!B579</f>
        <v>560</v>
      </c>
      <c r="C296" s="331"/>
      <c r="D296" s="331"/>
      <c r="E296" s="331"/>
      <c r="F296" s="42">
        <f>'5. Input GAW-waarde desinv.'!D255</f>
        <v>493283.8055615066</v>
      </c>
      <c r="G296" s="175">
        <f>'13. Desinvesteringen'!D579</f>
        <v>2010</v>
      </c>
      <c r="H296" s="175">
        <f>'13. Desinvesteringen'!G579</f>
        <v>2024</v>
      </c>
      <c r="I296" s="37" t="str">
        <f>'13. Desinvesteringen'!C579</f>
        <v>01 Regionale leidingen</v>
      </c>
      <c r="J296" s="164">
        <f>'13. Desinvesteringen'!F579</f>
        <v>0</v>
      </c>
      <c r="K296" s="38">
        <f>_xlfn.XLOOKUP(I296,'3. Input (des)investeringen '!$B$11:$B$89,'3. Input (des)investeringen '!$E$11:$E$89)</f>
        <v>1</v>
      </c>
      <c r="L296" s="331"/>
      <c r="M296" s="38">
        <f>_xlfn.XLOOKUP(I296,'3. Input (des)investeringen '!$B$11:$B$89,'3. Input (des)investeringen '!$D$11:$D$89,0)</f>
        <v>55</v>
      </c>
      <c r="N296" s="38">
        <f t="shared" si="113"/>
        <v>43.5</v>
      </c>
      <c r="P296" s="43">
        <f t="shared" si="131"/>
        <v>13267.63339096466</v>
      </c>
      <c r="Q296" s="43">
        <f t="shared" si="131"/>
        <v>12871.129404568017</v>
      </c>
      <c r="R296" s="43">
        <f t="shared" si="131"/>
        <v>12486.47496259242</v>
      </c>
      <c r="S296" s="43">
        <f t="shared" si="131"/>
        <v>12113.315940721841</v>
      </c>
      <c r="T296" s="43">
        <f t="shared" si="131"/>
        <v>11751.308797665788</v>
      </c>
      <c r="V296" s="43">
        <f t="shared" si="106"/>
        <v>1133.9857599115094</v>
      </c>
      <c r="W296" s="43">
        <f t="shared" si="107"/>
        <v>1133.9857599115094</v>
      </c>
      <c r="X296" s="43">
        <f t="shared" si="108"/>
        <v>1133.9857599115094</v>
      </c>
      <c r="Y296" s="43">
        <f t="shared" si="109"/>
        <v>1133.9857599115094</v>
      </c>
      <c r="Z296" s="43">
        <f t="shared" si="110"/>
        <v>1133.9857599115094</v>
      </c>
      <c r="AB296" s="43">
        <f t="shared" si="114"/>
        <v>14401.619150876169</v>
      </c>
      <c r="AC296" s="43">
        <f t="shared" si="115"/>
        <v>14005.115164479526</v>
      </c>
      <c r="AD296" s="43">
        <f t="shared" si="116"/>
        <v>13620.460722503929</v>
      </c>
      <c r="AE296" s="43">
        <f t="shared" si="117"/>
        <v>13247.30170063335</v>
      </c>
      <c r="AF296" s="43">
        <f t="shared" si="118"/>
        <v>12885.294557577297</v>
      </c>
      <c r="AH296" s="43">
        <f t="shared" si="119"/>
        <v>478882.18641063041</v>
      </c>
      <c r="AI296" s="43">
        <f t="shared" si="120"/>
        <v>464877.07124615088</v>
      </c>
      <c r="AJ296" s="43">
        <f t="shared" si="121"/>
        <v>451256.61052364693</v>
      </c>
      <c r="AK296" s="43">
        <f t="shared" si="122"/>
        <v>438009.30882301356</v>
      </c>
      <c r="AL296" s="43">
        <f t="shared" si="123"/>
        <v>425124.01426543627</v>
      </c>
      <c r="AN296" s="47">
        <f t="shared" si="124"/>
        <v>34035.788793712018</v>
      </c>
      <c r="AO296" s="47">
        <f t="shared" si="125"/>
        <v>37713.845798033217</v>
      </c>
      <c r="AP296" s="47">
        <f t="shared" si="126"/>
        <v>36634.547859209924</v>
      </c>
      <c r="AQ296" s="47">
        <f t="shared" si="127"/>
        <v>37337.813685899091</v>
      </c>
      <c r="AR296" s="43">
        <f t="shared" si="128"/>
        <v>29040.007099663875</v>
      </c>
      <c r="AS296" s="120"/>
      <c r="AT296" s="120"/>
      <c r="AU296" s="120"/>
      <c r="AV296" s="120"/>
      <c r="AW296" s="120"/>
      <c r="AX296" s="120"/>
    </row>
    <row r="297" spans="1:50" s="89" customFormat="1" ht="13">
      <c r="A297" s="226"/>
      <c r="B297" s="37">
        <f>'13. Desinvesteringen'!B580</f>
        <v>561</v>
      </c>
      <c r="C297" s="331"/>
      <c r="D297" s="331"/>
      <c r="E297" s="331"/>
      <c r="F297" s="42">
        <f>'5. Input GAW-waarde desinv.'!D256</f>
        <v>3398.0182232575817</v>
      </c>
      <c r="G297" s="175">
        <f>'13. Desinvesteringen'!D580</f>
        <v>2011</v>
      </c>
      <c r="H297" s="175">
        <f>'13. Desinvesteringen'!G580</f>
        <v>2024</v>
      </c>
      <c r="I297" s="37" t="str">
        <f>'13. Desinvesteringen'!C580</f>
        <v>01 Regionale leidingen</v>
      </c>
      <c r="J297" s="164">
        <f>'13. Desinvesteringen'!F580</f>
        <v>0</v>
      </c>
      <c r="K297" s="38">
        <f>_xlfn.XLOOKUP(I297,'3. Input (des)investeringen '!$B$11:$B$89,'3. Input (des)investeringen '!$E$11:$E$89)</f>
        <v>1</v>
      </c>
      <c r="L297" s="331"/>
      <c r="M297" s="38">
        <f>_xlfn.XLOOKUP(I297,'3. Input (des)investeringen '!$B$11:$B$89,'3. Input (des)investeringen '!$D$11:$D$89,0)</f>
        <v>55</v>
      </c>
      <c r="N297" s="38">
        <f t="shared" si="113"/>
        <v>44.5</v>
      </c>
      <c r="P297" s="43">
        <f t="shared" si="131"/>
        <v>89.341153285648787</v>
      </c>
      <c r="Q297" s="43">
        <f t="shared" si="131"/>
        <v>86.731187009888259</v>
      </c>
      <c r="R297" s="43">
        <f t="shared" si="131"/>
        <v>84.197466939936476</v>
      </c>
      <c r="S297" s="43">
        <f t="shared" si="131"/>
        <v>81.737765658545072</v>
      </c>
      <c r="T297" s="43">
        <f t="shared" si="131"/>
        <v>79.349920819081973</v>
      </c>
      <c r="V297" s="43">
        <f t="shared" si="106"/>
        <v>7.6359960073204078</v>
      </c>
      <c r="W297" s="43">
        <f t="shared" si="107"/>
        <v>7.6359960073204078</v>
      </c>
      <c r="X297" s="43">
        <f t="shared" si="108"/>
        <v>7.6359960073204078</v>
      </c>
      <c r="Y297" s="43">
        <f t="shared" si="109"/>
        <v>7.6359960073204078</v>
      </c>
      <c r="Z297" s="43">
        <f t="shared" si="110"/>
        <v>7.6359960073204078</v>
      </c>
      <c r="AB297" s="43">
        <f t="shared" si="114"/>
        <v>96.977149292969187</v>
      </c>
      <c r="AC297" s="43">
        <f t="shared" si="115"/>
        <v>94.367183017208674</v>
      </c>
      <c r="AD297" s="43">
        <f t="shared" si="116"/>
        <v>91.833462947256891</v>
      </c>
      <c r="AE297" s="43">
        <f t="shared" si="117"/>
        <v>89.373761665865487</v>
      </c>
      <c r="AF297" s="43">
        <f t="shared" si="118"/>
        <v>86.985916826402388</v>
      </c>
      <c r="AH297" s="43">
        <f t="shared" si="119"/>
        <v>3301.0410739646127</v>
      </c>
      <c r="AI297" s="43">
        <f t="shared" si="120"/>
        <v>3206.6738909474038</v>
      </c>
      <c r="AJ297" s="43">
        <f t="shared" si="121"/>
        <v>3114.8404280001469</v>
      </c>
      <c r="AK297" s="43">
        <f t="shared" si="122"/>
        <v>3025.4666663342814</v>
      </c>
      <c r="AL297" s="43">
        <f t="shared" si="123"/>
        <v>2938.480749507879</v>
      </c>
      <c r="AN297" s="47">
        <f t="shared" si="124"/>
        <v>232.31983332551832</v>
      </c>
      <c r="AO297" s="47">
        <f t="shared" si="125"/>
        <v>257.90755145552623</v>
      </c>
      <c r="AP297" s="47">
        <f t="shared" si="126"/>
        <v>250.69032477526437</v>
      </c>
      <c r="AQ297" s="47">
        <f t="shared" si="127"/>
        <v>255.77442831425097</v>
      </c>
      <c r="AR297" s="43">
        <f t="shared" si="128"/>
        <v>198.64818530770179</v>
      </c>
      <c r="AS297" s="120"/>
      <c r="AT297" s="120"/>
      <c r="AU297" s="120"/>
      <c r="AV297" s="120"/>
      <c r="AW297" s="120"/>
      <c r="AX297" s="120"/>
    </row>
    <row r="298" spans="1:50" s="89" customFormat="1" ht="13">
      <c r="A298" s="226"/>
      <c r="B298" s="37">
        <f>'13. Desinvesteringen'!B581</f>
        <v>562</v>
      </c>
      <c r="C298" s="331"/>
      <c r="D298" s="331"/>
      <c r="E298" s="331"/>
      <c r="F298" s="42">
        <f>'5. Input GAW-waarde desinv.'!D257</f>
        <v>415690.8352187156</v>
      </c>
      <c r="G298" s="175">
        <f>'13. Desinvesteringen'!D581</f>
        <v>2016</v>
      </c>
      <c r="H298" s="175">
        <f>'13. Desinvesteringen'!G581</f>
        <v>2024</v>
      </c>
      <c r="I298" s="37" t="str">
        <f>'13. Desinvesteringen'!C581</f>
        <v>01 Regionale leidingen</v>
      </c>
      <c r="J298" s="164">
        <f>'13. Desinvesteringen'!F581</f>
        <v>0</v>
      </c>
      <c r="K298" s="38">
        <f>_xlfn.XLOOKUP(I298,'3. Input (des)investeringen '!$B$11:$B$89,'3. Input (des)investeringen '!$E$11:$E$89)</f>
        <v>1</v>
      </c>
      <c r="L298" s="331"/>
      <c r="M298" s="38">
        <f>_xlfn.XLOOKUP(I298,'3. Input (des)investeringen '!$B$11:$B$89,'3. Input (des)investeringen '!$D$11:$D$89,0)</f>
        <v>55</v>
      </c>
      <c r="N298" s="38">
        <f t="shared" si="113"/>
        <v>49.5</v>
      </c>
      <c r="P298" s="43">
        <f t="shared" si="131"/>
        <v>9825.4197415332783</v>
      </c>
      <c r="Q298" s="43">
        <f t="shared" si="131"/>
        <v>9567.3784149879593</v>
      </c>
      <c r="R298" s="43">
        <f t="shared" si="131"/>
        <v>9316.1139313620133</v>
      </c>
      <c r="S298" s="43">
        <f t="shared" si="131"/>
        <v>9071.4483129626078</v>
      </c>
      <c r="T298" s="43">
        <f t="shared" si="131"/>
        <v>8833.2082562585401</v>
      </c>
      <c r="V298" s="43">
        <f t="shared" si="106"/>
        <v>839.77946508831451</v>
      </c>
      <c r="W298" s="43">
        <f t="shared" si="107"/>
        <v>839.77946508831451</v>
      </c>
      <c r="X298" s="43">
        <f t="shared" si="108"/>
        <v>839.77946508831451</v>
      </c>
      <c r="Y298" s="43">
        <f t="shared" si="109"/>
        <v>839.77946508831451</v>
      </c>
      <c r="Z298" s="43">
        <f t="shared" si="110"/>
        <v>839.77946508831451</v>
      </c>
      <c r="AB298" s="43">
        <f t="shared" si="114"/>
        <v>10665.199206621593</v>
      </c>
      <c r="AC298" s="43">
        <f t="shared" si="115"/>
        <v>10407.157880076275</v>
      </c>
      <c r="AD298" s="43">
        <f t="shared" si="116"/>
        <v>10155.893396450329</v>
      </c>
      <c r="AE298" s="43">
        <f t="shared" si="117"/>
        <v>9911.227778050923</v>
      </c>
      <c r="AF298" s="43">
        <f t="shared" si="118"/>
        <v>9672.9877213468553</v>
      </c>
      <c r="AH298" s="43">
        <f t="shared" si="119"/>
        <v>405025.63601209398</v>
      </c>
      <c r="AI298" s="43">
        <f t="shared" si="120"/>
        <v>394618.47813201771</v>
      </c>
      <c r="AJ298" s="43">
        <f t="shared" si="121"/>
        <v>384462.58473556739</v>
      </c>
      <c r="AK298" s="43">
        <f t="shared" si="122"/>
        <v>374551.35695751646</v>
      </c>
      <c r="AL298" s="43">
        <f t="shared" si="123"/>
        <v>364878.36923616962</v>
      </c>
      <c r="AN298" s="47">
        <f t="shared" si="124"/>
        <v>27271.250283117446</v>
      </c>
      <c r="AO298" s="47">
        <f t="shared" si="125"/>
        <v>30532.70026480918</v>
      </c>
      <c r="AP298" s="47">
        <f t="shared" si="126"/>
        <v>29763.485217964262</v>
      </c>
      <c r="AQ298" s="47">
        <f t="shared" si="127"/>
        <v>30511.552410714328</v>
      </c>
      <c r="AR298" s="43">
        <f t="shared" si="128"/>
        <v>23538.365752321301</v>
      </c>
      <c r="AS298" s="120"/>
      <c r="AT298" s="120"/>
      <c r="AU298" s="120"/>
      <c r="AV298" s="120"/>
      <c r="AW298" s="120"/>
      <c r="AX298" s="120"/>
    </row>
    <row r="299" spans="1:50" s="89" customFormat="1" ht="13">
      <c r="A299" s="226"/>
      <c r="B299" s="37">
        <f>'13. Desinvesteringen'!B582</f>
        <v>563</v>
      </c>
      <c r="C299" s="331"/>
      <c r="D299" s="331"/>
      <c r="E299" s="331"/>
      <c r="F299" s="42">
        <f>'5. Input GAW-waarde desinv.'!D258</f>
        <v>0</v>
      </c>
      <c r="G299" s="175">
        <f>'13. Desinvesteringen'!D582</f>
        <v>1967</v>
      </c>
      <c r="H299" s="175">
        <f>'13. Desinvesteringen'!G582</f>
        <v>2024</v>
      </c>
      <c r="I299" s="37" t="str">
        <f>'13. Desinvesteringen'!C582</f>
        <v>02 Gasontvangststations</v>
      </c>
      <c r="J299" s="164">
        <f>'13. Desinvesteringen'!F582</f>
        <v>0</v>
      </c>
      <c r="K299" s="38">
        <f>_xlfn.XLOOKUP(I299,'3. Input (des)investeringen '!$B$11:$B$89,'3. Input (des)investeringen '!$E$11:$E$89)</f>
        <v>0</v>
      </c>
      <c r="L299" s="331"/>
      <c r="M299" s="38">
        <f>_xlfn.XLOOKUP(I299,'3. Input (des)investeringen '!$B$11:$B$89,'3. Input (des)investeringen '!$D$11:$D$89,0)</f>
        <v>30</v>
      </c>
      <c r="N299" s="38">
        <f t="shared" si="113"/>
        <v>0</v>
      </c>
      <c r="P299" s="43">
        <f t="shared" si="131"/>
        <v>0</v>
      </c>
      <c r="Q299" s="43">
        <f t="shared" si="131"/>
        <v>0</v>
      </c>
      <c r="R299" s="43">
        <f t="shared" si="131"/>
        <v>0</v>
      </c>
      <c r="S299" s="43">
        <f t="shared" si="131"/>
        <v>0</v>
      </c>
      <c r="T299" s="43">
        <f t="shared" si="131"/>
        <v>0</v>
      </c>
      <c r="V299" s="43">
        <f t="shared" si="106"/>
        <v>0</v>
      </c>
      <c r="W299" s="43">
        <f t="shared" si="107"/>
        <v>0</v>
      </c>
      <c r="X299" s="43">
        <f t="shared" si="108"/>
        <v>0</v>
      </c>
      <c r="Y299" s="43">
        <f t="shared" si="109"/>
        <v>0</v>
      </c>
      <c r="Z299" s="43">
        <f t="shared" si="110"/>
        <v>0</v>
      </c>
      <c r="AB299" s="43">
        <f t="shared" si="114"/>
        <v>0</v>
      </c>
      <c r="AC299" s="43">
        <f t="shared" si="115"/>
        <v>0</v>
      </c>
      <c r="AD299" s="43">
        <f t="shared" si="116"/>
        <v>0</v>
      </c>
      <c r="AE299" s="43">
        <f t="shared" si="117"/>
        <v>0</v>
      </c>
      <c r="AF299" s="43">
        <f t="shared" si="118"/>
        <v>0</v>
      </c>
      <c r="AH299" s="43">
        <f t="shared" si="119"/>
        <v>0</v>
      </c>
      <c r="AI299" s="43">
        <f t="shared" si="120"/>
        <v>0</v>
      </c>
      <c r="AJ299" s="43">
        <f t="shared" si="121"/>
        <v>0</v>
      </c>
      <c r="AK299" s="43">
        <f t="shared" si="122"/>
        <v>0</v>
      </c>
      <c r="AL299" s="43">
        <f t="shared" si="123"/>
        <v>0</v>
      </c>
      <c r="AN299" s="47">
        <f t="shared" si="124"/>
        <v>0</v>
      </c>
      <c r="AO299" s="47">
        <f t="shared" si="125"/>
        <v>0</v>
      </c>
      <c r="AP299" s="47">
        <f t="shared" si="126"/>
        <v>0</v>
      </c>
      <c r="AQ299" s="47">
        <f t="shared" si="127"/>
        <v>0</v>
      </c>
      <c r="AR299" s="43">
        <f t="shared" si="128"/>
        <v>0</v>
      </c>
      <c r="AS299" s="120"/>
      <c r="AT299" s="120"/>
      <c r="AU299" s="120"/>
      <c r="AV299" s="120"/>
      <c r="AW299" s="120"/>
      <c r="AX299" s="120"/>
    </row>
    <row r="300" spans="1:50" s="89" customFormat="1" ht="13">
      <c r="A300" s="226"/>
      <c r="B300" s="37">
        <f>'13. Desinvesteringen'!B583</f>
        <v>564</v>
      </c>
      <c r="C300" s="331"/>
      <c r="D300" s="331"/>
      <c r="E300" s="331"/>
      <c r="F300" s="42">
        <f>'5. Input GAW-waarde desinv.'!D259</f>
        <v>0</v>
      </c>
      <c r="G300" s="175">
        <f>'13. Desinvesteringen'!D583</f>
        <v>1968</v>
      </c>
      <c r="H300" s="175">
        <f>'13. Desinvesteringen'!G583</f>
        <v>2024</v>
      </c>
      <c r="I300" s="37" t="str">
        <f>'13. Desinvesteringen'!C583</f>
        <v>02 Gasontvangststations</v>
      </c>
      <c r="J300" s="164">
        <f>'13. Desinvesteringen'!F583</f>
        <v>0</v>
      </c>
      <c r="K300" s="38">
        <f>_xlfn.XLOOKUP(I300,'3. Input (des)investeringen '!$B$11:$B$89,'3. Input (des)investeringen '!$E$11:$E$89)</f>
        <v>0</v>
      </c>
      <c r="L300" s="331"/>
      <c r="M300" s="38">
        <f>_xlfn.XLOOKUP(I300,'3. Input (des)investeringen '!$B$11:$B$89,'3. Input (des)investeringen '!$D$11:$D$89,0)</f>
        <v>30</v>
      </c>
      <c r="N300" s="38">
        <f t="shared" si="113"/>
        <v>0</v>
      </c>
      <c r="P300" s="43">
        <f t="shared" si="131"/>
        <v>0</v>
      </c>
      <c r="Q300" s="43">
        <f t="shared" si="131"/>
        <v>0</v>
      </c>
      <c r="R300" s="43">
        <f t="shared" si="131"/>
        <v>0</v>
      </c>
      <c r="S300" s="43">
        <f t="shared" si="131"/>
        <v>0</v>
      </c>
      <c r="T300" s="43">
        <f t="shared" si="131"/>
        <v>0</v>
      </c>
      <c r="V300" s="43">
        <f t="shared" si="106"/>
        <v>0</v>
      </c>
      <c r="W300" s="43">
        <f t="shared" si="107"/>
        <v>0</v>
      </c>
      <c r="X300" s="43">
        <f t="shared" si="108"/>
        <v>0</v>
      </c>
      <c r="Y300" s="43">
        <f t="shared" si="109"/>
        <v>0</v>
      </c>
      <c r="Z300" s="43">
        <f t="shared" si="110"/>
        <v>0</v>
      </c>
      <c r="AB300" s="43">
        <f t="shared" si="114"/>
        <v>0</v>
      </c>
      <c r="AC300" s="43">
        <f t="shared" si="115"/>
        <v>0</v>
      </c>
      <c r="AD300" s="43">
        <f t="shared" si="116"/>
        <v>0</v>
      </c>
      <c r="AE300" s="43">
        <f t="shared" si="117"/>
        <v>0</v>
      </c>
      <c r="AF300" s="43">
        <f t="shared" si="118"/>
        <v>0</v>
      </c>
      <c r="AH300" s="43">
        <f t="shared" si="119"/>
        <v>0</v>
      </c>
      <c r="AI300" s="43">
        <f t="shared" si="120"/>
        <v>0</v>
      </c>
      <c r="AJ300" s="43">
        <f t="shared" si="121"/>
        <v>0</v>
      </c>
      <c r="AK300" s="43">
        <f t="shared" si="122"/>
        <v>0</v>
      </c>
      <c r="AL300" s="43">
        <f t="shared" si="123"/>
        <v>0</v>
      </c>
      <c r="AN300" s="47">
        <f t="shared" si="124"/>
        <v>0</v>
      </c>
      <c r="AO300" s="47">
        <f t="shared" si="125"/>
        <v>0</v>
      </c>
      <c r="AP300" s="47">
        <f t="shared" si="126"/>
        <v>0</v>
      </c>
      <c r="AQ300" s="47">
        <f t="shared" si="127"/>
        <v>0</v>
      </c>
      <c r="AR300" s="43">
        <f t="shared" si="128"/>
        <v>0</v>
      </c>
      <c r="AS300" s="120"/>
      <c r="AT300" s="120"/>
      <c r="AU300" s="120"/>
      <c r="AV300" s="120"/>
      <c r="AW300" s="120"/>
      <c r="AX300" s="120"/>
    </row>
    <row r="301" spans="1:50" s="89" customFormat="1" ht="13">
      <c r="A301" s="226"/>
      <c r="B301" s="37">
        <f>'13. Desinvesteringen'!B584</f>
        <v>565</v>
      </c>
      <c r="C301" s="331"/>
      <c r="D301" s="331"/>
      <c r="E301" s="331"/>
      <c r="F301" s="42">
        <f>'5. Input GAW-waarde desinv.'!D260</f>
        <v>0</v>
      </c>
      <c r="G301" s="175">
        <f>'13. Desinvesteringen'!D584</f>
        <v>1969</v>
      </c>
      <c r="H301" s="175">
        <f>'13. Desinvesteringen'!G584</f>
        <v>2024</v>
      </c>
      <c r="I301" s="37" t="str">
        <f>'13. Desinvesteringen'!C584</f>
        <v>02 Gasontvangststations</v>
      </c>
      <c r="J301" s="164">
        <f>'13. Desinvesteringen'!F584</f>
        <v>0</v>
      </c>
      <c r="K301" s="38">
        <f>_xlfn.XLOOKUP(I301,'3. Input (des)investeringen '!$B$11:$B$89,'3. Input (des)investeringen '!$E$11:$E$89)</f>
        <v>0</v>
      </c>
      <c r="L301" s="331"/>
      <c r="M301" s="38">
        <f>_xlfn.XLOOKUP(I301,'3. Input (des)investeringen '!$B$11:$B$89,'3. Input (des)investeringen '!$D$11:$D$89,0)</f>
        <v>30</v>
      </c>
      <c r="N301" s="38">
        <f t="shared" si="113"/>
        <v>0</v>
      </c>
      <c r="P301" s="43">
        <f t="shared" si="131"/>
        <v>0</v>
      </c>
      <c r="Q301" s="43">
        <f t="shared" si="131"/>
        <v>0</v>
      </c>
      <c r="R301" s="43">
        <f t="shared" si="131"/>
        <v>0</v>
      </c>
      <c r="S301" s="43">
        <f t="shared" si="131"/>
        <v>0</v>
      </c>
      <c r="T301" s="43">
        <f t="shared" si="131"/>
        <v>0</v>
      </c>
      <c r="V301" s="43">
        <f t="shared" si="106"/>
        <v>0</v>
      </c>
      <c r="W301" s="43">
        <f t="shared" si="107"/>
        <v>0</v>
      </c>
      <c r="X301" s="43">
        <f t="shared" si="108"/>
        <v>0</v>
      </c>
      <c r="Y301" s="43">
        <f t="shared" si="109"/>
        <v>0</v>
      </c>
      <c r="Z301" s="43">
        <f t="shared" si="110"/>
        <v>0</v>
      </c>
      <c r="AB301" s="43">
        <f t="shared" si="114"/>
        <v>0</v>
      </c>
      <c r="AC301" s="43">
        <f t="shared" si="115"/>
        <v>0</v>
      </c>
      <c r="AD301" s="43">
        <f t="shared" si="116"/>
        <v>0</v>
      </c>
      <c r="AE301" s="43">
        <f t="shared" si="117"/>
        <v>0</v>
      </c>
      <c r="AF301" s="43">
        <f t="shared" si="118"/>
        <v>0</v>
      </c>
      <c r="AH301" s="43">
        <f t="shared" si="119"/>
        <v>0</v>
      </c>
      <c r="AI301" s="43">
        <f t="shared" si="120"/>
        <v>0</v>
      </c>
      <c r="AJ301" s="43">
        <f t="shared" si="121"/>
        <v>0</v>
      </c>
      <c r="AK301" s="43">
        <f t="shared" si="122"/>
        <v>0</v>
      </c>
      <c r="AL301" s="43">
        <f t="shared" si="123"/>
        <v>0</v>
      </c>
      <c r="AN301" s="47">
        <f t="shared" si="124"/>
        <v>0</v>
      </c>
      <c r="AO301" s="47">
        <f t="shared" si="125"/>
        <v>0</v>
      </c>
      <c r="AP301" s="47">
        <f t="shared" si="126"/>
        <v>0</v>
      </c>
      <c r="AQ301" s="47">
        <f t="shared" si="127"/>
        <v>0</v>
      </c>
      <c r="AR301" s="43">
        <f t="shared" si="128"/>
        <v>0</v>
      </c>
      <c r="AS301" s="120"/>
      <c r="AT301" s="120"/>
      <c r="AU301" s="120"/>
      <c r="AV301" s="120"/>
      <c r="AW301" s="120"/>
      <c r="AX301" s="120"/>
    </row>
    <row r="302" spans="1:50" s="89" customFormat="1" ht="13">
      <c r="A302" s="226"/>
      <c r="B302" s="37">
        <f>'13. Desinvesteringen'!B585</f>
        <v>566</v>
      </c>
      <c r="C302" s="331"/>
      <c r="D302" s="331"/>
      <c r="E302" s="331"/>
      <c r="F302" s="42">
        <f>'5. Input GAW-waarde desinv.'!D261</f>
        <v>0</v>
      </c>
      <c r="G302" s="175">
        <f>'13. Desinvesteringen'!D585</f>
        <v>1970</v>
      </c>
      <c r="H302" s="175">
        <f>'13. Desinvesteringen'!G585</f>
        <v>2024</v>
      </c>
      <c r="I302" s="37" t="str">
        <f>'13. Desinvesteringen'!C585</f>
        <v>02 Gasontvangststations</v>
      </c>
      <c r="J302" s="164">
        <f>'13. Desinvesteringen'!F585</f>
        <v>0</v>
      </c>
      <c r="K302" s="38">
        <f>_xlfn.XLOOKUP(I302,'3. Input (des)investeringen '!$B$11:$B$89,'3. Input (des)investeringen '!$E$11:$E$89)</f>
        <v>0</v>
      </c>
      <c r="L302" s="331"/>
      <c r="M302" s="38">
        <f>_xlfn.XLOOKUP(I302,'3. Input (des)investeringen '!$B$11:$B$89,'3. Input (des)investeringen '!$D$11:$D$89,0)</f>
        <v>30</v>
      </c>
      <c r="N302" s="38">
        <f t="shared" si="113"/>
        <v>0</v>
      </c>
      <c r="P302" s="43">
        <f t="shared" ref="P302:T311" si="132">IF($M302&gt;0, IF(OR($G302&gt;P$50,$G302+$M302&lt;P$50),0,
VDB($F302,0,$N302,MAX(0,P$50-2022),MIN($N302,P$50-2021),$F$23,FALSE))*(1-$F$26), 0)</f>
        <v>0</v>
      </c>
      <c r="Q302" s="43">
        <f t="shared" si="132"/>
        <v>0</v>
      </c>
      <c r="R302" s="43">
        <f t="shared" si="132"/>
        <v>0</v>
      </c>
      <c r="S302" s="43">
        <f t="shared" si="132"/>
        <v>0</v>
      </c>
      <c r="T302" s="43">
        <f t="shared" si="132"/>
        <v>0</v>
      </c>
      <c r="V302" s="43">
        <f t="shared" si="106"/>
        <v>0</v>
      </c>
      <c r="W302" s="43">
        <f t="shared" si="107"/>
        <v>0</v>
      </c>
      <c r="X302" s="43">
        <f t="shared" si="108"/>
        <v>0</v>
      </c>
      <c r="Y302" s="43">
        <f t="shared" si="109"/>
        <v>0</v>
      </c>
      <c r="Z302" s="43">
        <f t="shared" si="110"/>
        <v>0</v>
      </c>
      <c r="AB302" s="43">
        <f t="shared" si="114"/>
        <v>0</v>
      </c>
      <c r="AC302" s="43">
        <f t="shared" si="115"/>
        <v>0</v>
      </c>
      <c r="AD302" s="43">
        <f t="shared" si="116"/>
        <v>0</v>
      </c>
      <c r="AE302" s="43">
        <f t="shared" si="117"/>
        <v>0</v>
      </c>
      <c r="AF302" s="43">
        <f t="shared" si="118"/>
        <v>0</v>
      </c>
      <c r="AH302" s="43">
        <f t="shared" si="119"/>
        <v>0</v>
      </c>
      <c r="AI302" s="43">
        <f t="shared" si="120"/>
        <v>0</v>
      </c>
      <c r="AJ302" s="43">
        <f t="shared" si="121"/>
        <v>0</v>
      </c>
      <c r="AK302" s="43">
        <f t="shared" si="122"/>
        <v>0</v>
      </c>
      <c r="AL302" s="43">
        <f t="shared" si="123"/>
        <v>0</v>
      </c>
      <c r="AN302" s="47">
        <f t="shared" si="124"/>
        <v>0</v>
      </c>
      <c r="AO302" s="47">
        <f t="shared" si="125"/>
        <v>0</v>
      </c>
      <c r="AP302" s="47">
        <f t="shared" si="126"/>
        <v>0</v>
      </c>
      <c r="AQ302" s="47">
        <f t="shared" si="127"/>
        <v>0</v>
      </c>
      <c r="AR302" s="43">
        <f t="shared" si="128"/>
        <v>0</v>
      </c>
      <c r="AS302" s="120"/>
      <c r="AT302" s="120"/>
      <c r="AU302" s="120"/>
      <c r="AV302" s="120"/>
      <c r="AW302" s="120"/>
      <c r="AX302" s="120"/>
    </row>
    <row r="303" spans="1:50" s="89" customFormat="1" ht="13">
      <c r="A303" s="226"/>
      <c r="B303" s="37">
        <f>'13. Desinvesteringen'!B586</f>
        <v>567</v>
      </c>
      <c r="C303" s="331"/>
      <c r="D303" s="331"/>
      <c r="E303" s="331"/>
      <c r="F303" s="42">
        <f>'5. Input GAW-waarde desinv.'!D262</f>
        <v>0</v>
      </c>
      <c r="G303" s="175">
        <f>'13. Desinvesteringen'!D586</f>
        <v>1971</v>
      </c>
      <c r="H303" s="175">
        <f>'13. Desinvesteringen'!G586</f>
        <v>2024</v>
      </c>
      <c r="I303" s="37" t="str">
        <f>'13. Desinvesteringen'!C586</f>
        <v>02 Gasontvangststations</v>
      </c>
      <c r="J303" s="164">
        <f>'13. Desinvesteringen'!F586</f>
        <v>0</v>
      </c>
      <c r="K303" s="38">
        <f>_xlfn.XLOOKUP(I303,'3. Input (des)investeringen '!$B$11:$B$89,'3. Input (des)investeringen '!$E$11:$E$89)</f>
        <v>0</v>
      </c>
      <c r="L303" s="331"/>
      <c r="M303" s="38">
        <f>_xlfn.XLOOKUP(I303,'3. Input (des)investeringen '!$B$11:$B$89,'3. Input (des)investeringen '!$D$11:$D$89,0)</f>
        <v>30</v>
      </c>
      <c r="N303" s="38">
        <f t="shared" si="113"/>
        <v>0</v>
      </c>
      <c r="P303" s="43">
        <f t="shared" si="132"/>
        <v>0</v>
      </c>
      <c r="Q303" s="43">
        <f t="shared" si="132"/>
        <v>0</v>
      </c>
      <c r="R303" s="43">
        <f t="shared" si="132"/>
        <v>0</v>
      </c>
      <c r="S303" s="43">
        <f t="shared" si="132"/>
        <v>0</v>
      </c>
      <c r="T303" s="43">
        <f t="shared" si="132"/>
        <v>0</v>
      </c>
      <c r="V303" s="43">
        <f t="shared" si="106"/>
        <v>0</v>
      </c>
      <c r="W303" s="43">
        <f t="shared" si="107"/>
        <v>0</v>
      </c>
      <c r="X303" s="43">
        <f t="shared" si="108"/>
        <v>0</v>
      </c>
      <c r="Y303" s="43">
        <f t="shared" si="109"/>
        <v>0</v>
      </c>
      <c r="Z303" s="43">
        <f t="shared" si="110"/>
        <v>0</v>
      </c>
      <c r="AB303" s="43">
        <f t="shared" si="114"/>
        <v>0</v>
      </c>
      <c r="AC303" s="43">
        <f t="shared" si="115"/>
        <v>0</v>
      </c>
      <c r="AD303" s="43">
        <f t="shared" si="116"/>
        <v>0</v>
      </c>
      <c r="AE303" s="43">
        <f t="shared" si="117"/>
        <v>0</v>
      </c>
      <c r="AF303" s="43">
        <f t="shared" si="118"/>
        <v>0</v>
      </c>
      <c r="AH303" s="43">
        <f t="shared" si="119"/>
        <v>0</v>
      </c>
      <c r="AI303" s="43">
        <f t="shared" si="120"/>
        <v>0</v>
      </c>
      <c r="AJ303" s="43">
        <f t="shared" si="121"/>
        <v>0</v>
      </c>
      <c r="AK303" s="43">
        <f t="shared" si="122"/>
        <v>0</v>
      </c>
      <c r="AL303" s="43">
        <f t="shared" si="123"/>
        <v>0</v>
      </c>
      <c r="AN303" s="47">
        <f t="shared" si="124"/>
        <v>0</v>
      </c>
      <c r="AO303" s="47">
        <f t="shared" si="125"/>
        <v>0</v>
      </c>
      <c r="AP303" s="47">
        <f t="shared" si="126"/>
        <v>0</v>
      </c>
      <c r="AQ303" s="47">
        <f t="shared" si="127"/>
        <v>0</v>
      </c>
      <c r="AR303" s="43">
        <f t="shared" si="128"/>
        <v>0</v>
      </c>
      <c r="AS303" s="120"/>
      <c r="AT303" s="120"/>
      <c r="AU303" s="120"/>
      <c r="AV303" s="120"/>
      <c r="AW303" s="120"/>
      <c r="AX303" s="120"/>
    </row>
    <row r="304" spans="1:50" s="89" customFormat="1" ht="13">
      <c r="A304" s="226"/>
      <c r="B304" s="37">
        <f>'13. Desinvesteringen'!B587</f>
        <v>568</v>
      </c>
      <c r="C304" s="331"/>
      <c r="D304" s="331"/>
      <c r="E304" s="331"/>
      <c r="F304" s="42">
        <f>'5. Input GAW-waarde desinv.'!D263</f>
        <v>0</v>
      </c>
      <c r="G304" s="175">
        <f>'13. Desinvesteringen'!D587</f>
        <v>1972</v>
      </c>
      <c r="H304" s="175">
        <f>'13. Desinvesteringen'!G587</f>
        <v>2024</v>
      </c>
      <c r="I304" s="37" t="str">
        <f>'13. Desinvesteringen'!C587</f>
        <v>02 Gasontvangststations</v>
      </c>
      <c r="J304" s="164">
        <f>'13. Desinvesteringen'!F587</f>
        <v>0</v>
      </c>
      <c r="K304" s="38">
        <f>_xlfn.XLOOKUP(I304,'3. Input (des)investeringen '!$B$11:$B$89,'3. Input (des)investeringen '!$E$11:$E$89)</f>
        <v>0</v>
      </c>
      <c r="L304" s="331"/>
      <c r="M304" s="38">
        <f>_xlfn.XLOOKUP(I304,'3. Input (des)investeringen '!$B$11:$B$89,'3. Input (des)investeringen '!$D$11:$D$89,0)</f>
        <v>30</v>
      </c>
      <c r="N304" s="38">
        <f t="shared" si="113"/>
        <v>0</v>
      </c>
      <c r="P304" s="43">
        <f t="shared" si="132"/>
        <v>0</v>
      </c>
      <c r="Q304" s="43">
        <f t="shared" si="132"/>
        <v>0</v>
      </c>
      <c r="R304" s="43">
        <f t="shared" si="132"/>
        <v>0</v>
      </c>
      <c r="S304" s="43">
        <f t="shared" si="132"/>
        <v>0</v>
      </c>
      <c r="T304" s="43">
        <f t="shared" si="132"/>
        <v>0</v>
      </c>
      <c r="V304" s="43">
        <f t="shared" si="106"/>
        <v>0</v>
      </c>
      <c r="W304" s="43">
        <f t="shared" si="107"/>
        <v>0</v>
      </c>
      <c r="X304" s="43">
        <f t="shared" si="108"/>
        <v>0</v>
      </c>
      <c r="Y304" s="43">
        <f t="shared" si="109"/>
        <v>0</v>
      </c>
      <c r="Z304" s="43">
        <f t="shared" si="110"/>
        <v>0</v>
      </c>
      <c r="AB304" s="43">
        <f t="shared" si="114"/>
        <v>0</v>
      </c>
      <c r="AC304" s="43">
        <f t="shared" si="115"/>
        <v>0</v>
      </c>
      <c r="AD304" s="43">
        <f t="shared" si="116"/>
        <v>0</v>
      </c>
      <c r="AE304" s="43">
        <f t="shared" si="117"/>
        <v>0</v>
      </c>
      <c r="AF304" s="43">
        <f t="shared" si="118"/>
        <v>0</v>
      </c>
      <c r="AH304" s="43">
        <f t="shared" si="119"/>
        <v>0</v>
      </c>
      <c r="AI304" s="43">
        <f t="shared" si="120"/>
        <v>0</v>
      </c>
      <c r="AJ304" s="43">
        <f t="shared" si="121"/>
        <v>0</v>
      </c>
      <c r="AK304" s="43">
        <f t="shared" si="122"/>
        <v>0</v>
      </c>
      <c r="AL304" s="43">
        <f t="shared" si="123"/>
        <v>0</v>
      </c>
      <c r="AN304" s="47">
        <f t="shared" si="124"/>
        <v>0</v>
      </c>
      <c r="AO304" s="47">
        <f t="shared" si="125"/>
        <v>0</v>
      </c>
      <c r="AP304" s="47">
        <f t="shared" si="126"/>
        <v>0</v>
      </c>
      <c r="AQ304" s="47">
        <f t="shared" si="127"/>
        <v>0</v>
      </c>
      <c r="AR304" s="43">
        <f t="shared" si="128"/>
        <v>0</v>
      </c>
      <c r="AS304" s="120"/>
      <c r="AT304" s="120"/>
      <c r="AU304" s="120"/>
      <c r="AV304" s="120"/>
      <c r="AW304" s="120"/>
      <c r="AX304" s="120"/>
    </row>
    <row r="305" spans="1:50" s="89" customFormat="1" ht="13">
      <c r="A305" s="226"/>
      <c r="B305" s="37">
        <f>'13. Desinvesteringen'!B588</f>
        <v>569</v>
      </c>
      <c r="C305" s="331"/>
      <c r="D305" s="331"/>
      <c r="E305" s="331"/>
      <c r="F305" s="42">
        <f>'5. Input GAW-waarde desinv.'!D264</f>
        <v>0</v>
      </c>
      <c r="G305" s="175">
        <f>'13. Desinvesteringen'!D588</f>
        <v>1975</v>
      </c>
      <c r="H305" s="175">
        <f>'13. Desinvesteringen'!G588</f>
        <v>2024</v>
      </c>
      <c r="I305" s="37" t="str">
        <f>'13. Desinvesteringen'!C588</f>
        <v>02 Gasontvangststations</v>
      </c>
      <c r="J305" s="164">
        <f>'13. Desinvesteringen'!F588</f>
        <v>0</v>
      </c>
      <c r="K305" s="38">
        <f>_xlfn.XLOOKUP(I305,'3. Input (des)investeringen '!$B$11:$B$89,'3. Input (des)investeringen '!$E$11:$E$89)</f>
        <v>0</v>
      </c>
      <c r="L305" s="331"/>
      <c r="M305" s="38">
        <f>_xlfn.XLOOKUP(I305,'3. Input (des)investeringen '!$B$11:$B$89,'3. Input (des)investeringen '!$D$11:$D$89,0)</f>
        <v>30</v>
      </c>
      <c r="N305" s="38">
        <f t="shared" si="113"/>
        <v>0</v>
      </c>
      <c r="P305" s="43">
        <f t="shared" si="132"/>
        <v>0</v>
      </c>
      <c r="Q305" s="43">
        <f t="shared" si="132"/>
        <v>0</v>
      </c>
      <c r="R305" s="43">
        <f t="shared" si="132"/>
        <v>0</v>
      </c>
      <c r="S305" s="43">
        <f t="shared" si="132"/>
        <v>0</v>
      </c>
      <c r="T305" s="43">
        <f t="shared" si="132"/>
        <v>0</v>
      </c>
      <c r="V305" s="43">
        <f t="shared" si="106"/>
        <v>0</v>
      </c>
      <c r="W305" s="43">
        <f t="shared" si="107"/>
        <v>0</v>
      </c>
      <c r="X305" s="43">
        <f t="shared" si="108"/>
        <v>0</v>
      </c>
      <c r="Y305" s="43">
        <f t="shared" si="109"/>
        <v>0</v>
      </c>
      <c r="Z305" s="43">
        <f t="shared" si="110"/>
        <v>0</v>
      </c>
      <c r="AB305" s="43">
        <f t="shared" si="114"/>
        <v>0</v>
      </c>
      <c r="AC305" s="43">
        <f t="shared" si="115"/>
        <v>0</v>
      </c>
      <c r="AD305" s="43">
        <f t="shared" si="116"/>
        <v>0</v>
      </c>
      <c r="AE305" s="43">
        <f t="shared" si="117"/>
        <v>0</v>
      </c>
      <c r="AF305" s="43">
        <f t="shared" si="118"/>
        <v>0</v>
      </c>
      <c r="AH305" s="43">
        <f t="shared" si="119"/>
        <v>0</v>
      </c>
      <c r="AI305" s="43">
        <f t="shared" si="120"/>
        <v>0</v>
      </c>
      <c r="AJ305" s="43">
        <f t="shared" si="121"/>
        <v>0</v>
      </c>
      <c r="AK305" s="43">
        <f t="shared" si="122"/>
        <v>0</v>
      </c>
      <c r="AL305" s="43">
        <f t="shared" si="123"/>
        <v>0</v>
      </c>
      <c r="AN305" s="47">
        <f t="shared" si="124"/>
        <v>0</v>
      </c>
      <c r="AO305" s="47">
        <f t="shared" si="125"/>
        <v>0</v>
      </c>
      <c r="AP305" s="47">
        <f t="shared" si="126"/>
        <v>0</v>
      </c>
      <c r="AQ305" s="47">
        <f t="shared" si="127"/>
        <v>0</v>
      </c>
      <c r="AR305" s="43">
        <f t="shared" si="128"/>
        <v>0</v>
      </c>
      <c r="AS305" s="120"/>
      <c r="AT305" s="120"/>
      <c r="AU305" s="120"/>
      <c r="AV305" s="120"/>
      <c r="AW305" s="120"/>
      <c r="AX305" s="120"/>
    </row>
    <row r="306" spans="1:50" s="89" customFormat="1" ht="13">
      <c r="A306" s="226"/>
      <c r="B306" s="37">
        <f>'13. Desinvesteringen'!B589</f>
        <v>570</v>
      </c>
      <c r="C306" s="331"/>
      <c r="D306" s="331"/>
      <c r="E306" s="331"/>
      <c r="F306" s="42">
        <f>'5. Input GAW-waarde desinv.'!D265</f>
        <v>0</v>
      </c>
      <c r="G306" s="175">
        <f>'13. Desinvesteringen'!D589</f>
        <v>1976</v>
      </c>
      <c r="H306" s="175">
        <f>'13. Desinvesteringen'!G589</f>
        <v>2024</v>
      </c>
      <c r="I306" s="37" t="str">
        <f>'13. Desinvesteringen'!C589</f>
        <v>02 Gasontvangststations</v>
      </c>
      <c r="J306" s="164">
        <f>'13. Desinvesteringen'!F589</f>
        <v>0</v>
      </c>
      <c r="K306" s="38">
        <f>_xlfn.XLOOKUP(I306,'3. Input (des)investeringen '!$B$11:$B$89,'3. Input (des)investeringen '!$E$11:$E$89)</f>
        <v>0</v>
      </c>
      <c r="L306" s="331"/>
      <c r="M306" s="38">
        <f>_xlfn.XLOOKUP(I306,'3. Input (des)investeringen '!$B$11:$B$89,'3. Input (des)investeringen '!$D$11:$D$89,0)</f>
        <v>30</v>
      </c>
      <c r="N306" s="38">
        <f t="shared" si="113"/>
        <v>0</v>
      </c>
      <c r="P306" s="43">
        <f t="shared" si="132"/>
        <v>0</v>
      </c>
      <c r="Q306" s="43">
        <f t="shared" si="132"/>
        <v>0</v>
      </c>
      <c r="R306" s="43">
        <f t="shared" si="132"/>
        <v>0</v>
      </c>
      <c r="S306" s="43">
        <f t="shared" si="132"/>
        <v>0</v>
      </c>
      <c r="T306" s="43">
        <f t="shared" si="132"/>
        <v>0</v>
      </c>
      <c r="V306" s="43">
        <f t="shared" si="106"/>
        <v>0</v>
      </c>
      <c r="W306" s="43">
        <f t="shared" si="107"/>
        <v>0</v>
      </c>
      <c r="X306" s="43">
        <f t="shared" si="108"/>
        <v>0</v>
      </c>
      <c r="Y306" s="43">
        <f t="shared" si="109"/>
        <v>0</v>
      </c>
      <c r="Z306" s="43">
        <f t="shared" si="110"/>
        <v>0</v>
      </c>
      <c r="AB306" s="43">
        <f t="shared" si="114"/>
        <v>0</v>
      </c>
      <c r="AC306" s="43">
        <f t="shared" si="115"/>
        <v>0</v>
      </c>
      <c r="AD306" s="43">
        <f t="shared" si="116"/>
        <v>0</v>
      </c>
      <c r="AE306" s="43">
        <f t="shared" si="117"/>
        <v>0</v>
      </c>
      <c r="AF306" s="43">
        <f t="shared" si="118"/>
        <v>0</v>
      </c>
      <c r="AH306" s="43">
        <f t="shared" si="119"/>
        <v>0</v>
      </c>
      <c r="AI306" s="43">
        <f t="shared" si="120"/>
        <v>0</v>
      </c>
      <c r="AJ306" s="43">
        <f t="shared" si="121"/>
        <v>0</v>
      </c>
      <c r="AK306" s="43">
        <f t="shared" si="122"/>
        <v>0</v>
      </c>
      <c r="AL306" s="43">
        <f t="shared" si="123"/>
        <v>0</v>
      </c>
      <c r="AN306" s="47">
        <f t="shared" si="124"/>
        <v>0</v>
      </c>
      <c r="AO306" s="47">
        <f t="shared" si="125"/>
        <v>0</v>
      </c>
      <c r="AP306" s="47">
        <f t="shared" si="126"/>
        <v>0</v>
      </c>
      <c r="AQ306" s="47">
        <f t="shared" si="127"/>
        <v>0</v>
      </c>
      <c r="AR306" s="43">
        <f t="shared" si="128"/>
        <v>0</v>
      </c>
      <c r="AS306" s="120"/>
      <c r="AT306" s="120"/>
      <c r="AU306" s="120"/>
      <c r="AV306" s="120"/>
      <c r="AW306" s="120"/>
      <c r="AX306" s="120"/>
    </row>
    <row r="307" spans="1:50" s="89" customFormat="1" ht="13">
      <c r="A307" s="226"/>
      <c r="B307" s="37">
        <f>'13. Desinvesteringen'!B590</f>
        <v>571</v>
      </c>
      <c r="C307" s="331"/>
      <c r="D307" s="331"/>
      <c r="E307" s="331"/>
      <c r="F307" s="42">
        <f>'5. Input GAW-waarde desinv.'!D266</f>
        <v>0</v>
      </c>
      <c r="G307" s="175">
        <f>'13. Desinvesteringen'!D590</f>
        <v>1981</v>
      </c>
      <c r="H307" s="175">
        <f>'13. Desinvesteringen'!G590</f>
        <v>2024</v>
      </c>
      <c r="I307" s="37" t="str">
        <f>'13. Desinvesteringen'!C590</f>
        <v>02 Gasontvangststations</v>
      </c>
      <c r="J307" s="164">
        <f>'13. Desinvesteringen'!F590</f>
        <v>0</v>
      </c>
      <c r="K307" s="38">
        <f>_xlfn.XLOOKUP(I307,'3. Input (des)investeringen '!$B$11:$B$89,'3. Input (des)investeringen '!$E$11:$E$89)</f>
        <v>0</v>
      </c>
      <c r="L307" s="331"/>
      <c r="M307" s="38">
        <f>_xlfn.XLOOKUP(I307,'3. Input (des)investeringen '!$B$11:$B$89,'3. Input (des)investeringen '!$D$11:$D$89,0)</f>
        <v>30</v>
      </c>
      <c r="N307" s="38">
        <f t="shared" si="113"/>
        <v>0</v>
      </c>
      <c r="P307" s="43">
        <f t="shared" si="132"/>
        <v>0</v>
      </c>
      <c r="Q307" s="43">
        <f t="shared" si="132"/>
        <v>0</v>
      </c>
      <c r="R307" s="43">
        <f t="shared" si="132"/>
        <v>0</v>
      </c>
      <c r="S307" s="43">
        <f t="shared" si="132"/>
        <v>0</v>
      </c>
      <c r="T307" s="43">
        <f t="shared" si="132"/>
        <v>0</v>
      </c>
      <c r="V307" s="43">
        <f t="shared" si="106"/>
        <v>0</v>
      </c>
      <c r="W307" s="43">
        <f t="shared" si="107"/>
        <v>0</v>
      </c>
      <c r="X307" s="43">
        <f t="shared" si="108"/>
        <v>0</v>
      </c>
      <c r="Y307" s="43">
        <f t="shared" si="109"/>
        <v>0</v>
      </c>
      <c r="Z307" s="43">
        <f t="shared" si="110"/>
        <v>0</v>
      </c>
      <c r="AB307" s="43">
        <f t="shared" si="114"/>
        <v>0</v>
      </c>
      <c r="AC307" s="43">
        <f t="shared" si="115"/>
        <v>0</v>
      </c>
      <c r="AD307" s="43">
        <f t="shared" si="116"/>
        <v>0</v>
      </c>
      <c r="AE307" s="43">
        <f t="shared" si="117"/>
        <v>0</v>
      </c>
      <c r="AF307" s="43">
        <f t="shared" si="118"/>
        <v>0</v>
      </c>
      <c r="AH307" s="43">
        <f t="shared" si="119"/>
        <v>0</v>
      </c>
      <c r="AI307" s="43">
        <f t="shared" si="120"/>
        <v>0</v>
      </c>
      <c r="AJ307" s="43">
        <f t="shared" si="121"/>
        <v>0</v>
      </c>
      <c r="AK307" s="43">
        <f t="shared" si="122"/>
        <v>0</v>
      </c>
      <c r="AL307" s="43">
        <f t="shared" si="123"/>
        <v>0</v>
      </c>
      <c r="AN307" s="47">
        <f t="shared" si="124"/>
        <v>0</v>
      </c>
      <c r="AO307" s="47">
        <f t="shared" si="125"/>
        <v>0</v>
      </c>
      <c r="AP307" s="47">
        <f t="shared" si="126"/>
        <v>0</v>
      </c>
      <c r="AQ307" s="47">
        <f t="shared" si="127"/>
        <v>0</v>
      </c>
      <c r="AR307" s="43">
        <f t="shared" si="128"/>
        <v>0</v>
      </c>
      <c r="AS307" s="120"/>
      <c r="AT307" s="120"/>
      <c r="AU307" s="120"/>
      <c r="AV307" s="120"/>
      <c r="AW307" s="120"/>
      <c r="AX307" s="120"/>
    </row>
    <row r="308" spans="1:50" s="89" customFormat="1" ht="13">
      <c r="A308" s="226"/>
      <c r="B308" s="37">
        <f>'13. Desinvesteringen'!B591</f>
        <v>572</v>
      </c>
      <c r="C308" s="331"/>
      <c r="D308" s="331"/>
      <c r="E308" s="331"/>
      <c r="F308" s="42">
        <f>'5. Input GAW-waarde desinv.'!D267</f>
        <v>0</v>
      </c>
      <c r="G308" s="175">
        <f>'13. Desinvesteringen'!D591</f>
        <v>1986</v>
      </c>
      <c r="H308" s="175">
        <f>'13. Desinvesteringen'!G591</f>
        <v>2024</v>
      </c>
      <c r="I308" s="37" t="str">
        <f>'13. Desinvesteringen'!C591</f>
        <v>02 Gasontvangststations</v>
      </c>
      <c r="J308" s="164">
        <f>'13. Desinvesteringen'!F591</f>
        <v>0</v>
      </c>
      <c r="K308" s="38">
        <f>_xlfn.XLOOKUP(I308,'3. Input (des)investeringen '!$B$11:$B$89,'3. Input (des)investeringen '!$E$11:$E$89)</f>
        <v>0</v>
      </c>
      <c r="L308" s="331"/>
      <c r="M308" s="38">
        <f>_xlfn.XLOOKUP(I308,'3. Input (des)investeringen '!$B$11:$B$89,'3. Input (des)investeringen '!$D$11:$D$89,0)</f>
        <v>30</v>
      </c>
      <c r="N308" s="38">
        <f t="shared" si="113"/>
        <v>0</v>
      </c>
      <c r="P308" s="43">
        <f t="shared" si="132"/>
        <v>0</v>
      </c>
      <c r="Q308" s="43">
        <f t="shared" si="132"/>
        <v>0</v>
      </c>
      <c r="R308" s="43">
        <f t="shared" si="132"/>
        <v>0</v>
      </c>
      <c r="S308" s="43">
        <f t="shared" si="132"/>
        <v>0</v>
      </c>
      <c r="T308" s="43">
        <f t="shared" si="132"/>
        <v>0</v>
      </c>
      <c r="V308" s="43">
        <f t="shared" ref="V308:V371" si="133">IF($M308&gt;0, IF(OR($G308&gt;V$50,$G308+$M308&lt;V$50),0,
VDB($F308,0,$N308,MAX(0,P$50-2022),MIN($N308,P$50-2021),1,FALSE))*$F$26, 0)</f>
        <v>0</v>
      </c>
      <c r="W308" s="43">
        <f t="shared" ref="W308:W371" si="134">IF($M308&gt;0, IF(OR($G308&gt;W$50,$G308+$M308&lt;W$50),0,
VDB($F308,0,$N308,MAX(0,Q$50-2022),MIN($N308,Q$50-2021),1,FALSE))*$F$26, 0)</f>
        <v>0</v>
      </c>
      <c r="X308" s="43">
        <f t="shared" ref="X308:X371" si="135">IF($M308&gt;0, IF(OR($G308&gt;X$50,$G308+$M308&lt;X$50),0,
VDB($F308,0,$N308,MAX(0,R$50-2022),MIN($N308,R$50-2021),1,FALSE))*$F$26, 0)</f>
        <v>0</v>
      </c>
      <c r="Y308" s="43">
        <f t="shared" ref="Y308:Y371" si="136">IF($M308&gt;0, IF(OR($G308&gt;Y$50,$G308+$M308&lt;Y$50),0,
VDB($F308,0,$N308,MAX(0,S$50-2022),MIN($N308,S$50-2021),1,FALSE))*$F$26, 0)</f>
        <v>0</v>
      </c>
      <c r="Z308" s="43">
        <f t="shared" ref="Z308:Z371" si="137">IF($M308&gt;0, IF(OR($G308&gt;Z$50,$G308+$M308&lt;Z$50),0,
VDB($F308,0,$N308,MAX(0,T$50-2022),MIN($N308,T$50-2021),1,FALSE))*$F$26, 0)</f>
        <v>0</v>
      </c>
      <c r="AB308" s="43">
        <f t="shared" si="114"/>
        <v>0</v>
      </c>
      <c r="AC308" s="43">
        <f t="shared" si="115"/>
        <v>0</v>
      </c>
      <c r="AD308" s="43">
        <f t="shared" si="116"/>
        <v>0</v>
      </c>
      <c r="AE308" s="43">
        <f t="shared" si="117"/>
        <v>0</v>
      </c>
      <c r="AF308" s="43">
        <f t="shared" si="118"/>
        <v>0</v>
      </c>
      <c r="AH308" s="43">
        <f t="shared" si="119"/>
        <v>0</v>
      </c>
      <c r="AI308" s="43">
        <f t="shared" si="120"/>
        <v>0</v>
      </c>
      <c r="AJ308" s="43">
        <f t="shared" si="121"/>
        <v>0</v>
      </c>
      <c r="AK308" s="43">
        <f t="shared" si="122"/>
        <v>0</v>
      </c>
      <c r="AL308" s="43">
        <f t="shared" si="123"/>
        <v>0</v>
      </c>
      <c r="AN308" s="47">
        <f t="shared" si="124"/>
        <v>0</v>
      </c>
      <c r="AO308" s="47">
        <f t="shared" si="125"/>
        <v>0</v>
      </c>
      <c r="AP308" s="47">
        <f t="shared" si="126"/>
        <v>0</v>
      </c>
      <c r="AQ308" s="47">
        <f t="shared" si="127"/>
        <v>0</v>
      </c>
      <c r="AR308" s="43">
        <f t="shared" si="128"/>
        <v>0</v>
      </c>
      <c r="AS308" s="120"/>
      <c r="AT308" s="120"/>
      <c r="AU308" s="120"/>
      <c r="AV308" s="120"/>
      <c r="AW308" s="120"/>
      <c r="AX308" s="120"/>
    </row>
    <row r="309" spans="1:50" s="89" customFormat="1" ht="13">
      <c r="A309" s="226"/>
      <c r="B309" s="37">
        <f>'13. Desinvesteringen'!B592</f>
        <v>573</v>
      </c>
      <c r="C309" s="331"/>
      <c r="D309" s="331"/>
      <c r="E309" s="331"/>
      <c r="F309" s="42">
        <f>'5. Input GAW-waarde desinv.'!D268</f>
        <v>53427.92963177264</v>
      </c>
      <c r="G309" s="175">
        <f>'13. Desinvesteringen'!D592</f>
        <v>1997</v>
      </c>
      <c r="H309" s="175">
        <f>'13. Desinvesteringen'!G592</f>
        <v>2024</v>
      </c>
      <c r="I309" s="37" t="str">
        <f>'13. Desinvesteringen'!C592</f>
        <v>02 Gasontvangststations</v>
      </c>
      <c r="J309" s="164">
        <f>'13. Desinvesteringen'!F592</f>
        <v>0</v>
      </c>
      <c r="K309" s="38">
        <f>_xlfn.XLOOKUP(I309,'3. Input (des)investeringen '!$B$11:$B$89,'3. Input (des)investeringen '!$E$11:$E$89)</f>
        <v>0</v>
      </c>
      <c r="L309" s="331"/>
      <c r="M309" s="38">
        <f>_xlfn.XLOOKUP(I309,'3. Input (des)investeringen '!$B$11:$B$89,'3. Input (des)investeringen '!$D$11:$D$89,0)</f>
        <v>30</v>
      </c>
      <c r="N309" s="38">
        <f t="shared" si="113"/>
        <v>5.5</v>
      </c>
      <c r="P309" s="43">
        <f t="shared" si="132"/>
        <v>11365.577758031633</v>
      </c>
      <c r="Q309" s="43">
        <f t="shared" si="132"/>
        <v>8679.168469769611</v>
      </c>
      <c r="R309" s="43">
        <f t="shared" si="132"/>
        <v>8011.5401259411801</v>
      </c>
      <c r="S309" s="43">
        <f t="shared" si="132"/>
        <v>8011.5401259411801</v>
      </c>
      <c r="T309" s="43">
        <f t="shared" si="132"/>
        <v>8011.5401259411801</v>
      </c>
      <c r="V309" s="43">
        <f t="shared" si="133"/>
        <v>971.41690239586626</v>
      </c>
      <c r="W309" s="43">
        <f t="shared" si="134"/>
        <v>971.41690239586626</v>
      </c>
      <c r="X309" s="43">
        <f t="shared" si="135"/>
        <v>971.41690239586626</v>
      </c>
      <c r="Y309" s="43">
        <f t="shared" si="136"/>
        <v>971.41690239586626</v>
      </c>
      <c r="Z309" s="43">
        <f t="shared" si="137"/>
        <v>971.41690239586626</v>
      </c>
      <c r="AB309" s="43">
        <f t="shared" si="114"/>
        <v>12336.994660427499</v>
      </c>
      <c r="AC309" s="43">
        <f t="shared" si="115"/>
        <v>9650.5853721654767</v>
      </c>
      <c r="AD309" s="43">
        <f t="shared" si="116"/>
        <v>8982.9570283370467</v>
      </c>
      <c r="AE309" s="43">
        <f t="shared" si="117"/>
        <v>8982.9570283370467</v>
      </c>
      <c r="AF309" s="43">
        <f t="shared" si="118"/>
        <v>8982.9570283370467</v>
      </c>
      <c r="AH309" s="43">
        <f t="shared" si="119"/>
        <v>41090.934971345137</v>
      </c>
      <c r="AI309" s="43">
        <f t="shared" si="120"/>
        <v>31440.349599179659</v>
      </c>
      <c r="AJ309" s="43">
        <f t="shared" si="121"/>
        <v>22457.39257084261</v>
      </c>
      <c r="AK309" s="43">
        <f t="shared" si="122"/>
        <v>13474.435542505564</v>
      </c>
      <c r="AL309" s="43">
        <f t="shared" si="123"/>
        <v>4491.478514168517</v>
      </c>
      <c r="AN309" s="47">
        <f t="shared" si="124"/>
        <v>14021.72299425265</v>
      </c>
      <c r="AO309" s="47">
        <f t="shared" si="125"/>
        <v>11254.04320172364</v>
      </c>
      <c r="AP309" s="47">
        <f t="shared" si="126"/>
        <v>10128.28404945002</v>
      </c>
      <c r="AQ309" s="47">
        <f t="shared" si="127"/>
        <v>9724.0509831748532</v>
      </c>
      <c r="AR309" s="43">
        <f t="shared" si="128"/>
        <v>9153.6332118754508</v>
      </c>
      <c r="AS309" s="120"/>
      <c r="AT309" s="120"/>
      <c r="AU309" s="120"/>
      <c r="AV309" s="120"/>
      <c r="AW309" s="120"/>
      <c r="AX309" s="120"/>
    </row>
    <row r="310" spans="1:50" s="89" customFormat="1" ht="13">
      <c r="A310" s="226"/>
      <c r="B310" s="37">
        <f>'13. Desinvesteringen'!B593</f>
        <v>574</v>
      </c>
      <c r="C310" s="331"/>
      <c r="D310" s="331"/>
      <c r="E310" s="331"/>
      <c r="F310" s="42">
        <f>'5. Input GAW-waarde desinv.'!D269</f>
        <v>6869.2461574103609</v>
      </c>
      <c r="G310" s="175">
        <f>'13. Desinvesteringen'!D593</f>
        <v>1998</v>
      </c>
      <c r="H310" s="175">
        <f>'13. Desinvesteringen'!G593</f>
        <v>2024</v>
      </c>
      <c r="I310" s="37" t="str">
        <f>'13. Desinvesteringen'!C593</f>
        <v>02 Gasontvangststations</v>
      </c>
      <c r="J310" s="164">
        <f>'13. Desinvesteringen'!F593</f>
        <v>0</v>
      </c>
      <c r="K310" s="38">
        <f>_xlfn.XLOOKUP(I310,'3. Input (des)investeringen '!$B$11:$B$89,'3. Input (des)investeringen '!$E$11:$E$89)</f>
        <v>0</v>
      </c>
      <c r="L310" s="331"/>
      <c r="M310" s="38">
        <f>_xlfn.XLOOKUP(I310,'3. Input (des)investeringen '!$B$11:$B$89,'3. Input (des)investeringen '!$D$11:$D$89,0)</f>
        <v>30</v>
      </c>
      <c r="N310" s="38">
        <f t="shared" si="113"/>
        <v>6.5</v>
      </c>
      <c r="P310" s="43">
        <f t="shared" si="132"/>
        <v>1236.4643083338651</v>
      </c>
      <c r="Q310" s="43">
        <f t="shared" si="132"/>
        <v>989.17144666709191</v>
      </c>
      <c r="R310" s="43">
        <f t="shared" si="132"/>
        <v>879.26350814852617</v>
      </c>
      <c r="S310" s="43">
        <f t="shared" si="132"/>
        <v>879.26350814852617</v>
      </c>
      <c r="T310" s="43">
        <f t="shared" si="132"/>
        <v>879.26350814852617</v>
      </c>
      <c r="V310" s="43">
        <f t="shared" si="133"/>
        <v>105.68071011400555</v>
      </c>
      <c r="W310" s="43">
        <f t="shared" si="134"/>
        <v>105.68071011400555</v>
      </c>
      <c r="X310" s="43">
        <f t="shared" si="135"/>
        <v>105.68071011400555</v>
      </c>
      <c r="Y310" s="43">
        <f t="shared" si="136"/>
        <v>105.68071011400555</v>
      </c>
      <c r="Z310" s="43">
        <f t="shared" si="137"/>
        <v>105.68071011400555</v>
      </c>
      <c r="AB310" s="43">
        <f t="shared" si="114"/>
        <v>1342.1450184478706</v>
      </c>
      <c r="AC310" s="43">
        <f t="shared" si="115"/>
        <v>1094.8521567810974</v>
      </c>
      <c r="AD310" s="43">
        <f t="shared" si="116"/>
        <v>984.94421826253176</v>
      </c>
      <c r="AE310" s="43">
        <f t="shared" si="117"/>
        <v>984.94421826253176</v>
      </c>
      <c r="AF310" s="43">
        <f t="shared" si="118"/>
        <v>984.94421826253176</v>
      </c>
      <c r="AH310" s="43">
        <f t="shared" si="119"/>
        <v>5527.10113896249</v>
      </c>
      <c r="AI310" s="43">
        <f t="shared" si="120"/>
        <v>4432.2489821813924</v>
      </c>
      <c r="AJ310" s="43">
        <f t="shared" si="121"/>
        <v>3447.3047639188608</v>
      </c>
      <c r="AK310" s="43">
        <f t="shared" si="122"/>
        <v>2462.3605456563291</v>
      </c>
      <c r="AL310" s="43">
        <f t="shared" si="123"/>
        <v>1477.4163273937975</v>
      </c>
      <c r="AN310" s="47">
        <f t="shared" si="124"/>
        <v>1568.7561651453327</v>
      </c>
      <c r="AO310" s="47">
        <f t="shared" si="125"/>
        <v>1320.8968548723483</v>
      </c>
      <c r="AP310" s="47">
        <f t="shared" si="126"/>
        <v>1160.7567612223936</v>
      </c>
      <c r="AQ310" s="47">
        <f t="shared" si="127"/>
        <v>1120.3740482736298</v>
      </c>
      <c r="AR310" s="43">
        <f t="shared" si="128"/>
        <v>1041.0860387034961</v>
      </c>
      <c r="AS310" s="120"/>
      <c r="AT310" s="120"/>
      <c r="AU310" s="120"/>
      <c r="AV310" s="120"/>
      <c r="AW310" s="120"/>
      <c r="AX310" s="120"/>
    </row>
    <row r="311" spans="1:50" s="89" customFormat="1" ht="13">
      <c r="A311" s="226"/>
      <c r="B311" s="37">
        <f>'13. Desinvesteringen'!B594</f>
        <v>575</v>
      </c>
      <c r="C311" s="331"/>
      <c r="D311" s="331"/>
      <c r="E311" s="331"/>
      <c r="F311" s="42">
        <f>'5. Input GAW-waarde desinv.'!D270</f>
        <v>4716.7151587022527</v>
      </c>
      <c r="G311" s="175">
        <f>'13. Desinvesteringen'!D594</f>
        <v>2000</v>
      </c>
      <c r="H311" s="175">
        <f>'13. Desinvesteringen'!G594</f>
        <v>2024</v>
      </c>
      <c r="I311" s="37" t="str">
        <f>'13. Desinvesteringen'!C594</f>
        <v>02 Gasontvangststations</v>
      </c>
      <c r="J311" s="164">
        <f>'13. Desinvesteringen'!F594</f>
        <v>0</v>
      </c>
      <c r="K311" s="38">
        <f>_xlfn.XLOOKUP(I311,'3. Input (des)investeringen '!$B$11:$B$89,'3. Input (des)investeringen '!$E$11:$E$89)</f>
        <v>0</v>
      </c>
      <c r="L311" s="331"/>
      <c r="M311" s="38">
        <f>_xlfn.XLOOKUP(I311,'3. Input (des)investeringen '!$B$11:$B$89,'3. Input (des)investeringen '!$D$11:$D$89,0)</f>
        <v>30</v>
      </c>
      <c r="N311" s="38">
        <f t="shared" si="113"/>
        <v>8.5</v>
      </c>
      <c r="P311" s="43">
        <f t="shared" si="132"/>
        <v>649.24196890372195</v>
      </c>
      <c r="Q311" s="43">
        <f t="shared" si="132"/>
        <v>549.94613836550559</v>
      </c>
      <c r="R311" s="43">
        <f t="shared" si="132"/>
        <v>468.59315931735381</v>
      </c>
      <c r="S311" s="43">
        <f t="shared" si="132"/>
        <v>468.59315931735381</v>
      </c>
      <c r="T311" s="43">
        <f t="shared" si="132"/>
        <v>468.59315931735381</v>
      </c>
      <c r="V311" s="43">
        <f t="shared" si="133"/>
        <v>55.490766572967679</v>
      </c>
      <c r="W311" s="43">
        <f t="shared" si="134"/>
        <v>55.490766572967686</v>
      </c>
      <c r="X311" s="43">
        <f t="shared" si="135"/>
        <v>55.490766572967686</v>
      </c>
      <c r="Y311" s="43">
        <f t="shared" si="136"/>
        <v>55.490766572967686</v>
      </c>
      <c r="Z311" s="43">
        <f t="shared" si="137"/>
        <v>55.490766572967686</v>
      </c>
      <c r="AB311" s="43">
        <f t="shared" si="114"/>
        <v>704.73273547668964</v>
      </c>
      <c r="AC311" s="43">
        <f t="shared" si="115"/>
        <v>605.43690493847328</v>
      </c>
      <c r="AD311" s="43">
        <f t="shared" si="116"/>
        <v>524.08392589032155</v>
      </c>
      <c r="AE311" s="43">
        <f t="shared" si="117"/>
        <v>524.08392589032155</v>
      </c>
      <c r="AF311" s="43">
        <f t="shared" si="118"/>
        <v>524.08392589032155</v>
      </c>
      <c r="AH311" s="43">
        <f t="shared" si="119"/>
        <v>4011.9824232255633</v>
      </c>
      <c r="AI311" s="43">
        <f t="shared" si="120"/>
        <v>3406.5455182870901</v>
      </c>
      <c r="AJ311" s="43">
        <f t="shared" si="121"/>
        <v>2882.4615923967685</v>
      </c>
      <c r="AK311" s="43">
        <f t="shared" si="122"/>
        <v>2358.377666506447</v>
      </c>
      <c r="AL311" s="43">
        <f t="shared" si="123"/>
        <v>1834.2937406161254</v>
      </c>
      <c r="AN311" s="47">
        <f t="shared" si="124"/>
        <v>869.2240148289377</v>
      </c>
      <c r="AO311" s="47">
        <f t="shared" si="125"/>
        <v>779.17072637111482</v>
      </c>
      <c r="AP311" s="47">
        <f t="shared" si="126"/>
        <v>671.08946710255668</v>
      </c>
      <c r="AQ311" s="47">
        <f t="shared" si="127"/>
        <v>653.79469754817615</v>
      </c>
      <c r="AR311" s="43">
        <f t="shared" si="128"/>
        <v>593.78708803373434</v>
      </c>
      <c r="AS311" s="120"/>
      <c r="AT311" s="120"/>
      <c r="AU311" s="120"/>
      <c r="AV311" s="120"/>
      <c r="AW311" s="120"/>
      <c r="AX311" s="120"/>
    </row>
    <row r="312" spans="1:50" s="89" customFormat="1" ht="13">
      <c r="A312" s="226"/>
      <c r="B312" s="37">
        <f>'13. Desinvesteringen'!B595</f>
        <v>576</v>
      </c>
      <c r="C312" s="331"/>
      <c r="D312" s="331"/>
      <c r="E312" s="331"/>
      <c r="F312" s="42">
        <f>'5. Input GAW-waarde desinv.'!D271</f>
        <v>65931.311505200705</v>
      </c>
      <c r="G312" s="175">
        <f>'13. Desinvesteringen'!D595</f>
        <v>2001</v>
      </c>
      <c r="H312" s="175">
        <f>'13. Desinvesteringen'!G595</f>
        <v>2024</v>
      </c>
      <c r="I312" s="37" t="str">
        <f>'13. Desinvesteringen'!C595</f>
        <v>02 Gasontvangststations</v>
      </c>
      <c r="J312" s="164">
        <f>'13. Desinvesteringen'!F595</f>
        <v>0</v>
      </c>
      <c r="K312" s="38">
        <f>_xlfn.XLOOKUP(I312,'3. Input (des)investeringen '!$B$11:$B$89,'3. Input (des)investeringen '!$E$11:$E$89)</f>
        <v>0</v>
      </c>
      <c r="L312" s="331"/>
      <c r="M312" s="38">
        <f>_xlfn.XLOOKUP(I312,'3. Input (des)investeringen '!$B$11:$B$89,'3. Input (des)investeringen '!$D$11:$D$89,0)</f>
        <v>30</v>
      </c>
      <c r="N312" s="38">
        <f t="shared" si="113"/>
        <v>9.5</v>
      </c>
      <c r="P312" s="43">
        <f t="shared" ref="P312:T321" si="138">IF($M312&gt;0, IF(OR($G312&gt;P$50,$G312+$M312&lt;P$50),0,
VDB($F312,0,$N312,MAX(0,P$50-2022),MIN($N312,P$50-2021),$F$23,FALSE))*(1-$F$26), 0)</f>
        <v>8119.9615222194561</v>
      </c>
      <c r="Q312" s="43">
        <f t="shared" si="138"/>
        <v>7008.8088928631096</v>
      </c>
      <c r="R312" s="43">
        <f t="shared" si="138"/>
        <v>6049.7087285765783</v>
      </c>
      <c r="S312" s="43">
        <f t="shared" si="138"/>
        <v>5870.7232632340747</v>
      </c>
      <c r="T312" s="43">
        <f t="shared" si="138"/>
        <v>5870.7232632340747</v>
      </c>
      <c r="V312" s="43">
        <f t="shared" si="133"/>
        <v>694.01380531790221</v>
      </c>
      <c r="W312" s="43">
        <f t="shared" si="134"/>
        <v>694.01380531790221</v>
      </c>
      <c r="X312" s="43">
        <f t="shared" si="135"/>
        <v>694.01380531790221</v>
      </c>
      <c r="Y312" s="43">
        <f t="shared" si="136"/>
        <v>694.01380531790221</v>
      </c>
      <c r="Z312" s="43">
        <f t="shared" si="137"/>
        <v>694.01380531790221</v>
      </c>
      <c r="AB312" s="43">
        <f t="shared" si="114"/>
        <v>8813.9753275373587</v>
      </c>
      <c r="AC312" s="43">
        <f t="shared" si="115"/>
        <v>7702.8226981810121</v>
      </c>
      <c r="AD312" s="43">
        <f t="shared" si="116"/>
        <v>6743.7225338944809</v>
      </c>
      <c r="AE312" s="43">
        <f t="shared" si="117"/>
        <v>6564.7370685519772</v>
      </c>
      <c r="AF312" s="43">
        <f t="shared" si="118"/>
        <v>6564.7370685519772</v>
      </c>
      <c r="AH312" s="43">
        <f t="shared" si="119"/>
        <v>57117.336177663346</v>
      </c>
      <c r="AI312" s="43">
        <f t="shared" si="120"/>
        <v>49414.513479482332</v>
      </c>
      <c r="AJ312" s="43">
        <f t="shared" si="121"/>
        <v>42670.790945587854</v>
      </c>
      <c r="AK312" s="43">
        <f t="shared" si="122"/>
        <v>36106.053877035876</v>
      </c>
      <c r="AL312" s="43">
        <f t="shared" si="123"/>
        <v>29541.316808483898</v>
      </c>
      <c r="AN312" s="47">
        <f t="shared" si="124"/>
        <v>11155.786110821557</v>
      </c>
      <c r="AO312" s="47">
        <f t="shared" si="125"/>
        <v>10222.96288563461</v>
      </c>
      <c r="AP312" s="47">
        <f t="shared" si="126"/>
        <v>8919.9328721194615</v>
      </c>
      <c r="AQ312" s="47">
        <f t="shared" si="127"/>
        <v>8550.5700317889496</v>
      </c>
      <c r="AR312" s="43">
        <f t="shared" si="128"/>
        <v>7687.3071072743651</v>
      </c>
      <c r="AS312" s="120"/>
      <c r="AT312" s="120"/>
      <c r="AU312" s="120"/>
      <c r="AV312" s="120"/>
      <c r="AW312" s="120"/>
      <c r="AX312" s="120"/>
    </row>
    <row r="313" spans="1:50" s="89" customFormat="1" ht="13">
      <c r="A313" s="226"/>
      <c r="B313" s="37">
        <f>'13. Desinvesteringen'!B596</f>
        <v>577</v>
      </c>
      <c r="C313" s="331"/>
      <c r="D313" s="331"/>
      <c r="E313" s="331"/>
      <c r="F313" s="42">
        <f>'5. Input GAW-waarde desinv.'!D272</f>
        <v>24863.217055860056</v>
      </c>
      <c r="G313" s="175">
        <f>'13. Desinvesteringen'!D596</f>
        <v>2007</v>
      </c>
      <c r="H313" s="175">
        <f>'13. Desinvesteringen'!G596</f>
        <v>2024</v>
      </c>
      <c r="I313" s="37" t="str">
        <f>'13. Desinvesteringen'!C596</f>
        <v>02 Gasontvangststations</v>
      </c>
      <c r="J313" s="164">
        <f>'13. Desinvesteringen'!F596</f>
        <v>0</v>
      </c>
      <c r="K313" s="38">
        <f>_xlfn.XLOOKUP(I313,'3. Input (des)investeringen '!$B$11:$B$89,'3. Input (des)investeringen '!$E$11:$E$89)</f>
        <v>0</v>
      </c>
      <c r="L313" s="331"/>
      <c r="M313" s="38">
        <f>_xlfn.XLOOKUP(I313,'3. Input (des)investeringen '!$B$11:$B$89,'3. Input (des)investeringen '!$D$11:$D$89,0)</f>
        <v>30</v>
      </c>
      <c r="N313" s="38">
        <f t="shared" si="113"/>
        <v>15.5</v>
      </c>
      <c r="P313" s="43">
        <f t="shared" si="138"/>
        <v>1876.7718680875012</v>
      </c>
      <c r="Q313" s="43">
        <f t="shared" si="138"/>
        <v>1719.3651952801622</v>
      </c>
      <c r="R313" s="43">
        <f t="shared" si="138"/>
        <v>1575.1603724502131</v>
      </c>
      <c r="S313" s="43">
        <f t="shared" si="138"/>
        <v>1443.0501476640661</v>
      </c>
      <c r="T313" s="43">
        <f t="shared" si="138"/>
        <v>1370.6563275471397</v>
      </c>
      <c r="V313" s="43">
        <f t="shared" si="133"/>
        <v>160.40785197329069</v>
      </c>
      <c r="W313" s="43">
        <f t="shared" si="134"/>
        <v>160.40785197329069</v>
      </c>
      <c r="X313" s="43">
        <f t="shared" si="135"/>
        <v>160.40785197329069</v>
      </c>
      <c r="Y313" s="43">
        <f t="shared" si="136"/>
        <v>160.40785197329069</v>
      </c>
      <c r="Z313" s="43">
        <f t="shared" si="137"/>
        <v>160.40785197329069</v>
      </c>
      <c r="AB313" s="43">
        <f t="shared" si="114"/>
        <v>2037.1797200607919</v>
      </c>
      <c r="AC313" s="43">
        <f t="shared" si="115"/>
        <v>1879.7730472534529</v>
      </c>
      <c r="AD313" s="43">
        <f t="shared" si="116"/>
        <v>1735.5682244235038</v>
      </c>
      <c r="AE313" s="43">
        <f t="shared" si="117"/>
        <v>1603.4579996373568</v>
      </c>
      <c r="AF313" s="43">
        <f t="shared" si="118"/>
        <v>1531.0641795204303</v>
      </c>
      <c r="AH313" s="43">
        <f t="shared" si="119"/>
        <v>22826.037335799265</v>
      </c>
      <c r="AI313" s="43">
        <f t="shared" si="120"/>
        <v>20946.264288545812</v>
      </c>
      <c r="AJ313" s="43">
        <f t="shared" si="121"/>
        <v>19210.696064122309</v>
      </c>
      <c r="AK313" s="43">
        <f t="shared" si="122"/>
        <v>17607.238064484951</v>
      </c>
      <c r="AL313" s="43">
        <f t="shared" si="123"/>
        <v>16076.173884964521</v>
      </c>
      <c r="AN313" s="47">
        <f t="shared" si="124"/>
        <v>2973.047250828562</v>
      </c>
      <c r="AO313" s="47">
        <f t="shared" si="125"/>
        <v>2948.0325259692891</v>
      </c>
      <c r="AP313" s="47">
        <f t="shared" si="126"/>
        <v>2715.3137236937414</v>
      </c>
      <c r="AQ313" s="47">
        <f t="shared" si="127"/>
        <v>2571.8560931840293</v>
      </c>
      <c r="AR313" s="43">
        <f t="shared" si="128"/>
        <v>2141.9587871490821</v>
      </c>
      <c r="AS313" s="120"/>
      <c r="AT313" s="120"/>
      <c r="AU313" s="120"/>
      <c r="AV313" s="120"/>
      <c r="AW313" s="120"/>
      <c r="AX313" s="120"/>
    </row>
    <row r="314" spans="1:50" s="89" customFormat="1" ht="13">
      <c r="A314" s="226"/>
      <c r="B314" s="37">
        <f>'13. Desinvesteringen'!B597</f>
        <v>578</v>
      </c>
      <c r="C314" s="331"/>
      <c r="D314" s="331"/>
      <c r="E314" s="331"/>
      <c r="F314" s="42">
        <f>'5. Input GAW-waarde desinv.'!D273</f>
        <v>21467.5396328608</v>
      </c>
      <c r="G314" s="175">
        <f>'13. Desinvesteringen'!D597</f>
        <v>2010</v>
      </c>
      <c r="H314" s="175">
        <f>'13. Desinvesteringen'!G597</f>
        <v>2024</v>
      </c>
      <c r="I314" s="37" t="str">
        <f>'13. Desinvesteringen'!C597</f>
        <v>02 Gasontvangststations</v>
      </c>
      <c r="J314" s="164">
        <f>'13. Desinvesteringen'!F597</f>
        <v>0</v>
      </c>
      <c r="K314" s="38">
        <f>_xlfn.XLOOKUP(I314,'3. Input (des)investeringen '!$B$11:$B$89,'3. Input (des)investeringen '!$E$11:$E$89)</f>
        <v>0</v>
      </c>
      <c r="L314" s="331"/>
      <c r="M314" s="38">
        <f>_xlfn.XLOOKUP(I314,'3. Input (des)investeringen '!$B$11:$B$89,'3. Input (des)investeringen '!$D$11:$D$89,0)</f>
        <v>30</v>
      </c>
      <c r="N314" s="38">
        <f t="shared" si="113"/>
        <v>18.5</v>
      </c>
      <c r="P314" s="43">
        <f t="shared" si="138"/>
        <v>1357.6768308349804</v>
      </c>
      <c r="Q314" s="43">
        <f t="shared" si="138"/>
        <v>1262.2725129925225</v>
      </c>
      <c r="R314" s="43">
        <f t="shared" si="138"/>
        <v>1173.5722823498047</v>
      </c>
      <c r="S314" s="43">
        <f t="shared" si="138"/>
        <v>1091.1050408873859</v>
      </c>
      <c r="T314" s="43">
        <f t="shared" si="138"/>
        <v>1014.4327947709753</v>
      </c>
      <c r="V314" s="43">
        <f t="shared" si="133"/>
        <v>116.04075477222055</v>
      </c>
      <c r="W314" s="43">
        <f t="shared" si="134"/>
        <v>116.04075477222055</v>
      </c>
      <c r="X314" s="43">
        <f t="shared" si="135"/>
        <v>116.04075477222055</v>
      </c>
      <c r="Y314" s="43">
        <f t="shared" si="136"/>
        <v>116.04075477222055</v>
      </c>
      <c r="Z314" s="43">
        <f t="shared" si="137"/>
        <v>116.04075477222055</v>
      </c>
      <c r="AB314" s="43">
        <f t="shared" si="114"/>
        <v>1473.7175856072008</v>
      </c>
      <c r="AC314" s="43">
        <f t="shared" si="115"/>
        <v>1378.3132677647429</v>
      </c>
      <c r="AD314" s="43">
        <f t="shared" si="116"/>
        <v>1289.6130371220252</v>
      </c>
      <c r="AE314" s="43">
        <f t="shared" si="117"/>
        <v>1207.1457956596064</v>
      </c>
      <c r="AF314" s="43">
        <f t="shared" si="118"/>
        <v>1130.4735495431958</v>
      </c>
      <c r="AH314" s="43">
        <f t="shared" si="119"/>
        <v>19993.822047253598</v>
      </c>
      <c r="AI314" s="43">
        <f t="shared" si="120"/>
        <v>18615.508779488853</v>
      </c>
      <c r="AJ314" s="43">
        <f t="shared" si="121"/>
        <v>17325.895742366829</v>
      </c>
      <c r="AK314" s="43">
        <f t="shared" si="122"/>
        <v>16118.749946707223</v>
      </c>
      <c r="AL314" s="43">
        <f t="shared" si="123"/>
        <v>14988.276397164027</v>
      </c>
      <c r="AN314" s="47">
        <f t="shared" si="124"/>
        <v>2293.4642895445986</v>
      </c>
      <c r="AO314" s="47">
        <f t="shared" si="125"/>
        <v>2327.7042155186746</v>
      </c>
      <c r="AP314" s="47">
        <f t="shared" si="126"/>
        <v>2173.2337199827334</v>
      </c>
      <c r="AQ314" s="47">
        <f t="shared" si="127"/>
        <v>2093.6770427285037</v>
      </c>
      <c r="AR314" s="43">
        <f t="shared" si="128"/>
        <v>1700.0280526354288</v>
      </c>
      <c r="AS314" s="120"/>
      <c r="AT314" s="120"/>
      <c r="AU314" s="120"/>
      <c r="AV314" s="120"/>
      <c r="AW314" s="120"/>
      <c r="AX314" s="120"/>
    </row>
    <row r="315" spans="1:50" s="89" customFormat="1" ht="13">
      <c r="A315" s="226"/>
      <c r="B315" s="37">
        <f>'13. Desinvesteringen'!B598</f>
        <v>579</v>
      </c>
      <c r="C315" s="331"/>
      <c r="D315" s="331"/>
      <c r="E315" s="331"/>
      <c r="F315" s="42">
        <f>'5. Input GAW-waarde desinv.'!D274</f>
        <v>83136.628234360018</v>
      </c>
      <c r="G315" s="175">
        <f>'13. Desinvesteringen'!D598</f>
        <v>2011</v>
      </c>
      <c r="H315" s="175">
        <f>'13. Desinvesteringen'!G598</f>
        <v>2024</v>
      </c>
      <c r="I315" s="37" t="str">
        <f>'13. Desinvesteringen'!C598</f>
        <v>02 Gasontvangststations</v>
      </c>
      <c r="J315" s="164">
        <f>'13. Desinvesteringen'!F598</f>
        <v>0</v>
      </c>
      <c r="K315" s="38">
        <f>_xlfn.XLOOKUP(I315,'3. Input (des)investeringen '!$B$11:$B$89,'3. Input (des)investeringen '!$E$11:$E$89)</f>
        <v>0</v>
      </c>
      <c r="L315" s="331"/>
      <c r="M315" s="38">
        <f>_xlfn.XLOOKUP(I315,'3. Input (des)investeringen '!$B$11:$B$89,'3. Input (des)investeringen '!$D$11:$D$89,0)</f>
        <v>30</v>
      </c>
      <c r="N315" s="38">
        <f t="shared" si="113"/>
        <v>19.5</v>
      </c>
      <c r="P315" s="43">
        <f t="shared" si="138"/>
        <v>4988.1976940616014</v>
      </c>
      <c r="Q315" s="43">
        <f t="shared" si="138"/>
        <v>4655.6511811241608</v>
      </c>
      <c r="R315" s="43">
        <f t="shared" si="138"/>
        <v>4345.2744357158836</v>
      </c>
      <c r="S315" s="43">
        <f t="shared" si="138"/>
        <v>4055.589473334825</v>
      </c>
      <c r="T315" s="43">
        <f t="shared" si="138"/>
        <v>3785.21684177917</v>
      </c>
      <c r="V315" s="43">
        <f t="shared" si="133"/>
        <v>426.34168325312834</v>
      </c>
      <c r="W315" s="43">
        <f t="shared" si="134"/>
        <v>426.34168325312834</v>
      </c>
      <c r="X315" s="43">
        <f t="shared" si="135"/>
        <v>426.34168325312834</v>
      </c>
      <c r="Y315" s="43">
        <f t="shared" si="136"/>
        <v>426.34168325312834</v>
      </c>
      <c r="Z315" s="43">
        <f t="shared" si="137"/>
        <v>426.34168325312834</v>
      </c>
      <c r="AB315" s="43">
        <f t="shared" si="114"/>
        <v>5414.5393773147298</v>
      </c>
      <c r="AC315" s="43">
        <f t="shared" si="115"/>
        <v>5081.9928643772892</v>
      </c>
      <c r="AD315" s="43">
        <f t="shared" si="116"/>
        <v>4771.6161189690119</v>
      </c>
      <c r="AE315" s="43">
        <f t="shared" si="117"/>
        <v>4481.9311565879534</v>
      </c>
      <c r="AF315" s="43">
        <f t="shared" si="118"/>
        <v>4211.5585250322983</v>
      </c>
      <c r="AH315" s="43">
        <f t="shared" si="119"/>
        <v>77722.088857045281</v>
      </c>
      <c r="AI315" s="43">
        <f t="shared" si="120"/>
        <v>72640.095992667993</v>
      </c>
      <c r="AJ315" s="43">
        <f t="shared" si="121"/>
        <v>67868.479873698976</v>
      </c>
      <c r="AK315" s="43">
        <f t="shared" si="122"/>
        <v>63386.548717111022</v>
      </c>
      <c r="AL315" s="43">
        <f t="shared" si="123"/>
        <v>59174.990192078723</v>
      </c>
      <c r="AN315" s="47">
        <f t="shared" si="124"/>
        <v>8601.1450204535868</v>
      </c>
      <c r="AO315" s="47">
        <f t="shared" si="125"/>
        <v>8786.6377600033557</v>
      </c>
      <c r="AP315" s="47">
        <f t="shared" si="126"/>
        <v>8232.9085925276595</v>
      </c>
      <c r="AQ315" s="47">
        <f t="shared" si="127"/>
        <v>7968.19133602906</v>
      </c>
      <c r="AR315" s="43">
        <f t="shared" si="128"/>
        <v>6460.20815233129</v>
      </c>
      <c r="AS315" s="120"/>
      <c r="AT315" s="120"/>
      <c r="AU315" s="120"/>
      <c r="AV315" s="120"/>
      <c r="AW315" s="120"/>
      <c r="AX315" s="120"/>
    </row>
    <row r="316" spans="1:50" s="89" customFormat="1" ht="13">
      <c r="A316" s="226"/>
      <c r="B316" s="37">
        <f>'13. Desinvesteringen'!B599</f>
        <v>580</v>
      </c>
      <c r="C316" s="331"/>
      <c r="D316" s="331"/>
      <c r="E316" s="331"/>
      <c r="F316" s="42">
        <f>'5. Input GAW-waarde desinv.'!D275</f>
        <v>41879.587518857079</v>
      </c>
      <c r="G316" s="175">
        <f>'13. Desinvesteringen'!D599</f>
        <v>2017</v>
      </c>
      <c r="H316" s="175">
        <f>'13. Desinvesteringen'!G599</f>
        <v>2024</v>
      </c>
      <c r="I316" s="37" t="str">
        <f>'13. Desinvesteringen'!C599</f>
        <v>02 Gasontvangststations</v>
      </c>
      <c r="J316" s="164">
        <f>'13. Desinvesteringen'!F599</f>
        <v>0</v>
      </c>
      <c r="K316" s="38">
        <f>_xlfn.XLOOKUP(I316,'3. Input (des)investeringen '!$B$11:$B$89,'3. Input (des)investeringen '!$E$11:$E$89)</f>
        <v>0</v>
      </c>
      <c r="L316" s="331"/>
      <c r="M316" s="38">
        <f>_xlfn.XLOOKUP(I316,'3. Input (des)investeringen '!$B$11:$B$89,'3. Input (des)investeringen '!$D$11:$D$89,0)</f>
        <v>30</v>
      </c>
      <c r="N316" s="38">
        <f t="shared" si="113"/>
        <v>25.5</v>
      </c>
      <c r="P316" s="43">
        <f t="shared" si="138"/>
        <v>1921.5340155710896</v>
      </c>
      <c r="Q316" s="43">
        <f t="shared" si="138"/>
        <v>1823.5734579145239</v>
      </c>
      <c r="R316" s="43">
        <f t="shared" si="138"/>
        <v>1730.6069679031953</v>
      </c>
      <c r="S316" s="43">
        <f t="shared" si="138"/>
        <v>1642.3799460100909</v>
      </c>
      <c r="T316" s="43">
        <f t="shared" si="138"/>
        <v>1558.6507722919293</v>
      </c>
      <c r="V316" s="43">
        <f t="shared" si="133"/>
        <v>164.23367654453759</v>
      </c>
      <c r="W316" s="43">
        <f t="shared" si="134"/>
        <v>164.23367654453759</v>
      </c>
      <c r="X316" s="43">
        <f t="shared" si="135"/>
        <v>164.23367654453759</v>
      </c>
      <c r="Y316" s="43">
        <f t="shared" si="136"/>
        <v>164.23367654453759</v>
      </c>
      <c r="Z316" s="43">
        <f t="shared" si="137"/>
        <v>164.23367654453759</v>
      </c>
      <c r="AB316" s="43">
        <f t="shared" si="114"/>
        <v>2085.7676921156271</v>
      </c>
      <c r="AC316" s="43">
        <f t="shared" si="115"/>
        <v>1987.8071344590614</v>
      </c>
      <c r="AD316" s="43">
        <f t="shared" si="116"/>
        <v>1894.8406444477328</v>
      </c>
      <c r="AE316" s="43">
        <f t="shared" si="117"/>
        <v>1806.6136225546284</v>
      </c>
      <c r="AF316" s="43">
        <f t="shared" si="118"/>
        <v>1722.8844488364668</v>
      </c>
      <c r="AH316" s="43">
        <f t="shared" si="119"/>
        <v>39793.819826741455</v>
      </c>
      <c r="AI316" s="43">
        <f t="shared" si="120"/>
        <v>37806.012692282391</v>
      </c>
      <c r="AJ316" s="43">
        <f t="shared" si="121"/>
        <v>35911.172047834661</v>
      </c>
      <c r="AK316" s="43">
        <f t="shared" si="122"/>
        <v>34104.558425280033</v>
      </c>
      <c r="AL316" s="43">
        <f t="shared" si="123"/>
        <v>32381.673976443566</v>
      </c>
      <c r="AN316" s="47">
        <f t="shared" si="124"/>
        <v>3717.314305012027</v>
      </c>
      <c r="AO316" s="47">
        <f t="shared" si="125"/>
        <v>3915.9137817654632</v>
      </c>
      <c r="AP316" s="47">
        <f t="shared" si="126"/>
        <v>3726.3104188873003</v>
      </c>
      <c r="AQ316" s="47">
        <f t="shared" si="127"/>
        <v>3682.3643359450302</v>
      </c>
      <c r="AR316" s="43">
        <f t="shared" si="128"/>
        <v>2953.3880599413224</v>
      </c>
      <c r="AS316" s="120"/>
      <c r="AT316" s="120"/>
      <c r="AU316" s="120"/>
      <c r="AV316" s="120"/>
      <c r="AW316" s="120"/>
      <c r="AX316" s="120"/>
    </row>
    <row r="317" spans="1:50" s="89" customFormat="1" ht="13">
      <c r="A317" s="226"/>
      <c r="B317" s="37">
        <f>'13. Desinvesteringen'!B600</f>
        <v>581</v>
      </c>
      <c r="C317" s="331"/>
      <c r="D317" s="331"/>
      <c r="E317" s="331"/>
      <c r="F317" s="42">
        <f>'5. Input GAW-waarde desinv.'!D276</f>
        <v>16441.216799999998</v>
      </c>
      <c r="G317" s="175">
        <f>'13. Desinvesteringen'!D600</f>
        <v>2020</v>
      </c>
      <c r="H317" s="175">
        <f>'13. Desinvesteringen'!G600</f>
        <v>2024</v>
      </c>
      <c r="I317" s="37" t="str">
        <f>'13. Desinvesteringen'!C600</f>
        <v>02 Gasontvangststations</v>
      </c>
      <c r="J317" s="164">
        <f>'13. Desinvesteringen'!F600</f>
        <v>0</v>
      </c>
      <c r="K317" s="38">
        <f>_xlfn.XLOOKUP(I317,'3. Input (des)investeringen '!$B$11:$B$89,'3. Input (des)investeringen '!$E$11:$E$89)</f>
        <v>0</v>
      </c>
      <c r="L317" s="331"/>
      <c r="M317" s="38">
        <f>_xlfn.XLOOKUP(I317,'3. Input (des)investeringen '!$B$11:$B$89,'3. Input (des)investeringen '!$D$11:$D$89,0)</f>
        <v>30</v>
      </c>
      <c r="N317" s="38">
        <f t="shared" si="113"/>
        <v>28.5</v>
      </c>
      <c r="P317" s="43">
        <f t="shared" si="138"/>
        <v>674.95521600000006</v>
      </c>
      <c r="Q317" s="43">
        <f t="shared" si="138"/>
        <v>644.16778509473681</v>
      </c>
      <c r="R317" s="43">
        <f t="shared" si="138"/>
        <v>614.78469314304709</v>
      </c>
      <c r="S317" s="43">
        <f t="shared" si="138"/>
        <v>586.74188257862738</v>
      </c>
      <c r="T317" s="43">
        <f t="shared" si="138"/>
        <v>559.97821775925138</v>
      </c>
      <c r="V317" s="43">
        <f t="shared" si="133"/>
        <v>57.688479999999998</v>
      </c>
      <c r="W317" s="43">
        <f t="shared" si="134"/>
        <v>57.688479999999998</v>
      </c>
      <c r="X317" s="43">
        <f t="shared" si="135"/>
        <v>57.688479999999998</v>
      </c>
      <c r="Y317" s="43">
        <f t="shared" si="136"/>
        <v>57.688479999999998</v>
      </c>
      <c r="Z317" s="43">
        <f t="shared" si="137"/>
        <v>57.688479999999998</v>
      </c>
      <c r="AB317" s="43">
        <f t="shared" si="114"/>
        <v>732.64369600000009</v>
      </c>
      <c r="AC317" s="43">
        <f t="shared" si="115"/>
        <v>701.85626509473684</v>
      </c>
      <c r="AD317" s="43">
        <f t="shared" si="116"/>
        <v>672.47317314304712</v>
      </c>
      <c r="AE317" s="43">
        <f t="shared" si="117"/>
        <v>644.43036257862741</v>
      </c>
      <c r="AF317" s="43">
        <f t="shared" si="118"/>
        <v>617.66669775925141</v>
      </c>
      <c r="AH317" s="43">
        <f t="shared" si="119"/>
        <v>15708.573103999999</v>
      </c>
      <c r="AI317" s="43">
        <f t="shared" si="120"/>
        <v>15006.716838905262</v>
      </c>
      <c r="AJ317" s="43">
        <f t="shared" si="121"/>
        <v>14334.243665762215</v>
      </c>
      <c r="AK317" s="43">
        <f t="shared" si="122"/>
        <v>13689.813303183588</v>
      </c>
      <c r="AL317" s="43">
        <f t="shared" si="123"/>
        <v>13072.146605424336</v>
      </c>
      <c r="AN317" s="47">
        <f t="shared" si="124"/>
        <v>1376.695193264</v>
      </c>
      <c r="AO317" s="47">
        <f t="shared" si="125"/>
        <v>1467.1988238789052</v>
      </c>
      <c r="AP317" s="47">
        <f t="shared" si="126"/>
        <v>1403.5196000969199</v>
      </c>
      <c r="AQ317" s="47">
        <f t="shared" si="127"/>
        <v>1397.3700942537248</v>
      </c>
      <c r="AR317" s="43">
        <f t="shared" si="128"/>
        <v>1114.4082687653761</v>
      </c>
      <c r="AS317" s="120"/>
      <c r="AT317" s="120"/>
      <c r="AU317" s="120"/>
      <c r="AV317" s="120"/>
      <c r="AW317" s="120"/>
      <c r="AX317" s="120"/>
    </row>
    <row r="318" spans="1:50" s="89" customFormat="1" ht="13">
      <c r="A318" s="226"/>
      <c r="B318" s="37">
        <f>'13. Desinvesteringen'!B601</f>
        <v>582</v>
      </c>
      <c r="C318" s="331"/>
      <c r="D318" s="331"/>
      <c r="E318" s="331"/>
      <c r="F318" s="42">
        <f>'5. Input GAW-waarde desinv.'!D277</f>
        <v>0</v>
      </c>
      <c r="G318" s="175">
        <f>'13. Desinvesteringen'!D601</f>
        <v>1998</v>
      </c>
      <c r="H318" s="175">
        <f>'13. Desinvesteringen'!G601</f>
        <v>2024</v>
      </c>
      <c r="I318" s="37" t="str">
        <f>'13. Desinvesteringen'!C601</f>
        <v>03 Verremeting</v>
      </c>
      <c r="J318" s="164">
        <f>'13. Desinvesteringen'!F601</f>
        <v>0</v>
      </c>
      <c r="K318" s="38">
        <f>_xlfn.XLOOKUP(I318,'3. Input (des)investeringen '!$B$11:$B$89,'3. Input (des)investeringen '!$E$11:$E$89)</f>
        <v>1</v>
      </c>
      <c r="L318" s="331"/>
      <c r="M318" s="38">
        <f>_xlfn.XLOOKUP(I318,'3. Input (des)investeringen '!$B$11:$B$89,'3. Input (des)investeringen '!$D$11:$D$89,0)</f>
        <v>5</v>
      </c>
      <c r="N318" s="38">
        <f t="shared" si="113"/>
        <v>0</v>
      </c>
      <c r="P318" s="43">
        <f t="shared" si="138"/>
        <v>0</v>
      </c>
      <c r="Q318" s="43">
        <f t="shared" si="138"/>
        <v>0</v>
      </c>
      <c r="R318" s="43">
        <f t="shared" si="138"/>
        <v>0</v>
      </c>
      <c r="S318" s="43">
        <f t="shared" si="138"/>
        <v>0</v>
      </c>
      <c r="T318" s="43">
        <f t="shared" si="138"/>
        <v>0</v>
      </c>
      <c r="V318" s="43">
        <f t="shared" si="133"/>
        <v>0</v>
      </c>
      <c r="W318" s="43">
        <f t="shared" si="134"/>
        <v>0</v>
      </c>
      <c r="X318" s="43">
        <f t="shared" si="135"/>
        <v>0</v>
      </c>
      <c r="Y318" s="43">
        <f t="shared" si="136"/>
        <v>0</v>
      </c>
      <c r="Z318" s="43">
        <f t="shared" si="137"/>
        <v>0</v>
      </c>
      <c r="AB318" s="43">
        <f t="shared" si="114"/>
        <v>0</v>
      </c>
      <c r="AC318" s="43">
        <f t="shared" si="115"/>
        <v>0</v>
      </c>
      <c r="AD318" s="43">
        <f t="shared" si="116"/>
        <v>0</v>
      </c>
      <c r="AE318" s="43">
        <f t="shared" si="117"/>
        <v>0</v>
      </c>
      <c r="AF318" s="43">
        <f t="shared" si="118"/>
        <v>0</v>
      </c>
      <c r="AH318" s="43">
        <f t="shared" si="119"/>
        <v>0</v>
      </c>
      <c r="AI318" s="43">
        <f t="shared" si="120"/>
        <v>0</v>
      </c>
      <c r="AJ318" s="43">
        <f t="shared" si="121"/>
        <v>0</v>
      </c>
      <c r="AK318" s="43">
        <f t="shared" si="122"/>
        <v>0</v>
      </c>
      <c r="AL318" s="43">
        <f t="shared" si="123"/>
        <v>0</v>
      </c>
      <c r="AN318" s="47">
        <f t="shared" si="124"/>
        <v>0</v>
      </c>
      <c r="AO318" s="47">
        <f t="shared" si="125"/>
        <v>0</v>
      </c>
      <c r="AP318" s="47">
        <f t="shared" si="126"/>
        <v>0</v>
      </c>
      <c r="AQ318" s="47">
        <f t="shared" si="127"/>
        <v>0</v>
      </c>
      <c r="AR318" s="43">
        <f t="shared" si="128"/>
        <v>0</v>
      </c>
      <c r="AS318" s="120"/>
      <c r="AT318" s="120"/>
      <c r="AU318" s="120"/>
      <c r="AV318" s="120"/>
      <c r="AW318" s="120"/>
      <c r="AX318" s="120"/>
    </row>
    <row r="319" spans="1:50" s="89" customFormat="1" ht="13">
      <c r="A319" s="226"/>
      <c r="B319" s="37">
        <f>'13. Desinvesteringen'!B602</f>
        <v>583</v>
      </c>
      <c r="C319" s="331"/>
      <c r="D319" s="331"/>
      <c r="E319" s="331"/>
      <c r="F319" s="42">
        <f>'5. Input GAW-waarde desinv.'!D278</f>
        <v>156251.04854529988</v>
      </c>
      <c r="G319" s="175">
        <f>'13. Desinvesteringen'!D602</f>
        <v>1996</v>
      </c>
      <c r="H319" s="175">
        <f>'13. Desinvesteringen'!G602</f>
        <v>2024</v>
      </c>
      <c r="I319" s="37" t="str">
        <f>'13. Desinvesteringen'!C602</f>
        <v>06 Utiliteitsgebouwen</v>
      </c>
      <c r="J319" s="164">
        <f>'13. Desinvesteringen'!F602</f>
        <v>0</v>
      </c>
      <c r="K319" s="38">
        <f>_xlfn.XLOOKUP(I319,'3. Input (des)investeringen '!$B$11:$B$89,'3. Input (des)investeringen '!$E$11:$E$89)</f>
        <v>0</v>
      </c>
      <c r="L319" s="331"/>
      <c r="M319" s="38">
        <f>_xlfn.XLOOKUP(I319,'3. Input (des)investeringen '!$B$11:$B$89,'3. Input (des)investeringen '!$D$11:$D$89,0)</f>
        <v>30</v>
      </c>
      <c r="N319" s="38">
        <f t="shared" si="113"/>
        <v>4.5</v>
      </c>
      <c r="P319" s="43">
        <f t="shared" si="138"/>
        <v>40625.272621777971</v>
      </c>
      <c r="Q319" s="43">
        <f t="shared" si="138"/>
        <v>28889.082753264338</v>
      </c>
      <c r="R319" s="43">
        <f t="shared" si="138"/>
        <v>28444.635326291038</v>
      </c>
      <c r="S319" s="43">
        <f t="shared" si="138"/>
        <v>28444.635326291038</v>
      </c>
      <c r="T319" s="43">
        <f t="shared" si="138"/>
        <v>14222.317663145519</v>
      </c>
      <c r="V319" s="43">
        <f t="shared" si="133"/>
        <v>3472.2455232288867</v>
      </c>
      <c r="W319" s="43">
        <f t="shared" si="134"/>
        <v>3472.2455232288867</v>
      </c>
      <c r="X319" s="43">
        <f t="shared" si="135"/>
        <v>3472.2455232288867</v>
      </c>
      <c r="Y319" s="43">
        <f t="shared" si="136"/>
        <v>3472.2455232288867</v>
      </c>
      <c r="Z319" s="43">
        <f t="shared" si="137"/>
        <v>1736.1227616144433</v>
      </c>
      <c r="AB319" s="43">
        <f t="shared" si="114"/>
        <v>44097.518145006856</v>
      </c>
      <c r="AC319" s="43">
        <f t="shared" si="115"/>
        <v>32361.328276493223</v>
      </c>
      <c r="AD319" s="43">
        <f t="shared" si="116"/>
        <v>31916.880849519926</v>
      </c>
      <c r="AE319" s="43">
        <f t="shared" si="117"/>
        <v>31916.880849519926</v>
      </c>
      <c r="AF319" s="43">
        <f t="shared" si="118"/>
        <v>15958.440424759963</v>
      </c>
      <c r="AH319" s="43">
        <f t="shared" si="119"/>
        <v>112153.53040029304</v>
      </c>
      <c r="AI319" s="43">
        <f t="shared" si="120"/>
        <v>79792.202123799812</v>
      </c>
      <c r="AJ319" s="43">
        <f t="shared" si="121"/>
        <v>47875.321274279886</v>
      </c>
      <c r="AK319" s="43">
        <f t="shared" si="122"/>
        <v>15958.44042475996</v>
      </c>
      <c r="AL319" s="43">
        <f t="shared" si="123"/>
        <v>0</v>
      </c>
      <c r="AN319" s="47">
        <f t="shared" si="124"/>
        <v>48695.812891418871</v>
      </c>
      <c r="AO319" s="47">
        <f t="shared" si="125"/>
        <v>36430.73058480701</v>
      </c>
      <c r="AP319" s="47">
        <f t="shared" si="126"/>
        <v>34358.5222345082</v>
      </c>
      <c r="AQ319" s="47">
        <f t="shared" si="127"/>
        <v>32794.595072881726</v>
      </c>
      <c r="AR319" s="43">
        <f t="shared" si="128"/>
        <v>15958.440424759963</v>
      </c>
      <c r="AS319" s="120"/>
      <c r="AT319" s="120"/>
      <c r="AU319" s="120"/>
      <c r="AV319" s="120"/>
      <c r="AW319" s="120"/>
      <c r="AX319" s="120"/>
    </row>
    <row r="320" spans="1:50" s="89" customFormat="1" ht="13">
      <c r="A320" s="226"/>
      <c r="B320" s="37">
        <f>'13. Desinvesteringen'!B603</f>
        <v>584</v>
      </c>
      <c r="C320" s="331"/>
      <c r="D320" s="331"/>
      <c r="E320" s="331"/>
      <c r="F320" s="42">
        <f>'5. Input GAW-waarde desinv.'!D279</f>
        <v>571344.07191404735</v>
      </c>
      <c r="G320" s="175">
        <f>'13. Desinvesteringen'!D603</f>
        <v>1998</v>
      </c>
      <c r="H320" s="175">
        <f>'13. Desinvesteringen'!G603</f>
        <v>2024</v>
      </c>
      <c r="I320" s="37" t="str">
        <f>'13. Desinvesteringen'!C603</f>
        <v>06 Utiliteitsgebouwen</v>
      </c>
      <c r="J320" s="164">
        <f>'13. Desinvesteringen'!F603</f>
        <v>0</v>
      </c>
      <c r="K320" s="38">
        <f>_xlfn.XLOOKUP(I320,'3. Input (des)investeringen '!$B$11:$B$89,'3. Input (des)investeringen '!$E$11:$E$89)</f>
        <v>0</v>
      </c>
      <c r="L320" s="331"/>
      <c r="M320" s="38">
        <f>_xlfn.XLOOKUP(I320,'3. Input (des)investeringen '!$B$11:$B$89,'3. Input (des)investeringen '!$D$11:$D$89,0)</f>
        <v>30</v>
      </c>
      <c r="N320" s="38">
        <f t="shared" si="113"/>
        <v>6.5</v>
      </c>
      <c r="P320" s="43">
        <f t="shared" si="138"/>
        <v>102841.93294452853</v>
      </c>
      <c r="Q320" s="43">
        <f t="shared" si="138"/>
        <v>82273.546355622835</v>
      </c>
      <c r="R320" s="43">
        <f t="shared" si="138"/>
        <v>73132.041204998066</v>
      </c>
      <c r="S320" s="43">
        <f t="shared" si="138"/>
        <v>73132.041204998066</v>
      </c>
      <c r="T320" s="43">
        <f t="shared" si="138"/>
        <v>73132.041204998066</v>
      </c>
      <c r="V320" s="43">
        <f t="shared" si="133"/>
        <v>8789.9087986776522</v>
      </c>
      <c r="W320" s="43">
        <f t="shared" si="134"/>
        <v>8789.9087986776522</v>
      </c>
      <c r="X320" s="43">
        <f t="shared" si="135"/>
        <v>8789.9087986776522</v>
      </c>
      <c r="Y320" s="43">
        <f t="shared" si="136"/>
        <v>8789.9087986776522</v>
      </c>
      <c r="Z320" s="43">
        <f t="shared" si="137"/>
        <v>8789.9087986776522</v>
      </c>
      <c r="AB320" s="43">
        <f t="shared" si="114"/>
        <v>111631.84174320618</v>
      </c>
      <c r="AC320" s="43">
        <f t="shared" si="115"/>
        <v>91063.455154300493</v>
      </c>
      <c r="AD320" s="43">
        <f t="shared" si="116"/>
        <v>81921.950003675724</v>
      </c>
      <c r="AE320" s="43">
        <f t="shared" si="117"/>
        <v>81921.950003675724</v>
      </c>
      <c r="AF320" s="43">
        <f t="shared" si="118"/>
        <v>81921.950003675724</v>
      </c>
      <c r="AH320" s="43">
        <f t="shared" si="119"/>
        <v>459712.23017084115</v>
      </c>
      <c r="AI320" s="43">
        <f t="shared" si="120"/>
        <v>368648.77501654066</v>
      </c>
      <c r="AJ320" s="43">
        <f t="shared" si="121"/>
        <v>286726.82501286495</v>
      </c>
      <c r="AK320" s="43">
        <f t="shared" si="122"/>
        <v>204804.87500918924</v>
      </c>
      <c r="AL320" s="43">
        <f t="shared" si="123"/>
        <v>122882.92500551352</v>
      </c>
      <c r="AN320" s="47">
        <f t="shared" si="124"/>
        <v>130480.04318021068</v>
      </c>
      <c r="AO320" s="47">
        <f t="shared" si="125"/>
        <v>109864.54268014406</v>
      </c>
      <c r="AP320" s="47">
        <f t="shared" si="126"/>
        <v>96545.018079331843</v>
      </c>
      <c r="AQ320" s="47">
        <f t="shared" si="127"/>
        <v>93186.218129181128</v>
      </c>
      <c r="AR320" s="43">
        <f t="shared" si="128"/>
        <v>86591.501153885241</v>
      </c>
      <c r="AS320" s="120"/>
      <c r="AT320" s="120"/>
      <c r="AU320" s="120"/>
      <c r="AV320" s="120"/>
      <c r="AW320" s="120"/>
      <c r="AX320" s="120"/>
    </row>
    <row r="321" spans="1:50" s="89" customFormat="1" ht="13">
      <c r="A321" s="226"/>
      <c r="B321" s="37">
        <f>'13. Desinvesteringen'!B604</f>
        <v>585</v>
      </c>
      <c r="C321" s="331"/>
      <c r="D321" s="331"/>
      <c r="E321" s="331"/>
      <c r="F321" s="42">
        <f>'5. Input GAW-waarde desinv.'!D280</f>
        <v>16920.652386594666</v>
      </c>
      <c r="G321" s="175">
        <f>'13. Desinvesteringen'!D604</f>
        <v>2005</v>
      </c>
      <c r="H321" s="175">
        <f>'13. Desinvesteringen'!G604</f>
        <v>2024</v>
      </c>
      <c r="I321" s="37" t="str">
        <f>'13. Desinvesteringen'!C604</f>
        <v>06 Utiliteitsgebouwen</v>
      </c>
      <c r="J321" s="164">
        <f>'13. Desinvesteringen'!F604</f>
        <v>0</v>
      </c>
      <c r="K321" s="38">
        <f>_xlfn.XLOOKUP(I321,'3. Input (des)investeringen '!$B$11:$B$89,'3. Input (des)investeringen '!$E$11:$E$89)</f>
        <v>0</v>
      </c>
      <c r="L321" s="331"/>
      <c r="M321" s="38">
        <f>_xlfn.XLOOKUP(I321,'3. Input (des)investeringen '!$B$11:$B$89,'3. Input (des)investeringen '!$D$11:$D$89,0)</f>
        <v>30</v>
      </c>
      <c r="N321" s="38">
        <f t="shared" si="113"/>
        <v>13.5</v>
      </c>
      <c r="P321" s="43">
        <f t="shared" si="138"/>
        <v>1466.4565401715377</v>
      </c>
      <c r="Q321" s="43">
        <f t="shared" si="138"/>
        <v>1325.2422066735378</v>
      </c>
      <c r="R321" s="43">
        <f t="shared" si="138"/>
        <v>1197.6262904753453</v>
      </c>
      <c r="S321" s="43">
        <f t="shared" si="138"/>
        <v>1082.2993143554972</v>
      </c>
      <c r="T321" s="43">
        <f t="shared" si="138"/>
        <v>1069.1539785536086</v>
      </c>
      <c r="V321" s="43">
        <f t="shared" si="133"/>
        <v>125.33816582662715</v>
      </c>
      <c r="W321" s="43">
        <f t="shared" si="134"/>
        <v>125.33816582662718</v>
      </c>
      <c r="X321" s="43">
        <f t="shared" si="135"/>
        <v>125.33816582662718</v>
      </c>
      <c r="Y321" s="43">
        <f t="shared" si="136"/>
        <v>125.33816582662718</v>
      </c>
      <c r="Z321" s="43">
        <f t="shared" si="137"/>
        <v>125.33816582662718</v>
      </c>
      <c r="AB321" s="43">
        <f t="shared" si="114"/>
        <v>1591.7947059981648</v>
      </c>
      <c r="AC321" s="43">
        <f t="shared" si="115"/>
        <v>1450.5803725001649</v>
      </c>
      <c r="AD321" s="43">
        <f t="shared" si="116"/>
        <v>1322.9644563019724</v>
      </c>
      <c r="AE321" s="43">
        <f t="shared" si="117"/>
        <v>1207.6374801821244</v>
      </c>
      <c r="AF321" s="43">
        <f t="shared" si="118"/>
        <v>1194.4921443802357</v>
      </c>
      <c r="AH321" s="43">
        <f t="shared" si="119"/>
        <v>15328.8576805965</v>
      </c>
      <c r="AI321" s="43">
        <f t="shared" si="120"/>
        <v>13878.277308096336</v>
      </c>
      <c r="AJ321" s="43">
        <f t="shared" si="121"/>
        <v>12555.312851794364</v>
      </c>
      <c r="AK321" s="43">
        <f t="shared" si="122"/>
        <v>11347.67537161224</v>
      </c>
      <c r="AL321" s="43">
        <f t="shared" si="123"/>
        <v>10153.183227232004</v>
      </c>
      <c r="AN321" s="47">
        <f t="shared" si="124"/>
        <v>2220.2778709026215</v>
      </c>
      <c r="AO321" s="47">
        <f t="shared" si="125"/>
        <v>2158.3725152130783</v>
      </c>
      <c r="AP321" s="47">
        <f t="shared" si="126"/>
        <v>1963.2854117434849</v>
      </c>
      <c r="AQ321" s="47">
        <f t="shared" si="127"/>
        <v>1831.7596256207976</v>
      </c>
      <c r="AR321" s="43">
        <f t="shared" si="128"/>
        <v>1580.3131070150519</v>
      </c>
      <c r="AS321" s="120"/>
      <c r="AT321" s="120"/>
      <c r="AU321" s="120"/>
      <c r="AV321" s="120"/>
      <c r="AW321" s="120"/>
      <c r="AX321" s="120"/>
    </row>
    <row r="322" spans="1:50" s="89" customFormat="1" ht="13">
      <c r="A322" s="226"/>
      <c r="B322" s="37">
        <f>'13. Desinvesteringen'!B605</f>
        <v>586</v>
      </c>
      <c r="C322" s="331"/>
      <c r="D322" s="331"/>
      <c r="E322" s="331"/>
      <c r="F322" s="42">
        <f>'5. Input GAW-waarde desinv.'!D281</f>
        <v>161395.41974096847</v>
      </c>
      <c r="G322" s="175">
        <f>'13. Desinvesteringen'!D605</f>
        <v>2007</v>
      </c>
      <c r="H322" s="175">
        <f>'13. Desinvesteringen'!G605</f>
        <v>2024</v>
      </c>
      <c r="I322" s="37" t="str">
        <f>'13. Desinvesteringen'!C605</f>
        <v>06 Utiliteitsgebouwen</v>
      </c>
      <c r="J322" s="164">
        <f>'13. Desinvesteringen'!F605</f>
        <v>0</v>
      </c>
      <c r="K322" s="38">
        <f>_xlfn.XLOOKUP(I322,'3. Input (des)investeringen '!$B$11:$B$89,'3. Input (des)investeringen '!$E$11:$E$89)</f>
        <v>0</v>
      </c>
      <c r="L322" s="331"/>
      <c r="M322" s="38">
        <f>_xlfn.XLOOKUP(I322,'3. Input (des)investeringen '!$B$11:$B$89,'3. Input (des)investeringen '!$D$11:$D$89,0)</f>
        <v>30</v>
      </c>
      <c r="N322" s="38">
        <f t="shared" si="113"/>
        <v>15.5</v>
      </c>
      <c r="P322" s="43">
        <f t="shared" ref="P322:T331" si="139">IF($M322&gt;0, IF(OR($G322&gt;P$50,$G322+$M322&lt;P$50),0,
VDB($F322,0,$N322,MAX(0,P$50-2022),MIN($N322,P$50-2021),$F$23,FALSE))*(1-$F$26), 0)</f>
        <v>12182.751038511815</v>
      </c>
      <c r="Q322" s="43">
        <f t="shared" si="139"/>
        <v>11160.971919152758</v>
      </c>
      <c r="R322" s="43">
        <f t="shared" si="139"/>
        <v>10224.890403352849</v>
      </c>
      <c r="S322" s="43">
        <f t="shared" si="139"/>
        <v>9367.3189501684174</v>
      </c>
      <c r="T322" s="43">
        <f t="shared" si="139"/>
        <v>8897.3865613639809</v>
      </c>
      <c r="V322" s="43">
        <f t="shared" si="133"/>
        <v>1041.2607725223772</v>
      </c>
      <c r="W322" s="43">
        <f t="shared" si="134"/>
        <v>1041.2607725223775</v>
      </c>
      <c r="X322" s="43">
        <f t="shared" si="135"/>
        <v>1041.2607725223775</v>
      </c>
      <c r="Y322" s="43">
        <f t="shared" si="136"/>
        <v>1041.2607725223775</v>
      </c>
      <c r="Z322" s="43">
        <f t="shared" si="137"/>
        <v>1041.2607725223775</v>
      </c>
      <c r="AB322" s="43">
        <f t="shared" si="114"/>
        <v>13224.011811034192</v>
      </c>
      <c r="AC322" s="43">
        <f t="shared" si="115"/>
        <v>12202.232691675135</v>
      </c>
      <c r="AD322" s="43">
        <f t="shared" si="116"/>
        <v>11266.151175875226</v>
      </c>
      <c r="AE322" s="43">
        <f t="shared" si="117"/>
        <v>10408.579722690794</v>
      </c>
      <c r="AF322" s="43">
        <f t="shared" si="118"/>
        <v>9938.647333886358</v>
      </c>
      <c r="AH322" s="43">
        <f t="shared" si="119"/>
        <v>148171.40792993427</v>
      </c>
      <c r="AI322" s="43">
        <f t="shared" si="120"/>
        <v>135969.17523825914</v>
      </c>
      <c r="AJ322" s="43">
        <f t="shared" si="121"/>
        <v>124703.02406238391</v>
      </c>
      <c r="AK322" s="43">
        <f t="shared" si="122"/>
        <v>114294.44433969312</v>
      </c>
      <c r="AL322" s="43">
        <f t="shared" si="123"/>
        <v>104355.79700580676</v>
      </c>
      <c r="AN322" s="47">
        <f t="shared" si="124"/>
        <v>19299.039536161497</v>
      </c>
      <c r="AO322" s="47">
        <f t="shared" si="125"/>
        <v>19136.66062882635</v>
      </c>
      <c r="AP322" s="47">
        <f t="shared" si="126"/>
        <v>17626.005403056806</v>
      </c>
      <c r="AQ322" s="47">
        <f t="shared" si="127"/>
        <v>16694.774161373916</v>
      </c>
      <c r="AR322" s="43">
        <f t="shared" si="128"/>
        <v>13904.167620107015</v>
      </c>
      <c r="AS322" s="120"/>
      <c r="AT322" s="120"/>
      <c r="AU322" s="120"/>
      <c r="AV322" s="120"/>
      <c r="AW322" s="120"/>
      <c r="AX322" s="120"/>
    </row>
    <row r="323" spans="1:50" s="89" customFormat="1" ht="13">
      <c r="A323" s="226"/>
      <c r="B323" s="37">
        <f>'13. Desinvesteringen'!B606</f>
        <v>587</v>
      </c>
      <c r="C323" s="331"/>
      <c r="D323" s="331"/>
      <c r="E323" s="331"/>
      <c r="F323" s="42">
        <f>'5. Input GAW-waarde desinv.'!D282</f>
        <v>107094.4472815734</v>
      </c>
      <c r="G323" s="175">
        <f>'13. Desinvesteringen'!D606</f>
        <v>2008</v>
      </c>
      <c r="H323" s="175">
        <f>'13. Desinvesteringen'!G606</f>
        <v>2024</v>
      </c>
      <c r="I323" s="37" t="str">
        <f>'13. Desinvesteringen'!C606</f>
        <v>06 Utiliteitsgebouwen</v>
      </c>
      <c r="J323" s="164">
        <f>'13. Desinvesteringen'!F606</f>
        <v>0</v>
      </c>
      <c r="K323" s="38">
        <f>_xlfn.XLOOKUP(I323,'3. Input (des)investeringen '!$B$11:$B$89,'3. Input (des)investeringen '!$E$11:$E$89)</f>
        <v>0</v>
      </c>
      <c r="L323" s="331"/>
      <c r="M323" s="38">
        <f>_xlfn.XLOOKUP(I323,'3. Input (des)investeringen '!$B$11:$B$89,'3. Input (des)investeringen '!$D$11:$D$89,0)</f>
        <v>30</v>
      </c>
      <c r="N323" s="38">
        <f t="shared" si="113"/>
        <v>16.5</v>
      </c>
      <c r="P323" s="43">
        <f t="shared" si="139"/>
        <v>7593.9698981479323</v>
      </c>
      <c r="Q323" s="43">
        <f t="shared" si="139"/>
        <v>6995.6571182938533</v>
      </c>
      <c r="R323" s="43">
        <f t="shared" si="139"/>
        <v>6444.4841332161559</v>
      </c>
      <c r="S323" s="43">
        <f t="shared" si="139"/>
        <v>5936.7368984779132</v>
      </c>
      <c r="T323" s="43">
        <f t="shared" si="139"/>
        <v>5553.1323604224172</v>
      </c>
      <c r="V323" s="43">
        <f t="shared" si="133"/>
        <v>649.0572562519601</v>
      </c>
      <c r="W323" s="43">
        <f t="shared" si="134"/>
        <v>649.0572562519601</v>
      </c>
      <c r="X323" s="43">
        <f t="shared" si="135"/>
        <v>649.0572562519601</v>
      </c>
      <c r="Y323" s="43">
        <f t="shared" si="136"/>
        <v>649.0572562519601</v>
      </c>
      <c r="Z323" s="43">
        <f t="shared" si="137"/>
        <v>649.0572562519601</v>
      </c>
      <c r="AB323" s="43">
        <f t="shared" si="114"/>
        <v>8243.0271543998933</v>
      </c>
      <c r="AC323" s="43">
        <f t="shared" si="115"/>
        <v>7644.7143745458134</v>
      </c>
      <c r="AD323" s="43">
        <f t="shared" si="116"/>
        <v>7093.541389468116</v>
      </c>
      <c r="AE323" s="43">
        <f t="shared" si="117"/>
        <v>6585.7941547298733</v>
      </c>
      <c r="AF323" s="43">
        <f t="shared" si="118"/>
        <v>6202.1896166743772</v>
      </c>
      <c r="AH323" s="43">
        <f t="shared" si="119"/>
        <v>98851.420127173507</v>
      </c>
      <c r="AI323" s="43">
        <f t="shared" si="120"/>
        <v>91206.705752627691</v>
      </c>
      <c r="AJ323" s="43">
        <f t="shared" si="121"/>
        <v>84113.16436315958</v>
      </c>
      <c r="AK323" s="43">
        <f t="shared" si="122"/>
        <v>77527.370208429711</v>
      </c>
      <c r="AL323" s="43">
        <f t="shared" si="123"/>
        <v>71325.180591755328</v>
      </c>
      <c r="AN323" s="47">
        <f t="shared" si="124"/>
        <v>12295.935379614008</v>
      </c>
      <c r="AO323" s="47">
        <f t="shared" si="125"/>
        <v>12296.256367929826</v>
      </c>
      <c r="AP323" s="47">
        <f t="shared" si="126"/>
        <v>11383.312771989255</v>
      </c>
      <c r="AQ323" s="47">
        <f t="shared" si="127"/>
        <v>10849.799516193507</v>
      </c>
      <c r="AR323" s="43">
        <f t="shared" si="128"/>
        <v>8912.5464791610793</v>
      </c>
      <c r="AS323" s="120"/>
      <c r="AT323" s="120"/>
      <c r="AU323" s="120"/>
      <c r="AV323" s="120"/>
      <c r="AW323" s="120"/>
      <c r="AX323" s="120"/>
    </row>
    <row r="324" spans="1:50" s="89" customFormat="1" ht="13">
      <c r="A324" s="226"/>
      <c r="B324" s="37">
        <f>'13. Desinvesteringen'!B607</f>
        <v>588</v>
      </c>
      <c r="C324" s="331"/>
      <c r="D324" s="331"/>
      <c r="E324" s="331"/>
      <c r="F324" s="42">
        <f>'5. Input GAW-waarde desinv.'!D283</f>
        <v>67773.247093874292</v>
      </c>
      <c r="G324" s="175">
        <f>'13. Desinvesteringen'!D607</f>
        <v>2009</v>
      </c>
      <c r="H324" s="175">
        <f>'13. Desinvesteringen'!G607</f>
        <v>2024</v>
      </c>
      <c r="I324" s="37" t="str">
        <f>'13. Desinvesteringen'!C607</f>
        <v>06 Utiliteitsgebouwen</v>
      </c>
      <c r="J324" s="164">
        <f>'13. Desinvesteringen'!F607</f>
        <v>0</v>
      </c>
      <c r="K324" s="38">
        <f>_xlfn.XLOOKUP(I324,'3. Input (des)investeringen '!$B$11:$B$89,'3. Input (des)investeringen '!$E$11:$E$89)</f>
        <v>0</v>
      </c>
      <c r="L324" s="331"/>
      <c r="M324" s="38">
        <f>_xlfn.XLOOKUP(I324,'3. Input (des)investeringen '!$B$11:$B$89,'3. Input (des)investeringen '!$D$11:$D$89,0)</f>
        <v>30</v>
      </c>
      <c r="N324" s="38">
        <f t="shared" si="113"/>
        <v>17.5</v>
      </c>
      <c r="P324" s="43">
        <f t="shared" si="139"/>
        <v>4531.1256628475958</v>
      </c>
      <c r="Q324" s="43">
        <f t="shared" si="139"/>
        <v>4194.5277564646312</v>
      </c>
      <c r="R324" s="43">
        <f t="shared" si="139"/>
        <v>3882.9342659844015</v>
      </c>
      <c r="S324" s="43">
        <f t="shared" si="139"/>
        <v>3594.4877205112748</v>
      </c>
      <c r="T324" s="43">
        <f t="shared" si="139"/>
        <v>3327.4686327018658</v>
      </c>
      <c r="V324" s="43">
        <f t="shared" si="133"/>
        <v>387.27569767928168</v>
      </c>
      <c r="W324" s="43">
        <f t="shared" si="134"/>
        <v>387.27569767928168</v>
      </c>
      <c r="X324" s="43">
        <f t="shared" si="135"/>
        <v>387.27569767928168</v>
      </c>
      <c r="Y324" s="43">
        <f t="shared" si="136"/>
        <v>387.27569767928168</v>
      </c>
      <c r="Z324" s="43">
        <f t="shared" si="137"/>
        <v>387.27569767928168</v>
      </c>
      <c r="AB324" s="43">
        <f t="shared" si="114"/>
        <v>4918.4013605268774</v>
      </c>
      <c r="AC324" s="43">
        <f t="shared" si="115"/>
        <v>4581.8034541439129</v>
      </c>
      <c r="AD324" s="43">
        <f t="shared" si="116"/>
        <v>4270.2099636636831</v>
      </c>
      <c r="AE324" s="43">
        <f t="shared" si="117"/>
        <v>3981.7634181905564</v>
      </c>
      <c r="AF324" s="43">
        <f t="shared" si="118"/>
        <v>3714.7443303811474</v>
      </c>
      <c r="AH324" s="43">
        <f t="shared" si="119"/>
        <v>62854.845733347414</v>
      </c>
      <c r="AI324" s="43">
        <f t="shared" si="120"/>
        <v>58273.042279203502</v>
      </c>
      <c r="AJ324" s="43">
        <f t="shared" si="121"/>
        <v>54002.832315539818</v>
      </c>
      <c r="AK324" s="43">
        <f t="shared" si="122"/>
        <v>50021.068897349258</v>
      </c>
      <c r="AL324" s="43">
        <f t="shared" si="123"/>
        <v>46306.324566968113</v>
      </c>
      <c r="AN324" s="47">
        <f t="shared" si="124"/>
        <v>7495.4500355941218</v>
      </c>
      <c r="AO324" s="47">
        <f t="shared" si="125"/>
        <v>7553.7286103832912</v>
      </c>
      <c r="AP324" s="47">
        <f t="shared" si="126"/>
        <v>7024.3544117562142</v>
      </c>
      <c r="AQ324" s="47">
        <f t="shared" si="127"/>
        <v>6732.9222075447651</v>
      </c>
      <c r="AR324" s="43">
        <f t="shared" si="128"/>
        <v>5474.3846639259355</v>
      </c>
      <c r="AS324" s="120"/>
      <c r="AT324" s="120"/>
      <c r="AU324" s="120"/>
      <c r="AV324" s="120"/>
      <c r="AW324" s="120"/>
      <c r="AX324" s="120"/>
    </row>
    <row r="325" spans="1:50" s="89" customFormat="1" ht="13">
      <c r="A325" s="226"/>
      <c r="B325" s="37">
        <f>'13. Desinvesteringen'!B608</f>
        <v>589</v>
      </c>
      <c r="C325" s="331"/>
      <c r="D325" s="331"/>
      <c r="E325" s="331"/>
      <c r="F325" s="42">
        <f>'5. Input GAW-waarde desinv.'!D284</f>
        <v>520303.7394086328</v>
      </c>
      <c r="G325" s="175">
        <f>'13. Desinvesteringen'!D608</f>
        <v>2010</v>
      </c>
      <c r="H325" s="175">
        <f>'13. Desinvesteringen'!G608</f>
        <v>2024</v>
      </c>
      <c r="I325" s="37" t="str">
        <f>'13. Desinvesteringen'!C608</f>
        <v>06 Utiliteitsgebouwen</v>
      </c>
      <c r="J325" s="164">
        <f>'13. Desinvesteringen'!F608</f>
        <v>0</v>
      </c>
      <c r="K325" s="38">
        <f>_xlfn.XLOOKUP(I325,'3. Input (des)investeringen '!$B$11:$B$89,'3. Input (des)investeringen '!$E$11:$E$89)</f>
        <v>0</v>
      </c>
      <c r="L325" s="331"/>
      <c r="M325" s="38">
        <f>_xlfn.XLOOKUP(I325,'3. Input (des)investeringen '!$B$11:$B$89,'3. Input (des)investeringen '!$D$11:$D$89,0)</f>
        <v>30</v>
      </c>
      <c r="N325" s="38">
        <f t="shared" si="113"/>
        <v>18.5</v>
      </c>
      <c r="P325" s="43">
        <f t="shared" si="139"/>
        <v>32905.695951789217</v>
      </c>
      <c r="Q325" s="43">
        <f t="shared" si="139"/>
        <v>30593.403803825648</v>
      </c>
      <c r="R325" s="43">
        <f t="shared" si="139"/>
        <v>28443.597050043303</v>
      </c>
      <c r="S325" s="43">
        <f t="shared" si="139"/>
        <v>26444.857797878096</v>
      </c>
      <c r="T325" s="43">
        <f t="shared" si="139"/>
        <v>24586.57049316234</v>
      </c>
      <c r="V325" s="43">
        <f t="shared" si="133"/>
        <v>2812.4526454520692</v>
      </c>
      <c r="W325" s="43">
        <f t="shared" si="134"/>
        <v>2812.4526454520692</v>
      </c>
      <c r="X325" s="43">
        <f t="shared" si="135"/>
        <v>2812.4526454520692</v>
      </c>
      <c r="Y325" s="43">
        <f t="shared" si="136"/>
        <v>2812.4526454520692</v>
      </c>
      <c r="Z325" s="43">
        <f t="shared" si="137"/>
        <v>2812.4526454520692</v>
      </c>
      <c r="AB325" s="43">
        <f t="shared" si="114"/>
        <v>35718.148597241285</v>
      </c>
      <c r="AC325" s="43">
        <f t="shared" si="115"/>
        <v>33405.856449277715</v>
      </c>
      <c r="AD325" s="43">
        <f t="shared" si="116"/>
        <v>31256.049695495371</v>
      </c>
      <c r="AE325" s="43">
        <f t="shared" si="117"/>
        <v>29257.310443330163</v>
      </c>
      <c r="AF325" s="43">
        <f t="shared" si="118"/>
        <v>27399.023138614408</v>
      </c>
      <c r="AH325" s="43">
        <f t="shared" si="119"/>
        <v>484585.59081139154</v>
      </c>
      <c r="AI325" s="43">
        <f t="shared" si="120"/>
        <v>451179.73436211381</v>
      </c>
      <c r="AJ325" s="43">
        <f t="shared" si="121"/>
        <v>419923.68466661847</v>
      </c>
      <c r="AK325" s="43">
        <f t="shared" si="122"/>
        <v>390666.37422328832</v>
      </c>
      <c r="AL325" s="43">
        <f t="shared" si="123"/>
        <v>363267.35108467389</v>
      </c>
      <c r="AN325" s="47">
        <f t="shared" si="124"/>
        <v>55586.157820508335</v>
      </c>
      <c r="AO325" s="47">
        <f t="shared" si="125"/>
        <v>56416.022901745513</v>
      </c>
      <c r="AP325" s="47">
        <f t="shared" si="126"/>
        <v>52672.157613492913</v>
      </c>
      <c r="AQ325" s="47">
        <f t="shared" si="127"/>
        <v>50743.961025611017</v>
      </c>
      <c r="AR325" s="43">
        <f t="shared" si="128"/>
        <v>41203.182479832016</v>
      </c>
      <c r="AS325" s="120"/>
      <c r="AT325" s="120"/>
      <c r="AU325" s="120"/>
      <c r="AV325" s="120"/>
      <c r="AW325" s="120"/>
      <c r="AX325" s="120"/>
    </row>
    <row r="326" spans="1:50" s="89" customFormat="1" ht="13">
      <c r="A326" s="226"/>
      <c r="B326" s="37">
        <f>'13. Desinvesteringen'!B609</f>
        <v>590</v>
      </c>
      <c r="C326" s="331"/>
      <c r="D326" s="331"/>
      <c r="E326" s="331"/>
      <c r="F326" s="42">
        <f>'5. Input GAW-waarde desinv.'!D285</f>
        <v>0</v>
      </c>
      <c r="G326" s="175">
        <f>'13. Desinvesteringen'!D609</f>
        <v>1998</v>
      </c>
      <c r="H326" s="175">
        <f>'13. Desinvesteringen'!G609</f>
        <v>2024</v>
      </c>
      <c r="I326" s="37" t="str">
        <f>'13. Desinvesteringen'!C609</f>
        <v>08 Inrichting gebouwen</v>
      </c>
      <c r="J326" s="164">
        <f>'13. Desinvesteringen'!F609</f>
        <v>0</v>
      </c>
      <c r="K326" s="38">
        <f>_xlfn.XLOOKUP(I326,'3. Input (des)investeringen '!$B$11:$B$89,'3. Input (des)investeringen '!$E$11:$E$89)</f>
        <v>0</v>
      </c>
      <c r="L326" s="331"/>
      <c r="M326" s="38">
        <f>_xlfn.XLOOKUP(I326,'3. Input (des)investeringen '!$B$11:$B$89,'3. Input (des)investeringen '!$D$11:$D$89,0)</f>
        <v>10</v>
      </c>
      <c r="N326" s="38">
        <f t="shared" si="113"/>
        <v>0</v>
      </c>
      <c r="P326" s="43">
        <f t="shared" si="139"/>
        <v>0</v>
      </c>
      <c r="Q326" s="43">
        <f t="shared" si="139"/>
        <v>0</v>
      </c>
      <c r="R326" s="43">
        <f t="shared" si="139"/>
        <v>0</v>
      </c>
      <c r="S326" s="43">
        <f t="shared" si="139"/>
        <v>0</v>
      </c>
      <c r="T326" s="43">
        <f t="shared" si="139"/>
        <v>0</v>
      </c>
      <c r="V326" s="43">
        <f t="shared" si="133"/>
        <v>0</v>
      </c>
      <c r="W326" s="43">
        <f t="shared" si="134"/>
        <v>0</v>
      </c>
      <c r="X326" s="43">
        <f t="shared" si="135"/>
        <v>0</v>
      </c>
      <c r="Y326" s="43">
        <f t="shared" si="136"/>
        <v>0</v>
      </c>
      <c r="Z326" s="43">
        <f t="shared" si="137"/>
        <v>0</v>
      </c>
      <c r="AB326" s="43">
        <f t="shared" si="114"/>
        <v>0</v>
      </c>
      <c r="AC326" s="43">
        <f t="shared" si="115"/>
        <v>0</v>
      </c>
      <c r="AD326" s="43">
        <f t="shared" si="116"/>
        <v>0</v>
      </c>
      <c r="AE326" s="43">
        <f t="shared" si="117"/>
        <v>0</v>
      </c>
      <c r="AF326" s="43">
        <f t="shared" si="118"/>
        <v>0</v>
      </c>
      <c r="AH326" s="43">
        <f t="shared" si="119"/>
        <v>0</v>
      </c>
      <c r="AI326" s="43">
        <f t="shared" si="120"/>
        <v>0</v>
      </c>
      <c r="AJ326" s="43">
        <f t="shared" si="121"/>
        <v>0</v>
      </c>
      <c r="AK326" s="43">
        <f t="shared" si="122"/>
        <v>0</v>
      </c>
      <c r="AL326" s="43">
        <f t="shared" si="123"/>
        <v>0</v>
      </c>
      <c r="AN326" s="47">
        <f t="shared" si="124"/>
        <v>0</v>
      </c>
      <c r="AO326" s="47">
        <f t="shared" si="125"/>
        <v>0</v>
      </c>
      <c r="AP326" s="47">
        <f t="shared" si="126"/>
        <v>0</v>
      </c>
      <c r="AQ326" s="47">
        <f t="shared" si="127"/>
        <v>0</v>
      </c>
      <c r="AR326" s="43">
        <f t="shared" si="128"/>
        <v>0</v>
      </c>
      <c r="AS326" s="120"/>
      <c r="AT326" s="120"/>
      <c r="AU326" s="120"/>
      <c r="AV326" s="120"/>
      <c r="AW326" s="120"/>
      <c r="AX326" s="120"/>
    </row>
    <row r="327" spans="1:50" s="89" customFormat="1" ht="13">
      <c r="A327" s="226"/>
      <c r="B327" s="37">
        <f>'13. Desinvesteringen'!B610</f>
        <v>591</v>
      </c>
      <c r="C327" s="331"/>
      <c r="D327" s="331"/>
      <c r="E327" s="331"/>
      <c r="F327" s="42">
        <f>'5. Input GAW-waarde desinv.'!D286</f>
        <v>0</v>
      </c>
      <c r="G327" s="175">
        <f>'13. Desinvesteringen'!D610</f>
        <v>2001</v>
      </c>
      <c r="H327" s="175">
        <f>'13. Desinvesteringen'!G610</f>
        <v>2024</v>
      </c>
      <c r="I327" s="37" t="str">
        <f>'13. Desinvesteringen'!C610</f>
        <v>08 Inrichting gebouwen</v>
      </c>
      <c r="J327" s="164">
        <f>'13. Desinvesteringen'!F610</f>
        <v>0</v>
      </c>
      <c r="K327" s="38">
        <f>_xlfn.XLOOKUP(I327,'3. Input (des)investeringen '!$B$11:$B$89,'3. Input (des)investeringen '!$E$11:$E$89)</f>
        <v>0</v>
      </c>
      <c r="L327" s="331"/>
      <c r="M327" s="38">
        <f>_xlfn.XLOOKUP(I327,'3. Input (des)investeringen '!$B$11:$B$89,'3. Input (des)investeringen '!$D$11:$D$89,0)</f>
        <v>10</v>
      </c>
      <c r="N327" s="38">
        <f t="shared" si="113"/>
        <v>0</v>
      </c>
      <c r="P327" s="43">
        <f t="shared" si="139"/>
        <v>0</v>
      </c>
      <c r="Q327" s="43">
        <f t="shared" si="139"/>
        <v>0</v>
      </c>
      <c r="R327" s="43">
        <f t="shared" si="139"/>
        <v>0</v>
      </c>
      <c r="S327" s="43">
        <f t="shared" si="139"/>
        <v>0</v>
      </c>
      <c r="T327" s="43">
        <f t="shared" si="139"/>
        <v>0</v>
      </c>
      <c r="V327" s="43">
        <f t="shared" si="133"/>
        <v>0</v>
      </c>
      <c r="W327" s="43">
        <f t="shared" si="134"/>
        <v>0</v>
      </c>
      <c r="X327" s="43">
        <f t="shared" si="135"/>
        <v>0</v>
      </c>
      <c r="Y327" s="43">
        <f t="shared" si="136"/>
        <v>0</v>
      </c>
      <c r="Z327" s="43">
        <f t="shared" si="137"/>
        <v>0</v>
      </c>
      <c r="AB327" s="43">
        <f t="shared" si="114"/>
        <v>0</v>
      </c>
      <c r="AC327" s="43">
        <f t="shared" si="115"/>
        <v>0</v>
      </c>
      <c r="AD327" s="43">
        <f t="shared" si="116"/>
        <v>0</v>
      </c>
      <c r="AE327" s="43">
        <f t="shared" si="117"/>
        <v>0</v>
      </c>
      <c r="AF327" s="43">
        <f t="shared" si="118"/>
        <v>0</v>
      </c>
      <c r="AH327" s="43">
        <f t="shared" si="119"/>
        <v>0</v>
      </c>
      <c r="AI327" s="43">
        <f t="shared" si="120"/>
        <v>0</v>
      </c>
      <c r="AJ327" s="43">
        <f t="shared" si="121"/>
        <v>0</v>
      </c>
      <c r="AK327" s="43">
        <f t="shared" si="122"/>
        <v>0</v>
      </c>
      <c r="AL327" s="43">
        <f t="shared" si="123"/>
        <v>0</v>
      </c>
      <c r="AN327" s="47">
        <f t="shared" si="124"/>
        <v>0</v>
      </c>
      <c r="AO327" s="47">
        <f t="shared" si="125"/>
        <v>0</v>
      </c>
      <c r="AP327" s="47">
        <f t="shared" si="126"/>
        <v>0</v>
      </c>
      <c r="AQ327" s="47">
        <f t="shared" si="127"/>
        <v>0</v>
      </c>
      <c r="AR327" s="43">
        <f t="shared" si="128"/>
        <v>0</v>
      </c>
      <c r="AS327" s="120"/>
      <c r="AT327" s="120"/>
      <c r="AU327" s="120"/>
      <c r="AV327" s="120"/>
      <c r="AW327" s="120"/>
      <c r="AX327" s="120"/>
    </row>
    <row r="328" spans="1:50" s="89" customFormat="1" ht="13">
      <c r="A328" s="226"/>
      <c r="B328" s="37">
        <f>'13. Desinvesteringen'!B611</f>
        <v>592</v>
      </c>
      <c r="C328" s="331"/>
      <c r="D328" s="331"/>
      <c r="E328" s="331"/>
      <c r="F328" s="42">
        <f>'5. Input GAW-waarde desinv.'!D287</f>
        <v>0</v>
      </c>
      <c r="G328" s="175">
        <f>'13. Desinvesteringen'!D611</f>
        <v>2003</v>
      </c>
      <c r="H328" s="175">
        <f>'13. Desinvesteringen'!G611</f>
        <v>2024</v>
      </c>
      <c r="I328" s="37" t="str">
        <f>'13. Desinvesteringen'!C611</f>
        <v>08 Inrichting gebouwen</v>
      </c>
      <c r="J328" s="164">
        <f>'13. Desinvesteringen'!F611</f>
        <v>0</v>
      </c>
      <c r="K328" s="38">
        <f>_xlfn.XLOOKUP(I328,'3. Input (des)investeringen '!$B$11:$B$89,'3. Input (des)investeringen '!$E$11:$E$89)</f>
        <v>0</v>
      </c>
      <c r="L328" s="331"/>
      <c r="M328" s="38">
        <f>_xlfn.XLOOKUP(I328,'3. Input (des)investeringen '!$B$11:$B$89,'3. Input (des)investeringen '!$D$11:$D$89,0)</f>
        <v>10</v>
      </c>
      <c r="N328" s="38">
        <f t="shared" si="113"/>
        <v>0</v>
      </c>
      <c r="P328" s="43">
        <f t="shared" si="139"/>
        <v>0</v>
      </c>
      <c r="Q328" s="43">
        <f t="shared" si="139"/>
        <v>0</v>
      </c>
      <c r="R328" s="43">
        <f t="shared" si="139"/>
        <v>0</v>
      </c>
      <c r="S328" s="43">
        <f t="shared" si="139"/>
        <v>0</v>
      </c>
      <c r="T328" s="43">
        <f t="shared" si="139"/>
        <v>0</v>
      </c>
      <c r="V328" s="43">
        <f t="shared" si="133"/>
        <v>0</v>
      </c>
      <c r="W328" s="43">
        <f t="shared" si="134"/>
        <v>0</v>
      </c>
      <c r="X328" s="43">
        <f t="shared" si="135"/>
        <v>0</v>
      </c>
      <c r="Y328" s="43">
        <f t="shared" si="136"/>
        <v>0</v>
      </c>
      <c r="Z328" s="43">
        <f t="shared" si="137"/>
        <v>0</v>
      </c>
      <c r="AB328" s="43">
        <f t="shared" si="114"/>
        <v>0</v>
      </c>
      <c r="AC328" s="43">
        <f t="shared" si="115"/>
        <v>0</v>
      </c>
      <c r="AD328" s="43">
        <f t="shared" si="116"/>
        <v>0</v>
      </c>
      <c r="AE328" s="43">
        <f t="shared" si="117"/>
        <v>0</v>
      </c>
      <c r="AF328" s="43">
        <f t="shared" si="118"/>
        <v>0</v>
      </c>
      <c r="AH328" s="43">
        <f t="shared" si="119"/>
        <v>0</v>
      </c>
      <c r="AI328" s="43">
        <f t="shared" si="120"/>
        <v>0</v>
      </c>
      <c r="AJ328" s="43">
        <f t="shared" si="121"/>
        <v>0</v>
      </c>
      <c r="AK328" s="43">
        <f t="shared" si="122"/>
        <v>0</v>
      </c>
      <c r="AL328" s="43">
        <f t="shared" si="123"/>
        <v>0</v>
      </c>
      <c r="AN328" s="47">
        <f t="shared" si="124"/>
        <v>0</v>
      </c>
      <c r="AO328" s="47">
        <f t="shared" si="125"/>
        <v>0</v>
      </c>
      <c r="AP328" s="47">
        <f t="shared" si="126"/>
        <v>0</v>
      </c>
      <c r="AQ328" s="47">
        <f t="shared" si="127"/>
        <v>0</v>
      </c>
      <c r="AR328" s="43">
        <f t="shared" si="128"/>
        <v>0</v>
      </c>
      <c r="AS328" s="120"/>
      <c r="AT328" s="120"/>
      <c r="AU328" s="120"/>
      <c r="AV328" s="120"/>
      <c r="AW328" s="120"/>
      <c r="AX328" s="120"/>
    </row>
    <row r="329" spans="1:50" s="89" customFormat="1" ht="13">
      <c r="A329" s="226"/>
      <c r="B329" s="37">
        <f>'13. Desinvesteringen'!B612</f>
        <v>593</v>
      </c>
      <c r="C329" s="331"/>
      <c r="D329" s="331"/>
      <c r="E329" s="331"/>
      <c r="F329" s="42">
        <f>'5. Input GAW-waarde desinv.'!D288</f>
        <v>0</v>
      </c>
      <c r="G329" s="175">
        <f>'13. Desinvesteringen'!D612</f>
        <v>1970</v>
      </c>
      <c r="H329" s="175">
        <f>'13. Desinvesteringen'!G612</f>
        <v>2024</v>
      </c>
      <c r="I329" s="37" t="str">
        <f>'13. Desinvesteringen'!C612</f>
        <v>15 Compressorstations (TT-BT-AT)</v>
      </c>
      <c r="J329" s="164">
        <f>'13. Desinvesteringen'!F612</f>
        <v>0</v>
      </c>
      <c r="K329" s="38">
        <f>_xlfn.XLOOKUP(I329,'3. Input (des)investeringen '!$B$11:$B$89,'3. Input (des)investeringen '!$E$11:$E$89)</f>
        <v>1</v>
      </c>
      <c r="L329" s="331"/>
      <c r="M329" s="38">
        <f>_xlfn.XLOOKUP(I329,'3. Input (des)investeringen '!$B$11:$B$89,'3. Input (des)investeringen '!$D$11:$D$89,0)</f>
        <v>30</v>
      </c>
      <c r="N329" s="38">
        <f t="shared" si="113"/>
        <v>0</v>
      </c>
      <c r="P329" s="43">
        <f t="shared" si="139"/>
        <v>0</v>
      </c>
      <c r="Q329" s="43">
        <f t="shared" si="139"/>
        <v>0</v>
      </c>
      <c r="R329" s="43">
        <f t="shared" si="139"/>
        <v>0</v>
      </c>
      <c r="S329" s="43">
        <f t="shared" si="139"/>
        <v>0</v>
      </c>
      <c r="T329" s="43">
        <f t="shared" si="139"/>
        <v>0</v>
      </c>
      <c r="V329" s="43">
        <f t="shared" si="133"/>
        <v>0</v>
      </c>
      <c r="W329" s="43">
        <f t="shared" si="134"/>
        <v>0</v>
      </c>
      <c r="X329" s="43">
        <f t="shared" si="135"/>
        <v>0</v>
      </c>
      <c r="Y329" s="43">
        <f t="shared" si="136"/>
        <v>0</v>
      </c>
      <c r="Z329" s="43">
        <f t="shared" si="137"/>
        <v>0</v>
      </c>
      <c r="AB329" s="43">
        <f t="shared" si="114"/>
        <v>0</v>
      </c>
      <c r="AC329" s="43">
        <f t="shared" si="115"/>
        <v>0</v>
      </c>
      <c r="AD329" s="43">
        <f t="shared" si="116"/>
        <v>0</v>
      </c>
      <c r="AE329" s="43">
        <f t="shared" si="117"/>
        <v>0</v>
      </c>
      <c r="AF329" s="43">
        <f t="shared" si="118"/>
        <v>0</v>
      </c>
      <c r="AH329" s="43">
        <f t="shared" si="119"/>
        <v>0</v>
      </c>
      <c r="AI329" s="43">
        <f t="shared" si="120"/>
        <v>0</v>
      </c>
      <c r="AJ329" s="43">
        <f t="shared" si="121"/>
        <v>0</v>
      </c>
      <c r="AK329" s="43">
        <f t="shared" si="122"/>
        <v>0</v>
      </c>
      <c r="AL329" s="43">
        <f t="shared" si="123"/>
        <v>0</v>
      </c>
      <c r="AN329" s="47">
        <f t="shared" si="124"/>
        <v>0</v>
      </c>
      <c r="AO329" s="47">
        <f t="shared" si="125"/>
        <v>0</v>
      </c>
      <c r="AP329" s="47">
        <f t="shared" si="126"/>
        <v>0</v>
      </c>
      <c r="AQ329" s="47">
        <f t="shared" si="127"/>
        <v>0</v>
      </c>
      <c r="AR329" s="43">
        <f t="shared" si="128"/>
        <v>0</v>
      </c>
      <c r="AS329" s="120"/>
      <c r="AT329" s="120"/>
      <c r="AU329" s="120"/>
      <c r="AV329" s="120"/>
      <c r="AW329" s="120"/>
      <c r="AX329" s="120"/>
    </row>
    <row r="330" spans="1:50" s="89" customFormat="1" ht="13">
      <c r="A330" s="226"/>
      <c r="B330" s="37">
        <f>'13. Desinvesteringen'!B613</f>
        <v>594</v>
      </c>
      <c r="C330" s="331"/>
      <c r="D330" s="331"/>
      <c r="E330" s="331"/>
      <c r="F330" s="42">
        <f>'5. Input GAW-waarde desinv.'!D289</f>
        <v>0</v>
      </c>
      <c r="G330" s="175">
        <f>'13. Desinvesteringen'!D613</f>
        <v>1971</v>
      </c>
      <c r="H330" s="175">
        <f>'13. Desinvesteringen'!G613</f>
        <v>2024</v>
      </c>
      <c r="I330" s="37" t="str">
        <f>'13. Desinvesteringen'!C613</f>
        <v>15 Compressorstations (TT-BT-AT)</v>
      </c>
      <c r="J330" s="164">
        <f>'13. Desinvesteringen'!F613</f>
        <v>0</v>
      </c>
      <c r="K330" s="38">
        <f>_xlfn.XLOOKUP(I330,'3. Input (des)investeringen '!$B$11:$B$89,'3. Input (des)investeringen '!$E$11:$E$89)</f>
        <v>1</v>
      </c>
      <c r="L330" s="331"/>
      <c r="M330" s="38">
        <f>_xlfn.XLOOKUP(I330,'3. Input (des)investeringen '!$B$11:$B$89,'3. Input (des)investeringen '!$D$11:$D$89,0)</f>
        <v>30</v>
      </c>
      <c r="N330" s="38">
        <f t="shared" si="113"/>
        <v>0</v>
      </c>
      <c r="P330" s="43">
        <f t="shared" si="139"/>
        <v>0</v>
      </c>
      <c r="Q330" s="43">
        <f t="shared" si="139"/>
        <v>0</v>
      </c>
      <c r="R330" s="43">
        <f t="shared" si="139"/>
        <v>0</v>
      </c>
      <c r="S330" s="43">
        <f t="shared" si="139"/>
        <v>0</v>
      </c>
      <c r="T330" s="43">
        <f t="shared" si="139"/>
        <v>0</v>
      </c>
      <c r="V330" s="43">
        <f t="shared" si="133"/>
        <v>0</v>
      </c>
      <c r="W330" s="43">
        <f t="shared" si="134"/>
        <v>0</v>
      </c>
      <c r="X330" s="43">
        <f t="shared" si="135"/>
        <v>0</v>
      </c>
      <c r="Y330" s="43">
        <f t="shared" si="136"/>
        <v>0</v>
      </c>
      <c r="Z330" s="43">
        <f t="shared" si="137"/>
        <v>0</v>
      </c>
      <c r="AB330" s="43">
        <f t="shared" si="114"/>
        <v>0</v>
      </c>
      <c r="AC330" s="43">
        <f t="shared" si="115"/>
        <v>0</v>
      </c>
      <c r="AD330" s="43">
        <f t="shared" si="116"/>
        <v>0</v>
      </c>
      <c r="AE330" s="43">
        <f t="shared" si="117"/>
        <v>0</v>
      </c>
      <c r="AF330" s="43">
        <f t="shared" si="118"/>
        <v>0</v>
      </c>
      <c r="AH330" s="43">
        <f t="shared" si="119"/>
        <v>0</v>
      </c>
      <c r="AI330" s="43">
        <f t="shared" si="120"/>
        <v>0</v>
      </c>
      <c r="AJ330" s="43">
        <f t="shared" si="121"/>
        <v>0</v>
      </c>
      <c r="AK330" s="43">
        <f t="shared" si="122"/>
        <v>0</v>
      </c>
      <c r="AL330" s="43">
        <f t="shared" si="123"/>
        <v>0</v>
      </c>
      <c r="AN330" s="47">
        <f t="shared" si="124"/>
        <v>0</v>
      </c>
      <c r="AO330" s="47">
        <f t="shared" si="125"/>
        <v>0</v>
      </c>
      <c r="AP330" s="47">
        <f t="shared" si="126"/>
        <v>0</v>
      </c>
      <c r="AQ330" s="47">
        <f t="shared" si="127"/>
        <v>0</v>
      </c>
      <c r="AR330" s="43">
        <f t="shared" si="128"/>
        <v>0</v>
      </c>
      <c r="AS330" s="120"/>
      <c r="AT330" s="120"/>
      <c r="AU330" s="120"/>
      <c r="AV330" s="120"/>
      <c r="AW330" s="120"/>
      <c r="AX330" s="120"/>
    </row>
    <row r="331" spans="1:50" s="89" customFormat="1" ht="13">
      <c r="A331" s="226"/>
      <c r="B331" s="37">
        <f>'13. Desinvesteringen'!B614</f>
        <v>595</v>
      </c>
      <c r="C331" s="331"/>
      <c r="D331" s="331"/>
      <c r="E331" s="331"/>
      <c r="F331" s="42">
        <f>'5. Input GAW-waarde desinv.'!D290</f>
        <v>0</v>
      </c>
      <c r="G331" s="175">
        <f>'13. Desinvesteringen'!D614</f>
        <v>1972</v>
      </c>
      <c r="H331" s="175">
        <f>'13. Desinvesteringen'!G614</f>
        <v>2024</v>
      </c>
      <c r="I331" s="37" t="str">
        <f>'13. Desinvesteringen'!C614</f>
        <v>15 Compressorstations (TT-BT-AT)</v>
      </c>
      <c r="J331" s="164">
        <f>'13. Desinvesteringen'!F614</f>
        <v>0</v>
      </c>
      <c r="K331" s="38">
        <f>_xlfn.XLOOKUP(I331,'3. Input (des)investeringen '!$B$11:$B$89,'3. Input (des)investeringen '!$E$11:$E$89)</f>
        <v>1</v>
      </c>
      <c r="L331" s="331"/>
      <c r="M331" s="38">
        <f>_xlfn.XLOOKUP(I331,'3. Input (des)investeringen '!$B$11:$B$89,'3. Input (des)investeringen '!$D$11:$D$89,0)</f>
        <v>30</v>
      </c>
      <c r="N331" s="38">
        <f t="shared" si="113"/>
        <v>0</v>
      </c>
      <c r="P331" s="43">
        <f t="shared" si="139"/>
        <v>0</v>
      </c>
      <c r="Q331" s="43">
        <f t="shared" si="139"/>
        <v>0</v>
      </c>
      <c r="R331" s="43">
        <f t="shared" si="139"/>
        <v>0</v>
      </c>
      <c r="S331" s="43">
        <f t="shared" si="139"/>
        <v>0</v>
      </c>
      <c r="T331" s="43">
        <f t="shared" si="139"/>
        <v>0</v>
      </c>
      <c r="V331" s="43">
        <f t="shared" si="133"/>
        <v>0</v>
      </c>
      <c r="W331" s="43">
        <f t="shared" si="134"/>
        <v>0</v>
      </c>
      <c r="X331" s="43">
        <f t="shared" si="135"/>
        <v>0</v>
      </c>
      <c r="Y331" s="43">
        <f t="shared" si="136"/>
        <v>0</v>
      </c>
      <c r="Z331" s="43">
        <f t="shared" si="137"/>
        <v>0</v>
      </c>
      <c r="AB331" s="43">
        <f t="shared" si="114"/>
        <v>0</v>
      </c>
      <c r="AC331" s="43">
        <f t="shared" si="115"/>
        <v>0</v>
      </c>
      <c r="AD331" s="43">
        <f t="shared" si="116"/>
        <v>0</v>
      </c>
      <c r="AE331" s="43">
        <f t="shared" si="117"/>
        <v>0</v>
      </c>
      <c r="AF331" s="43">
        <f t="shared" si="118"/>
        <v>0</v>
      </c>
      <c r="AH331" s="43">
        <f t="shared" si="119"/>
        <v>0</v>
      </c>
      <c r="AI331" s="43">
        <f t="shared" si="120"/>
        <v>0</v>
      </c>
      <c r="AJ331" s="43">
        <f t="shared" si="121"/>
        <v>0</v>
      </c>
      <c r="AK331" s="43">
        <f t="shared" si="122"/>
        <v>0</v>
      </c>
      <c r="AL331" s="43">
        <f t="shared" si="123"/>
        <v>0</v>
      </c>
      <c r="AN331" s="47">
        <f t="shared" si="124"/>
        <v>0</v>
      </c>
      <c r="AO331" s="47">
        <f t="shared" si="125"/>
        <v>0</v>
      </c>
      <c r="AP331" s="47">
        <f t="shared" si="126"/>
        <v>0</v>
      </c>
      <c r="AQ331" s="47">
        <f t="shared" si="127"/>
        <v>0</v>
      </c>
      <c r="AR331" s="43">
        <f t="shared" si="128"/>
        <v>0</v>
      </c>
      <c r="AS331" s="120"/>
      <c r="AT331" s="120"/>
      <c r="AU331" s="120"/>
      <c r="AV331" s="120"/>
      <c r="AW331" s="120"/>
      <c r="AX331" s="120"/>
    </row>
    <row r="332" spans="1:50" s="89" customFormat="1" ht="13">
      <c r="A332" s="226"/>
      <c r="B332" s="37">
        <f>'13. Desinvesteringen'!B615</f>
        <v>596</v>
      </c>
      <c r="C332" s="331"/>
      <c r="D332" s="331"/>
      <c r="E332" s="331"/>
      <c r="F332" s="42">
        <f>'5. Input GAW-waarde desinv.'!D291</f>
        <v>0</v>
      </c>
      <c r="G332" s="175">
        <f>'13. Desinvesteringen'!D615</f>
        <v>1973</v>
      </c>
      <c r="H332" s="175">
        <f>'13. Desinvesteringen'!G615</f>
        <v>2024</v>
      </c>
      <c r="I332" s="37" t="str">
        <f>'13. Desinvesteringen'!C615</f>
        <v>15 Compressorstations (TT-BT-AT)</v>
      </c>
      <c r="J332" s="164">
        <f>'13. Desinvesteringen'!F615</f>
        <v>0</v>
      </c>
      <c r="K332" s="38">
        <f>_xlfn.XLOOKUP(I332,'3. Input (des)investeringen '!$B$11:$B$89,'3. Input (des)investeringen '!$E$11:$E$89)</f>
        <v>1</v>
      </c>
      <c r="L332" s="331"/>
      <c r="M332" s="38">
        <f>_xlfn.XLOOKUP(I332,'3. Input (des)investeringen '!$B$11:$B$89,'3. Input (des)investeringen '!$D$11:$D$89,0)</f>
        <v>30</v>
      </c>
      <c r="N332" s="38">
        <f t="shared" ref="N332:N383" si="140">IF($M332&gt;0, MAX(0,IF(G332&lt;2022,M332-2021+G332-0.5,M332)), 0)</f>
        <v>0</v>
      </c>
      <c r="P332" s="43">
        <f t="shared" ref="P332:T341" si="141">IF($M332&gt;0, IF(OR($G332&gt;P$50,$G332+$M332&lt;P$50),0,
VDB($F332,0,$N332,MAX(0,P$50-2022),MIN($N332,P$50-2021),$F$23,FALSE))*(1-$F$26), 0)</f>
        <v>0</v>
      </c>
      <c r="Q332" s="43">
        <f t="shared" si="141"/>
        <v>0</v>
      </c>
      <c r="R332" s="43">
        <f t="shared" si="141"/>
        <v>0</v>
      </c>
      <c r="S332" s="43">
        <f t="shared" si="141"/>
        <v>0</v>
      </c>
      <c r="T332" s="43">
        <f t="shared" si="141"/>
        <v>0</v>
      </c>
      <c r="V332" s="43">
        <f t="shared" si="133"/>
        <v>0</v>
      </c>
      <c r="W332" s="43">
        <f t="shared" si="134"/>
        <v>0</v>
      </c>
      <c r="X332" s="43">
        <f t="shared" si="135"/>
        <v>0</v>
      </c>
      <c r="Y332" s="43">
        <f t="shared" si="136"/>
        <v>0</v>
      </c>
      <c r="Z332" s="43">
        <f t="shared" si="137"/>
        <v>0</v>
      </c>
      <c r="AB332" s="43">
        <f t="shared" ref="AB332:AB383" si="142">P332+V332</f>
        <v>0</v>
      </c>
      <c r="AC332" s="43">
        <f t="shared" ref="AC332:AC383" si="143">Q332+W332</f>
        <v>0</v>
      </c>
      <c r="AD332" s="43">
        <f t="shared" ref="AD332:AD383" si="144">R332+X332</f>
        <v>0</v>
      </c>
      <c r="AE332" s="43">
        <f t="shared" ref="AE332:AE383" si="145">S332+Y332</f>
        <v>0</v>
      </c>
      <c r="AF332" s="43">
        <f t="shared" ref="AF332:AF383" si="146">T332+Z332</f>
        <v>0</v>
      </c>
      <c r="AH332" s="43">
        <f t="shared" ref="AH332:AH383" si="147">IF($M332&gt;0, IF($M332&gt;0,IF(OR($G332&gt;AH$50,$G332+$M332&lt;=AH$50),0,IF(AH$50=2022,$F332-AB332,AG332-AB332))), $F332)</f>
        <v>0</v>
      </c>
      <c r="AI332" s="43">
        <f t="shared" ref="AI332:AI383" si="148">IF($M332&gt;0, IF(OR($G332&gt;AI$50,$G332+$M332&lt;=AI$50),0,IF(AI$50=2022,$F332-AC332,AH332-AC332)), AH332)</f>
        <v>0</v>
      </c>
      <c r="AJ332" s="43">
        <f t="shared" ref="AJ332:AJ383" si="149">IF($M332&gt;0, IF(OR($G332&gt;AJ$50,$G332+$M332&lt;=AJ$50),0,IF(AJ$50=2022,$F332-AD332,AI332-AD332)), AI332)</f>
        <v>0</v>
      </c>
      <c r="AK332" s="43">
        <f t="shared" ref="AK332:AK383" si="150">IF($M332&gt;0, IF(OR($G332&gt;AK$50,$G332+$M332&lt;=AK$50),0,IF(AK$50=2022,$F332-AE332,AJ332-AE332)), AJ332)</f>
        <v>0</v>
      </c>
      <c r="AL332" s="43">
        <f t="shared" ref="AL332:AL383" si="151">IF($M332&gt;0, IF(OR($G332&gt;AL$50,$G332+$M332&lt;=AL$50),0,IF(AL$50=2022,$F332-AF332,AK332-AF332)), AK332)</f>
        <v>0</v>
      </c>
      <c r="AN332" s="47">
        <f t="shared" ref="AN332:AN383" si="152">(AB332+AH332*H$17)*IF($K332=1,$F$32,1)</f>
        <v>0</v>
      </c>
      <c r="AO332" s="47">
        <f t="shared" ref="AO332:AO383" si="153">(AC332+AI332*I$17)*IF($K332=1,$F$32,1)</f>
        <v>0</v>
      </c>
      <c r="AP332" s="47">
        <f t="shared" ref="AP332:AP383" si="154">(AD332+AJ332*J$17)*IF($K332=1,$F$32,1)</f>
        <v>0</v>
      </c>
      <c r="AQ332" s="47">
        <f t="shared" ref="AQ332:AQ383" si="155">(AE332+AK332*K$17)*IF($K332=1,$F$32,1)</f>
        <v>0</v>
      </c>
      <c r="AR332" s="43">
        <f t="shared" ref="AR332:AR383" si="156">(AF332+AL332*L$17)*IF($K332=1,$F$32,1)</f>
        <v>0</v>
      </c>
      <c r="AS332" s="120"/>
      <c r="AT332" s="120"/>
      <c r="AU332" s="120"/>
      <c r="AV332" s="120"/>
      <c r="AW332" s="120"/>
      <c r="AX332" s="120"/>
    </row>
    <row r="333" spans="1:50" s="89" customFormat="1" ht="13">
      <c r="A333" s="226"/>
      <c r="B333" s="37">
        <f>'13. Desinvesteringen'!B616</f>
        <v>597</v>
      </c>
      <c r="C333" s="331"/>
      <c r="D333" s="331"/>
      <c r="E333" s="331"/>
      <c r="F333" s="42">
        <f>'5. Input GAW-waarde desinv.'!D292</f>
        <v>0</v>
      </c>
      <c r="G333" s="175">
        <f>'13. Desinvesteringen'!D616</f>
        <v>1977</v>
      </c>
      <c r="H333" s="175">
        <f>'13. Desinvesteringen'!G616</f>
        <v>2024</v>
      </c>
      <c r="I333" s="37" t="str">
        <f>'13. Desinvesteringen'!C616</f>
        <v>15 Compressorstations (TT-BT-AT)</v>
      </c>
      <c r="J333" s="164">
        <f>'13. Desinvesteringen'!F616</f>
        <v>0</v>
      </c>
      <c r="K333" s="38">
        <f>_xlfn.XLOOKUP(I333,'3. Input (des)investeringen '!$B$11:$B$89,'3. Input (des)investeringen '!$E$11:$E$89)</f>
        <v>1</v>
      </c>
      <c r="L333" s="331"/>
      <c r="M333" s="38">
        <f>_xlfn.XLOOKUP(I333,'3. Input (des)investeringen '!$B$11:$B$89,'3. Input (des)investeringen '!$D$11:$D$89,0)</f>
        <v>30</v>
      </c>
      <c r="N333" s="38">
        <f t="shared" si="140"/>
        <v>0</v>
      </c>
      <c r="P333" s="43">
        <f t="shared" si="141"/>
        <v>0</v>
      </c>
      <c r="Q333" s="43">
        <f t="shared" si="141"/>
        <v>0</v>
      </c>
      <c r="R333" s="43">
        <f t="shared" si="141"/>
        <v>0</v>
      </c>
      <c r="S333" s="43">
        <f t="shared" si="141"/>
        <v>0</v>
      </c>
      <c r="T333" s="43">
        <f t="shared" si="141"/>
        <v>0</v>
      </c>
      <c r="V333" s="43">
        <f t="shared" si="133"/>
        <v>0</v>
      </c>
      <c r="W333" s="43">
        <f t="shared" si="134"/>
        <v>0</v>
      </c>
      <c r="X333" s="43">
        <f t="shared" si="135"/>
        <v>0</v>
      </c>
      <c r="Y333" s="43">
        <f t="shared" si="136"/>
        <v>0</v>
      </c>
      <c r="Z333" s="43">
        <f t="shared" si="137"/>
        <v>0</v>
      </c>
      <c r="AB333" s="43">
        <f t="shared" si="142"/>
        <v>0</v>
      </c>
      <c r="AC333" s="43">
        <f t="shared" si="143"/>
        <v>0</v>
      </c>
      <c r="AD333" s="43">
        <f t="shared" si="144"/>
        <v>0</v>
      </c>
      <c r="AE333" s="43">
        <f t="shared" si="145"/>
        <v>0</v>
      </c>
      <c r="AF333" s="43">
        <f t="shared" si="146"/>
        <v>0</v>
      </c>
      <c r="AH333" s="43">
        <f t="shared" si="147"/>
        <v>0</v>
      </c>
      <c r="AI333" s="43">
        <f t="shared" si="148"/>
        <v>0</v>
      </c>
      <c r="AJ333" s="43">
        <f t="shared" si="149"/>
        <v>0</v>
      </c>
      <c r="AK333" s="43">
        <f t="shared" si="150"/>
        <v>0</v>
      </c>
      <c r="AL333" s="43">
        <f t="shared" si="151"/>
        <v>0</v>
      </c>
      <c r="AN333" s="47">
        <f t="shared" si="152"/>
        <v>0</v>
      </c>
      <c r="AO333" s="47">
        <f t="shared" si="153"/>
        <v>0</v>
      </c>
      <c r="AP333" s="47">
        <f t="shared" si="154"/>
        <v>0</v>
      </c>
      <c r="AQ333" s="47">
        <f t="shared" si="155"/>
        <v>0</v>
      </c>
      <c r="AR333" s="43">
        <f t="shared" si="156"/>
        <v>0</v>
      </c>
      <c r="AS333" s="120"/>
      <c r="AT333" s="120"/>
      <c r="AU333" s="120"/>
      <c r="AV333" s="120"/>
      <c r="AW333" s="120"/>
      <c r="AX333" s="120"/>
    </row>
    <row r="334" spans="1:50" s="89" customFormat="1" ht="13">
      <c r="A334" s="226"/>
      <c r="B334" s="37">
        <f>'13. Desinvesteringen'!B617</f>
        <v>598</v>
      </c>
      <c r="C334" s="331"/>
      <c r="D334" s="331"/>
      <c r="E334" s="331"/>
      <c r="F334" s="42">
        <f>'5. Input GAW-waarde desinv.'!D293</f>
        <v>0</v>
      </c>
      <c r="G334" s="175">
        <f>'13. Desinvesteringen'!D617</f>
        <v>1978</v>
      </c>
      <c r="H334" s="175">
        <f>'13. Desinvesteringen'!G617</f>
        <v>2024</v>
      </c>
      <c r="I334" s="37" t="str">
        <f>'13. Desinvesteringen'!C617</f>
        <v>15 Compressorstations (TT-BT-AT)</v>
      </c>
      <c r="J334" s="164">
        <f>'13. Desinvesteringen'!F617</f>
        <v>0</v>
      </c>
      <c r="K334" s="38">
        <f>_xlfn.XLOOKUP(I334,'3. Input (des)investeringen '!$B$11:$B$89,'3. Input (des)investeringen '!$E$11:$E$89)</f>
        <v>1</v>
      </c>
      <c r="L334" s="331"/>
      <c r="M334" s="38">
        <f>_xlfn.XLOOKUP(I334,'3. Input (des)investeringen '!$B$11:$B$89,'3. Input (des)investeringen '!$D$11:$D$89,0)</f>
        <v>30</v>
      </c>
      <c r="N334" s="38">
        <f t="shared" si="140"/>
        <v>0</v>
      </c>
      <c r="P334" s="43">
        <f t="shared" si="141"/>
        <v>0</v>
      </c>
      <c r="Q334" s="43">
        <f t="shared" si="141"/>
        <v>0</v>
      </c>
      <c r="R334" s="43">
        <f t="shared" si="141"/>
        <v>0</v>
      </c>
      <c r="S334" s="43">
        <f t="shared" si="141"/>
        <v>0</v>
      </c>
      <c r="T334" s="43">
        <f t="shared" si="141"/>
        <v>0</v>
      </c>
      <c r="V334" s="43">
        <f t="shared" si="133"/>
        <v>0</v>
      </c>
      <c r="W334" s="43">
        <f t="shared" si="134"/>
        <v>0</v>
      </c>
      <c r="X334" s="43">
        <f t="shared" si="135"/>
        <v>0</v>
      </c>
      <c r="Y334" s="43">
        <f t="shared" si="136"/>
        <v>0</v>
      </c>
      <c r="Z334" s="43">
        <f t="shared" si="137"/>
        <v>0</v>
      </c>
      <c r="AB334" s="43">
        <f t="shared" si="142"/>
        <v>0</v>
      </c>
      <c r="AC334" s="43">
        <f t="shared" si="143"/>
        <v>0</v>
      </c>
      <c r="AD334" s="43">
        <f t="shared" si="144"/>
        <v>0</v>
      </c>
      <c r="AE334" s="43">
        <f t="shared" si="145"/>
        <v>0</v>
      </c>
      <c r="AF334" s="43">
        <f t="shared" si="146"/>
        <v>0</v>
      </c>
      <c r="AH334" s="43">
        <f t="shared" si="147"/>
        <v>0</v>
      </c>
      <c r="AI334" s="43">
        <f t="shared" si="148"/>
        <v>0</v>
      </c>
      <c r="AJ334" s="43">
        <f t="shared" si="149"/>
        <v>0</v>
      </c>
      <c r="AK334" s="43">
        <f t="shared" si="150"/>
        <v>0</v>
      </c>
      <c r="AL334" s="43">
        <f t="shared" si="151"/>
        <v>0</v>
      </c>
      <c r="AN334" s="47">
        <f t="shared" si="152"/>
        <v>0</v>
      </c>
      <c r="AO334" s="47">
        <f t="shared" si="153"/>
        <v>0</v>
      </c>
      <c r="AP334" s="47">
        <f t="shared" si="154"/>
        <v>0</v>
      </c>
      <c r="AQ334" s="47">
        <f t="shared" si="155"/>
        <v>0</v>
      </c>
      <c r="AR334" s="43">
        <f t="shared" si="156"/>
        <v>0</v>
      </c>
      <c r="AS334" s="120"/>
      <c r="AT334" s="120"/>
      <c r="AU334" s="120"/>
      <c r="AV334" s="120"/>
      <c r="AW334" s="120"/>
      <c r="AX334" s="120"/>
    </row>
    <row r="335" spans="1:50" s="89" customFormat="1" ht="13">
      <c r="A335" s="226"/>
      <c r="B335" s="37">
        <f>'13. Desinvesteringen'!B618</f>
        <v>599</v>
      </c>
      <c r="C335" s="331"/>
      <c r="D335" s="331"/>
      <c r="E335" s="331"/>
      <c r="F335" s="42">
        <f>'5. Input GAW-waarde desinv.'!D294</f>
        <v>0</v>
      </c>
      <c r="G335" s="175">
        <f>'13. Desinvesteringen'!D618</f>
        <v>1980</v>
      </c>
      <c r="H335" s="175">
        <f>'13. Desinvesteringen'!G618</f>
        <v>2024</v>
      </c>
      <c r="I335" s="37" t="str">
        <f>'13. Desinvesteringen'!C618</f>
        <v>15 Compressorstations (TT-BT-AT)</v>
      </c>
      <c r="J335" s="164">
        <f>'13. Desinvesteringen'!F618</f>
        <v>0</v>
      </c>
      <c r="K335" s="38">
        <f>_xlfn.XLOOKUP(I335,'3. Input (des)investeringen '!$B$11:$B$89,'3. Input (des)investeringen '!$E$11:$E$89)</f>
        <v>1</v>
      </c>
      <c r="L335" s="331"/>
      <c r="M335" s="38">
        <f>_xlfn.XLOOKUP(I335,'3. Input (des)investeringen '!$B$11:$B$89,'3. Input (des)investeringen '!$D$11:$D$89,0)</f>
        <v>30</v>
      </c>
      <c r="N335" s="38">
        <f t="shared" si="140"/>
        <v>0</v>
      </c>
      <c r="P335" s="43">
        <f t="shared" si="141"/>
        <v>0</v>
      </c>
      <c r="Q335" s="43">
        <f t="shared" si="141"/>
        <v>0</v>
      </c>
      <c r="R335" s="43">
        <f t="shared" si="141"/>
        <v>0</v>
      </c>
      <c r="S335" s="43">
        <f t="shared" si="141"/>
        <v>0</v>
      </c>
      <c r="T335" s="43">
        <f t="shared" si="141"/>
        <v>0</v>
      </c>
      <c r="V335" s="43">
        <f t="shared" si="133"/>
        <v>0</v>
      </c>
      <c r="W335" s="43">
        <f t="shared" si="134"/>
        <v>0</v>
      </c>
      <c r="X335" s="43">
        <f t="shared" si="135"/>
        <v>0</v>
      </c>
      <c r="Y335" s="43">
        <f t="shared" si="136"/>
        <v>0</v>
      </c>
      <c r="Z335" s="43">
        <f t="shared" si="137"/>
        <v>0</v>
      </c>
      <c r="AB335" s="43">
        <f t="shared" si="142"/>
        <v>0</v>
      </c>
      <c r="AC335" s="43">
        <f t="shared" si="143"/>
        <v>0</v>
      </c>
      <c r="AD335" s="43">
        <f t="shared" si="144"/>
        <v>0</v>
      </c>
      <c r="AE335" s="43">
        <f t="shared" si="145"/>
        <v>0</v>
      </c>
      <c r="AF335" s="43">
        <f t="shared" si="146"/>
        <v>0</v>
      </c>
      <c r="AH335" s="43">
        <f t="shared" si="147"/>
        <v>0</v>
      </c>
      <c r="AI335" s="43">
        <f t="shared" si="148"/>
        <v>0</v>
      </c>
      <c r="AJ335" s="43">
        <f t="shared" si="149"/>
        <v>0</v>
      </c>
      <c r="AK335" s="43">
        <f t="shared" si="150"/>
        <v>0</v>
      </c>
      <c r="AL335" s="43">
        <f t="shared" si="151"/>
        <v>0</v>
      </c>
      <c r="AN335" s="47">
        <f t="shared" si="152"/>
        <v>0</v>
      </c>
      <c r="AO335" s="47">
        <f t="shared" si="153"/>
        <v>0</v>
      </c>
      <c r="AP335" s="47">
        <f t="shared" si="154"/>
        <v>0</v>
      </c>
      <c r="AQ335" s="47">
        <f t="shared" si="155"/>
        <v>0</v>
      </c>
      <c r="AR335" s="43">
        <f t="shared" si="156"/>
        <v>0</v>
      </c>
      <c r="AS335" s="120"/>
      <c r="AT335" s="120"/>
      <c r="AU335" s="120"/>
      <c r="AV335" s="120"/>
      <c r="AW335" s="120"/>
      <c r="AX335" s="120"/>
    </row>
    <row r="336" spans="1:50" s="89" customFormat="1" ht="13">
      <c r="A336" s="226"/>
      <c r="B336" s="37">
        <f>'13. Desinvesteringen'!B619</f>
        <v>600</v>
      </c>
      <c r="C336" s="331"/>
      <c r="D336" s="331"/>
      <c r="E336" s="331"/>
      <c r="F336" s="42">
        <f>'5. Input GAW-waarde desinv.'!D295</f>
        <v>0</v>
      </c>
      <c r="G336" s="175">
        <f>'13. Desinvesteringen'!D619</f>
        <v>1982</v>
      </c>
      <c r="H336" s="175">
        <f>'13. Desinvesteringen'!G619</f>
        <v>2024</v>
      </c>
      <c r="I336" s="37" t="str">
        <f>'13. Desinvesteringen'!C619</f>
        <v>15 Compressorstations (TT-BT-AT)</v>
      </c>
      <c r="J336" s="164">
        <f>'13. Desinvesteringen'!F619</f>
        <v>0</v>
      </c>
      <c r="K336" s="38">
        <f>_xlfn.XLOOKUP(I336,'3. Input (des)investeringen '!$B$11:$B$89,'3. Input (des)investeringen '!$E$11:$E$89)</f>
        <v>1</v>
      </c>
      <c r="L336" s="331"/>
      <c r="M336" s="38">
        <f>_xlfn.XLOOKUP(I336,'3. Input (des)investeringen '!$B$11:$B$89,'3. Input (des)investeringen '!$D$11:$D$89,0)</f>
        <v>30</v>
      </c>
      <c r="N336" s="38">
        <f t="shared" si="140"/>
        <v>0</v>
      </c>
      <c r="P336" s="43">
        <f t="shared" si="141"/>
        <v>0</v>
      </c>
      <c r="Q336" s="43">
        <f t="shared" si="141"/>
        <v>0</v>
      </c>
      <c r="R336" s="43">
        <f t="shared" si="141"/>
        <v>0</v>
      </c>
      <c r="S336" s="43">
        <f t="shared" si="141"/>
        <v>0</v>
      </c>
      <c r="T336" s="43">
        <f t="shared" si="141"/>
        <v>0</v>
      </c>
      <c r="V336" s="43">
        <f t="shared" si="133"/>
        <v>0</v>
      </c>
      <c r="W336" s="43">
        <f t="shared" si="134"/>
        <v>0</v>
      </c>
      <c r="X336" s="43">
        <f t="shared" si="135"/>
        <v>0</v>
      </c>
      <c r="Y336" s="43">
        <f t="shared" si="136"/>
        <v>0</v>
      </c>
      <c r="Z336" s="43">
        <f t="shared" si="137"/>
        <v>0</v>
      </c>
      <c r="AB336" s="43">
        <f t="shared" si="142"/>
        <v>0</v>
      </c>
      <c r="AC336" s="43">
        <f t="shared" si="143"/>
        <v>0</v>
      </c>
      <c r="AD336" s="43">
        <f t="shared" si="144"/>
        <v>0</v>
      </c>
      <c r="AE336" s="43">
        <f t="shared" si="145"/>
        <v>0</v>
      </c>
      <c r="AF336" s="43">
        <f t="shared" si="146"/>
        <v>0</v>
      </c>
      <c r="AH336" s="43">
        <f t="shared" si="147"/>
        <v>0</v>
      </c>
      <c r="AI336" s="43">
        <f t="shared" si="148"/>
        <v>0</v>
      </c>
      <c r="AJ336" s="43">
        <f t="shared" si="149"/>
        <v>0</v>
      </c>
      <c r="AK336" s="43">
        <f t="shared" si="150"/>
        <v>0</v>
      </c>
      <c r="AL336" s="43">
        <f t="shared" si="151"/>
        <v>0</v>
      </c>
      <c r="AN336" s="47">
        <f t="shared" si="152"/>
        <v>0</v>
      </c>
      <c r="AO336" s="47">
        <f t="shared" si="153"/>
        <v>0</v>
      </c>
      <c r="AP336" s="47">
        <f t="shared" si="154"/>
        <v>0</v>
      </c>
      <c r="AQ336" s="47">
        <f t="shared" si="155"/>
        <v>0</v>
      </c>
      <c r="AR336" s="43">
        <f t="shared" si="156"/>
        <v>0</v>
      </c>
      <c r="AS336" s="120"/>
      <c r="AT336" s="120"/>
      <c r="AU336" s="120"/>
      <c r="AV336" s="120"/>
      <c r="AW336" s="120"/>
      <c r="AX336" s="120"/>
    </row>
    <row r="337" spans="1:50" s="89" customFormat="1" ht="13">
      <c r="A337" s="226"/>
      <c r="B337" s="37">
        <f>'13. Desinvesteringen'!B620</f>
        <v>601</v>
      </c>
      <c r="C337" s="331"/>
      <c r="D337" s="331"/>
      <c r="E337" s="331"/>
      <c r="F337" s="42">
        <f>'5. Input GAW-waarde desinv.'!D296</f>
        <v>0</v>
      </c>
      <c r="G337" s="175">
        <f>'13. Desinvesteringen'!D620</f>
        <v>1984</v>
      </c>
      <c r="H337" s="175">
        <f>'13. Desinvesteringen'!G620</f>
        <v>2024</v>
      </c>
      <c r="I337" s="37" t="str">
        <f>'13. Desinvesteringen'!C620</f>
        <v>15 Compressorstations (TT-BT-AT)</v>
      </c>
      <c r="J337" s="164">
        <f>'13. Desinvesteringen'!F620</f>
        <v>0</v>
      </c>
      <c r="K337" s="38">
        <f>_xlfn.XLOOKUP(I337,'3. Input (des)investeringen '!$B$11:$B$89,'3. Input (des)investeringen '!$E$11:$E$89)</f>
        <v>1</v>
      </c>
      <c r="L337" s="331"/>
      <c r="M337" s="38">
        <f>_xlfn.XLOOKUP(I337,'3. Input (des)investeringen '!$B$11:$B$89,'3. Input (des)investeringen '!$D$11:$D$89,0)</f>
        <v>30</v>
      </c>
      <c r="N337" s="38">
        <f t="shared" si="140"/>
        <v>0</v>
      </c>
      <c r="P337" s="43">
        <f t="shared" si="141"/>
        <v>0</v>
      </c>
      <c r="Q337" s="43">
        <f t="shared" si="141"/>
        <v>0</v>
      </c>
      <c r="R337" s="43">
        <f t="shared" si="141"/>
        <v>0</v>
      </c>
      <c r="S337" s="43">
        <f t="shared" si="141"/>
        <v>0</v>
      </c>
      <c r="T337" s="43">
        <f t="shared" si="141"/>
        <v>0</v>
      </c>
      <c r="V337" s="43">
        <f t="shared" si="133"/>
        <v>0</v>
      </c>
      <c r="W337" s="43">
        <f t="shared" si="134"/>
        <v>0</v>
      </c>
      <c r="X337" s="43">
        <f t="shared" si="135"/>
        <v>0</v>
      </c>
      <c r="Y337" s="43">
        <f t="shared" si="136"/>
        <v>0</v>
      </c>
      <c r="Z337" s="43">
        <f t="shared" si="137"/>
        <v>0</v>
      </c>
      <c r="AB337" s="43">
        <f t="shared" si="142"/>
        <v>0</v>
      </c>
      <c r="AC337" s="43">
        <f t="shared" si="143"/>
        <v>0</v>
      </c>
      <c r="AD337" s="43">
        <f t="shared" si="144"/>
        <v>0</v>
      </c>
      <c r="AE337" s="43">
        <f t="shared" si="145"/>
        <v>0</v>
      </c>
      <c r="AF337" s="43">
        <f t="shared" si="146"/>
        <v>0</v>
      </c>
      <c r="AH337" s="43">
        <f t="shared" si="147"/>
        <v>0</v>
      </c>
      <c r="AI337" s="43">
        <f t="shared" si="148"/>
        <v>0</v>
      </c>
      <c r="AJ337" s="43">
        <f t="shared" si="149"/>
        <v>0</v>
      </c>
      <c r="AK337" s="43">
        <f t="shared" si="150"/>
        <v>0</v>
      </c>
      <c r="AL337" s="43">
        <f t="shared" si="151"/>
        <v>0</v>
      </c>
      <c r="AN337" s="47">
        <f t="shared" si="152"/>
        <v>0</v>
      </c>
      <c r="AO337" s="47">
        <f t="shared" si="153"/>
        <v>0</v>
      </c>
      <c r="AP337" s="47">
        <f t="shared" si="154"/>
        <v>0</v>
      </c>
      <c r="AQ337" s="47">
        <f t="shared" si="155"/>
        <v>0</v>
      </c>
      <c r="AR337" s="43">
        <f t="shared" si="156"/>
        <v>0</v>
      </c>
      <c r="AS337" s="120"/>
      <c r="AT337" s="120"/>
      <c r="AU337" s="120"/>
      <c r="AV337" s="120"/>
      <c r="AW337" s="120"/>
      <c r="AX337" s="120"/>
    </row>
    <row r="338" spans="1:50" s="89" customFormat="1" ht="13">
      <c r="A338" s="226"/>
      <c r="B338" s="37">
        <f>'13. Desinvesteringen'!B621</f>
        <v>602</v>
      </c>
      <c r="C338" s="331"/>
      <c r="D338" s="331"/>
      <c r="E338" s="331"/>
      <c r="F338" s="42">
        <f>'5. Input GAW-waarde desinv.'!D297</f>
        <v>0</v>
      </c>
      <c r="G338" s="175">
        <f>'13. Desinvesteringen'!D621</f>
        <v>1990</v>
      </c>
      <c r="H338" s="175">
        <f>'13. Desinvesteringen'!G621</f>
        <v>2024</v>
      </c>
      <c r="I338" s="37" t="str">
        <f>'13. Desinvesteringen'!C621</f>
        <v>15 Compressorstations (TT-BT-AT)</v>
      </c>
      <c r="J338" s="164">
        <f>'13. Desinvesteringen'!F621</f>
        <v>0</v>
      </c>
      <c r="K338" s="38">
        <f>_xlfn.XLOOKUP(I338,'3. Input (des)investeringen '!$B$11:$B$89,'3. Input (des)investeringen '!$E$11:$E$89)</f>
        <v>1</v>
      </c>
      <c r="L338" s="331"/>
      <c r="M338" s="38">
        <f>_xlfn.XLOOKUP(I338,'3. Input (des)investeringen '!$B$11:$B$89,'3. Input (des)investeringen '!$D$11:$D$89,0)</f>
        <v>30</v>
      </c>
      <c r="N338" s="38">
        <f t="shared" si="140"/>
        <v>0</v>
      </c>
      <c r="P338" s="43">
        <f t="shared" si="141"/>
        <v>0</v>
      </c>
      <c r="Q338" s="43">
        <f t="shared" si="141"/>
        <v>0</v>
      </c>
      <c r="R338" s="43">
        <f t="shared" si="141"/>
        <v>0</v>
      </c>
      <c r="S338" s="43">
        <f t="shared" si="141"/>
        <v>0</v>
      </c>
      <c r="T338" s="43">
        <f t="shared" si="141"/>
        <v>0</v>
      </c>
      <c r="V338" s="43">
        <f t="shared" si="133"/>
        <v>0</v>
      </c>
      <c r="W338" s="43">
        <f t="shared" si="134"/>
        <v>0</v>
      </c>
      <c r="X338" s="43">
        <f t="shared" si="135"/>
        <v>0</v>
      </c>
      <c r="Y338" s="43">
        <f t="shared" si="136"/>
        <v>0</v>
      </c>
      <c r="Z338" s="43">
        <f t="shared" si="137"/>
        <v>0</v>
      </c>
      <c r="AB338" s="43">
        <f t="shared" si="142"/>
        <v>0</v>
      </c>
      <c r="AC338" s="43">
        <f t="shared" si="143"/>
        <v>0</v>
      </c>
      <c r="AD338" s="43">
        <f t="shared" si="144"/>
        <v>0</v>
      </c>
      <c r="AE338" s="43">
        <f t="shared" si="145"/>
        <v>0</v>
      </c>
      <c r="AF338" s="43">
        <f t="shared" si="146"/>
        <v>0</v>
      </c>
      <c r="AH338" s="43">
        <f t="shared" si="147"/>
        <v>0</v>
      </c>
      <c r="AI338" s="43">
        <f t="shared" si="148"/>
        <v>0</v>
      </c>
      <c r="AJ338" s="43">
        <f t="shared" si="149"/>
        <v>0</v>
      </c>
      <c r="AK338" s="43">
        <f t="shared" si="150"/>
        <v>0</v>
      </c>
      <c r="AL338" s="43">
        <f t="shared" si="151"/>
        <v>0</v>
      </c>
      <c r="AN338" s="47">
        <f t="shared" si="152"/>
        <v>0</v>
      </c>
      <c r="AO338" s="47">
        <f t="shared" si="153"/>
        <v>0</v>
      </c>
      <c r="AP338" s="47">
        <f t="shared" si="154"/>
        <v>0</v>
      </c>
      <c r="AQ338" s="47">
        <f t="shared" si="155"/>
        <v>0</v>
      </c>
      <c r="AR338" s="43">
        <f t="shared" si="156"/>
        <v>0</v>
      </c>
      <c r="AS338" s="120"/>
      <c r="AT338" s="120"/>
      <c r="AU338" s="120"/>
      <c r="AV338" s="120"/>
      <c r="AW338" s="120"/>
      <c r="AX338" s="120"/>
    </row>
    <row r="339" spans="1:50" s="89" customFormat="1" ht="13">
      <c r="A339" s="226"/>
      <c r="B339" s="37">
        <f>'13. Desinvesteringen'!B622</f>
        <v>603</v>
      </c>
      <c r="C339" s="331"/>
      <c r="D339" s="331"/>
      <c r="E339" s="331"/>
      <c r="F339" s="42">
        <f>'5. Input GAW-waarde desinv.'!D298</f>
        <v>5866.8839006931503</v>
      </c>
      <c r="G339" s="175">
        <f>'13. Desinvesteringen'!D622</f>
        <v>1996</v>
      </c>
      <c r="H339" s="175">
        <f>'13. Desinvesteringen'!G622</f>
        <v>2024</v>
      </c>
      <c r="I339" s="37" t="str">
        <f>'13. Desinvesteringen'!C622</f>
        <v>15 Compressorstations (TT-BT-AT)</v>
      </c>
      <c r="J339" s="164">
        <f>'13. Desinvesteringen'!F622</f>
        <v>0</v>
      </c>
      <c r="K339" s="38">
        <f>_xlfn.XLOOKUP(I339,'3. Input (des)investeringen '!$B$11:$B$89,'3. Input (des)investeringen '!$E$11:$E$89)</f>
        <v>1</v>
      </c>
      <c r="L339" s="331"/>
      <c r="M339" s="38">
        <f>_xlfn.XLOOKUP(I339,'3. Input (des)investeringen '!$B$11:$B$89,'3. Input (des)investeringen '!$D$11:$D$89,0)</f>
        <v>30</v>
      </c>
      <c r="N339" s="38">
        <f t="shared" si="140"/>
        <v>4.5</v>
      </c>
      <c r="P339" s="43">
        <f t="shared" si="141"/>
        <v>1525.3898141802192</v>
      </c>
      <c r="Q339" s="43">
        <f t="shared" si="141"/>
        <v>1084.7216456392671</v>
      </c>
      <c r="R339" s="43">
        <f t="shared" si="141"/>
        <v>1068.0336203217396</v>
      </c>
      <c r="S339" s="43">
        <f t="shared" si="141"/>
        <v>1068.0336203217396</v>
      </c>
      <c r="T339" s="43">
        <f t="shared" si="141"/>
        <v>534.0168101608698</v>
      </c>
      <c r="V339" s="43">
        <f t="shared" si="133"/>
        <v>130.37519779318112</v>
      </c>
      <c r="W339" s="43">
        <f t="shared" si="134"/>
        <v>130.37519779318114</v>
      </c>
      <c r="X339" s="43">
        <f t="shared" si="135"/>
        <v>130.37519779318114</v>
      </c>
      <c r="Y339" s="43">
        <f t="shared" si="136"/>
        <v>130.37519779318114</v>
      </c>
      <c r="Z339" s="43">
        <f t="shared" si="137"/>
        <v>65.187598896590572</v>
      </c>
      <c r="AB339" s="43">
        <f t="shared" si="142"/>
        <v>1655.7650119734003</v>
      </c>
      <c r="AC339" s="43">
        <f t="shared" si="143"/>
        <v>1215.0968434324482</v>
      </c>
      <c r="AD339" s="43">
        <f t="shared" si="144"/>
        <v>1198.4088181149207</v>
      </c>
      <c r="AE339" s="43">
        <f t="shared" si="145"/>
        <v>1198.4088181149207</v>
      </c>
      <c r="AF339" s="43">
        <f t="shared" si="146"/>
        <v>599.20440905746034</v>
      </c>
      <c r="AH339" s="43">
        <f t="shared" si="147"/>
        <v>4211.1188887197495</v>
      </c>
      <c r="AI339" s="43">
        <f t="shared" si="148"/>
        <v>2996.0220452873014</v>
      </c>
      <c r="AJ339" s="43">
        <f t="shared" si="149"/>
        <v>1797.6132271723807</v>
      </c>
      <c r="AK339" s="43">
        <f t="shared" si="150"/>
        <v>599.20440905746</v>
      </c>
      <c r="AL339" s="43">
        <f t="shared" si="151"/>
        <v>0</v>
      </c>
      <c r="AN339" s="47">
        <f t="shared" si="152"/>
        <v>1828.42088641091</v>
      </c>
      <c r="AO339" s="47">
        <f t="shared" si="153"/>
        <v>1367.8939677421006</v>
      </c>
      <c r="AP339" s="47">
        <f t="shared" si="154"/>
        <v>1290.087092700712</v>
      </c>
      <c r="AQ339" s="47">
        <f t="shared" si="155"/>
        <v>1231.3650606130809</v>
      </c>
      <c r="AR339" s="43">
        <f t="shared" si="156"/>
        <v>599.20440905746034</v>
      </c>
      <c r="AS339" s="120"/>
      <c r="AT339" s="120"/>
      <c r="AU339" s="120"/>
      <c r="AV339" s="120"/>
      <c r="AW339" s="120"/>
      <c r="AX339" s="120"/>
    </row>
    <row r="340" spans="1:50" s="89" customFormat="1" ht="13">
      <c r="A340" s="226"/>
      <c r="B340" s="37">
        <f>'13. Desinvesteringen'!B623</f>
        <v>604</v>
      </c>
      <c r="C340" s="331"/>
      <c r="D340" s="331"/>
      <c r="E340" s="331"/>
      <c r="F340" s="42">
        <f>'5. Input GAW-waarde desinv.'!D299</f>
        <v>9075542.9359124992</v>
      </c>
      <c r="G340" s="175">
        <f>'13. Desinvesteringen'!D623</f>
        <v>1997</v>
      </c>
      <c r="H340" s="175">
        <f>'13. Desinvesteringen'!G623</f>
        <v>2024</v>
      </c>
      <c r="I340" s="37" t="str">
        <f>'13. Desinvesteringen'!C623</f>
        <v>15 Compressorstations (TT-BT-AT)</v>
      </c>
      <c r="J340" s="164">
        <f>'13. Desinvesteringen'!F623</f>
        <v>0</v>
      </c>
      <c r="K340" s="38">
        <f>_xlfn.XLOOKUP(I340,'3. Input (des)investeringen '!$B$11:$B$89,'3. Input (des)investeringen '!$E$11:$E$89)</f>
        <v>1</v>
      </c>
      <c r="L340" s="331"/>
      <c r="M340" s="38">
        <f>_xlfn.XLOOKUP(I340,'3. Input (des)investeringen '!$B$11:$B$89,'3. Input (des)investeringen '!$D$11:$D$89,0)</f>
        <v>30</v>
      </c>
      <c r="N340" s="38">
        <f t="shared" si="140"/>
        <v>5.5</v>
      </c>
      <c r="P340" s="43">
        <f t="shared" si="141"/>
        <v>1930615.4972759315</v>
      </c>
      <c r="Q340" s="43">
        <f t="shared" si="141"/>
        <v>1474288.1979198023</v>
      </c>
      <c r="R340" s="43">
        <f t="shared" si="141"/>
        <v>1360881.413464433</v>
      </c>
      <c r="S340" s="43">
        <f t="shared" si="141"/>
        <v>1360881.413464433</v>
      </c>
      <c r="T340" s="43">
        <f t="shared" si="141"/>
        <v>1360881.413464433</v>
      </c>
      <c r="V340" s="43">
        <f t="shared" si="133"/>
        <v>165009.87156204545</v>
      </c>
      <c r="W340" s="43">
        <f t="shared" si="134"/>
        <v>165009.87156204545</v>
      </c>
      <c r="X340" s="43">
        <f t="shared" si="135"/>
        <v>165009.87156204545</v>
      </c>
      <c r="Y340" s="43">
        <f t="shared" si="136"/>
        <v>165009.87156204545</v>
      </c>
      <c r="Z340" s="43">
        <f t="shared" si="137"/>
        <v>165009.87156204545</v>
      </c>
      <c r="AB340" s="43">
        <f t="shared" si="142"/>
        <v>2095625.3688379771</v>
      </c>
      <c r="AC340" s="43">
        <f t="shared" si="143"/>
        <v>1639298.0694818478</v>
      </c>
      <c r="AD340" s="43">
        <f t="shared" si="144"/>
        <v>1525891.2850264786</v>
      </c>
      <c r="AE340" s="43">
        <f t="shared" si="145"/>
        <v>1525891.2850264786</v>
      </c>
      <c r="AF340" s="43">
        <f t="shared" si="146"/>
        <v>1525891.2850264786</v>
      </c>
      <c r="AH340" s="43">
        <f t="shared" si="147"/>
        <v>6979917.5670745224</v>
      </c>
      <c r="AI340" s="43">
        <f t="shared" si="148"/>
        <v>5340619.4975926746</v>
      </c>
      <c r="AJ340" s="43">
        <f t="shared" si="149"/>
        <v>3814728.212566196</v>
      </c>
      <c r="AK340" s="43">
        <f t="shared" si="150"/>
        <v>2288836.9275397174</v>
      </c>
      <c r="AL340" s="43">
        <f t="shared" si="151"/>
        <v>762945.64251323882</v>
      </c>
      <c r="AN340" s="47">
        <f t="shared" si="152"/>
        <v>2381801.9890880324</v>
      </c>
      <c r="AO340" s="47">
        <f t="shared" si="153"/>
        <v>1911669.6638590742</v>
      </c>
      <c r="AP340" s="47">
        <f t="shared" si="154"/>
        <v>1720442.4238673546</v>
      </c>
      <c r="AQ340" s="47">
        <f t="shared" si="155"/>
        <v>1651777.3160411629</v>
      </c>
      <c r="AR340" s="43">
        <f t="shared" si="156"/>
        <v>1554883.2194419818</v>
      </c>
      <c r="AS340" s="120"/>
      <c r="AT340" s="120"/>
      <c r="AU340" s="120"/>
      <c r="AV340" s="120"/>
      <c r="AW340" s="120"/>
      <c r="AX340" s="120"/>
    </row>
    <row r="341" spans="1:50" s="89" customFormat="1" ht="13">
      <c r="A341" s="226"/>
      <c r="B341" s="37">
        <f>'13. Desinvesteringen'!B624</f>
        <v>605</v>
      </c>
      <c r="C341" s="331"/>
      <c r="D341" s="331"/>
      <c r="E341" s="331"/>
      <c r="F341" s="42">
        <f>'5. Input GAW-waarde desinv.'!D300</f>
        <v>87331.73753895532</v>
      </c>
      <c r="G341" s="175">
        <f>'13. Desinvesteringen'!D624</f>
        <v>1998</v>
      </c>
      <c r="H341" s="175">
        <f>'13. Desinvesteringen'!G624</f>
        <v>2024</v>
      </c>
      <c r="I341" s="37" t="str">
        <f>'13. Desinvesteringen'!C624</f>
        <v>15 Compressorstations (TT-BT-AT)</v>
      </c>
      <c r="J341" s="164">
        <f>'13. Desinvesteringen'!F624</f>
        <v>0</v>
      </c>
      <c r="K341" s="38">
        <f>_xlfn.XLOOKUP(I341,'3. Input (des)investeringen '!$B$11:$B$89,'3. Input (des)investeringen '!$E$11:$E$89)</f>
        <v>1</v>
      </c>
      <c r="L341" s="331"/>
      <c r="M341" s="38">
        <f>_xlfn.XLOOKUP(I341,'3. Input (des)investeringen '!$B$11:$B$89,'3. Input (des)investeringen '!$D$11:$D$89,0)</f>
        <v>30</v>
      </c>
      <c r="N341" s="38">
        <f t="shared" si="140"/>
        <v>6.5</v>
      </c>
      <c r="P341" s="43">
        <f t="shared" si="141"/>
        <v>15719.712757011959</v>
      </c>
      <c r="Q341" s="43">
        <f t="shared" si="141"/>
        <v>12575.770205609566</v>
      </c>
      <c r="R341" s="43">
        <f t="shared" si="141"/>
        <v>11178.46240498628</v>
      </c>
      <c r="S341" s="43">
        <f t="shared" si="141"/>
        <v>11178.46240498628</v>
      </c>
      <c r="T341" s="43">
        <f t="shared" si="141"/>
        <v>11178.46240498628</v>
      </c>
      <c r="V341" s="43">
        <f t="shared" si="133"/>
        <v>1343.5651929070052</v>
      </c>
      <c r="W341" s="43">
        <f t="shared" si="134"/>
        <v>1343.565192907005</v>
      </c>
      <c r="X341" s="43">
        <f t="shared" si="135"/>
        <v>1343.565192907005</v>
      </c>
      <c r="Y341" s="43">
        <f t="shared" si="136"/>
        <v>1343.565192907005</v>
      </c>
      <c r="Z341" s="43">
        <f t="shared" si="137"/>
        <v>1343.565192907005</v>
      </c>
      <c r="AB341" s="43">
        <f t="shared" si="142"/>
        <v>17063.277949918964</v>
      </c>
      <c r="AC341" s="43">
        <f t="shared" si="143"/>
        <v>13919.33539851657</v>
      </c>
      <c r="AD341" s="43">
        <f t="shared" si="144"/>
        <v>12522.027597893284</v>
      </c>
      <c r="AE341" s="43">
        <f t="shared" si="145"/>
        <v>12522.027597893284</v>
      </c>
      <c r="AF341" s="43">
        <f t="shared" si="146"/>
        <v>12522.027597893284</v>
      </c>
      <c r="AH341" s="43">
        <f t="shared" si="147"/>
        <v>70268.459589036356</v>
      </c>
      <c r="AI341" s="43">
        <f t="shared" si="148"/>
        <v>56349.124190519782</v>
      </c>
      <c r="AJ341" s="43">
        <f t="shared" si="149"/>
        <v>43827.096592626498</v>
      </c>
      <c r="AK341" s="43">
        <f t="shared" si="150"/>
        <v>31305.068994733214</v>
      </c>
      <c r="AL341" s="43">
        <f t="shared" si="151"/>
        <v>18783.04139683993</v>
      </c>
      <c r="AN341" s="47">
        <f t="shared" si="152"/>
        <v>19944.284793069455</v>
      </c>
      <c r="AO341" s="47">
        <f t="shared" si="153"/>
        <v>16793.140732233078</v>
      </c>
      <c r="AP341" s="47">
        <f t="shared" si="154"/>
        <v>14757.209524117236</v>
      </c>
      <c r="AQ341" s="47">
        <f t="shared" si="155"/>
        <v>14243.80639260361</v>
      </c>
      <c r="AR341" s="43">
        <f t="shared" si="156"/>
        <v>13235.783170973202</v>
      </c>
      <c r="AS341" s="120"/>
      <c r="AT341" s="120"/>
      <c r="AU341" s="120"/>
      <c r="AV341" s="120"/>
      <c r="AW341" s="120"/>
      <c r="AX341" s="120"/>
    </row>
    <row r="342" spans="1:50" s="89" customFormat="1" ht="13">
      <c r="A342" s="226"/>
      <c r="B342" s="37">
        <f>'13. Desinvesteringen'!B625</f>
        <v>606</v>
      </c>
      <c r="C342" s="331"/>
      <c r="D342" s="331"/>
      <c r="E342" s="331"/>
      <c r="F342" s="42">
        <f>'5. Input GAW-waarde desinv.'!D301</f>
        <v>20500.533572624918</v>
      </c>
      <c r="G342" s="175">
        <f>'13. Desinvesteringen'!D625</f>
        <v>2001</v>
      </c>
      <c r="H342" s="175">
        <f>'13. Desinvesteringen'!G625</f>
        <v>2024</v>
      </c>
      <c r="I342" s="37" t="str">
        <f>'13. Desinvesteringen'!C625</f>
        <v>15 Compressorstations (TT-BT-AT)</v>
      </c>
      <c r="J342" s="164">
        <f>'13. Desinvesteringen'!F625</f>
        <v>0</v>
      </c>
      <c r="K342" s="38">
        <f>_xlfn.XLOOKUP(I342,'3. Input (des)investeringen '!$B$11:$B$89,'3. Input (des)investeringen '!$E$11:$E$89)</f>
        <v>1</v>
      </c>
      <c r="L342" s="331"/>
      <c r="M342" s="38">
        <f>_xlfn.XLOOKUP(I342,'3. Input (des)investeringen '!$B$11:$B$89,'3. Input (des)investeringen '!$D$11:$D$89,0)</f>
        <v>30</v>
      </c>
      <c r="N342" s="38">
        <f t="shared" si="140"/>
        <v>9.5</v>
      </c>
      <c r="P342" s="43">
        <f t="shared" ref="P342:T351" si="157">IF($M342&gt;0, IF(OR($G342&gt;P$50,$G342+$M342&lt;P$50),0,
VDB($F342,0,$N342,MAX(0,P$50-2022),MIN($N342,P$50-2021),$F$23,FALSE))*(1-$F$26), 0)</f>
        <v>2524.8025557864376</v>
      </c>
      <c r="Q342" s="43">
        <f t="shared" si="157"/>
        <v>2179.3032586788195</v>
      </c>
      <c r="R342" s="43">
        <f t="shared" si="157"/>
        <v>1881.0828127543493</v>
      </c>
      <c r="S342" s="43">
        <f t="shared" si="157"/>
        <v>1825.4294750988952</v>
      </c>
      <c r="T342" s="43">
        <f t="shared" si="157"/>
        <v>1825.4294750988952</v>
      </c>
      <c r="V342" s="43">
        <f t="shared" si="133"/>
        <v>215.79509023815706</v>
      </c>
      <c r="W342" s="43">
        <f t="shared" si="134"/>
        <v>215.79509023815706</v>
      </c>
      <c r="X342" s="43">
        <f t="shared" si="135"/>
        <v>215.79509023815706</v>
      </c>
      <c r="Y342" s="43">
        <f t="shared" si="136"/>
        <v>215.79509023815706</v>
      </c>
      <c r="Z342" s="43">
        <f t="shared" si="137"/>
        <v>215.79509023815706</v>
      </c>
      <c r="AB342" s="43">
        <f t="shared" si="142"/>
        <v>2740.5976460245947</v>
      </c>
      <c r="AC342" s="43">
        <f t="shared" si="143"/>
        <v>2395.0983489169766</v>
      </c>
      <c r="AD342" s="43">
        <f t="shared" si="144"/>
        <v>2096.8779029925063</v>
      </c>
      <c r="AE342" s="43">
        <f t="shared" si="145"/>
        <v>2041.2245653370524</v>
      </c>
      <c r="AF342" s="43">
        <f t="shared" si="146"/>
        <v>2041.2245653370524</v>
      </c>
      <c r="AH342" s="43">
        <f t="shared" si="147"/>
        <v>17759.935926600323</v>
      </c>
      <c r="AI342" s="43">
        <f t="shared" si="148"/>
        <v>15364.837577683345</v>
      </c>
      <c r="AJ342" s="43">
        <f t="shared" si="149"/>
        <v>13267.959674690839</v>
      </c>
      <c r="AK342" s="43">
        <f t="shared" si="150"/>
        <v>11226.735109353787</v>
      </c>
      <c r="AL342" s="43">
        <f t="shared" si="151"/>
        <v>9185.5105440167354</v>
      </c>
      <c r="AN342" s="47">
        <f t="shared" si="152"/>
        <v>3468.7550190152078</v>
      </c>
      <c r="AO342" s="47">
        <f t="shared" si="153"/>
        <v>3178.7050653788274</v>
      </c>
      <c r="AP342" s="47">
        <f t="shared" si="154"/>
        <v>2773.5438464017388</v>
      </c>
      <c r="AQ342" s="47">
        <f t="shared" si="155"/>
        <v>2658.6949963515108</v>
      </c>
      <c r="AR342" s="43">
        <f t="shared" si="156"/>
        <v>2390.2739660096881</v>
      </c>
      <c r="AS342" s="120"/>
      <c r="AT342" s="120"/>
      <c r="AU342" s="120"/>
      <c r="AV342" s="120"/>
      <c r="AW342" s="120"/>
      <c r="AX342" s="120"/>
    </row>
    <row r="343" spans="1:50" s="89" customFormat="1" ht="13">
      <c r="A343" s="226"/>
      <c r="B343" s="37">
        <f>'13. Desinvesteringen'!B626</f>
        <v>607</v>
      </c>
      <c r="C343" s="331"/>
      <c r="D343" s="331"/>
      <c r="E343" s="331"/>
      <c r="F343" s="42">
        <f>'5. Input GAW-waarde desinv.'!D302</f>
        <v>228572.72715228627</v>
      </c>
      <c r="G343" s="175">
        <f>'13. Desinvesteringen'!D626</f>
        <v>2002</v>
      </c>
      <c r="H343" s="175">
        <f>'13. Desinvesteringen'!G626</f>
        <v>2024</v>
      </c>
      <c r="I343" s="37" t="str">
        <f>'13. Desinvesteringen'!C626</f>
        <v>15 Compressorstations (TT-BT-AT)</v>
      </c>
      <c r="J343" s="164">
        <f>'13. Desinvesteringen'!F626</f>
        <v>0</v>
      </c>
      <c r="K343" s="38">
        <f>_xlfn.XLOOKUP(I343,'3. Input (des)investeringen '!$B$11:$B$89,'3. Input (des)investeringen '!$E$11:$E$89)</f>
        <v>1</v>
      </c>
      <c r="L343" s="331"/>
      <c r="M343" s="38">
        <f>_xlfn.XLOOKUP(I343,'3. Input (des)investeringen '!$B$11:$B$89,'3. Input (des)investeringen '!$D$11:$D$89,0)</f>
        <v>30</v>
      </c>
      <c r="N343" s="38">
        <f t="shared" si="140"/>
        <v>10.5</v>
      </c>
      <c r="P343" s="43">
        <f t="shared" si="157"/>
        <v>25469.532454111901</v>
      </c>
      <c r="Q343" s="43">
        <f t="shared" si="157"/>
        <v>22316.161769317092</v>
      </c>
      <c r="R343" s="43">
        <f t="shared" si="157"/>
        <v>19553.208407401646</v>
      </c>
      <c r="S343" s="43">
        <f t="shared" si="157"/>
        <v>18450.206907496937</v>
      </c>
      <c r="T343" s="43">
        <f t="shared" si="157"/>
        <v>18450.206907496937</v>
      </c>
      <c r="V343" s="43">
        <f t="shared" si="133"/>
        <v>2176.8831157360596</v>
      </c>
      <c r="W343" s="43">
        <f t="shared" si="134"/>
        <v>2176.8831157360596</v>
      </c>
      <c r="X343" s="43">
        <f t="shared" si="135"/>
        <v>2176.8831157360596</v>
      </c>
      <c r="Y343" s="43">
        <f t="shared" si="136"/>
        <v>2176.8831157360596</v>
      </c>
      <c r="Z343" s="43">
        <f t="shared" si="137"/>
        <v>2176.8831157360596</v>
      </c>
      <c r="AB343" s="43">
        <f t="shared" si="142"/>
        <v>27646.415569847959</v>
      </c>
      <c r="AC343" s="43">
        <f t="shared" si="143"/>
        <v>24493.04488505315</v>
      </c>
      <c r="AD343" s="43">
        <f t="shared" si="144"/>
        <v>21730.091523137704</v>
      </c>
      <c r="AE343" s="43">
        <f t="shared" si="145"/>
        <v>20627.090023232995</v>
      </c>
      <c r="AF343" s="43">
        <f t="shared" si="146"/>
        <v>20627.090023232995</v>
      </c>
      <c r="AH343" s="43">
        <f t="shared" si="147"/>
        <v>200926.3115824383</v>
      </c>
      <c r="AI343" s="43">
        <f t="shared" si="148"/>
        <v>176433.26669738514</v>
      </c>
      <c r="AJ343" s="43">
        <f t="shared" si="149"/>
        <v>154703.17517424744</v>
      </c>
      <c r="AK343" s="43">
        <f t="shared" si="150"/>
        <v>134076.08515101444</v>
      </c>
      <c r="AL343" s="43">
        <f t="shared" si="151"/>
        <v>113448.99512778144</v>
      </c>
      <c r="AN343" s="47">
        <f t="shared" si="152"/>
        <v>35884.394344727931</v>
      </c>
      <c r="AO343" s="47">
        <f t="shared" si="153"/>
        <v>33491.141486619788</v>
      </c>
      <c r="AP343" s="47">
        <f t="shared" si="154"/>
        <v>29619.953457024323</v>
      </c>
      <c r="AQ343" s="47">
        <f t="shared" si="155"/>
        <v>28001.274706538788</v>
      </c>
      <c r="AR343" s="43">
        <f t="shared" si="156"/>
        <v>24938.151838088692</v>
      </c>
      <c r="AS343" s="120"/>
      <c r="AT343" s="120"/>
      <c r="AU343" s="120"/>
      <c r="AV343" s="120"/>
      <c r="AW343" s="120"/>
      <c r="AX343" s="120"/>
    </row>
    <row r="344" spans="1:50" s="89" customFormat="1" ht="13">
      <c r="A344" s="226"/>
      <c r="B344" s="37">
        <f>'13. Desinvesteringen'!B627</f>
        <v>608</v>
      </c>
      <c r="C344" s="331"/>
      <c r="D344" s="331"/>
      <c r="E344" s="331"/>
      <c r="F344" s="42">
        <f>'5. Input GAW-waarde desinv.'!D303</f>
        <v>287131.81151071272</v>
      </c>
      <c r="G344" s="175">
        <f>'13. Desinvesteringen'!D627</f>
        <v>2003</v>
      </c>
      <c r="H344" s="175">
        <f>'13. Desinvesteringen'!G627</f>
        <v>2024</v>
      </c>
      <c r="I344" s="37" t="str">
        <f>'13. Desinvesteringen'!C627</f>
        <v>15 Compressorstations (TT-BT-AT)</v>
      </c>
      <c r="J344" s="164">
        <f>'13. Desinvesteringen'!F627</f>
        <v>0</v>
      </c>
      <c r="K344" s="38">
        <f>_xlfn.XLOOKUP(I344,'3. Input (des)investeringen '!$B$11:$B$89,'3. Input (des)investeringen '!$E$11:$E$89)</f>
        <v>1</v>
      </c>
      <c r="L344" s="331"/>
      <c r="M344" s="38">
        <f>_xlfn.XLOOKUP(I344,'3. Input (des)investeringen '!$B$11:$B$89,'3. Input (des)investeringen '!$D$11:$D$89,0)</f>
        <v>30</v>
      </c>
      <c r="N344" s="38">
        <f t="shared" si="140"/>
        <v>11.5</v>
      </c>
      <c r="P344" s="43">
        <f t="shared" si="157"/>
        <v>29212.540823263815</v>
      </c>
      <c r="Q344" s="43">
        <f t="shared" si="157"/>
        <v>25910.25359976443</v>
      </c>
      <c r="R344" s="43">
        <f t="shared" si="157"/>
        <v>22981.268410225843</v>
      </c>
      <c r="S344" s="43">
        <f t="shared" si="157"/>
        <v>21213.478532516161</v>
      </c>
      <c r="T344" s="43">
        <f t="shared" si="157"/>
        <v>21213.478532516161</v>
      </c>
      <c r="V344" s="43">
        <f t="shared" si="133"/>
        <v>2496.7983609627195</v>
      </c>
      <c r="W344" s="43">
        <f t="shared" si="134"/>
        <v>2496.7983609627195</v>
      </c>
      <c r="X344" s="43">
        <f t="shared" si="135"/>
        <v>2496.7983609627195</v>
      </c>
      <c r="Y344" s="43">
        <f t="shared" si="136"/>
        <v>2496.7983609627195</v>
      </c>
      <c r="Z344" s="43">
        <f t="shared" si="137"/>
        <v>2496.7983609627195</v>
      </c>
      <c r="AB344" s="43">
        <f t="shared" si="142"/>
        <v>31709.339184226534</v>
      </c>
      <c r="AC344" s="43">
        <f t="shared" si="143"/>
        <v>28407.051960727149</v>
      </c>
      <c r="AD344" s="43">
        <f t="shared" si="144"/>
        <v>25478.066771188562</v>
      </c>
      <c r="AE344" s="43">
        <f t="shared" si="145"/>
        <v>23710.27689347888</v>
      </c>
      <c r="AF344" s="43">
        <f t="shared" si="146"/>
        <v>23710.27689347888</v>
      </c>
      <c r="AH344" s="43">
        <f t="shared" si="147"/>
        <v>255422.4723264862</v>
      </c>
      <c r="AI344" s="43">
        <f t="shared" si="148"/>
        <v>227015.42036575906</v>
      </c>
      <c r="AJ344" s="43">
        <f t="shared" si="149"/>
        <v>201537.35359457048</v>
      </c>
      <c r="AK344" s="43">
        <f t="shared" si="150"/>
        <v>177827.0767010916</v>
      </c>
      <c r="AL344" s="43">
        <f t="shared" si="151"/>
        <v>154116.79980761273</v>
      </c>
      <c r="AN344" s="47">
        <f t="shared" si="152"/>
        <v>42181.660549612468</v>
      </c>
      <c r="AO344" s="47">
        <f t="shared" si="153"/>
        <v>39984.83839938086</v>
      </c>
      <c r="AP344" s="47">
        <f t="shared" si="154"/>
        <v>35756.471804511653</v>
      </c>
      <c r="AQ344" s="47">
        <f t="shared" si="155"/>
        <v>33490.766112038917</v>
      </c>
      <c r="AR344" s="43">
        <f t="shared" si="156"/>
        <v>29566.715286168164</v>
      </c>
      <c r="AS344" s="120"/>
      <c r="AT344" s="120"/>
      <c r="AU344" s="120"/>
      <c r="AV344" s="120"/>
      <c r="AW344" s="120"/>
      <c r="AX344" s="120"/>
    </row>
    <row r="345" spans="1:50" s="89" customFormat="1" ht="13">
      <c r="A345" s="226"/>
      <c r="B345" s="37">
        <f>'13. Desinvesteringen'!B628</f>
        <v>609</v>
      </c>
      <c r="C345" s="331"/>
      <c r="D345" s="331"/>
      <c r="E345" s="331"/>
      <c r="F345" s="42">
        <f>'5. Input GAW-waarde desinv.'!D304</f>
        <v>193601.40516849293</v>
      </c>
      <c r="G345" s="175">
        <f>'13. Desinvesteringen'!D628</f>
        <v>2004</v>
      </c>
      <c r="H345" s="175">
        <f>'13. Desinvesteringen'!G628</f>
        <v>2024</v>
      </c>
      <c r="I345" s="37" t="str">
        <f>'13. Desinvesteringen'!C628</f>
        <v>15 Compressorstations (TT-BT-AT)</v>
      </c>
      <c r="J345" s="164">
        <f>'13. Desinvesteringen'!F628</f>
        <v>0</v>
      </c>
      <c r="K345" s="38">
        <f>_xlfn.XLOOKUP(I345,'3. Input (des)investeringen '!$B$11:$B$89,'3. Input (des)investeringen '!$E$11:$E$89)</f>
        <v>1</v>
      </c>
      <c r="L345" s="331"/>
      <c r="M345" s="38">
        <f>_xlfn.XLOOKUP(I345,'3. Input (des)investeringen '!$B$11:$B$89,'3. Input (des)investeringen '!$D$11:$D$89,0)</f>
        <v>30</v>
      </c>
      <c r="N345" s="38">
        <f t="shared" si="140"/>
        <v>12.5</v>
      </c>
      <c r="P345" s="43">
        <f t="shared" si="157"/>
        <v>18121.091523770941</v>
      </c>
      <c r="Q345" s="43">
        <f t="shared" si="157"/>
        <v>16236.498005298765</v>
      </c>
      <c r="R345" s="43">
        <f t="shared" si="157"/>
        <v>14547.902212747691</v>
      </c>
      <c r="S345" s="43">
        <f t="shared" si="157"/>
        <v>13193.239253665921</v>
      </c>
      <c r="T345" s="43">
        <f t="shared" si="157"/>
        <v>13193.239253665921</v>
      </c>
      <c r="V345" s="43">
        <f t="shared" si="133"/>
        <v>1548.8112413479437</v>
      </c>
      <c r="W345" s="43">
        <f t="shared" si="134"/>
        <v>1548.8112413479437</v>
      </c>
      <c r="X345" s="43">
        <f t="shared" si="135"/>
        <v>1548.8112413479437</v>
      </c>
      <c r="Y345" s="43">
        <f t="shared" si="136"/>
        <v>1548.8112413479437</v>
      </c>
      <c r="Z345" s="43">
        <f t="shared" si="137"/>
        <v>1548.8112413479437</v>
      </c>
      <c r="AB345" s="43">
        <f t="shared" si="142"/>
        <v>19669.902765118884</v>
      </c>
      <c r="AC345" s="43">
        <f t="shared" si="143"/>
        <v>17785.30924664671</v>
      </c>
      <c r="AD345" s="43">
        <f t="shared" si="144"/>
        <v>16096.713454095634</v>
      </c>
      <c r="AE345" s="43">
        <f t="shared" si="145"/>
        <v>14742.050495013864</v>
      </c>
      <c r="AF345" s="43">
        <f t="shared" si="146"/>
        <v>14742.050495013864</v>
      </c>
      <c r="AH345" s="43">
        <f t="shared" si="147"/>
        <v>173931.50240337403</v>
      </c>
      <c r="AI345" s="43">
        <f t="shared" si="148"/>
        <v>156146.19315672733</v>
      </c>
      <c r="AJ345" s="43">
        <f t="shared" si="149"/>
        <v>140049.47970263168</v>
      </c>
      <c r="AK345" s="43">
        <f t="shared" si="150"/>
        <v>125307.42920761782</v>
      </c>
      <c r="AL345" s="43">
        <f t="shared" si="151"/>
        <v>110565.37871260397</v>
      </c>
      <c r="AN345" s="47">
        <f t="shared" si="152"/>
        <v>26801.094363657219</v>
      </c>
      <c r="AO345" s="47">
        <f t="shared" si="153"/>
        <v>25748.765097639804</v>
      </c>
      <c r="AP345" s="47">
        <f t="shared" si="154"/>
        <v>23239.236918929848</v>
      </c>
      <c r="AQ345" s="47">
        <f t="shared" si="155"/>
        <v>21633.959101432843</v>
      </c>
      <c r="AR345" s="43">
        <f t="shared" si="156"/>
        <v>18943.534886092813</v>
      </c>
      <c r="AS345" s="120"/>
      <c r="AT345" s="120"/>
      <c r="AU345" s="120"/>
      <c r="AV345" s="120"/>
      <c r="AW345" s="120"/>
      <c r="AX345" s="120"/>
    </row>
    <row r="346" spans="1:50" s="89" customFormat="1" ht="13">
      <c r="A346" s="226"/>
      <c r="B346" s="37">
        <f>'13. Desinvesteringen'!B629</f>
        <v>610</v>
      </c>
      <c r="C346" s="331"/>
      <c r="D346" s="331"/>
      <c r="E346" s="331"/>
      <c r="F346" s="42">
        <f>'5. Input GAW-waarde desinv.'!D305</f>
        <v>800920.7553862785</v>
      </c>
      <c r="G346" s="175">
        <f>'13. Desinvesteringen'!D629</f>
        <v>2005</v>
      </c>
      <c r="H346" s="175">
        <f>'13. Desinvesteringen'!G629</f>
        <v>2024</v>
      </c>
      <c r="I346" s="37" t="str">
        <f>'13. Desinvesteringen'!C629</f>
        <v>15 Compressorstations (TT-BT-AT)</v>
      </c>
      <c r="J346" s="164">
        <f>'13. Desinvesteringen'!F629</f>
        <v>0</v>
      </c>
      <c r="K346" s="38">
        <f>_xlfn.XLOOKUP(I346,'3. Input (des)investeringen '!$B$11:$B$89,'3. Input (des)investeringen '!$E$11:$E$89)</f>
        <v>1</v>
      </c>
      <c r="L346" s="331"/>
      <c r="M346" s="38">
        <f>_xlfn.XLOOKUP(I346,'3. Input (des)investeringen '!$B$11:$B$89,'3. Input (des)investeringen '!$D$11:$D$89,0)</f>
        <v>30</v>
      </c>
      <c r="N346" s="38">
        <f t="shared" si="140"/>
        <v>13.5</v>
      </c>
      <c r="P346" s="43">
        <f t="shared" si="157"/>
        <v>69413.132133477469</v>
      </c>
      <c r="Q346" s="43">
        <f t="shared" si="157"/>
        <v>62728.904594698164</v>
      </c>
      <c r="R346" s="43">
        <f t="shared" si="157"/>
        <v>56688.343411505004</v>
      </c>
      <c r="S346" s="43">
        <f t="shared" si="157"/>
        <v>51229.465897804526</v>
      </c>
      <c r="T346" s="43">
        <f t="shared" si="157"/>
        <v>50607.245664227943</v>
      </c>
      <c r="V346" s="43">
        <f t="shared" si="133"/>
        <v>5932.7463361946557</v>
      </c>
      <c r="W346" s="43">
        <f t="shared" si="134"/>
        <v>5932.7463361946566</v>
      </c>
      <c r="X346" s="43">
        <f t="shared" si="135"/>
        <v>5932.7463361946566</v>
      </c>
      <c r="Y346" s="43">
        <f t="shared" si="136"/>
        <v>5932.7463361946566</v>
      </c>
      <c r="Z346" s="43">
        <f t="shared" si="137"/>
        <v>5932.7463361946566</v>
      </c>
      <c r="AB346" s="43">
        <f t="shared" si="142"/>
        <v>75345.878469672127</v>
      </c>
      <c r="AC346" s="43">
        <f t="shared" si="143"/>
        <v>68661.650930892822</v>
      </c>
      <c r="AD346" s="43">
        <f t="shared" si="144"/>
        <v>62621.089747699662</v>
      </c>
      <c r="AE346" s="43">
        <f t="shared" si="145"/>
        <v>57162.212233999184</v>
      </c>
      <c r="AF346" s="43">
        <f t="shared" si="146"/>
        <v>56539.992000422601</v>
      </c>
      <c r="AH346" s="43">
        <f t="shared" si="147"/>
        <v>725574.87691660633</v>
      </c>
      <c r="AI346" s="43">
        <f t="shared" si="148"/>
        <v>656913.22598571354</v>
      </c>
      <c r="AJ346" s="43">
        <f t="shared" si="149"/>
        <v>594292.13623801386</v>
      </c>
      <c r="AK346" s="43">
        <f t="shared" si="150"/>
        <v>537129.9240040147</v>
      </c>
      <c r="AL346" s="43">
        <f t="shared" si="151"/>
        <v>480589.93200359208</v>
      </c>
      <c r="AN346" s="47">
        <f t="shared" si="152"/>
        <v>105094.44842325299</v>
      </c>
      <c r="AO346" s="47">
        <f t="shared" si="153"/>
        <v>102164.22545616422</v>
      </c>
      <c r="AP346" s="47">
        <f t="shared" si="154"/>
        <v>92929.988695838372</v>
      </c>
      <c r="AQ346" s="47">
        <f t="shared" si="155"/>
        <v>86704.358054219992</v>
      </c>
      <c r="AR346" s="43">
        <f t="shared" si="156"/>
        <v>74802.409416559094</v>
      </c>
      <c r="AS346" s="120"/>
      <c r="AT346" s="120"/>
      <c r="AU346" s="120"/>
      <c r="AV346" s="120"/>
      <c r="AW346" s="120"/>
      <c r="AX346" s="120"/>
    </row>
    <row r="347" spans="1:50" s="89" customFormat="1" ht="13">
      <c r="A347" s="226"/>
      <c r="B347" s="37">
        <f>'13. Desinvesteringen'!B630</f>
        <v>611</v>
      </c>
      <c r="C347" s="331"/>
      <c r="D347" s="331"/>
      <c r="E347" s="331"/>
      <c r="F347" s="42">
        <f>'5. Input GAW-waarde desinv.'!D306</f>
        <v>668161.29475516581</v>
      </c>
      <c r="G347" s="175">
        <f>'13. Desinvesteringen'!D630</f>
        <v>2006</v>
      </c>
      <c r="H347" s="175">
        <f>'13. Desinvesteringen'!G630</f>
        <v>2024</v>
      </c>
      <c r="I347" s="37" t="str">
        <f>'13. Desinvesteringen'!C630</f>
        <v>15 Compressorstations (TT-BT-AT)</v>
      </c>
      <c r="J347" s="164">
        <f>'13. Desinvesteringen'!F630</f>
        <v>0</v>
      </c>
      <c r="K347" s="38">
        <f>_xlfn.XLOOKUP(I347,'3. Input (des)investeringen '!$B$11:$B$89,'3. Input (des)investeringen '!$E$11:$E$89)</f>
        <v>1</v>
      </c>
      <c r="L347" s="331"/>
      <c r="M347" s="38">
        <f>_xlfn.XLOOKUP(I347,'3. Input (des)investeringen '!$B$11:$B$89,'3. Input (des)investeringen '!$D$11:$D$89,0)</f>
        <v>30</v>
      </c>
      <c r="N347" s="38">
        <f t="shared" si="140"/>
        <v>14.5</v>
      </c>
      <c r="P347" s="43">
        <f t="shared" si="157"/>
        <v>53913.704473347861</v>
      </c>
      <c r="Q347" s="43">
        <f t="shared" si="157"/>
        <v>49080.062003323575</v>
      </c>
      <c r="R347" s="43">
        <f t="shared" si="157"/>
        <v>44679.780582335938</v>
      </c>
      <c r="S347" s="43">
        <f t="shared" si="157"/>
        <v>40674.007150816164</v>
      </c>
      <c r="T347" s="43">
        <f t="shared" si="157"/>
        <v>39333.105816173877</v>
      </c>
      <c r="V347" s="43">
        <f t="shared" si="133"/>
        <v>4608.0089293459714</v>
      </c>
      <c r="W347" s="43">
        <f t="shared" si="134"/>
        <v>4608.0089293459714</v>
      </c>
      <c r="X347" s="43">
        <f t="shared" si="135"/>
        <v>4608.0089293459714</v>
      </c>
      <c r="Y347" s="43">
        <f t="shared" si="136"/>
        <v>4608.0089293459714</v>
      </c>
      <c r="Z347" s="43">
        <f t="shared" si="137"/>
        <v>4608.0089293459714</v>
      </c>
      <c r="AB347" s="43">
        <f t="shared" si="142"/>
        <v>58521.713402693829</v>
      </c>
      <c r="AC347" s="43">
        <f t="shared" si="143"/>
        <v>53688.070932669551</v>
      </c>
      <c r="AD347" s="43">
        <f t="shared" si="144"/>
        <v>49287.789511681913</v>
      </c>
      <c r="AE347" s="43">
        <f t="shared" si="145"/>
        <v>45282.016080162139</v>
      </c>
      <c r="AF347" s="43">
        <f t="shared" si="146"/>
        <v>43941.114745519852</v>
      </c>
      <c r="AH347" s="43">
        <f t="shared" si="147"/>
        <v>609639.58135247196</v>
      </c>
      <c r="AI347" s="43">
        <f t="shared" si="148"/>
        <v>555951.51041980239</v>
      </c>
      <c r="AJ347" s="43">
        <f t="shared" si="149"/>
        <v>506663.72090812051</v>
      </c>
      <c r="AK347" s="43">
        <f t="shared" si="150"/>
        <v>461381.70482795837</v>
      </c>
      <c r="AL347" s="43">
        <f t="shared" si="151"/>
        <v>417440.59008243855</v>
      </c>
      <c r="AN347" s="47">
        <f t="shared" si="152"/>
        <v>83516.936238145179</v>
      </c>
      <c r="AO347" s="47">
        <f t="shared" si="153"/>
        <v>82041.597964079469</v>
      </c>
      <c r="AP347" s="47">
        <f t="shared" si="154"/>
        <v>75127.639277996059</v>
      </c>
      <c r="AQ347" s="47">
        <f t="shared" si="155"/>
        <v>70658.009845699853</v>
      </c>
      <c r="AR347" s="43">
        <f t="shared" si="156"/>
        <v>59803.857168652517</v>
      </c>
      <c r="AS347" s="120"/>
      <c r="AT347" s="120"/>
      <c r="AU347" s="120"/>
      <c r="AV347" s="120"/>
      <c r="AW347" s="120"/>
      <c r="AX347" s="120"/>
    </row>
    <row r="348" spans="1:50" s="89" customFormat="1" ht="13">
      <c r="A348" s="226"/>
      <c r="B348" s="37">
        <f>'13. Desinvesteringen'!B631</f>
        <v>612</v>
      </c>
      <c r="C348" s="331"/>
      <c r="D348" s="331"/>
      <c r="E348" s="331"/>
      <c r="F348" s="42">
        <f>'5. Input GAW-waarde desinv.'!D307</f>
        <v>1872522.2209963768</v>
      </c>
      <c r="G348" s="175">
        <f>'13. Desinvesteringen'!D631</f>
        <v>2007</v>
      </c>
      <c r="H348" s="175">
        <f>'13. Desinvesteringen'!G631</f>
        <v>2024</v>
      </c>
      <c r="I348" s="37" t="str">
        <f>'13. Desinvesteringen'!C631</f>
        <v>15 Compressorstations (TT-BT-AT)</v>
      </c>
      <c r="J348" s="164">
        <f>'13. Desinvesteringen'!F631</f>
        <v>0</v>
      </c>
      <c r="K348" s="38">
        <f>_xlfn.XLOOKUP(I348,'3. Input (des)investeringen '!$B$11:$B$89,'3. Input (des)investeringen '!$E$11:$E$89)</f>
        <v>1</v>
      </c>
      <c r="L348" s="331"/>
      <c r="M348" s="38">
        <f>_xlfn.XLOOKUP(I348,'3. Input (des)investeringen '!$B$11:$B$89,'3. Input (des)investeringen '!$D$11:$D$89,0)</f>
        <v>30</v>
      </c>
      <c r="N348" s="38">
        <f t="shared" si="140"/>
        <v>15.5</v>
      </c>
      <c r="P348" s="43">
        <f t="shared" si="157"/>
        <v>141345.22571392008</v>
      </c>
      <c r="Q348" s="43">
        <f t="shared" si="157"/>
        <v>129490.46484759131</v>
      </c>
      <c r="R348" s="43">
        <f t="shared" si="157"/>
        <v>118629.97424747073</v>
      </c>
      <c r="S348" s="43">
        <f t="shared" si="157"/>
        <v>108680.36350413447</v>
      </c>
      <c r="T348" s="43">
        <f t="shared" si="157"/>
        <v>103228.17135509761</v>
      </c>
      <c r="V348" s="43">
        <f t="shared" si="133"/>
        <v>12080.78852255727</v>
      </c>
      <c r="W348" s="43">
        <f t="shared" si="134"/>
        <v>12080.788522557272</v>
      </c>
      <c r="X348" s="43">
        <f t="shared" si="135"/>
        <v>12080.788522557272</v>
      </c>
      <c r="Y348" s="43">
        <f t="shared" si="136"/>
        <v>12080.788522557272</v>
      </c>
      <c r="Z348" s="43">
        <f t="shared" si="137"/>
        <v>12080.788522557272</v>
      </c>
      <c r="AB348" s="43">
        <f t="shared" si="142"/>
        <v>153426.01423647735</v>
      </c>
      <c r="AC348" s="43">
        <f t="shared" si="143"/>
        <v>141571.2533701486</v>
      </c>
      <c r="AD348" s="43">
        <f t="shared" si="144"/>
        <v>130710.762770028</v>
      </c>
      <c r="AE348" s="43">
        <f t="shared" si="145"/>
        <v>120761.15202669174</v>
      </c>
      <c r="AF348" s="43">
        <f t="shared" si="146"/>
        <v>115308.95987765488</v>
      </c>
      <c r="AH348" s="43">
        <f t="shared" si="147"/>
        <v>1719096.2067598994</v>
      </c>
      <c r="AI348" s="43">
        <f t="shared" si="148"/>
        <v>1577524.9533897508</v>
      </c>
      <c r="AJ348" s="43">
        <f t="shared" si="149"/>
        <v>1446814.1906197227</v>
      </c>
      <c r="AK348" s="43">
        <f t="shared" si="150"/>
        <v>1326053.038593031</v>
      </c>
      <c r="AL348" s="43">
        <f t="shared" si="151"/>
        <v>1210744.0787153761</v>
      </c>
      <c r="AN348" s="47">
        <f t="shared" si="152"/>
        <v>223908.95871363324</v>
      </c>
      <c r="AO348" s="47">
        <f t="shared" si="153"/>
        <v>222025.02599302586</v>
      </c>
      <c r="AP348" s="47">
        <f t="shared" si="154"/>
        <v>204498.28649163386</v>
      </c>
      <c r="AQ348" s="47">
        <f t="shared" si="155"/>
        <v>193694.06914930843</v>
      </c>
      <c r="AR348" s="43">
        <f t="shared" si="156"/>
        <v>161317.23486883918</v>
      </c>
      <c r="AS348" s="120"/>
      <c r="AT348" s="120"/>
      <c r="AU348" s="120"/>
      <c r="AV348" s="120"/>
      <c r="AW348" s="120"/>
      <c r="AX348" s="120"/>
    </row>
    <row r="349" spans="1:50" s="89" customFormat="1" ht="13">
      <c r="A349" s="226"/>
      <c r="B349" s="37">
        <f>'13. Desinvesteringen'!B632</f>
        <v>613</v>
      </c>
      <c r="C349" s="331"/>
      <c r="D349" s="331"/>
      <c r="E349" s="331"/>
      <c r="F349" s="42">
        <f>'5. Input GAW-waarde desinv.'!D308</f>
        <v>2079569.9240820273</v>
      </c>
      <c r="G349" s="175">
        <f>'13. Desinvesteringen'!D632</f>
        <v>2008</v>
      </c>
      <c r="H349" s="175">
        <f>'13. Desinvesteringen'!G632</f>
        <v>2024</v>
      </c>
      <c r="I349" s="37" t="str">
        <f>'13. Desinvesteringen'!C632</f>
        <v>15 Compressorstations (TT-BT-AT)</v>
      </c>
      <c r="J349" s="164">
        <f>'13. Desinvesteringen'!F632</f>
        <v>0</v>
      </c>
      <c r="K349" s="38">
        <f>_xlfn.XLOOKUP(I349,'3. Input (des)investeringen '!$B$11:$B$89,'3. Input (des)investeringen '!$E$11:$E$89)</f>
        <v>1</v>
      </c>
      <c r="L349" s="331"/>
      <c r="M349" s="38">
        <f>_xlfn.XLOOKUP(I349,'3. Input (des)investeringen '!$B$11:$B$89,'3. Input (des)investeringen '!$D$11:$D$89,0)</f>
        <v>30</v>
      </c>
      <c r="N349" s="38">
        <f t="shared" si="140"/>
        <v>16.5</v>
      </c>
      <c r="P349" s="43">
        <f t="shared" si="157"/>
        <v>147460.41279854378</v>
      </c>
      <c r="Q349" s="43">
        <f t="shared" si="157"/>
        <v>135842.31966896154</v>
      </c>
      <c r="R349" s="43">
        <f t="shared" si="157"/>
        <v>125139.5914526191</v>
      </c>
      <c r="S349" s="43">
        <f t="shared" si="157"/>
        <v>115280.10848968546</v>
      </c>
      <c r="T349" s="43">
        <f t="shared" si="157"/>
        <v>107831.23994112117</v>
      </c>
      <c r="V349" s="43">
        <f t="shared" si="133"/>
        <v>12603.45408534562</v>
      </c>
      <c r="W349" s="43">
        <f t="shared" si="134"/>
        <v>12603.45408534562</v>
      </c>
      <c r="X349" s="43">
        <f t="shared" si="135"/>
        <v>12603.45408534562</v>
      </c>
      <c r="Y349" s="43">
        <f t="shared" si="136"/>
        <v>12603.45408534562</v>
      </c>
      <c r="Z349" s="43">
        <f t="shared" si="137"/>
        <v>12603.45408534562</v>
      </c>
      <c r="AB349" s="43">
        <f t="shared" si="142"/>
        <v>160063.86688388939</v>
      </c>
      <c r="AC349" s="43">
        <f t="shared" si="143"/>
        <v>148445.77375430716</v>
      </c>
      <c r="AD349" s="43">
        <f t="shared" si="144"/>
        <v>137743.04553796473</v>
      </c>
      <c r="AE349" s="43">
        <f t="shared" si="145"/>
        <v>127883.56257503107</v>
      </c>
      <c r="AF349" s="43">
        <f t="shared" si="146"/>
        <v>120434.69402646678</v>
      </c>
      <c r="AH349" s="43">
        <f t="shared" si="147"/>
        <v>1919506.057198138</v>
      </c>
      <c r="AI349" s="43">
        <f t="shared" si="148"/>
        <v>1771060.2834438309</v>
      </c>
      <c r="AJ349" s="43">
        <f t="shared" si="149"/>
        <v>1633317.2379058662</v>
      </c>
      <c r="AK349" s="43">
        <f t="shared" si="150"/>
        <v>1505433.6753308352</v>
      </c>
      <c r="AL349" s="43">
        <f t="shared" si="151"/>
        <v>1384998.9813043685</v>
      </c>
      <c r="AN349" s="47">
        <f t="shared" si="152"/>
        <v>238763.61522901306</v>
      </c>
      <c r="AO349" s="47">
        <f t="shared" si="153"/>
        <v>238769.84820994252</v>
      </c>
      <c r="AP349" s="47">
        <f t="shared" si="154"/>
        <v>221042.22467116389</v>
      </c>
      <c r="AQ349" s="47">
        <f t="shared" si="155"/>
        <v>210682.414718227</v>
      </c>
      <c r="AR349" s="43">
        <f t="shared" si="156"/>
        <v>173064.65531603279</v>
      </c>
      <c r="AS349" s="120"/>
      <c r="AT349" s="120"/>
      <c r="AU349" s="120"/>
      <c r="AV349" s="120"/>
      <c r="AW349" s="120"/>
      <c r="AX349" s="120"/>
    </row>
    <row r="350" spans="1:50" s="89" customFormat="1" ht="13">
      <c r="A350" s="226"/>
      <c r="B350" s="37">
        <f>'13. Desinvesteringen'!B633</f>
        <v>614</v>
      </c>
      <c r="C350" s="331"/>
      <c r="D350" s="331"/>
      <c r="E350" s="331"/>
      <c r="F350" s="42">
        <f>'5. Input GAW-waarde desinv.'!D309</f>
        <v>206182.49436233655</v>
      </c>
      <c r="G350" s="175">
        <f>'13. Desinvesteringen'!D633</f>
        <v>2008</v>
      </c>
      <c r="H350" s="175">
        <f>'13. Desinvesteringen'!G633</f>
        <v>2024</v>
      </c>
      <c r="I350" s="37" t="str">
        <f>'13. Desinvesteringen'!C633</f>
        <v>15 Compressorstations (TT-BT-AT)</v>
      </c>
      <c r="J350" s="164">
        <f>'13. Desinvesteringen'!F633</f>
        <v>0</v>
      </c>
      <c r="K350" s="38">
        <f>_xlfn.XLOOKUP(I350,'3. Input (des)investeringen '!$B$11:$B$89,'3. Input (des)investeringen '!$E$11:$E$89)</f>
        <v>1</v>
      </c>
      <c r="L350" s="331"/>
      <c r="M350" s="38">
        <f>_xlfn.XLOOKUP(I350,'3. Input (des)investeringen '!$B$11:$B$89,'3. Input (des)investeringen '!$D$11:$D$89,0)</f>
        <v>30</v>
      </c>
      <c r="N350" s="38">
        <f t="shared" si="140"/>
        <v>16.5</v>
      </c>
      <c r="P350" s="43">
        <f t="shared" si="157"/>
        <v>14620.213236602049</v>
      </c>
      <c r="Q350" s="43">
        <f t="shared" si="157"/>
        <v>13468.317648263705</v>
      </c>
      <c r="R350" s="43">
        <f t="shared" si="157"/>
        <v>12407.177469915656</v>
      </c>
      <c r="S350" s="43">
        <f t="shared" si="157"/>
        <v>11429.642275316241</v>
      </c>
      <c r="T350" s="43">
        <f t="shared" si="157"/>
        <v>10691.111543680421</v>
      </c>
      <c r="V350" s="43">
        <f t="shared" si="133"/>
        <v>1249.5908749232519</v>
      </c>
      <c r="W350" s="43">
        <f t="shared" si="134"/>
        <v>1249.5908749232522</v>
      </c>
      <c r="X350" s="43">
        <f t="shared" si="135"/>
        <v>1249.5908749232522</v>
      </c>
      <c r="Y350" s="43">
        <f t="shared" si="136"/>
        <v>1249.5908749232522</v>
      </c>
      <c r="Z350" s="43">
        <f t="shared" si="137"/>
        <v>1249.5908749232522</v>
      </c>
      <c r="AB350" s="43">
        <f t="shared" si="142"/>
        <v>15869.8041115253</v>
      </c>
      <c r="AC350" s="43">
        <f t="shared" si="143"/>
        <v>14717.908523186958</v>
      </c>
      <c r="AD350" s="43">
        <f t="shared" si="144"/>
        <v>13656.768344838907</v>
      </c>
      <c r="AE350" s="43">
        <f t="shared" si="145"/>
        <v>12679.233150239492</v>
      </c>
      <c r="AF350" s="43">
        <f t="shared" si="146"/>
        <v>11940.702418603672</v>
      </c>
      <c r="AH350" s="43">
        <f t="shared" si="147"/>
        <v>190312.69025081125</v>
      </c>
      <c r="AI350" s="43">
        <f t="shared" si="148"/>
        <v>175594.7817276243</v>
      </c>
      <c r="AJ350" s="43">
        <f t="shared" si="149"/>
        <v>161938.0133827854</v>
      </c>
      <c r="AK350" s="43">
        <f t="shared" si="150"/>
        <v>149258.78023254592</v>
      </c>
      <c r="AL350" s="43">
        <f t="shared" si="151"/>
        <v>137318.07781394225</v>
      </c>
      <c r="AN350" s="47">
        <f t="shared" si="152"/>
        <v>23672.62441180856</v>
      </c>
      <c r="AO350" s="47">
        <f t="shared" si="153"/>
        <v>23673.242391295797</v>
      </c>
      <c r="AP350" s="47">
        <f t="shared" si="154"/>
        <v>21915.607027360962</v>
      </c>
      <c r="AQ350" s="47">
        <f t="shared" si="155"/>
        <v>20888.466063029518</v>
      </c>
      <c r="AR350" s="43">
        <f t="shared" si="156"/>
        <v>17158.789375533477</v>
      </c>
      <c r="AS350" s="120"/>
      <c r="AT350" s="120"/>
      <c r="AU350" s="120"/>
      <c r="AV350" s="120"/>
      <c r="AW350" s="120"/>
      <c r="AX350" s="120"/>
    </row>
    <row r="351" spans="1:50" s="89" customFormat="1" ht="13">
      <c r="A351" s="226"/>
      <c r="B351" s="37">
        <f>'13. Desinvesteringen'!B634</f>
        <v>615</v>
      </c>
      <c r="C351" s="331"/>
      <c r="D351" s="331"/>
      <c r="E351" s="331"/>
      <c r="F351" s="42">
        <f>'5. Input GAW-waarde desinv.'!D310</f>
        <v>166559.3552970431</v>
      </c>
      <c r="G351" s="175">
        <f>'13. Desinvesteringen'!D634</f>
        <v>2009</v>
      </c>
      <c r="H351" s="175">
        <f>'13. Desinvesteringen'!G634</f>
        <v>2024</v>
      </c>
      <c r="I351" s="37" t="str">
        <f>'13. Desinvesteringen'!C634</f>
        <v>15 Compressorstations (TT-BT-AT)</v>
      </c>
      <c r="J351" s="164">
        <f>'13. Desinvesteringen'!F634</f>
        <v>0</v>
      </c>
      <c r="K351" s="38">
        <f>_xlfn.XLOOKUP(I351,'3. Input (des)investeringen '!$B$11:$B$89,'3. Input (des)investeringen '!$E$11:$E$89)</f>
        <v>1</v>
      </c>
      <c r="L351" s="331"/>
      <c r="M351" s="38">
        <f>_xlfn.XLOOKUP(I351,'3. Input (des)investeringen '!$B$11:$B$89,'3. Input (des)investeringen '!$D$11:$D$89,0)</f>
        <v>30</v>
      </c>
      <c r="N351" s="38">
        <f t="shared" si="140"/>
        <v>17.5</v>
      </c>
      <c r="P351" s="43">
        <f t="shared" si="157"/>
        <v>11135.682611288024</v>
      </c>
      <c r="Q351" s="43">
        <f t="shared" si="157"/>
        <v>10308.460474449486</v>
      </c>
      <c r="R351" s="43">
        <f t="shared" si="157"/>
        <v>9542.6891249189539</v>
      </c>
      <c r="S351" s="43">
        <f t="shared" si="157"/>
        <v>8833.8036470678308</v>
      </c>
      <c r="T351" s="43">
        <f t="shared" si="157"/>
        <v>8177.5782332856497</v>
      </c>
      <c r="V351" s="43">
        <f t="shared" si="133"/>
        <v>951.76774455453199</v>
      </c>
      <c r="W351" s="43">
        <f t="shared" si="134"/>
        <v>951.76774455453199</v>
      </c>
      <c r="X351" s="43">
        <f t="shared" si="135"/>
        <v>951.76774455453199</v>
      </c>
      <c r="Y351" s="43">
        <f t="shared" si="136"/>
        <v>951.76774455453199</v>
      </c>
      <c r="Z351" s="43">
        <f t="shared" si="137"/>
        <v>951.76774455453199</v>
      </c>
      <c r="AB351" s="43">
        <f t="shared" si="142"/>
        <v>12087.450355842557</v>
      </c>
      <c r="AC351" s="43">
        <f t="shared" si="143"/>
        <v>11260.228219004019</v>
      </c>
      <c r="AD351" s="43">
        <f t="shared" si="144"/>
        <v>10494.456869473486</v>
      </c>
      <c r="AE351" s="43">
        <f t="shared" si="145"/>
        <v>9785.5713916223631</v>
      </c>
      <c r="AF351" s="43">
        <f t="shared" si="146"/>
        <v>9129.3459778401811</v>
      </c>
      <c r="AH351" s="43">
        <f t="shared" si="147"/>
        <v>154471.90494120054</v>
      </c>
      <c r="AI351" s="43">
        <f t="shared" si="148"/>
        <v>143211.67672219651</v>
      </c>
      <c r="AJ351" s="43">
        <f t="shared" si="149"/>
        <v>132717.21985272304</v>
      </c>
      <c r="AK351" s="43">
        <f t="shared" si="150"/>
        <v>122931.64846110067</v>
      </c>
      <c r="AL351" s="43">
        <f t="shared" si="151"/>
        <v>113802.30248326049</v>
      </c>
      <c r="AN351" s="47">
        <f t="shared" si="152"/>
        <v>18420.798458431778</v>
      </c>
      <c r="AO351" s="47">
        <f t="shared" si="153"/>
        <v>18564.023731836041</v>
      </c>
      <c r="AP351" s="47">
        <f t="shared" si="154"/>
        <v>17263.03508196236</v>
      </c>
      <c r="AQ351" s="47">
        <f t="shared" si="155"/>
        <v>16546.812056982901</v>
      </c>
      <c r="AR351" s="43">
        <f t="shared" si="156"/>
        <v>13453.83347220408</v>
      </c>
      <c r="AS351" s="120"/>
      <c r="AT351" s="120"/>
      <c r="AU351" s="120"/>
      <c r="AV351" s="120"/>
      <c r="AW351" s="120"/>
      <c r="AX351" s="120"/>
    </row>
    <row r="352" spans="1:50" s="89" customFormat="1" ht="13">
      <c r="A352" s="226"/>
      <c r="B352" s="37">
        <f>'13. Desinvesteringen'!B635</f>
        <v>616</v>
      </c>
      <c r="C352" s="331"/>
      <c r="D352" s="331"/>
      <c r="E352" s="331"/>
      <c r="F352" s="42">
        <f>'5. Input GAW-waarde desinv.'!D311</f>
        <v>1045405.8018708032</v>
      </c>
      <c r="G352" s="175">
        <f>'13. Desinvesteringen'!D635</f>
        <v>2010</v>
      </c>
      <c r="H352" s="175">
        <f>'13. Desinvesteringen'!G635</f>
        <v>2024</v>
      </c>
      <c r="I352" s="37" t="str">
        <f>'13. Desinvesteringen'!C635</f>
        <v>15 Compressorstations (TT-BT-AT)</v>
      </c>
      <c r="J352" s="164">
        <f>'13. Desinvesteringen'!F635</f>
        <v>0</v>
      </c>
      <c r="K352" s="38">
        <f>_xlfn.XLOOKUP(I352,'3. Input (des)investeringen '!$B$11:$B$89,'3. Input (des)investeringen '!$E$11:$E$89)</f>
        <v>1</v>
      </c>
      <c r="L352" s="331"/>
      <c r="M352" s="38">
        <f>_xlfn.XLOOKUP(I352,'3. Input (des)investeringen '!$B$11:$B$89,'3. Input (des)investeringen '!$D$11:$D$89,0)</f>
        <v>30</v>
      </c>
      <c r="N352" s="38">
        <f t="shared" si="140"/>
        <v>18.5</v>
      </c>
      <c r="P352" s="43">
        <f t="shared" ref="P352:T361" si="158">IF($M352&gt;0, IF(OR($G352&gt;P$50,$G352+$M352&lt;P$50),0,
VDB($F352,0,$N352,MAX(0,P$50-2022),MIN($N352,P$50-2021),$F$23,FALSE))*(1-$F$26), 0)</f>
        <v>66114.853415612961</v>
      </c>
      <c r="Q352" s="43">
        <f t="shared" si="158"/>
        <v>61468.944797218552</v>
      </c>
      <c r="R352" s="43">
        <f t="shared" si="158"/>
        <v>57149.505433089675</v>
      </c>
      <c r="S352" s="43">
        <f t="shared" si="158"/>
        <v>53133.594240494182</v>
      </c>
      <c r="T352" s="43">
        <f t="shared" si="158"/>
        <v>49399.882212783785</v>
      </c>
      <c r="V352" s="43">
        <f t="shared" si="133"/>
        <v>5650.8421722746134</v>
      </c>
      <c r="W352" s="43">
        <f t="shared" si="134"/>
        <v>5650.8421722746125</v>
      </c>
      <c r="X352" s="43">
        <f t="shared" si="135"/>
        <v>5650.8421722746125</v>
      </c>
      <c r="Y352" s="43">
        <f t="shared" si="136"/>
        <v>5650.8421722746125</v>
      </c>
      <c r="Z352" s="43">
        <f t="shared" si="137"/>
        <v>5650.8421722746125</v>
      </c>
      <c r="AB352" s="43">
        <f t="shared" si="142"/>
        <v>71765.695587887574</v>
      </c>
      <c r="AC352" s="43">
        <f t="shared" si="143"/>
        <v>67119.786969493158</v>
      </c>
      <c r="AD352" s="43">
        <f t="shared" si="144"/>
        <v>62800.347605364288</v>
      </c>
      <c r="AE352" s="43">
        <f t="shared" si="145"/>
        <v>58784.436412768795</v>
      </c>
      <c r="AF352" s="43">
        <f t="shared" si="146"/>
        <v>55050.724385058398</v>
      </c>
      <c r="AH352" s="43">
        <f t="shared" si="147"/>
        <v>973640.10628291569</v>
      </c>
      <c r="AI352" s="43">
        <f t="shared" si="148"/>
        <v>906520.31931342254</v>
      </c>
      <c r="AJ352" s="43">
        <f t="shared" si="149"/>
        <v>843719.97170805826</v>
      </c>
      <c r="AK352" s="43">
        <f t="shared" si="150"/>
        <v>784935.53529528948</v>
      </c>
      <c r="AL352" s="43">
        <f t="shared" si="151"/>
        <v>729884.81091023108</v>
      </c>
      <c r="AN352" s="47">
        <f t="shared" si="152"/>
        <v>111684.93994548712</v>
      </c>
      <c r="AO352" s="47">
        <f t="shared" si="153"/>
        <v>113352.3232544777</v>
      </c>
      <c r="AP352" s="47">
        <f t="shared" si="154"/>
        <v>105830.06616247525</v>
      </c>
      <c r="AQ352" s="47">
        <f t="shared" si="155"/>
        <v>101955.89085400972</v>
      </c>
      <c r="AR352" s="43">
        <f t="shared" si="156"/>
        <v>82786.347199647178</v>
      </c>
      <c r="AS352" s="120"/>
      <c r="AT352" s="120"/>
      <c r="AU352" s="120"/>
      <c r="AV352" s="120"/>
      <c r="AW352" s="120"/>
      <c r="AX352" s="120"/>
    </row>
    <row r="353" spans="1:50" s="89" customFormat="1" ht="13">
      <c r="A353" s="226"/>
      <c r="B353" s="37">
        <f>'13. Desinvesteringen'!B636</f>
        <v>617</v>
      </c>
      <c r="C353" s="331"/>
      <c r="D353" s="331"/>
      <c r="E353" s="331"/>
      <c r="F353" s="42">
        <f>'5. Input GAW-waarde desinv.'!D312</f>
        <v>3985882.0977839921</v>
      </c>
      <c r="G353" s="175">
        <f>'13. Desinvesteringen'!D636</f>
        <v>2011</v>
      </c>
      <c r="H353" s="175">
        <f>'13. Desinvesteringen'!G636</f>
        <v>2024</v>
      </c>
      <c r="I353" s="37" t="str">
        <f>'13. Desinvesteringen'!C636</f>
        <v>15 Compressorstations (TT-BT-AT)</v>
      </c>
      <c r="J353" s="164">
        <f>'13. Desinvesteringen'!F636</f>
        <v>0</v>
      </c>
      <c r="K353" s="38">
        <f>_xlfn.XLOOKUP(I353,'3. Input (des)investeringen '!$B$11:$B$89,'3. Input (des)investeringen '!$E$11:$E$89)</f>
        <v>1</v>
      </c>
      <c r="L353" s="331"/>
      <c r="M353" s="38">
        <f>_xlfn.XLOOKUP(I353,'3. Input (des)investeringen '!$B$11:$B$89,'3. Input (des)investeringen '!$D$11:$D$89,0)</f>
        <v>30</v>
      </c>
      <c r="N353" s="38">
        <f t="shared" si="140"/>
        <v>19.5</v>
      </c>
      <c r="P353" s="43">
        <f t="shared" si="158"/>
        <v>239152.92586703954</v>
      </c>
      <c r="Q353" s="43">
        <f t="shared" si="158"/>
        <v>223209.39747590356</v>
      </c>
      <c r="R353" s="43">
        <f t="shared" si="158"/>
        <v>208328.77097750999</v>
      </c>
      <c r="S353" s="43">
        <f t="shared" si="158"/>
        <v>194440.18624567601</v>
      </c>
      <c r="T353" s="43">
        <f t="shared" si="158"/>
        <v>181477.50716263094</v>
      </c>
      <c r="V353" s="43">
        <f t="shared" si="133"/>
        <v>20440.421014276886</v>
      </c>
      <c r="W353" s="43">
        <f t="shared" si="134"/>
        <v>20440.421014276886</v>
      </c>
      <c r="X353" s="43">
        <f t="shared" si="135"/>
        <v>20440.421014276886</v>
      </c>
      <c r="Y353" s="43">
        <f t="shared" si="136"/>
        <v>20440.421014276886</v>
      </c>
      <c r="Z353" s="43">
        <f t="shared" si="137"/>
        <v>20440.421014276886</v>
      </c>
      <c r="AB353" s="43">
        <f t="shared" si="142"/>
        <v>259593.34688131642</v>
      </c>
      <c r="AC353" s="43">
        <f t="shared" si="143"/>
        <v>243649.81849018045</v>
      </c>
      <c r="AD353" s="43">
        <f t="shared" si="144"/>
        <v>228769.19199178688</v>
      </c>
      <c r="AE353" s="43">
        <f t="shared" si="145"/>
        <v>214880.6072599529</v>
      </c>
      <c r="AF353" s="43">
        <f t="shared" si="146"/>
        <v>201917.92817690782</v>
      </c>
      <c r="AH353" s="43">
        <f t="shared" si="147"/>
        <v>3726288.7509026756</v>
      </c>
      <c r="AI353" s="43">
        <f t="shared" si="148"/>
        <v>3482638.9324124949</v>
      </c>
      <c r="AJ353" s="43">
        <f t="shared" si="149"/>
        <v>3253869.740420708</v>
      </c>
      <c r="AK353" s="43">
        <f t="shared" si="150"/>
        <v>3038989.133160755</v>
      </c>
      <c r="AL353" s="43">
        <f t="shared" si="151"/>
        <v>2837071.2049838472</v>
      </c>
      <c r="AN353" s="47">
        <f t="shared" si="152"/>
        <v>412371.1856683261</v>
      </c>
      <c r="AO353" s="47">
        <f t="shared" si="153"/>
        <v>421264.40404321766</v>
      </c>
      <c r="AP353" s="47">
        <f t="shared" si="154"/>
        <v>394716.54875324294</v>
      </c>
      <c r="AQ353" s="47">
        <f t="shared" si="155"/>
        <v>382025.0095837944</v>
      </c>
      <c r="AR353" s="43">
        <f t="shared" si="156"/>
        <v>309726.633966294</v>
      </c>
      <c r="AS353" s="120"/>
      <c r="AT353" s="120"/>
      <c r="AU353" s="120"/>
      <c r="AV353" s="120"/>
      <c r="AW353" s="120"/>
      <c r="AX353" s="120"/>
    </row>
    <row r="354" spans="1:50" s="89" customFormat="1" ht="13">
      <c r="A354" s="226"/>
      <c r="B354" s="37">
        <f>'13. Desinvesteringen'!B637</f>
        <v>618</v>
      </c>
      <c r="C354" s="331"/>
      <c r="D354" s="331"/>
      <c r="E354" s="331"/>
      <c r="F354" s="42">
        <f>'5. Input GAW-waarde desinv.'!D313</f>
        <v>41545.737407650391</v>
      </c>
      <c r="G354" s="175">
        <f>'13. Desinvesteringen'!D637</f>
        <v>2011</v>
      </c>
      <c r="H354" s="175">
        <f>'13. Desinvesteringen'!G637</f>
        <v>2024</v>
      </c>
      <c r="I354" s="37" t="str">
        <f>'13. Desinvesteringen'!C637</f>
        <v>15 Compressorstations (TT-BT-AT)</v>
      </c>
      <c r="J354" s="164">
        <f>'13. Desinvesteringen'!F637</f>
        <v>0</v>
      </c>
      <c r="K354" s="38">
        <f>_xlfn.XLOOKUP(I354,'3. Input (des)investeringen '!$B$11:$B$89,'3. Input (des)investeringen '!$E$11:$E$89)</f>
        <v>1</v>
      </c>
      <c r="L354" s="331"/>
      <c r="M354" s="38">
        <f>_xlfn.XLOOKUP(I354,'3. Input (des)investeringen '!$B$11:$B$89,'3. Input (des)investeringen '!$D$11:$D$89,0)</f>
        <v>30</v>
      </c>
      <c r="N354" s="38">
        <f t="shared" si="140"/>
        <v>19.5</v>
      </c>
      <c r="P354" s="43">
        <f t="shared" si="158"/>
        <v>2492.7442444590233</v>
      </c>
      <c r="Q354" s="43">
        <f t="shared" si="158"/>
        <v>2326.561294828422</v>
      </c>
      <c r="R354" s="43">
        <f t="shared" si="158"/>
        <v>2171.4572085065279</v>
      </c>
      <c r="S354" s="43">
        <f t="shared" si="158"/>
        <v>2026.6933946060924</v>
      </c>
      <c r="T354" s="43">
        <f t="shared" si="158"/>
        <v>1891.5805016323529</v>
      </c>
      <c r="V354" s="43">
        <f t="shared" si="133"/>
        <v>213.05506362897637</v>
      </c>
      <c r="W354" s="43">
        <f t="shared" si="134"/>
        <v>213.05506362897637</v>
      </c>
      <c r="X354" s="43">
        <f t="shared" si="135"/>
        <v>213.05506362897637</v>
      </c>
      <c r="Y354" s="43">
        <f t="shared" si="136"/>
        <v>213.05506362897637</v>
      </c>
      <c r="Z354" s="43">
        <f t="shared" si="137"/>
        <v>213.05506362897637</v>
      </c>
      <c r="AB354" s="43">
        <f t="shared" si="142"/>
        <v>2705.7993080879996</v>
      </c>
      <c r="AC354" s="43">
        <f t="shared" si="143"/>
        <v>2539.6163584573983</v>
      </c>
      <c r="AD354" s="43">
        <f t="shared" si="144"/>
        <v>2384.5122721355042</v>
      </c>
      <c r="AE354" s="43">
        <f t="shared" si="145"/>
        <v>2239.7484582350689</v>
      </c>
      <c r="AF354" s="43">
        <f t="shared" si="146"/>
        <v>2104.6355652613292</v>
      </c>
      <c r="AH354" s="43">
        <f t="shared" si="147"/>
        <v>38839.938099562394</v>
      </c>
      <c r="AI354" s="43">
        <f t="shared" si="148"/>
        <v>36300.321741104999</v>
      </c>
      <c r="AJ354" s="43">
        <f t="shared" si="149"/>
        <v>33915.809468969492</v>
      </c>
      <c r="AK354" s="43">
        <f t="shared" si="150"/>
        <v>31676.061010734422</v>
      </c>
      <c r="AL354" s="43">
        <f t="shared" si="151"/>
        <v>29571.425445473091</v>
      </c>
      <c r="AN354" s="47">
        <f t="shared" si="152"/>
        <v>4298.2367701700578</v>
      </c>
      <c r="AO354" s="47">
        <f t="shared" si="153"/>
        <v>4390.9327672537529</v>
      </c>
      <c r="AP354" s="47">
        <f t="shared" si="154"/>
        <v>4114.2185550529484</v>
      </c>
      <c r="AQ354" s="47">
        <f t="shared" si="155"/>
        <v>3981.9318138254621</v>
      </c>
      <c r="AR354" s="43">
        <f t="shared" si="156"/>
        <v>3228.3497321893065</v>
      </c>
      <c r="AS354" s="120"/>
      <c r="AT354" s="120"/>
      <c r="AU354" s="120"/>
      <c r="AV354" s="120"/>
      <c r="AW354" s="120"/>
      <c r="AX354" s="120"/>
    </row>
    <row r="355" spans="1:50" s="89" customFormat="1" ht="13">
      <c r="A355" s="226"/>
      <c r="B355" s="37">
        <f>'13. Desinvesteringen'!B638</f>
        <v>619</v>
      </c>
      <c r="C355" s="331"/>
      <c r="D355" s="331"/>
      <c r="E355" s="331"/>
      <c r="F355" s="42">
        <f>'5. Input GAW-waarde desinv.'!D314</f>
        <v>4236969.0556051834</v>
      </c>
      <c r="G355" s="175">
        <f>'13. Desinvesteringen'!D638</f>
        <v>2012</v>
      </c>
      <c r="H355" s="175">
        <f>'13. Desinvesteringen'!G638</f>
        <v>2024</v>
      </c>
      <c r="I355" s="37" t="str">
        <f>'13. Desinvesteringen'!C638</f>
        <v>15 Compressorstations (TT-BT-AT)</v>
      </c>
      <c r="J355" s="164">
        <f>'13. Desinvesteringen'!F638</f>
        <v>0</v>
      </c>
      <c r="K355" s="38">
        <f>_xlfn.XLOOKUP(I355,'3. Input (des)investeringen '!$B$11:$B$89,'3. Input (des)investeringen '!$E$11:$E$89)</f>
        <v>1</v>
      </c>
      <c r="L355" s="331"/>
      <c r="M355" s="38">
        <f>_xlfn.XLOOKUP(I355,'3. Input (des)investeringen '!$B$11:$B$89,'3. Input (des)investeringen '!$D$11:$D$89,0)</f>
        <v>30</v>
      </c>
      <c r="N355" s="38">
        <f t="shared" si="140"/>
        <v>20.5</v>
      </c>
      <c r="P355" s="43">
        <f t="shared" si="158"/>
        <v>241817.25829551535</v>
      </c>
      <c r="Q355" s="43">
        <f t="shared" si="158"/>
        <v>226482.50533043389</v>
      </c>
      <c r="R355" s="43">
        <f t="shared" si="158"/>
        <v>212120.20011435761</v>
      </c>
      <c r="S355" s="43">
        <f t="shared" si="158"/>
        <v>198668.67522905688</v>
      </c>
      <c r="T355" s="43">
        <f t="shared" si="158"/>
        <v>186070.17387306792</v>
      </c>
      <c r="V355" s="43">
        <f t="shared" si="133"/>
        <v>20668.141734659435</v>
      </c>
      <c r="W355" s="43">
        <f t="shared" si="134"/>
        <v>20668.141734659432</v>
      </c>
      <c r="X355" s="43">
        <f t="shared" si="135"/>
        <v>20668.141734659432</v>
      </c>
      <c r="Y355" s="43">
        <f t="shared" si="136"/>
        <v>20668.141734659432</v>
      </c>
      <c r="Z355" s="43">
        <f t="shared" si="137"/>
        <v>20668.141734659432</v>
      </c>
      <c r="AB355" s="43">
        <f t="shared" si="142"/>
        <v>262485.40003017476</v>
      </c>
      <c r="AC355" s="43">
        <f t="shared" si="143"/>
        <v>247150.64706509333</v>
      </c>
      <c r="AD355" s="43">
        <f t="shared" si="144"/>
        <v>232788.34184901704</v>
      </c>
      <c r="AE355" s="43">
        <f t="shared" si="145"/>
        <v>219336.81696371632</v>
      </c>
      <c r="AF355" s="43">
        <f t="shared" si="146"/>
        <v>206738.31560772736</v>
      </c>
      <c r="AH355" s="43">
        <f t="shared" si="147"/>
        <v>3974483.6555750086</v>
      </c>
      <c r="AI355" s="43">
        <f t="shared" si="148"/>
        <v>3727333.0085099153</v>
      </c>
      <c r="AJ355" s="43">
        <f t="shared" si="149"/>
        <v>3494544.6666608984</v>
      </c>
      <c r="AK355" s="43">
        <f t="shared" si="150"/>
        <v>3275207.849697182</v>
      </c>
      <c r="AL355" s="43">
        <f t="shared" si="151"/>
        <v>3068469.5340894544</v>
      </c>
      <c r="AN355" s="47">
        <f t="shared" si="152"/>
        <v>425439.22990875016</v>
      </c>
      <c r="AO355" s="47">
        <f t="shared" si="153"/>
        <v>437244.63049909903</v>
      </c>
      <c r="AP355" s="47">
        <f t="shared" si="154"/>
        <v>411010.11984872282</v>
      </c>
      <c r="AQ355" s="47">
        <f t="shared" si="155"/>
        <v>399473.24869706132</v>
      </c>
      <c r="AR355" s="43">
        <f t="shared" si="156"/>
        <v>323340.15790312662</v>
      </c>
      <c r="AS355" s="120"/>
      <c r="AT355" s="120"/>
      <c r="AU355" s="120"/>
      <c r="AV355" s="120"/>
      <c r="AW355" s="120"/>
      <c r="AX355" s="120"/>
    </row>
    <row r="356" spans="1:50" s="89" customFormat="1" ht="13">
      <c r="A356" s="3"/>
      <c r="B356" s="37">
        <f>'13. Desinvesteringen'!B639</f>
        <v>620</v>
      </c>
      <c r="C356" s="331"/>
      <c r="D356" s="331"/>
      <c r="E356" s="331"/>
      <c r="F356" s="42">
        <f>'5. Input GAW-waarde desinv.'!D315</f>
        <v>1309899.9728682514</v>
      </c>
      <c r="G356" s="175">
        <f>'13. Desinvesteringen'!D639</f>
        <v>2013</v>
      </c>
      <c r="H356" s="175">
        <f>'13. Desinvesteringen'!G639</f>
        <v>2024</v>
      </c>
      <c r="I356" s="37" t="str">
        <f>'13. Desinvesteringen'!C639</f>
        <v>15 Compressorstations (TT-BT-AT)</v>
      </c>
      <c r="J356" s="164">
        <f>'13. Desinvesteringen'!F639</f>
        <v>0</v>
      </c>
      <c r="K356" s="38">
        <f>_xlfn.XLOOKUP(I356,'3. Input (des)investeringen '!$B$11:$B$89,'3. Input (des)investeringen '!$E$11:$E$89)</f>
        <v>1</v>
      </c>
      <c r="L356" s="331"/>
      <c r="M356" s="38">
        <f>_xlfn.XLOOKUP(I356,'3. Input (des)investeringen '!$B$11:$B$89,'3. Input (des)investeringen '!$D$11:$D$89,0)</f>
        <v>30</v>
      </c>
      <c r="N356" s="38">
        <f t="shared" si="140"/>
        <v>21.5</v>
      </c>
      <c r="P356" s="43">
        <f t="shared" si="158"/>
        <v>71282.928756086243</v>
      </c>
      <c r="Q356" s="43">
        <f t="shared" si="158"/>
        <v>66972.79818013683</v>
      </c>
      <c r="R356" s="43">
        <f t="shared" si="158"/>
        <v>62923.280150640181</v>
      </c>
      <c r="S356" s="43">
        <f t="shared" si="158"/>
        <v>59118.616699671249</v>
      </c>
      <c r="T356" s="43">
        <f t="shared" si="158"/>
        <v>55544.002666667868</v>
      </c>
      <c r="V356" s="43">
        <f t="shared" si="133"/>
        <v>6092.5580133407047</v>
      </c>
      <c r="W356" s="43">
        <f t="shared" si="134"/>
        <v>6092.5580133407038</v>
      </c>
      <c r="X356" s="43">
        <f t="shared" si="135"/>
        <v>6092.5580133407038</v>
      </c>
      <c r="Y356" s="43">
        <f t="shared" si="136"/>
        <v>6092.5580133407038</v>
      </c>
      <c r="Z356" s="43">
        <f t="shared" si="137"/>
        <v>6092.5580133407038</v>
      </c>
      <c r="AB356" s="43">
        <f t="shared" si="142"/>
        <v>77375.486769426949</v>
      </c>
      <c r="AC356" s="43">
        <f t="shared" si="143"/>
        <v>73065.356193477535</v>
      </c>
      <c r="AD356" s="43">
        <f t="shared" si="144"/>
        <v>69015.838163980879</v>
      </c>
      <c r="AE356" s="43">
        <f t="shared" si="145"/>
        <v>65211.174713011955</v>
      </c>
      <c r="AF356" s="43">
        <f t="shared" si="146"/>
        <v>61636.560680008573</v>
      </c>
      <c r="AH356" s="43">
        <f t="shared" si="147"/>
        <v>1232524.4860988245</v>
      </c>
      <c r="AI356" s="43">
        <f t="shared" si="148"/>
        <v>1159459.129905347</v>
      </c>
      <c r="AJ356" s="43">
        <f t="shared" si="149"/>
        <v>1090443.291741366</v>
      </c>
      <c r="AK356" s="43">
        <f t="shared" si="150"/>
        <v>1025232.1170283541</v>
      </c>
      <c r="AL356" s="43">
        <f t="shared" si="151"/>
        <v>963595.55634834548</v>
      </c>
      <c r="AN356" s="47">
        <f t="shared" si="152"/>
        <v>127908.99069947876</v>
      </c>
      <c r="AO356" s="47">
        <f t="shared" si="153"/>
        <v>132197.77181865025</v>
      </c>
      <c r="AP356" s="47">
        <f t="shared" si="154"/>
        <v>124628.44604279054</v>
      </c>
      <c r="AQ356" s="47">
        <f t="shared" si="155"/>
        <v>121598.94114957143</v>
      </c>
      <c r="AR356" s="43">
        <f t="shared" si="156"/>
        <v>98253.191821245709</v>
      </c>
      <c r="AS356" s="120"/>
      <c r="AT356" s="120"/>
      <c r="AU356" s="120"/>
      <c r="AV356" s="120"/>
      <c r="AW356" s="120"/>
      <c r="AX356" s="120"/>
    </row>
    <row r="357" spans="1:50" s="89" customFormat="1" ht="13">
      <c r="A357" s="3"/>
      <c r="B357" s="37">
        <f>'13. Desinvesteringen'!B640</f>
        <v>621</v>
      </c>
      <c r="C357" s="331"/>
      <c r="D357" s="331"/>
      <c r="E357" s="331"/>
      <c r="F357" s="42">
        <f>'5. Input GAW-waarde desinv.'!D316</f>
        <v>352279.26825206354</v>
      </c>
      <c r="G357" s="175">
        <f>'13. Desinvesteringen'!D640</f>
        <v>2014</v>
      </c>
      <c r="H357" s="175">
        <f>'13. Desinvesteringen'!G640</f>
        <v>2024</v>
      </c>
      <c r="I357" s="37" t="str">
        <f>'13. Desinvesteringen'!C640</f>
        <v>15 Compressorstations (TT-BT-AT)</v>
      </c>
      <c r="J357" s="164">
        <f>'13. Desinvesteringen'!F640</f>
        <v>0</v>
      </c>
      <c r="K357" s="38">
        <f>_xlfn.XLOOKUP(I357,'3. Input (des)investeringen '!$B$11:$B$89,'3. Input (des)investeringen '!$E$11:$E$89)</f>
        <v>1</v>
      </c>
      <c r="L357" s="331"/>
      <c r="M357" s="38">
        <f>_xlfn.XLOOKUP(I357,'3. Input (des)investeringen '!$B$11:$B$89,'3. Input (des)investeringen '!$D$11:$D$89,0)</f>
        <v>30</v>
      </c>
      <c r="N357" s="38">
        <f t="shared" si="140"/>
        <v>22.5</v>
      </c>
      <c r="P357" s="43">
        <f t="shared" si="158"/>
        <v>18318.521949107304</v>
      </c>
      <c r="Q357" s="43">
        <f t="shared" si="158"/>
        <v>17260.118458714438</v>
      </c>
      <c r="R357" s="43">
        <f t="shared" si="158"/>
        <v>16262.867169988718</v>
      </c>
      <c r="S357" s="43">
        <f t="shared" si="158"/>
        <v>15323.234844611594</v>
      </c>
      <c r="T357" s="43">
        <f t="shared" si="158"/>
        <v>14437.892386922922</v>
      </c>
      <c r="V357" s="43">
        <f t="shared" si="133"/>
        <v>1565.6856366758382</v>
      </c>
      <c r="W357" s="43">
        <f t="shared" si="134"/>
        <v>1565.6856366758382</v>
      </c>
      <c r="X357" s="43">
        <f t="shared" si="135"/>
        <v>1565.6856366758382</v>
      </c>
      <c r="Y357" s="43">
        <f t="shared" si="136"/>
        <v>1565.6856366758382</v>
      </c>
      <c r="Z357" s="43">
        <f t="shared" si="137"/>
        <v>1565.6856366758382</v>
      </c>
      <c r="AB357" s="43">
        <f t="shared" si="142"/>
        <v>19884.207585783141</v>
      </c>
      <c r="AC357" s="43">
        <f t="shared" si="143"/>
        <v>18825.804095390275</v>
      </c>
      <c r="AD357" s="43">
        <f t="shared" si="144"/>
        <v>17828.552806664557</v>
      </c>
      <c r="AE357" s="43">
        <f t="shared" si="145"/>
        <v>16888.92048128743</v>
      </c>
      <c r="AF357" s="43">
        <f t="shared" si="146"/>
        <v>16003.57802359876</v>
      </c>
      <c r="AH357" s="43">
        <f t="shared" si="147"/>
        <v>332395.06066628039</v>
      </c>
      <c r="AI357" s="43">
        <f t="shared" si="148"/>
        <v>313569.25657089014</v>
      </c>
      <c r="AJ357" s="43">
        <f t="shared" si="149"/>
        <v>295740.70376422559</v>
      </c>
      <c r="AK357" s="43">
        <f t="shared" si="150"/>
        <v>278851.78328293818</v>
      </c>
      <c r="AL357" s="43">
        <f t="shared" si="151"/>
        <v>262848.20525933942</v>
      </c>
      <c r="AN357" s="47">
        <f t="shared" si="152"/>
        <v>33512.405073100635</v>
      </c>
      <c r="AO357" s="47">
        <f t="shared" si="153"/>
        <v>34817.83618050567</v>
      </c>
      <c r="AP357" s="47">
        <f t="shared" si="154"/>
        <v>32911.328698640064</v>
      </c>
      <c r="AQ357" s="47">
        <f t="shared" si="155"/>
        <v>32225.768561849029</v>
      </c>
      <c r="AR357" s="43">
        <f t="shared" si="156"/>
        <v>25991.809823453659</v>
      </c>
      <c r="AS357" s="120"/>
      <c r="AT357" s="120"/>
      <c r="AU357" s="120"/>
      <c r="AV357" s="120"/>
      <c r="AW357" s="120"/>
      <c r="AX357" s="120"/>
    </row>
    <row r="358" spans="1:50" s="89" customFormat="1" ht="13">
      <c r="A358" s="3"/>
      <c r="B358" s="37">
        <f>'13. Desinvesteringen'!B641</f>
        <v>622</v>
      </c>
      <c r="C358" s="331"/>
      <c r="D358" s="331"/>
      <c r="E358" s="331"/>
      <c r="F358" s="42">
        <f>'5. Input GAW-waarde desinv.'!D317</f>
        <v>8614670.2533826157</v>
      </c>
      <c r="G358" s="175">
        <f>'13. Desinvesteringen'!D641</f>
        <v>2015</v>
      </c>
      <c r="H358" s="175">
        <f>'13. Desinvesteringen'!G641</f>
        <v>2024</v>
      </c>
      <c r="I358" s="37" t="str">
        <f>'13. Desinvesteringen'!C641</f>
        <v>15 Compressorstations (TT-BT-AT)</v>
      </c>
      <c r="J358" s="164">
        <f>'13. Desinvesteringen'!F641</f>
        <v>0</v>
      </c>
      <c r="K358" s="38">
        <f>_xlfn.XLOOKUP(I358,'3. Input (des)investeringen '!$B$11:$B$89,'3. Input (des)investeringen '!$E$11:$E$89)</f>
        <v>1</v>
      </c>
      <c r="L358" s="331"/>
      <c r="M358" s="38">
        <f>_xlfn.XLOOKUP(I358,'3. Input (des)investeringen '!$B$11:$B$89,'3. Input (des)investeringen '!$D$11:$D$89,0)</f>
        <v>30</v>
      </c>
      <c r="N358" s="38">
        <f t="shared" si="140"/>
        <v>23.5</v>
      </c>
      <c r="P358" s="43">
        <f t="shared" si="158"/>
        <v>428900.60410458135</v>
      </c>
      <c r="Q358" s="43">
        <f t="shared" si="158"/>
        <v>405174.18770730664</v>
      </c>
      <c r="R358" s="43">
        <f t="shared" si="158"/>
        <v>382760.29647243436</v>
      </c>
      <c r="S358" s="43">
        <f t="shared" si="158"/>
        <v>361586.32262502308</v>
      </c>
      <c r="T358" s="43">
        <f t="shared" si="158"/>
        <v>341583.67499044735</v>
      </c>
      <c r="V358" s="43">
        <f t="shared" si="133"/>
        <v>36658.171290989856</v>
      </c>
      <c r="W358" s="43">
        <f t="shared" si="134"/>
        <v>36658.171290989856</v>
      </c>
      <c r="X358" s="43">
        <f t="shared" si="135"/>
        <v>36658.171290989856</v>
      </c>
      <c r="Y358" s="43">
        <f t="shared" si="136"/>
        <v>36658.171290989856</v>
      </c>
      <c r="Z358" s="43">
        <f t="shared" si="137"/>
        <v>36658.171290989856</v>
      </c>
      <c r="AB358" s="43">
        <f t="shared" si="142"/>
        <v>465558.7753955712</v>
      </c>
      <c r="AC358" s="43">
        <f t="shared" si="143"/>
        <v>441832.35899829649</v>
      </c>
      <c r="AD358" s="43">
        <f t="shared" si="144"/>
        <v>419418.46776342421</v>
      </c>
      <c r="AE358" s="43">
        <f t="shared" si="145"/>
        <v>398244.49391601293</v>
      </c>
      <c r="AF358" s="43">
        <f t="shared" si="146"/>
        <v>378241.8462814372</v>
      </c>
      <c r="AH358" s="43">
        <f t="shared" si="147"/>
        <v>8149111.4779870445</v>
      </c>
      <c r="AI358" s="43">
        <f t="shared" si="148"/>
        <v>7707279.1189887477</v>
      </c>
      <c r="AJ358" s="43">
        <f t="shared" si="149"/>
        <v>7287860.6512253238</v>
      </c>
      <c r="AK358" s="43">
        <f t="shared" si="150"/>
        <v>6889616.1573093105</v>
      </c>
      <c r="AL358" s="43">
        <f t="shared" si="151"/>
        <v>6511374.3110278733</v>
      </c>
      <c r="AN358" s="47">
        <f t="shared" si="152"/>
        <v>799672.34599304001</v>
      </c>
      <c r="AO358" s="47">
        <f t="shared" si="153"/>
        <v>834903.59406672255</v>
      </c>
      <c r="AP358" s="47">
        <f t="shared" si="154"/>
        <v>791099.36097591568</v>
      </c>
      <c r="AQ358" s="47">
        <f t="shared" si="155"/>
        <v>777173.38256802503</v>
      </c>
      <c r="AR358" s="43">
        <f t="shared" si="156"/>
        <v>625674.07010049641</v>
      </c>
      <c r="AS358" s="120"/>
      <c r="AT358" s="120"/>
      <c r="AU358" s="120"/>
      <c r="AV358" s="120"/>
      <c r="AW358" s="120"/>
      <c r="AX358" s="120"/>
    </row>
    <row r="359" spans="1:50" s="89" customFormat="1" ht="13">
      <c r="A359" s="3"/>
      <c r="B359" s="37">
        <f>'13. Desinvesteringen'!B642</f>
        <v>623</v>
      </c>
      <c r="C359" s="331"/>
      <c r="D359" s="331"/>
      <c r="E359" s="331"/>
      <c r="F359" s="42">
        <f>'5. Input GAW-waarde desinv.'!D318</f>
        <v>205179.23220155045</v>
      </c>
      <c r="G359" s="175">
        <f>'13. Desinvesteringen'!D642</f>
        <v>2016</v>
      </c>
      <c r="H359" s="175">
        <f>'13. Desinvesteringen'!G642</f>
        <v>2024</v>
      </c>
      <c r="I359" s="37" t="str">
        <f>'13. Desinvesteringen'!C642</f>
        <v>15 Compressorstations (TT-BT-AT)</v>
      </c>
      <c r="J359" s="164">
        <f>'13. Desinvesteringen'!F642</f>
        <v>0</v>
      </c>
      <c r="K359" s="38">
        <f>_xlfn.XLOOKUP(I359,'3. Input (des)investeringen '!$B$11:$B$89,'3. Input (des)investeringen '!$E$11:$E$89)</f>
        <v>1</v>
      </c>
      <c r="L359" s="331"/>
      <c r="M359" s="38">
        <f>_xlfn.XLOOKUP(I359,'3. Input (des)investeringen '!$B$11:$B$89,'3. Input (des)investeringen '!$D$11:$D$89,0)</f>
        <v>30</v>
      </c>
      <c r="N359" s="38">
        <f t="shared" si="140"/>
        <v>24.5</v>
      </c>
      <c r="P359" s="43">
        <f t="shared" si="158"/>
        <v>9798.3551704413912</v>
      </c>
      <c r="Q359" s="43">
        <f t="shared" si="158"/>
        <v>9278.4424471118455</v>
      </c>
      <c r="R359" s="43">
        <f t="shared" si="158"/>
        <v>8786.1169295099935</v>
      </c>
      <c r="S359" s="43">
        <f t="shared" si="158"/>
        <v>8319.9148067196675</v>
      </c>
      <c r="T359" s="43">
        <f t="shared" si="158"/>
        <v>7878.4499394243367</v>
      </c>
      <c r="V359" s="43">
        <f t="shared" si="133"/>
        <v>837.46625388387929</v>
      </c>
      <c r="W359" s="43">
        <f t="shared" si="134"/>
        <v>837.46625388387929</v>
      </c>
      <c r="X359" s="43">
        <f t="shared" si="135"/>
        <v>837.46625388387929</v>
      </c>
      <c r="Y359" s="43">
        <f t="shared" si="136"/>
        <v>837.46625388387929</v>
      </c>
      <c r="Z359" s="43">
        <f t="shared" si="137"/>
        <v>837.46625388387929</v>
      </c>
      <c r="AB359" s="43">
        <f t="shared" si="142"/>
        <v>10635.82142432527</v>
      </c>
      <c r="AC359" s="43">
        <f t="shared" si="143"/>
        <v>10115.908700995726</v>
      </c>
      <c r="AD359" s="43">
        <f t="shared" si="144"/>
        <v>9623.5831833938719</v>
      </c>
      <c r="AE359" s="43">
        <f t="shared" si="145"/>
        <v>9157.3810606035477</v>
      </c>
      <c r="AF359" s="43">
        <f t="shared" si="146"/>
        <v>8715.916193308216</v>
      </c>
      <c r="AH359" s="43">
        <f t="shared" si="147"/>
        <v>194543.41077722519</v>
      </c>
      <c r="AI359" s="43">
        <f t="shared" si="148"/>
        <v>184427.50207622946</v>
      </c>
      <c r="AJ359" s="43">
        <f t="shared" si="149"/>
        <v>174803.91889283559</v>
      </c>
      <c r="AK359" s="43">
        <f t="shared" si="150"/>
        <v>165646.53783223205</v>
      </c>
      <c r="AL359" s="43">
        <f t="shared" si="151"/>
        <v>156930.62163892383</v>
      </c>
      <c r="AN359" s="47">
        <f t="shared" si="152"/>
        <v>18612.101266191501</v>
      </c>
      <c r="AO359" s="47">
        <f t="shared" si="153"/>
        <v>19521.71130688343</v>
      </c>
      <c r="AP359" s="47">
        <f t="shared" si="154"/>
        <v>18538.583046928485</v>
      </c>
      <c r="AQ359" s="47">
        <f t="shared" si="155"/>
        <v>18267.94064137631</v>
      </c>
      <c r="AR359" s="43">
        <f t="shared" si="156"/>
        <v>14679.279815587321</v>
      </c>
      <c r="AS359" s="120"/>
      <c r="AT359" s="120"/>
      <c r="AU359" s="120"/>
      <c r="AV359" s="120"/>
      <c r="AW359" s="120"/>
      <c r="AX359" s="120"/>
    </row>
    <row r="360" spans="1:50" s="89" customFormat="1" ht="13">
      <c r="A360" s="3"/>
      <c r="B360" s="37">
        <f>'13. Desinvesteringen'!B643</f>
        <v>624</v>
      </c>
      <c r="C360" s="331"/>
      <c r="D360" s="331"/>
      <c r="E360" s="331"/>
      <c r="F360" s="42">
        <f>'5. Input GAW-waarde desinv.'!D319</f>
        <v>15286337.673415478</v>
      </c>
      <c r="G360" s="175">
        <f>'13. Desinvesteringen'!D643</f>
        <v>2017</v>
      </c>
      <c r="H360" s="175">
        <f>'13. Desinvesteringen'!G643</f>
        <v>2024</v>
      </c>
      <c r="I360" s="37" t="str">
        <f>'13. Desinvesteringen'!C643</f>
        <v>15 Compressorstations (TT-BT-AT)</v>
      </c>
      <c r="J360" s="164">
        <f>'13. Desinvesteringen'!F643</f>
        <v>0</v>
      </c>
      <c r="K360" s="38">
        <f>_xlfn.XLOOKUP(I360,'3. Input (des)investeringen '!$B$11:$B$89,'3. Input (des)investeringen '!$E$11:$E$89)</f>
        <v>1</v>
      </c>
      <c r="L360" s="331"/>
      <c r="M360" s="38">
        <f>_xlfn.XLOOKUP(I360,'3. Input (des)investeringen '!$B$11:$B$89,'3. Input (des)investeringen '!$D$11:$D$89,0)</f>
        <v>30</v>
      </c>
      <c r="N360" s="38">
        <f t="shared" si="140"/>
        <v>25.5</v>
      </c>
      <c r="P360" s="43">
        <f t="shared" si="158"/>
        <v>701373.14030965138</v>
      </c>
      <c r="Q360" s="43">
        <f t="shared" si="158"/>
        <v>665616.86256837507</v>
      </c>
      <c r="R360" s="43">
        <f t="shared" si="158"/>
        <v>631683.45388841862</v>
      </c>
      <c r="S360" s="43">
        <f t="shared" si="158"/>
        <v>599479.98369018547</v>
      </c>
      <c r="T360" s="43">
        <f t="shared" si="158"/>
        <v>568918.25903147017</v>
      </c>
      <c r="V360" s="43">
        <f t="shared" si="133"/>
        <v>59946.422248688155</v>
      </c>
      <c r="W360" s="43">
        <f t="shared" si="134"/>
        <v>59946.422248688155</v>
      </c>
      <c r="X360" s="43">
        <f t="shared" si="135"/>
        <v>59946.422248688155</v>
      </c>
      <c r="Y360" s="43">
        <f t="shared" si="136"/>
        <v>59946.422248688155</v>
      </c>
      <c r="Z360" s="43">
        <f t="shared" si="137"/>
        <v>59946.422248688155</v>
      </c>
      <c r="AB360" s="43">
        <f t="shared" si="142"/>
        <v>761319.56255833956</v>
      </c>
      <c r="AC360" s="43">
        <f t="shared" si="143"/>
        <v>725563.28481706325</v>
      </c>
      <c r="AD360" s="43">
        <f t="shared" si="144"/>
        <v>691629.8761371068</v>
      </c>
      <c r="AE360" s="43">
        <f t="shared" si="145"/>
        <v>659426.40593887365</v>
      </c>
      <c r="AF360" s="43">
        <f t="shared" si="146"/>
        <v>628864.68128015834</v>
      </c>
      <c r="AH360" s="43">
        <f t="shared" si="147"/>
        <v>14525018.110857138</v>
      </c>
      <c r="AI360" s="43">
        <f t="shared" si="148"/>
        <v>13799454.826040074</v>
      </c>
      <c r="AJ360" s="43">
        <f t="shared" si="149"/>
        <v>13107824.949902967</v>
      </c>
      <c r="AK360" s="43">
        <f t="shared" si="150"/>
        <v>12448398.543964094</v>
      </c>
      <c r="AL360" s="43">
        <f t="shared" si="151"/>
        <v>11819533.862683935</v>
      </c>
      <c r="AN360" s="47">
        <f t="shared" si="152"/>
        <v>1356845.3051034822</v>
      </c>
      <c r="AO360" s="47">
        <f t="shared" si="153"/>
        <v>1429335.4809451071</v>
      </c>
      <c r="AP360" s="47">
        <f t="shared" si="154"/>
        <v>1360128.948582158</v>
      </c>
      <c r="AQ360" s="47">
        <f t="shared" si="155"/>
        <v>1344088.3258568989</v>
      </c>
      <c r="AR360" s="43">
        <f t="shared" si="156"/>
        <v>1078006.968062148</v>
      </c>
      <c r="AS360" s="120"/>
      <c r="AT360" s="120"/>
      <c r="AU360" s="120"/>
      <c r="AV360" s="120"/>
      <c r="AW360" s="120"/>
      <c r="AX360" s="120"/>
    </row>
    <row r="361" spans="1:50" s="89" customFormat="1" ht="13">
      <c r="A361" s="3"/>
      <c r="B361" s="37">
        <f>'13. Desinvesteringen'!B644</f>
        <v>625</v>
      </c>
      <c r="C361" s="331"/>
      <c r="D361" s="331"/>
      <c r="E361" s="331"/>
      <c r="F361" s="42">
        <f>'5. Input GAW-waarde desinv.'!D320</f>
        <v>132877.15359999999</v>
      </c>
      <c r="G361" s="175">
        <f>'13. Desinvesteringen'!D644</f>
        <v>2020</v>
      </c>
      <c r="H361" s="175">
        <f>'13. Desinvesteringen'!G644</f>
        <v>2024</v>
      </c>
      <c r="I361" s="37" t="str">
        <f>'13. Desinvesteringen'!C644</f>
        <v>15 Compressorstations (TT-BT-AT)</v>
      </c>
      <c r="J361" s="164">
        <f>'13. Desinvesteringen'!F644</f>
        <v>0</v>
      </c>
      <c r="K361" s="38">
        <f>_xlfn.XLOOKUP(I361,'3. Input (des)investeringen '!$B$11:$B$89,'3. Input (des)investeringen '!$E$11:$E$89)</f>
        <v>1</v>
      </c>
      <c r="L361" s="331"/>
      <c r="M361" s="38">
        <f>_xlfn.XLOOKUP(I361,'3. Input (des)investeringen '!$B$11:$B$89,'3. Input (des)investeringen '!$D$11:$D$89,0)</f>
        <v>30</v>
      </c>
      <c r="N361" s="38">
        <f t="shared" si="140"/>
        <v>28.5</v>
      </c>
      <c r="P361" s="43">
        <f t="shared" si="158"/>
        <v>5454.9568319999998</v>
      </c>
      <c r="Q361" s="43">
        <f t="shared" si="158"/>
        <v>5206.134239663158</v>
      </c>
      <c r="R361" s="43">
        <f t="shared" si="158"/>
        <v>4968.6614497837854</v>
      </c>
      <c r="S361" s="43">
        <f t="shared" si="158"/>
        <v>4742.0207520743497</v>
      </c>
      <c r="T361" s="43">
        <f t="shared" si="158"/>
        <v>4525.7180511025381</v>
      </c>
      <c r="V361" s="43">
        <f t="shared" si="133"/>
        <v>466.23562666666669</v>
      </c>
      <c r="W361" s="43">
        <f t="shared" si="134"/>
        <v>466.23562666666669</v>
      </c>
      <c r="X361" s="43">
        <f t="shared" si="135"/>
        <v>466.23562666666669</v>
      </c>
      <c r="Y361" s="43">
        <f t="shared" si="136"/>
        <v>466.23562666666669</v>
      </c>
      <c r="Z361" s="43">
        <f t="shared" si="137"/>
        <v>466.23562666666669</v>
      </c>
      <c r="AB361" s="43">
        <f t="shared" si="142"/>
        <v>5921.1924586666664</v>
      </c>
      <c r="AC361" s="43">
        <f t="shared" si="143"/>
        <v>5672.3698663298246</v>
      </c>
      <c r="AD361" s="43">
        <f t="shared" si="144"/>
        <v>5434.897076450452</v>
      </c>
      <c r="AE361" s="43">
        <f t="shared" si="145"/>
        <v>5208.2563787410163</v>
      </c>
      <c r="AF361" s="43">
        <f t="shared" si="146"/>
        <v>4991.9536777692047</v>
      </c>
      <c r="AH361" s="43">
        <f t="shared" si="147"/>
        <v>126955.96114133332</v>
      </c>
      <c r="AI361" s="43">
        <f t="shared" si="148"/>
        <v>121283.59127500349</v>
      </c>
      <c r="AJ361" s="43">
        <f t="shared" si="149"/>
        <v>115848.69419855304</v>
      </c>
      <c r="AK361" s="43">
        <f t="shared" si="150"/>
        <v>110640.43781981202</v>
      </c>
      <c r="AL361" s="43">
        <f t="shared" si="151"/>
        <v>105648.48414204281</v>
      </c>
      <c r="AN361" s="47">
        <f t="shared" si="152"/>
        <v>11126.386865461332</v>
      </c>
      <c r="AO361" s="47">
        <f t="shared" si="153"/>
        <v>11857.833021355003</v>
      </c>
      <c r="AP361" s="47">
        <f t="shared" si="154"/>
        <v>11343.180480576657</v>
      </c>
      <c r="AQ361" s="47">
        <f t="shared" si="155"/>
        <v>11293.480458830678</v>
      </c>
      <c r="AR361" s="43">
        <f t="shared" si="156"/>
        <v>9006.5960751668317</v>
      </c>
      <c r="AS361" s="120"/>
      <c r="AT361" s="120"/>
      <c r="AU361" s="120"/>
      <c r="AV361" s="120"/>
      <c r="AW361" s="120"/>
      <c r="AX361" s="120"/>
    </row>
    <row r="362" spans="1:50" s="89" customFormat="1" ht="13">
      <c r="A362" s="3"/>
      <c r="B362" s="37">
        <f>'13. Desinvesteringen'!B645</f>
        <v>626</v>
      </c>
      <c r="C362" s="331"/>
      <c r="D362" s="331"/>
      <c r="E362" s="331"/>
      <c r="F362" s="42">
        <f>'5. Input GAW-waarde desinv.'!D321</f>
        <v>0</v>
      </c>
      <c r="G362" s="175">
        <f>'13. Desinvesteringen'!D645</f>
        <v>1972</v>
      </c>
      <c r="H362" s="175">
        <f>'13. Desinvesteringen'!G645</f>
        <v>2024</v>
      </c>
      <c r="I362" s="37" t="str">
        <f>'13. Desinvesteringen'!C645</f>
        <v>17 Mengstations</v>
      </c>
      <c r="J362" s="164">
        <f>'13. Desinvesteringen'!F645</f>
        <v>0</v>
      </c>
      <c r="K362" s="38">
        <f>_xlfn.XLOOKUP(I362,'3. Input (des)investeringen '!$B$11:$B$89,'3. Input (des)investeringen '!$E$11:$E$89)</f>
        <v>0</v>
      </c>
      <c r="L362" s="331"/>
      <c r="M362" s="38">
        <f>_xlfn.XLOOKUP(I362,'3. Input (des)investeringen '!$B$11:$B$89,'3. Input (des)investeringen '!$D$11:$D$89,0)</f>
        <v>30</v>
      </c>
      <c r="N362" s="38">
        <f t="shared" si="140"/>
        <v>0</v>
      </c>
      <c r="P362" s="43">
        <f t="shared" ref="P362:T371" si="159">IF($M362&gt;0, IF(OR($G362&gt;P$50,$G362+$M362&lt;P$50),0,
VDB($F362,0,$N362,MAX(0,P$50-2022),MIN($N362,P$50-2021),$F$23,FALSE))*(1-$F$26), 0)</f>
        <v>0</v>
      </c>
      <c r="Q362" s="43">
        <f t="shared" si="159"/>
        <v>0</v>
      </c>
      <c r="R362" s="43">
        <f t="shared" si="159"/>
        <v>0</v>
      </c>
      <c r="S362" s="43">
        <f t="shared" si="159"/>
        <v>0</v>
      </c>
      <c r="T362" s="43">
        <f t="shared" si="159"/>
        <v>0</v>
      </c>
      <c r="V362" s="43">
        <f t="shared" si="133"/>
        <v>0</v>
      </c>
      <c r="W362" s="43">
        <f t="shared" si="134"/>
        <v>0</v>
      </c>
      <c r="X362" s="43">
        <f t="shared" si="135"/>
        <v>0</v>
      </c>
      <c r="Y362" s="43">
        <f t="shared" si="136"/>
        <v>0</v>
      </c>
      <c r="Z362" s="43">
        <f t="shared" si="137"/>
        <v>0</v>
      </c>
      <c r="AB362" s="43">
        <f t="shared" si="142"/>
        <v>0</v>
      </c>
      <c r="AC362" s="43">
        <f t="shared" si="143"/>
        <v>0</v>
      </c>
      <c r="AD362" s="43">
        <f t="shared" si="144"/>
        <v>0</v>
      </c>
      <c r="AE362" s="43">
        <f t="shared" si="145"/>
        <v>0</v>
      </c>
      <c r="AF362" s="43">
        <f t="shared" si="146"/>
        <v>0</v>
      </c>
      <c r="AH362" s="43">
        <f t="shared" si="147"/>
        <v>0</v>
      </c>
      <c r="AI362" s="43">
        <f t="shared" si="148"/>
        <v>0</v>
      </c>
      <c r="AJ362" s="43">
        <f t="shared" si="149"/>
        <v>0</v>
      </c>
      <c r="AK362" s="43">
        <f t="shared" si="150"/>
        <v>0</v>
      </c>
      <c r="AL362" s="43">
        <f t="shared" si="151"/>
        <v>0</v>
      </c>
      <c r="AN362" s="47">
        <f t="shared" si="152"/>
        <v>0</v>
      </c>
      <c r="AO362" s="47">
        <f t="shared" si="153"/>
        <v>0</v>
      </c>
      <c r="AP362" s="47">
        <f t="shared" si="154"/>
        <v>0</v>
      </c>
      <c r="AQ362" s="47">
        <f t="shared" si="155"/>
        <v>0</v>
      </c>
      <c r="AR362" s="43">
        <f t="shared" si="156"/>
        <v>0</v>
      </c>
      <c r="AS362" s="120"/>
      <c r="AT362" s="120"/>
      <c r="AU362" s="120"/>
      <c r="AV362" s="120"/>
      <c r="AW362" s="120"/>
      <c r="AX362" s="120"/>
    </row>
    <row r="363" spans="1:50" s="89" customFormat="1" ht="13">
      <c r="A363" s="3"/>
      <c r="B363" s="37">
        <f>'13. Desinvesteringen'!B646</f>
        <v>627</v>
      </c>
      <c r="C363" s="331"/>
      <c r="D363" s="331"/>
      <c r="E363" s="331"/>
      <c r="F363" s="42">
        <f>'5. Input GAW-waarde desinv.'!D322</f>
        <v>0</v>
      </c>
      <c r="G363" s="175">
        <f>'13. Desinvesteringen'!D646</f>
        <v>1979</v>
      </c>
      <c r="H363" s="175">
        <f>'13. Desinvesteringen'!G646</f>
        <v>2024</v>
      </c>
      <c r="I363" s="37" t="str">
        <f>'13. Desinvesteringen'!C646</f>
        <v>17 Mengstations</v>
      </c>
      <c r="J363" s="164">
        <f>'13. Desinvesteringen'!F646</f>
        <v>0</v>
      </c>
      <c r="K363" s="38">
        <f>_xlfn.XLOOKUP(I363,'3. Input (des)investeringen '!$B$11:$B$89,'3. Input (des)investeringen '!$E$11:$E$89)</f>
        <v>0</v>
      </c>
      <c r="L363" s="331"/>
      <c r="M363" s="38">
        <f>_xlfn.XLOOKUP(I363,'3. Input (des)investeringen '!$B$11:$B$89,'3. Input (des)investeringen '!$D$11:$D$89,0)</f>
        <v>30</v>
      </c>
      <c r="N363" s="38">
        <f t="shared" si="140"/>
        <v>0</v>
      </c>
      <c r="P363" s="43">
        <f t="shared" si="159"/>
        <v>0</v>
      </c>
      <c r="Q363" s="43">
        <f t="shared" si="159"/>
        <v>0</v>
      </c>
      <c r="R363" s="43">
        <f t="shared" si="159"/>
        <v>0</v>
      </c>
      <c r="S363" s="43">
        <f t="shared" si="159"/>
        <v>0</v>
      </c>
      <c r="T363" s="43">
        <f t="shared" si="159"/>
        <v>0</v>
      </c>
      <c r="V363" s="43">
        <f t="shared" si="133"/>
        <v>0</v>
      </c>
      <c r="W363" s="43">
        <f t="shared" si="134"/>
        <v>0</v>
      </c>
      <c r="X363" s="43">
        <f t="shared" si="135"/>
        <v>0</v>
      </c>
      <c r="Y363" s="43">
        <f t="shared" si="136"/>
        <v>0</v>
      </c>
      <c r="Z363" s="43">
        <f t="shared" si="137"/>
        <v>0</v>
      </c>
      <c r="AB363" s="43">
        <f t="shared" si="142"/>
        <v>0</v>
      </c>
      <c r="AC363" s="43">
        <f t="shared" si="143"/>
        <v>0</v>
      </c>
      <c r="AD363" s="43">
        <f t="shared" si="144"/>
        <v>0</v>
      </c>
      <c r="AE363" s="43">
        <f t="shared" si="145"/>
        <v>0</v>
      </c>
      <c r="AF363" s="43">
        <f t="shared" si="146"/>
        <v>0</v>
      </c>
      <c r="AH363" s="43">
        <f t="shared" si="147"/>
        <v>0</v>
      </c>
      <c r="AI363" s="43">
        <f t="shared" si="148"/>
        <v>0</v>
      </c>
      <c r="AJ363" s="43">
        <f t="shared" si="149"/>
        <v>0</v>
      </c>
      <c r="AK363" s="43">
        <f t="shared" si="150"/>
        <v>0</v>
      </c>
      <c r="AL363" s="43">
        <f t="shared" si="151"/>
        <v>0</v>
      </c>
      <c r="AN363" s="47">
        <f t="shared" si="152"/>
        <v>0</v>
      </c>
      <c r="AO363" s="47">
        <f t="shared" si="153"/>
        <v>0</v>
      </c>
      <c r="AP363" s="47">
        <f t="shared" si="154"/>
        <v>0</v>
      </c>
      <c r="AQ363" s="47">
        <f t="shared" si="155"/>
        <v>0</v>
      </c>
      <c r="AR363" s="43">
        <f t="shared" si="156"/>
        <v>0</v>
      </c>
      <c r="AS363" s="120"/>
      <c r="AT363" s="120"/>
      <c r="AU363" s="120"/>
      <c r="AV363" s="120"/>
      <c r="AW363" s="120"/>
      <c r="AX363" s="120"/>
    </row>
    <row r="364" spans="1:50" s="89" customFormat="1" ht="13">
      <c r="A364" s="3"/>
      <c r="B364" s="37">
        <f>'13. Desinvesteringen'!B647</f>
        <v>628</v>
      </c>
      <c r="C364" s="331"/>
      <c r="D364" s="331"/>
      <c r="E364" s="331"/>
      <c r="F364" s="42">
        <f>'5. Input GAW-waarde desinv.'!D323</f>
        <v>1302.4440570578504</v>
      </c>
      <c r="G364" s="175">
        <f>'13. Desinvesteringen'!D647</f>
        <v>1993</v>
      </c>
      <c r="H364" s="175">
        <f>'13. Desinvesteringen'!G647</f>
        <v>2024</v>
      </c>
      <c r="I364" s="37" t="str">
        <f>'13. Desinvesteringen'!C647</f>
        <v>17 Mengstations</v>
      </c>
      <c r="J364" s="164">
        <f>'13. Desinvesteringen'!F647</f>
        <v>0</v>
      </c>
      <c r="K364" s="38">
        <f>_xlfn.XLOOKUP(I364,'3. Input (des)investeringen '!$B$11:$B$89,'3. Input (des)investeringen '!$E$11:$E$89)</f>
        <v>0</v>
      </c>
      <c r="L364" s="331"/>
      <c r="M364" s="38">
        <f>_xlfn.XLOOKUP(I364,'3. Input (des)investeringen '!$B$11:$B$89,'3. Input (des)investeringen '!$D$11:$D$89,0)</f>
        <v>30</v>
      </c>
      <c r="N364" s="38">
        <f t="shared" si="140"/>
        <v>1.5</v>
      </c>
      <c r="P364" s="43">
        <f t="shared" si="159"/>
        <v>1015.9063645051233</v>
      </c>
      <c r="Q364" s="43">
        <f t="shared" si="159"/>
        <v>156.29328684694204</v>
      </c>
      <c r="R364" s="43">
        <f t="shared" si="159"/>
        <v>0</v>
      </c>
      <c r="S364" s="43">
        <f t="shared" si="159"/>
        <v>0</v>
      </c>
      <c r="T364" s="43">
        <f t="shared" si="159"/>
        <v>0</v>
      </c>
      <c r="V364" s="43">
        <f t="shared" si="133"/>
        <v>86.829603803856699</v>
      </c>
      <c r="W364" s="43">
        <f t="shared" si="134"/>
        <v>43.41480190192835</v>
      </c>
      <c r="X364" s="43">
        <f t="shared" si="135"/>
        <v>0</v>
      </c>
      <c r="Y364" s="43">
        <f t="shared" si="136"/>
        <v>0</v>
      </c>
      <c r="Z364" s="43">
        <f t="shared" si="137"/>
        <v>0</v>
      </c>
      <c r="AB364" s="43">
        <f t="shared" si="142"/>
        <v>1102.7359683089801</v>
      </c>
      <c r="AC364" s="43">
        <f t="shared" si="143"/>
        <v>199.70808874887038</v>
      </c>
      <c r="AD364" s="43">
        <f t="shared" si="144"/>
        <v>0</v>
      </c>
      <c r="AE364" s="43">
        <f t="shared" si="145"/>
        <v>0</v>
      </c>
      <c r="AF364" s="43">
        <f t="shared" si="146"/>
        <v>0</v>
      </c>
      <c r="AH364" s="43">
        <f t="shared" si="147"/>
        <v>199.7080887488703</v>
      </c>
      <c r="AI364" s="43">
        <f t="shared" si="148"/>
        <v>0</v>
      </c>
      <c r="AJ364" s="43">
        <f t="shared" si="149"/>
        <v>0</v>
      </c>
      <c r="AK364" s="43">
        <f t="shared" si="150"/>
        <v>0</v>
      </c>
      <c r="AL364" s="43">
        <f t="shared" si="151"/>
        <v>0</v>
      </c>
      <c r="AN364" s="47">
        <f t="shared" si="152"/>
        <v>1110.9239999476838</v>
      </c>
      <c r="AO364" s="47">
        <f t="shared" si="153"/>
        <v>199.70808874887038</v>
      </c>
      <c r="AP364" s="47">
        <f t="shared" si="154"/>
        <v>0</v>
      </c>
      <c r="AQ364" s="47">
        <f t="shared" si="155"/>
        <v>0</v>
      </c>
      <c r="AR364" s="43">
        <f t="shared" si="156"/>
        <v>0</v>
      </c>
      <c r="AS364" s="120"/>
      <c r="AT364" s="120"/>
      <c r="AU364" s="120"/>
      <c r="AV364" s="120"/>
      <c r="AW364" s="120"/>
      <c r="AX364" s="120"/>
    </row>
    <row r="365" spans="1:50" s="89" customFormat="1" ht="13">
      <c r="A365" s="3"/>
      <c r="B365" s="37">
        <f>'13. Desinvesteringen'!B648</f>
        <v>629</v>
      </c>
      <c r="C365" s="331"/>
      <c r="D365" s="331"/>
      <c r="E365" s="331"/>
      <c r="F365" s="42">
        <f>'5. Input GAW-waarde desinv.'!D324</f>
        <v>5160.0974238485833</v>
      </c>
      <c r="G365" s="175">
        <f>'13. Desinvesteringen'!D648</f>
        <v>1994</v>
      </c>
      <c r="H365" s="175">
        <f>'13. Desinvesteringen'!G648</f>
        <v>2024</v>
      </c>
      <c r="I365" s="37" t="str">
        <f>'13. Desinvesteringen'!C648</f>
        <v>17 Mengstations</v>
      </c>
      <c r="J365" s="164">
        <f>'13. Desinvesteringen'!F648</f>
        <v>0</v>
      </c>
      <c r="K365" s="38">
        <f>_xlfn.XLOOKUP(I365,'3. Input (des)investeringen '!$B$11:$B$89,'3. Input (des)investeringen '!$E$11:$E$89)</f>
        <v>0</v>
      </c>
      <c r="L365" s="331"/>
      <c r="M365" s="38">
        <f>_xlfn.XLOOKUP(I365,'3. Input (des)investeringen '!$B$11:$B$89,'3. Input (des)investeringen '!$D$11:$D$89,0)</f>
        <v>30</v>
      </c>
      <c r="N365" s="38">
        <f t="shared" si="140"/>
        <v>2.5</v>
      </c>
      <c r="P365" s="43">
        <f t="shared" si="159"/>
        <v>2414.925594361137</v>
      </c>
      <c r="Q365" s="43">
        <f t="shared" si="159"/>
        <v>1486.108058068392</v>
      </c>
      <c r="R365" s="43">
        <f t="shared" si="159"/>
        <v>743.05402903419599</v>
      </c>
      <c r="S365" s="43">
        <f t="shared" si="159"/>
        <v>0</v>
      </c>
      <c r="T365" s="43">
        <f t="shared" si="159"/>
        <v>0</v>
      </c>
      <c r="V365" s="43">
        <f t="shared" si="133"/>
        <v>206.40389695394333</v>
      </c>
      <c r="W365" s="43">
        <f t="shared" si="134"/>
        <v>206.40389695394333</v>
      </c>
      <c r="X365" s="43">
        <f t="shared" si="135"/>
        <v>103.20194847697167</v>
      </c>
      <c r="Y365" s="43">
        <f t="shared" si="136"/>
        <v>0</v>
      </c>
      <c r="Z365" s="43">
        <f t="shared" si="137"/>
        <v>0</v>
      </c>
      <c r="AB365" s="43">
        <f t="shared" si="142"/>
        <v>2621.3294913150803</v>
      </c>
      <c r="AC365" s="43">
        <f t="shared" si="143"/>
        <v>1692.5119550223353</v>
      </c>
      <c r="AD365" s="43">
        <f t="shared" si="144"/>
        <v>846.25597751116766</v>
      </c>
      <c r="AE365" s="43">
        <f t="shared" si="145"/>
        <v>0</v>
      </c>
      <c r="AF365" s="43">
        <f t="shared" si="146"/>
        <v>0</v>
      </c>
      <c r="AH365" s="43">
        <f t="shared" si="147"/>
        <v>2538.767932533503</v>
      </c>
      <c r="AI365" s="43">
        <f t="shared" si="148"/>
        <v>846.25597751116766</v>
      </c>
      <c r="AJ365" s="43">
        <f t="shared" si="149"/>
        <v>0</v>
      </c>
      <c r="AK365" s="43">
        <f t="shared" si="150"/>
        <v>0</v>
      </c>
      <c r="AL365" s="43">
        <f t="shared" si="151"/>
        <v>0</v>
      </c>
      <c r="AN365" s="47">
        <f t="shared" si="152"/>
        <v>2725.4189765489541</v>
      </c>
      <c r="AO365" s="47">
        <f t="shared" si="153"/>
        <v>1735.6710098754049</v>
      </c>
      <c r="AP365" s="47">
        <f t="shared" si="154"/>
        <v>846.25597751116766</v>
      </c>
      <c r="AQ365" s="47">
        <f t="shared" si="155"/>
        <v>0</v>
      </c>
      <c r="AR365" s="43">
        <f t="shared" si="156"/>
        <v>0</v>
      </c>
      <c r="AS365" s="120"/>
      <c r="AT365" s="120"/>
      <c r="AU365" s="120"/>
      <c r="AV365" s="120"/>
      <c r="AW365" s="120"/>
      <c r="AX365" s="120"/>
    </row>
    <row r="366" spans="1:50" s="89" customFormat="1" ht="13">
      <c r="A366" s="3"/>
      <c r="B366" s="37">
        <f>'13. Desinvesteringen'!B649</f>
        <v>630</v>
      </c>
      <c r="C366" s="331"/>
      <c r="D366" s="331"/>
      <c r="E366" s="331"/>
      <c r="F366" s="42">
        <f>'5. Input GAW-waarde desinv.'!D325</f>
        <v>62368.739652133881</v>
      </c>
      <c r="G366" s="175">
        <f>'13. Desinvesteringen'!D649</f>
        <v>2001</v>
      </c>
      <c r="H366" s="175">
        <f>'13. Desinvesteringen'!G649</f>
        <v>2024</v>
      </c>
      <c r="I366" s="37" t="str">
        <f>'13. Desinvesteringen'!C649</f>
        <v>17 Mengstations</v>
      </c>
      <c r="J366" s="164">
        <f>'13. Desinvesteringen'!F649</f>
        <v>0</v>
      </c>
      <c r="K366" s="38">
        <f>_xlfn.XLOOKUP(I366,'3. Input (des)investeringen '!$B$11:$B$89,'3. Input (des)investeringen '!$E$11:$E$89)</f>
        <v>0</v>
      </c>
      <c r="L366" s="331"/>
      <c r="M366" s="38">
        <f>_xlfn.XLOOKUP(I366,'3. Input (des)investeringen '!$B$11:$B$89,'3. Input (des)investeringen '!$D$11:$D$89,0)</f>
        <v>30</v>
      </c>
      <c r="N366" s="38">
        <f t="shared" si="140"/>
        <v>9.5</v>
      </c>
      <c r="P366" s="43">
        <f t="shared" si="159"/>
        <v>7681.2026729470144</v>
      </c>
      <c r="Q366" s="43">
        <f t="shared" si="159"/>
        <v>6630.0907282279504</v>
      </c>
      <c r="R366" s="43">
        <f t="shared" si="159"/>
        <v>5722.8151548914939</v>
      </c>
      <c r="S366" s="43">
        <f t="shared" si="159"/>
        <v>5553.5010970544672</v>
      </c>
      <c r="T366" s="43">
        <f t="shared" si="159"/>
        <v>5553.5010970544672</v>
      </c>
      <c r="V366" s="43">
        <f t="shared" si="133"/>
        <v>656.51304896983038</v>
      </c>
      <c r="W366" s="43">
        <f t="shared" si="134"/>
        <v>656.51304896983038</v>
      </c>
      <c r="X366" s="43">
        <f t="shared" si="135"/>
        <v>656.51304896983038</v>
      </c>
      <c r="Y366" s="43">
        <f t="shared" si="136"/>
        <v>656.51304896983038</v>
      </c>
      <c r="Z366" s="43">
        <f t="shared" si="137"/>
        <v>656.51304896983038</v>
      </c>
      <c r="AB366" s="43">
        <f t="shared" si="142"/>
        <v>8337.7157219168439</v>
      </c>
      <c r="AC366" s="43">
        <f t="shared" si="143"/>
        <v>7286.6037771977808</v>
      </c>
      <c r="AD366" s="43">
        <f t="shared" si="144"/>
        <v>6379.3282038613243</v>
      </c>
      <c r="AE366" s="43">
        <f t="shared" si="145"/>
        <v>6210.0141460242976</v>
      </c>
      <c r="AF366" s="43">
        <f t="shared" si="146"/>
        <v>6210.0141460242976</v>
      </c>
      <c r="AH366" s="43">
        <f t="shared" si="147"/>
        <v>54031.023930217038</v>
      </c>
      <c r="AI366" s="43">
        <f t="shared" si="148"/>
        <v>46744.420153019259</v>
      </c>
      <c r="AJ366" s="43">
        <f t="shared" si="149"/>
        <v>40365.091949157933</v>
      </c>
      <c r="AK366" s="43">
        <f t="shared" si="150"/>
        <v>34155.077803133638</v>
      </c>
      <c r="AL366" s="43">
        <f t="shared" si="151"/>
        <v>27945.063657109342</v>
      </c>
      <c r="AN366" s="47">
        <f t="shared" si="152"/>
        <v>10552.987703055744</v>
      </c>
      <c r="AO366" s="47">
        <f t="shared" si="153"/>
        <v>9670.5692050017624</v>
      </c>
      <c r="AP366" s="47">
        <f t="shared" si="154"/>
        <v>8437.9478932683778</v>
      </c>
      <c r="AQ366" s="47">
        <f t="shared" si="155"/>
        <v>8088.5434251966471</v>
      </c>
      <c r="AR366" s="43">
        <f t="shared" si="156"/>
        <v>7271.9265649944527</v>
      </c>
      <c r="AS366" s="120"/>
      <c r="AT366" s="120"/>
      <c r="AU366" s="120"/>
      <c r="AV366" s="120"/>
      <c r="AW366" s="120"/>
      <c r="AX366" s="120"/>
    </row>
    <row r="367" spans="1:50" s="89" customFormat="1" ht="13">
      <c r="A367" s="3"/>
      <c r="B367" s="37">
        <f>'13. Desinvesteringen'!B650</f>
        <v>631</v>
      </c>
      <c r="C367" s="331"/>
      <c r="D367" s="331"/>
      <c r="E367" s="331"/>
      <c r="F367" s="42">
        <f>'5. Input GAW-waarde desinv.'!D326</f>
        <v>30973.850514933041</v>
      </c>
      <c r="G367" s="175">
        <f>'13. Desinvesteringen'!D650</f>
        <v>2005</v>
      </c>
      <c r="H367" s="175">
        <f>'13. Desinvesteringen'!G650</f>
        <v>2024</v>
      </c>
      <c r="I367" s="37" t="str">
        <f>'13. Desinvesteringen'!C650</f>
        <v>17 Mengstations</v>
      </c>
      <c r="J367" s="164">
        <f>'13. Desinvesteringen'!F650</f>
        <v>0</v>
      </c>
      <c r="K367" s="38">
        <f>_xlfn.XLOOKUP(I367,'3. Input (des)investeringen '!$B$11:$B$89,'3. Input (des)investeringen '!$E$11:$E$89)</f>
        <v>0</v>
      </c>
      <c r="L367" s="331"/>
      <c r="M367" s="38">
        <f>_xlfn.XLOOKUP(I367,'3. Input (des)investeringen '!$B$11:$B$89,'3. Input (des)investeringen '!$D$11:$D$89,0)</f>
        <v>30</v>
      </c>
      <c r="N367" s="38">
        <f t="shared" si="140"/>
        <v>13.5</v>
      </c>
      <c r="P367" s="43">
        <f t="shared" si="159"/>
        <v>2684.4003779608634</v>
      </c>
      <c r="Q367" s="43">
        <f t="shared" si="159"/>
        <v>2425.9025637868544</v>
      </c>
      <c r="R367" s="43">
        <f t="shared" si="159"/>
        <v>2192.2971317184906</v>
      </c>
      <c r="S367" s="43">
        <f t="shared" si="159"/>
        <v>1981.1870375530063</v>
      </c>
      <c r="T367" s="43">
        <f t="shared" si="159"/>
        <v>1957.1240370968965</v>
      </c>
      <c r="V367" s="43">
        <f t="shared" si="133"/>
        <v>229.43592974024475</v>
      </c>
      <c r="W367" s="43">
        <f t="shared" si="134"/>
        <v>229.43592974024477</v>
      </c>
      <c r="X367" s="43">
        <f t="shared" si="135"/>
        <v>229.43592974024477</v>
      </c>
      <c r="Y367" s="43">
        <f t="shared" si="136"/>
        <v>229.43592974024477</v>
      </c>
      <c r="Z367" s="43">
        <f t="shared" si="137"/>
        <v>229.43592974024477</v>
      </c>
      <c r="AB367" s="43">
        <f t="shared" si="142"/>
        <v>2913.8363077011081</v>
      </c>
      <c r="AC367" s="43">
        <f t="shared" si="143"/>
        <v>2655.3384935270992</v>
      </c>
      <c r="AD367" s="43">
        <f t="shared" si="144"/>
        <v>2421.7330614587354</v>
      </c>
      <c r="AE367" s="43">
        <f t="shared" si="145"/>
        <v>2210.6229672932513</v>
      </c>
      <c r="AF367" s="43">
        <f t="shared" si="146"/>
        <v>2186.5599668371415</v>
      </c>
      <c r="AH367" s="43">
        <f t="shared" si="147"/>
        <v>28060.014207231932</v>
      </c>
      <c r="AI367" s="43">
        <f t="shared" si="148"/>
        <v>25404.675713704833</v>
      </c>
      <c r="AJ367" s="43">
        <f t="shared" si="149"/>
        <v>22982.9426522461</v>
      </c>
      <c r="AK367" s="43">
        <f t="shared" si="150"/>
        <v>20772.319684952847</v>
      </c>
      <c r="AL367" s="43">
        <f t="shared" si="151"/>
        <v>18585.759718115703</v>
      </c>
      <c r="AN367" s="47">
        <f t="shared" si="152"/>
        <v>4064.2968901976174</v>
      </c>
      <c r="AO367" s="47">
        <f t="shared" si="153"/>
        <v>3950.9769549260454</v>
      </c>
      <c r="AP367" s="47">
        <f t="shared" si="154"/>
        <v>3593.8631367232865</v>
      </c>
      <c r="AQ367" s="47">
        <f t="shared" si="155"/>
        <v>3353.1005499656576</v>
      </c>
      <c r="AR367" s="43">
        <f t="shared" si="156"/>
        <v>2892.8188361255379</v>
      </c>
      <c r="AS367" s="120"/>
      <c r="AT367" s="120"/>
      <c r="AU367" s="120"/>
      <c r="AV367" s="120"/>
      <c r="AW367" s="120"/>
      <c r="AX367" s="120"/>
    </row>
    <row r="368" spans="1:50" s="89" customFormat="1" ht="13">
      <c r="A368" s="3"/>
      <c r="B368" s="37">
        <f>'13. Desinvesteringen'!B651</f>
        <v>632</v>
      </c>
      <c r="C368" s="331"/>
      <c r="D368" s="331"/>
      <c r="E368" s="331"/>
      <c r="F368" s="42">
        <f>'5. Input GAW-waarde desinv.'!D327</f>
        <v>66842.607864033591</v>
      </c>
      <c r="G368" s="175">
        <f>'13. Desinvesteringen'!D651</f>
        <v>2006</v>
      </c>
      <c r="H368" s="175">
        <f>'13. Desinvesteringen'!G651</f>
        <v>2024</v>
      </c>
      <c r="I368" s="37" t="str">
        <f>'13. Desinvesteringen'!C651</f>
        <v>17 Mengstations</v>
      </c>
      <c r="J368" s="164">
        <f>'13. Desinvesteringen'!F651</f>
        <v>0</v>
      </c>
      <c r="K368" s="38">
        <f>_xlfn.XLOOKUP(I368,'3. Input (des)investeringen '!$B$11:$B$89,'3. Input (des)investeringen '!$E$11:$E$89)</f>
        <v>0</v>
      </c>
      <c r="L368" s="331"/>
      <c r="M368" s="38">
        <f>_xlfn.XLOOKUP(I368,'3. Input (des)investeringen '!$B$11:$B$89,'3. Input (des)investeringen '!$D$11:$D$89,0)</f>
        <v>30</v>
      </c>
      <c r="N368" s="38">
        <f t="shared" si="140"/>
        <v>14.5</v>
      </c>
      <c r="P368" s="43">
        <f t="shared" si="159"/>
        <v>5393.5069793737457</v>
      </c>
      <c r="Q368" s="43">
        <f t="shared" si="159"/>
        <v>4909.9511812229957</v>
      </c>
      <c r="R368" s="43">
        <f t="shared" si="159"/>
        <v>4469.7486615271409</v>
      </c>
      <c r="S368" s="43">
        <f t="shared" si="159"/>
        <v>4069.0125746316039</v>
      </c>
      <c r="T368" s="43">
        <f t="shared" si="159"/>
        <v>3934.8693029404521</v>
      </c>
      <c r="V368" s="43">
        <f t="shared" si="133"/>
        <v>460.9835025105765</v>
      </c>
      <c r="W368" s="43">
        <f t="shared" si="134"/>
        <v>460.9835025105765</v>
      </c>
      <c r="X368" s="43">
        <f t="shared" si="135"/>
        <v>460.9835025105765</v>
      </c>
      <c r="Y368" s="43">
        <f t="shared" si="136"/>
        <v>460.9835025105765</v>
      </c>
      <c r="Z368" s="43">
        <f t="shared" si="137"/>
        <v>460.9835025105765</v>
      </c>
      <c r="AB368" s="43">
        <f t="shared" si="142"/>
        <v>5854.4904818843224</v>
      </c>
      <c r="AC368" s="43">
        <f t="shared" si="143"/>
        <v>5370.9346837335725</v>
      </c>
      <c r="AD368" s="43">
        <f t="shared" si="144"/>
        <v>4930.7321640377177</v>
      </c>
      <c r="AE368" s="43">
        <f t="shared" si="145"/>
        <v>4529.9960771421802</v>
      </c>
      <c r="AF368" s="43">
        <f t="shared" si="146"/>
        <v>4395.8528054510289</v>
      </c>
      <c r="AH368" s="43">
        <f t="shared" si="147"/>
        <v>60988.11738214927</v>
      </c>
      <c r="AI368" s="43">
        <f t="shared" si="148"/>
        <v>55617.182698415694</v>
      </c>
      <c r="AJ368" s="43">
        <f t="shared" si="149"/>
        <v>50686.450534377975</v>
      </c>
      <c r="AK368" s="43">
        <f t="shared" si="150"/>
        <v>46156.454457235792</v>
      </c>
      <c r="AL368" s="43">
        <f t="shared" si="151"/>
        <v>41760.60165178476</v>
      </c>
      <c r="AN368" s="47">
        <f t="shared" si="152"/>
        <v>8355.0032945524435</v>
      </c>
      <c r="AO368" s="47">
        <f t="shared" si="153"/>
        <v>8207.4110013527716</v>
      </c>
      <c r="AP368" s="47">
        <f t="shared" si="154"/>
        <v>7515.7411412909942</v>
      </c>
      <c r="AQ368" s="47">
        <f t="shared" si="155"/>
        <v>7068.6010722901483</v>
      </c>
      <c r="AR368" s="43">
        <f t="shared" si="156"/>
        <v>5982.7556682188497</v>
      </c>
      <c r="AS368" s="120"/>
      <c r="AT368" s="120"/>
      <c r="AU368" s="120"/>
      <c r="AV368" s="120"/>
      <c r="AW368" s="120"/>
      <c r="AX368" s="120"/>
    </row>
    <row r="369" spans="1:50" s="89" customFormat="1" ht="13">
      <c r="A369" s="3"/>
      <c r="B369" s="37">
        <f>'13. Desinvesteringen'!B652</f>
        <v>633</v>
      </c>
      <c r="C369" s="331"/>
      <c r="D369" s="331"/>
      <c r="E369" s="331"/>
      <c r="F369" s="42">
        <f>'5. Input GAW-waarde desinv.'!D328</f>
        <v>93362.46843644914</v>
      </c>
      <c r="G369" s="175">
        <f>'13. Desinvesteringen'!D652</f>
        <v>2014</v>
      </c>
      <c r="H369" s="175">
        <f>'13. Desinvesteringen'!G652</f>
        <v>2024</v>
      </c>
      <c r="I369" s="37" t="str">
        <f>'13. Desinvesteringen'!C652</f>
        <v>17 Mengstations</v>
      </c>
      <c r="J369" s="164">
        <f>'13. Desinvesteringen'!F652</f>
        <v>0</v>
      </c>
      <c r="K369" s="38">
        <f>_xlfn.XLOOKUP(I369,'3. Input (des)investeringen '!$B$11:$B$89,'3. Input (des)investeringen '!$E$11:$E$89)</f>
        <v>0</v>
      </c>
      <c r="L369" s="331"/>
      <c r="M369" s="38">
        <f>_xlfn.XLOOKUP(I369,'3. Input (des)investeringen '!$B$11:$B$89,'3. Input (des)investeringen '!$D$11:$D$89,0)</f>
        <v>30</v>
      </c>
      <c r="N369" s="38">
        <f t="shared" si="140"/>
        <v>22.5</v>
      </c>
      <c r="P369" s="43">
        <f t="shared" si="159"/>
        <v>4854.8483586953553</v>
      </c>
      <c r="Q369" s="43">
        <f t="shared" si="159"/>
        <v>4574.3460090818462</v>
      </c>
      <c r="R369" s="43">
        <f t="shared" si="159"/>
        <v>4310.0504618904506</v>
      </c>
      <c r="S369" s="43">
        <f t="shared" si="159"/>
        <v>4061.0253240923353</v>
      </c>
      <c r="T369" s="43">
        <f t="shared" si="159"/>
        <v>3826.3883053670006</v>
      </c>
      <c r="V369" s="43">
        <f t="shared" si="133"/>
        <v>414.94430416199623</v>
      </c>
      <c r="W369" s="43">
        <f t="shared" si="134"/>
        <v>414.94430416199623</v>
      </c>
      <c r="X369" s="43">
        <f t="shared" si="135"/>
        <v>414.94430416199623</v>
      </c>
      <c r="Y369" s="43">
        <f t="shared" si="136"/>
        <v>414.94430416199623</v>
      </c>
      <c r="Z369" s="43">
        <f t="shared" si="137"/>
        <v>414.94430416199623</v>
      </c>
      <c r="AB369" s="43">
        <f t="shared" si="142"/>
        <v>5269.7926628573514</v>
      </c>
      <c r="AC369" s="43">
        <f t="shared" si="143"/>
        <v>4989.2903132438423</v>
      </c>
      <c r="AD369" s="43">
        <f t="shared" si="144"/>
        <v>4724.9947660524467</v>
      </c>
      <c r="AE369" s="43">
        <f t="shared" si="145"/>
        <v>4475.9696282543318</v>
      </c>
      <c r="AF369" s="43">
        <f t="shared" si="146"/>
        <v>4241.3326095289967</v>
      </c>
      <c r="AH369" s="43">
        <f t="shared" si="147"/>
        <v>88092.675773591793</v>
      </c>
      <c r="AI369" s="43">
        <f t="shared" si="148"/>
        <v>83103.385460347956</v>
      </c>
      <c r="AJ369" s="43">
        <f t="shared" si="149"/>
        <v>78378.390694295507</v>
      </c>
      <c r="AK369" s="43">
        <f t="shared" si="150"/>
        <v>73902.421066041177</v>
      </c>
      <c r="AL369" s="43">
        <f t="shared" si="151"/>
        <v>69661.088456512181</v>
      </c>
      <c r="AN369" s="47">
        <f t="shared" si="152"/>
        <v>8881.5923695746151</v>
      </c>
      <c r="AO369" s="47">
        <f t="shared" si="153"/>
        <v>9227.5629717215888</v>
      </c>
      <c r="AP369" s="47">
        <f t="shared" si="154"/>
        <v>8722.2926914615164</v>
      </c>
      <c r="AQ369" s="47">
        <f t="shared" si="155"/>
        <v>8540.6027868865967</v>
      </c>
      <c r="AR369" s="43">
        <f t="shared" si="156"/>
        <v>6888.4539708764596</v>
      </c>
      <c r="AS369" s="120"/>
      <c r="AT369" s="120"/>
      <c r="AU369" s="120"/>
      <c r="AV369" s="120"/>
      <c r="AW369" s="120"/>
      <c r="AX369" s="120"/>
    </row>
    <row r="370" spans="1:50" s="89" customFormat="1" ht="13">
      <c r="A370" s="3"/>
      <c r="B370" s="37">
        <f>'13. Desinvesteringen'!B653</f>
        <v>634</v>
      </c>
      <c r="C370" s="331"/>
      <c r="D370" s="331"/>
      <c r="E370" s="331"/>
      <c r="F370" s="42">
        <f>'5. Input GAW-waarde desinv.'!D329</f>
        <v>0</v>
      </c>
      <c r="G370" s="175">
        <f>'13. Desinvesteringen'!D653</f>
        <v>1964</v>
      </c>
      <c r="H370" s="175">
        <f>'13. Desinvesteringen'!G653</f>
        <v>2024</v>
      </c>
      <c r="I370" s="37" t="str">
        <f>'13. Desinvesteringen'!C653</f>
        <v>21 Hoofdtransportleiding</v>
      </c>
      <c r="J370" s="164">
        <f>'13. Desinvesteringen'!F653</f>
        <v>0</v>
      </c>
      <c r="K370" s="38">
        <f>_xlfn.XLOOKUP(I370,'3. Input (des)investeringen '!$B$11:$B$89,'3. Input (des)investeringen '!$E$11:$E$89)</f>
        <v>1</v>
      </c>
      <c r="L370" s="331"/>
      <c r="M370" s="38">
        <f>_xlfn.XLOOKUP(I370,'3. Input (des)investeringen '!$B$11:$B$89,'3. Input (des)investeringen '!$D$11:$D$89,0)</f>
        <v>55</v>
      </c>
      <c r="N370" s="38">
        <f t="shared" si="140"/>
        <v>0</v>
      </c>
      <c r="P370" s="43">
        <f t="shared" si="159"/>
        <v>0</v>
      </c>
      <c r="Q370" s="43">
        <f t="shared" si="159"/>
        <v>0</v>
      </c>
      <c r="R370" s="43">
        <f t="shared" si="159"/>
        <v>0</v>
      </c>
      <c r="S370" s="43">
        <f t="shared" si="159"/>
        <v>0</v>
      </c>
      <c r="T370" s="43">
        <f t="shared" si="159"/>
        <v>0</v>
      </c>
      <c r="V370" s="43">
        <f t="shared" si="133"/>
        <v>0</v>
      </c>
      <c r="W370" s="43">
        <f t="shared" si="134"/>
        <v>0</v>
      </c>
      <c r="X370" s="43">
        <f t="shared" si="135"/>
        <v>0</v>
      </c>
      <c r="Y370" s="43">
        <f t="shared" si="136"/>
        <v>0</v>
      </c>
      <c r="Z370" s="43">
        <f t="shared" si="137"/>
        <v>0</v>
      </c>
      <c r="AB370" s="43">
        <f t="shared" si="142"/>
        <v>0</v>
      </c>
      <c r="AC370" s="43">
        <f t="shared" si="143"/>
        <v>0</v>
      </c>
      <c r="AD370" s="43">
        <f t="shared" si="144"/>
        <v>0</v>
      </c>
      <c r="AE370" s="43">
        <f t="shared" si="145"/>
        <v>0</v>
      </c>
      <c r="AF370" s="43">
        <f t="shared" si="146"/>
        <v>0</v>
      </c>
      <c r="AH370" s="43">
        <f t="shared" si="147"/>
        <v>0</v>
      </c>
      <c r="AI370" s="43">
        <f t="shared" si="148"/>
        <v>0</v>
      </c>
      <c r="AJ370" s="43">
        <f t="shared" si="149"/>
        <v>0</v>
      </c>
      <c r="AK370" s="43">
        <f t="shared" si="150"/>
        <v>0</v>
      </c>
      <c r="AL370" s="43">
        <f t="shared" si="151"/>
        <v>0</v>
      </c>
      <c r="AN370" s="47">
        <f t="shared" si="152"/>
        <v>0</v>
      </c>
      <c r="AO370" s="47">
        <f t="shared" si="153"/>
        <v>0</v>
      </c>
      <c r="AP370" s="47">
        <f t="shared" si="154"/>
        <v>0</v>
      </c>
      <c r="AQ370" s="47">
        <f t="shared" si="155"/>
        <v>0</v>
      </c>
      <c r="AR370" s="43">
        <f t="shared" si="156"/>
        <v>0</v>
      </c>
      <c r="AS370" s="120"/>
      <c r="AT370" s="120"/>
      <c r="AU370" s="120"/>
      <c r="AV370" s="120"/>
      <c r="AW370" s="120"/>
      <c r="AX370" s="120"/>
    </row>
    <row r="371" spans="1:50" s="89" customFormat="1" ht="13">
      <c r="A371" s="3"/>
      <c r="B371" s="37">
        <f>'13. Desinvesteringen'!B654</f>
        <v>635</v>
      </c>
      <c r="C371" s="331"/>
      <c r="D371" s="331"/>
      <c r="E371" s="331"/>
      <c r="F371" s="42">
        <f>'5. Input GAW-waarde desinv.'!D330</f>
        <v>0</v>
      </c>
      <c r="G371" s="175">
        <f>'13. Desinvesteringen'!D654</f>
        <v>1966</v>
      </c>
      <c r="H371" s="175">
        <f>'13. Desinvesteringen'!G654</f>
        <v>2024</v>
      </c>
      <c r="I371" s="37" t="str">
        <f>'13. Desinvesteringen'!C654</f>
        <v>21 Hoofdtransportleiding</v>
      </c>
      <c r="J371" s="164">
        <f>'13. Desinvesteringen'!F654</f>
        <v>0</v>
      </c>
      <c r="K371" s="38">
        <f>_xlfn.XLOOKUP(I371,'3. Input (des)investeringen '!$B$11:$B$89,'3. Input (des)investeringen '!$E$11:$E$89)</f>
        <v>1</v>
      </c>
      <c r="L371" s="331"/>
      <c r="M371" s="38">
        <f>_xlfn.XLOOKUP(I371,'3. Input (des)investeringen '!$B$11:$B$89,'3. Input (des)investeringen '!$D$11:$D$89,0)</f>
        <v>55</v>
      </c>
      <c r="N371" s="38">
        <f t="shared" si="140"/>
        <v>0</v>
      </c>
      <c r="P371" s="43">
        <f t="shared" si="159"/>
        <v>0</v>
      </c>
      <c r="Q371" s="43">
        <f t="shared" si="159"/>
        <v>0</v>
      </c>
      <c r="R371" s="43">
        <f t="shared" si="159"/>
        <v>0</v>
      </c>
      <c r="S371" s="43">
        <f t="shared" si="159"/>
        <v>0</v>
      </c>
      <c r="T371" s="43">
        <f t="shared" si="159"/>
        <v>0</v>
      </c>
      <c r="V371" s="43">
        <f t="shared" si="133"/>
        <v>0</v>
      </c>
      <c r="W371" s="43">
        <f t="shared" si="134"/>
        <v>0</v>
      </c>
      <c r="X371" s="43">
        <f t="shared" si="135"/>
        <v>0</v>
      </c>
      <c r="Y371" s="43">
        <f t="shared" si="136"/>
        <v>0</v>
      </c>
      <c r="Z371" s="43">
        <f t="shared" si="137"/>
        <v>0</v>
      </c>
      <c r="AB371" s="43">
        <f t="shared" si="142"/>
        <v>0</v>
      </c>
      <c r="AC371" s="43">
        <f t="shared" si="143"/>
        <v>0</v>
      </c>
      <c r="AD371" s="43">
        <f t="shared" si="144"/>
        <v>0</v>
      </c>
      <c r="AE371" s="43">
        <f t="shared" si="145"/>
        <v>0</v>
      </c>
      <c r="AF371" s="43">
        <f t="shared" si="146"/>
        <v>0</v>
      </c>
      <c r="AH371" s="43">
        <f t="shared" si="147"/>
        <v>0</v>
      </c>
      <c r="AI371" s="43">
        <f t="shared" si="148"/>
        <v>0</v>
      </c>
      <c r="AJ371" s="43">
        <f t="shared" si="149"/>
        <v>0</v>
      </c>
      <c r="AK371" s="43">
        <f t="shared" si="150"/>
        <v>0</v>
      </c>
      <c r="AL371" s="43">
        <f t="shared" si="151"/>
        <v>0</v>
      </c>
      <c r="AN371" s="47">
        <f t="shared" si="152"/>
        <v>0</v>
      </c>
      <c r="AO371" s="47">
        <f t="shared" si="153"/>
        <v>0</v>
      </c>
      <c r="AP371" s="47">
        <f t="shared" si="154"/>
        <v>0</v>
      </c>
      <c r="AQ371" s="47">
        <f t="shared" si="155"/>
        <v>0</v>
      </c>
      <c r="AR371" s="43">
        <f t="shared" si="156"/>
        <v>0</v>
      </c>
      <c r="AS371" s="120"/>
      <c r="AT371" s="120"/>
      <c r="AU371" s="120"/>
      <c r="AV371" s="120"/>
      <c r="AW371" s="120"/>
      <c r="AX371" s="120"/>
    </row>
    <row r="372" spans="1:50" s="89" customFormat="1" ht="13">
      <c r="A372" s="3"/>
      <c r="B372" s="37">
        <f>'13. Desinvesteringen'!B655</f>
        <v>636</v>
      </c>
      <c r="C372" s="331"/>
      <c r="D372" s="331"/>
      <c r="E372" s="331"/>
      <c r="F372" s="42">
        <f>'5. Input GAW-waarde desinv.'!D331</f>
        <v>3167.6844298719025</v>
      </c>
      <c r="G372" s="175">
        <f>'13. Desinvesteringen'!D655</f>
        <v>1968</v>
      </c>
      <c r="H372" s="175">
        <f>'13. Desinvesteringen'!G655</f>
        <v>2024</v>
      </c>
      <c r="I372" s="37" t="str">
        <f>'13. Desinvesteringen'!C655</f>
        <v>21 Hoofdtransportleiding</v>
      </c>
      <c r="J372" s="164">
        <f>'13. Desinvesteringen'!F655</f>
        <v>0</v>
      </c>
      <c r="K372" s="38">
        <f>_xlfn.XLOOKUP(I372,'3. Input (des)investeringen '!$B$11:$B$89,'3. Input (des)investeringen '!$E$11:$E$89)</f>
        <v>1</v>
      </c>
      <c r="L372" s="331"/>
      <c r="M372" s="38">
        <f>_xlfn.XLOOKUP(I372,'3. Input (des)investeringen '!$B$11:$B$89,'3. Input (des)investeringen '!$D$11:$D$89,0)</f>
        <v>55</v>
      </c>
      <c r="N372" s="38">
        <f t="shared" si="140"/>
        <v>1.5</v>
      </c>
      <c r="P372" s="43">
        <f t="shared" ref="P372:T378" si="160">IF($M372&gt;0, IF(OR($G372&gt;P$50,$G372+$M372&lt;P$50),0,
VDB($F372,0,$N372,MAX(0,P$50-2022),MIN($N372,P$50-2021),$F$23,FALSE))*(1-$F$26), 0)</f>
        <v>2470.793855300084</v>
      </c>
      <c r="Q372" s="43">
        <f t="shared" si="160"/>
        <v>380.12213158462805</v>
      </c>
      <c r="R372" s="43">
        <f t="shared" si="160"/>
        <v>0</v>
      </c>
      <c r="S372" s="43">
        <f t="shared" si="160"/>
        <v>0</v>
      </c>
      <c r="T372" s="43">
        <f t="shared" si="160"/>
        <v>0</v>
      </c>
      <c r="V372" s="43">
        <f t="shared" ref="V372:V378" si="161">IF($M372&gt;0, IF(OR($G372&gt;V$50,$G372+$M372&lt;V$50),0,
VDB($F372,0,$N372,MAX(0,P$50-2022),MIN($N372,P$50-2021),1,FALSE))*$F$26, 0)</f>
        <v>211.17896199146017</v>
      </c>
      <c r="W372" s="43">
        <f t="shared" ref="W372:W378" si="162">IF($M372&gt;0, IF(OR($G372&gt;W$50,$G372+$M372&lt;W$50),0,
VDB($F372,0,$N372,MAX(0,Q$50-2022),MIN($N372,Q$50-2021),1,FALSE))*$F$26, 0)</f>
        <v>105.58948099573009</v>
      </c>
      <c r="X372" s="43">
        <f t="shared" ref="X372:X378" si="163">IF($M372&gt;0, IF(OR($G372&gt;X$50,$G372+$M372&lt;X$50),0,
VDB($F372,0,$N372,MAX(0,R$50-2022),MIN($N372,R$50-2021),1,FALSE))*$F$26, 0)</f>
        <v>0</v>
      </c>
      <c r="Y372" s="43">
        <f t="shared" ref="Y372:Y378" si="164">IF($M372&gt;0, IF(OR($G372&gt;Y$50,$G372+$M372&lt;Y$50),0,
VDB($F372,0,$N372,MAX(0,S$50-2022),MIN($N372,S$50-2021),1,FALSE))*$F$26, 0)</f>
        <v>0</v>
      </c>
      <c r="Z372" s="43">
        <f t="shared" ref="Z372:Z378" si="165">IF($M372&gt;0, IF(OR($G372&gt;Z$50,$G372+$M372&lt;Z$50),0,
VDB($F372,0,$N372,MAX(0,T$50-2022),MIN($N372,T$50-2021),1,FALSE))*$F$26, 0)</f>
        <v>0</v>
      </c>
      <c r="AB372" s="43">
        <f t="shared" si="142"/>
        <v>2681.9728172915443</v>
      </c>
      <c r="AC372" s="43">
        <f t="shared" si="143"/>
        <v>485.71161258035812</v>
      </c>
      <c r="AD372" s="43">
        <f t="shared" si="144"/>
        <v>0</v>
      </c>
      <c r="AE372" s="43">
        <f t="shared" si="145"/>
        <v>0</v>
      </c>
      <c r="AF372" s="43">
        <f t="shared" si="146"/>
        <v>0</v>
      </c>
      <c r="AH372" s="43">
        <f t="shared" si="147"/>
        <v>485.71161258035818</v>
      </c>
      <c r="AI372" s="43">
        <f t="shared" si="148"/>
        <v>0</v>
      </c>
      <c r="AJ372" s="43">
        <f t="shared" si="149"/>
        <v>0</v>
      </c>
      <c r="AK372" s="43">
        <f t="shared" si="150"/>
        <v>0</v>
      </c>
      <c r="AL372" s="43">
        <f t="shared" si="151"/>
        <v>0</v>
      </c>
      <c r="AN372" s="47">
        <f t="shared" si="152"/>
        <v>2701.8869934073391</v>
      </c>
      <c r="AO372" s="47">
        <f t="shared" si="153"/>
        <v>485.71161258035812</v>
      </c>
      <c r="AP372" s="47">
        <f t="shared" si="154"/>
        <v>0</v>
      </c>
      <c r="AQ372" s="47">
        <f t="shared" si="155"/>
        <v>0</v>
      </c>
      <c r="AR372" s="43">
        <f t="shared" si="156"/>
        <v>0</v>
      </c>
      <c r="AS372" s="120"/>
      <c r="AT372" s="120"/>
      <c r="AU372" s="120"/>
      <c r="AV372" s="120"/>
      <c r="AW372" s="120"/>
      <c r="AX372" s="120"/>
    </row>
    <row r="373" spans="1:50" s="89" customFormat="1" ht="13">
      <c r="A373" s="3"/>
      <c r="B373" s="37">
        <f>'13. Desinvesteringen'!B656</f>
        <v>637</v>
      </c>
      <c r="C373" s="331"/>
      <c r="D373" s="331"/>
      <c r="E373" s="331"/>
      <c r="F373" s="42">
        <f>'5. Input GAW-waarde desinv.'!D332</f>
        <v>8760.1489617965944</v>
      </c>
      <c r="G373" s="175">
        <f>'13. Desinvesteringen'!D656</f>
        <v>1970</v>
      </c>
      <c r="H373" s="175">
        <f>'13. Desinvesteringen'!G656</f>
        <v>2024</v>
      </c>
      <c r="I373" s="37" t="str">
        <f>'13. Desinvesteringen'!C656</f>
        <v>21 Hoofdtransportleiding</v>
      </c>
      <c r="J373" s="164">
        <f>'13. Desinvesteringen'!F656</f>
        <v>0</v>
      </c>
      <c r="K373" s="38">
        <f>_xlfn.XLOOKUP(I373,'3. Input (des)investeringen '!$B$11:$B$89,'3. Input (des)investeringen '!$E$11:$E$89)</f>
        <v>1</v>
      </c>
      <c r="L373" s="331"/>
      <c r="M373" s="38">
        <f>_xlfn.XLOOKUP(I373,'3. Input (des)investeringen '!$B$11:$B$89,'3. Input (des)investeringen '!$D$11:$D$89,0)</f>
        <v>55</v>
      </c>
      <c r="N373" s="38">
        <f t="shared" si="140"/>
        <v>3.5</v>
      </c>
      <c r="P373" s="43">
        <f t="shared" si="160"/>
        <v>2928.3926529434334</v>
      </c>
      <c r="Q373" s="43">
        <f t="shared" si="160"/>
        <v>1982.2965650694007</v>
      </c>
      <c r="R373" s="43">
        <f t="shared" si="160"/>
        <v>1982.2965650694007</v>
      </c>
      <c r="S373" s="43">
        <f t="shared" si="160"/>
        <v>991.14828253470034</v>
      </c>
      <c r="T373" s="43">
        <f t="shared" si="160"/>
        <v>0</v>
      </c>
      <c r="V373" s="43">
        <f t="shared" si="161"/>
        <v>250.28997033704556</v>
      </c>
      <c r="W373" s="43">
        <f t="shared" si="162"/>
        <v>250.28997033704556</v>
      </c>
      <c r="X373" s="43">
        <f t="shared" si="163"/>
        <v>250.28997033704556</v>
      </c>
      <c r="Y373" s="43">
        <f t="shared" si="164"/>
        <v>125.14498516852278</v>
      </c>
      <c r="Z373" s="43">
        <f t="shared" si="165"/>
        <v>0</v>
      </c>
      <c r="AB373" s="43">
        <f t="shared" si="142"/>
        <v>3178.6826232804788</v>
      </c>
      <c r="AC373" s="43">
        <f t="shared" si="143"/>
        <v>2232.5865354064463</v>
      </c>
      <c r="AD373" s="43">
        <f t="shared" si="144"/>
        <v>2232.5865354064463</v>
      </c>
      <c r="AE373" s="43">
        <f t="shared" si="145"/>
        <v>1116.2932677032231</v>
      </c>
      <c r="AF373" s="43">
        <f t="shared" si="146"/>
        <v>0</v>
      </c>
      <c r="AH373" s="43">
        <f t="shared" si="147"/>
        <v>5581.4663385161157</v>
      </c>
      <c r="AI373" s="43">
        <f t="shared" si="148"/>
        <v>3348.8798031096694</v>
      </c>
      <c r="AJ373" s="43">
        <f t="shared" si="149"/>
        <v>1116.2932677032231</v>
      </c>
      <c r="AK373" s="43">
        <f t="shared" si="150"/>
        <v>0</v>
      </c>
      <c r="AL373" s="43">
        <f t="shared" si="151"/>
        <v>0</v>
      </c>
      <c r="AN373" s="47">
        <f t="shared" si="152"/>
        <v>3407.5227431596395</v>
      </c>
      <c r="AO373" s="47">
        <f t="shared" si="153"/>
        <v>2403.3794053650395</v>
      </c>
      <c r="AP373" s="47">
        <f t="shared" si="154"/>
        <v>2289.5174920593108</v>
      </c>
      <c r="AQ373" s="47">
        <f t="shared" si="155"/>
        <v>1116.2932677032231</v>
      </c>
      <c r="AR373" s="43">
        <f t="shared" si="156"/>
        <v>0</v>
      </c>
      <c r="AS373" s="120"/>
      <c r="AT373" s="120"/>
      <c r="AU373" s="120"/>
      <c r="AV373" s="120"/>
      <c r="AW373" s="120"/>
      <c r="AX373" s="120"/>
    </row>
    <row r="374" spans="1:50" s="89" customFormat="1" ht="13">
      <c r="A374" s="3"/>
      <c r="B374" s="37">
        <f>'13. Desinvesteringen'!B657</f>
        <v>638</v>
      </c>
      <c r="C374" s="331"/>
      <c r="D374" s="331"/>
      <c r="E374" s="331"/>
      <c r="F374" s="42">
        <f>'5. Input GAW-waarde desinv.'!D333</f>
        <v>3367.2299483855559</v>
      </c>
      <c r="G374" s="175">
        <f>'13. Desinvesteringen'!D657</f>
        <v>1971</v>
      </c>
      <c r="H374" s="175">
        <f>'13. Desinvesteringen'!G657</f>
        <v>2024</v>
      </c>
      <c r="I374" s="37" t="str">
        <f>'13. Desinvesteringen'!C657</f>
        <v>21 Hoofdtransportleiding</v>
      </c>
      <c r="J374" s="164">
        <f>'13. Desinvesteringen'!F657</f>
        <v>0</v>
      </c>
      <c r="K374" s="38">
        <f>_xlfn.XLOOKUP(I374,'3. Input (des)investeringen '!$B$11:$B$89,'3. Input (des)investeringen '!$E$11:$E$89)</f>
        <v>1</v>
      </c>
      <c r="L374" s="331"/>
      <c r="M374" s="38">
        <f>_xlfn.XLOOKUP(I374,'3. Input (des)investeringen '!$B$11:$B$89,'3. Input (des)investeringen '!$D$11:$D$89,0)</f>
        <v>55</v>
      </c>
      <c r="N374" s="38">
        <f t="shared" si="140"/>
        <v>4.5</v>
      </c>
      <c r="P374" s="43">
        <f t="shared" si="160"/>
        <v>875.47978658024465</v>
      </c>
      <c r="Q374" s="43">
        <f t="shared" si="160"/>
        <v>622.56340379039614</v>
      </c>
      <c r="R374" s="43">
        <f t="shared" si="160"/>
        <v>612.98550527054397</v>
      </c>
      <c r="S374" s="43">
        <f t="shared" si="160"/>
        <v>612.98550527054397</v>
      </c>
      <c r="T374" s="43">
        <f t="shared" si="160"/>
        <v>306.49275263527198</v>
      </c>
      <c r="V374" s="43">
        <f t="shared" si="161"/>
        <v>74.827332186345686</v>
      </c>
      <c r="W374" s="43">
        <f t="shared" si="162"/>
        <v>74.827332186345686</v>
      </c>
      <c r="X374" s="43">
        <f t="shared" si="163"/>
        <v>74.827332186345686</v>
      </c>
      <c r="Y374" s="43">
        <f t="shared" si="164"/>
        <v>74.827332186345686</v>
      </c>
      <c r="Z374" s="43">
        <f t="shared" si="165"/>
        <v>37.413666093172843</v>
      </c>
      <c r="AB374" s="43">
        <f t="shared" si="142"/>
        <v>950.30711876659029</v>
      </c>
      <c r="AC374" s="43">
        <f t="shared" si="143"/>
        <v>697.39073597674178</v>
      </c>
      <c r="AD374" s="43">
        <f t="shared" si="144"/>
        <v>687.81283745688961</v>
      </c>
      <c r="AE374" s="43">
        <f t="shared" si="145"/>
        <v>687.81283745688961</v>
      </c>
      <c r="AF374" s="43">
        <f t="shared" si="146"/>
        <v>343.90641872844481</v>
      </c>
      <c r="AH374" s="43">
        <f t="shared" si="147"/>
        <v>2416.9228296189658</v>
      </c>
      <c r="AI374" s="43">
        <f t="shared" si="148"/>
        <v>1719.532093642224</v>
      </c>
      <c r="AJ374" s="43">
        <f t="shared" si="149"/>
        <v>1031.7192561853344</v>
      </c>
      <c r="AK374" s="43">
        <f t="shared" si="150"/>
        <v>343.90641872844481</v>
      </c>
      <c r="AL374" s="43">
        <f t="shared" si="151"/>
        <v>0</v>
      </c>
      <c r="AN374" s="47">
        <f t="shared" si="152"/>
        <v>1049.4009547809678</v>
      </c>
      <c r="AO374" s="47">
        <f t="shared" si="153"/>
        <v>785.0868727524952</v>
      </c>
      <c r="AP374" s="47">
        <f t="shared" si="154"/>
        <v>740.43051952234168</v>
      </c>
      <c r="AQ374" s="47">
        <f t="shared" si="155"/>
        <v>706.72769048695409</v>
      </c>
      <c r="AR374" s="43">
        <f t="shared" si="156"/>
        <v>343.90641872844481</v>
      </c>
      <c r="AS374" s="120"/>
      <c r="AT374" s="120"/>
      <c r="AU374" s="120"/>
      <c r="AV374" s="120"/>
      <c r="AW374" s="120"/>
      <c r="AX374" s="120"/>
    </row>
    <row r="375" spans="1:50" s="89" customFormat="1" ht="13">
      <c r="A375" s="3"/>
      <c r="B375" s="37">
        <f>'13. Desinvesteringen'!B658</f>
        <v>639</v>
      </c>
      <c r="C375" s="331"/>
      <c r="D375" s="331"/>
      <c r="E375" s="331"/>
      <c r="F375" s="42">
        <f>'5. Input GAW-waarde desinv.'!D334</f>
        <v>103376.24222389152</v>
      </c>
      <c r="G375" s="175">
        <f>'13. Desinvesteringen'!D658</f>
        <v>1992</v>
      </c>
      <c r="H375" s="175">
        <f>'13. Desinvesteringen'!G658</f>
        <v>2024</v>
      </c>
      <c r="I375" s="37" t="str">
        <f>'13. Desinvesteringen'!C658</f>
        <v>21 Hoofdtransportleiding</v>
      </c>
      <c r="J375" s="164">
        <f>'13. Desinvesteringen'!F658</f>
        <v>0</v>
      </c>
      <c r="K375" s="38">
        <f>_xlfn.XLOOKUP(I375,'3. Input (des)investeringen '!$B$11:$B$89,'3. Input (des)investeringen '!$E$11:$E$89)</f>
        <v>1</v>
      </c>
      <c r="L375" s="331"/>
      <c r="M375" s="38">
        <f>_xlfn.XLOOKUP(I375,'3. Input (des)investeringen '!$B$11:$B$89,'3. Input (des)investeringen '!$D$11:$D$89,0)</f>
        <v>55</v>
      </c>
      <c r="N375" s="38">
        <f t="shared" si="140"/>
        <v>25.5</v>
      </c>
      <c r="P375" s="43">
        <f t="shared" si="160"/>
        <v>4743.1452314491398</v>
      </c>
      <c r="Q375" s="43">
        <f t="shared" si="160"/>
        <v>4501.33782749291</v>
      </c>
      <c r="R375" s="43">
        <f t="shared" si="160"/>
        <v>4271.8578598168006</v>
      </c>
      <c r="S375" s="43">
        <f t="shared" si="160"/>
        <v>4054.0768708849628</v>
      </c>
      <c r="T375" s="43">
        <f t="shared" si="160"/>
        <v>3847.3984421731807</v>
      </c>
      <c r="V375" s="43">
        <f t="shared" si="161"/>
        <v>405.39702832898638</v>
      </c>
      <c r="W375" s="43">
        <f t="shared" si="162"/>
        <v>405.39702832898638</v>
      </c>
      <c r="X375" s="43">
        <f t="shared" si="163"/>
        <v>405.39702832898638</v>
      </c>
      <c r="Y375" s="43">
        <f t="shared" si="164"/>
        <v>405.39702832898638</v>
      </c>
      <c r="Z375" s="43">
        <f t="shared" si="165"/>
        <v>405.39702832898638</v>
      </c>
      <c r="AB375" s="43">
        <f t="shared" si="142"/>
        <v>5148.5422597781262</v>
      </c>
      <c r="AC375" s="43">
        <f t="shared" si="143"/>
        <v>4906.7348558218964</v>
      </c>
      <c r="AD375" s="43">
        <f t="shared" si="144"/>
        <v>4677.2548881457869</v>
      </c>
      <c r="AE375" s="43">
        <f t="shared" si="145"/>
        <v>4459.4738992139492</v>
      </c>
      <c r="AF375" s="43">
        <f t="shared" si="146"/>
        <v>4252.7954705021675</v>
      </c>
      <c r="AH375" s="43">
        <f t="shared" si="147"/>
        <v>98227.699964113388</v>
      </c>
      <c r="AI375" s="43">
        <f t="shared" si="148"/>
        <v>93320.965108291493</v>
      </c>
      <c r="AJ375" s="43">
        <f t="shared" si="149"/>
        <v>88643.710220145702</v>
      </c>
      <c r="AK375" s="43">
        <f t="shared" si="150"/>
        <v>84184.236320931755</v>
      </c>
      <c r="AL375" s="43">
        <f t="shared" si="151"/>
        <v>79931.440850429586</v>
      </c>
      <c r="AN375" s="47">
        <f t="shared" si="152"/>
        <v>9175.8779583067753</v>
      </c>
      <c r="AO375" s="47">
        <f t="shared" si="153"/>
        <v>9666.1040763447636</v>
      </c>
      <c r="AP375" s="47">
        <f t="shared" si="154"/>
        <v>9198.0841093732179</v>
      </c>
      <c r="AQ375" s="47">
        <f t="shared" si="155"/>
        <v>9089.6068968651962</v>
      </c>
      <c r="AR375" s="43">
        <f t="shared" si="156"/>
        <v>7290.1902228184917</v>
      </c>
      <c r="AS375" s="120"/>
      <c r="AT375" s="120"/>
      <c r="AU375" s="120"/>
      <c r="AV375" s="120"/>
      <c r="AW375" s="120"/>
      <c r="AX375" s="120"/>
    </row>
    <row r="376" spans="1:50" s="89" customFormat="1" ht="13">
      <c r="A376" s="3"/>
      <c r="B376" s="37">
        <f>'13. Desinvesteringen'!B659</f>
        <v>640</v>
      </c>
      <c r="C376" s="331"/>
      <c r="D376" s="331"/>
      <c r="E376" s="331"/>
      <c r="F376" s="42">
        <f>'5. Input GAW-waarde desinv.'!D335</f>
        <v>46475.668533117961</v>
      </c>
      <c r="G376" s="175">
        <f>'13. Desinvesteringen'!D659</f>
        <v>2008</v>
      </c>
      <c r="H376" s="175">
        <f>'13. Desinvesteringen'!G659</f>
        <v>2024</v>
      </c>
      <c r="I376" s="37" t="str">
        <f>'13. Desinvesteringen'!C659</f>
        <v>21 Hoofdtransportleiding</v>
      </c>
      <c r="J376" s="164">
        <f>'13. Desinvesteringen'!F659</f>
        <v>0</v>
      </c>
      <c r="K376" s="38">
        <f>_xlfn.XLOOKUP(I376,'3. Input (des)investeringen '!$B$11:$B$89,'3. Input (des)investeringen '!$E$11:$E$89)</f>
        <v>1</v>
      </c>
      <c r="L376" s="331"/>
      <c r="M376" s="38">
        <f>_xlfn.XLOOKUP(I376,'3. Input (des)investeringen '!$B$11:$B$89,'3. Input (des)investeringen '!$D$11:$D$89,0)</f>
        <v>55</v>
      </c>
      <c r="N376" s="38">
        <f t="shared" si="140"/>
        <v>41.5</v>
      </c>
      <c r="P376" s="43">
        <f t="shared" si="160"/>
        <v>1310.2778839457353</v>
      </c>
      <c r="Q376" s="43">
        <f t="shared" si="160"/>
        <v>1269.2330345691221</v>
      </c>
      <c r="R376" s="43">
        <f t="shared" si="160"/>
        <v>1229.4739274621377</v>
      </c>
      <c r="S376" s="43">
        <f t="shared" si="160"/>
        <v>1190.9602863609141</v>
      </c>
      <c r="T376" s="43">
        <f t="shared" si="160"/>
        <v>1153.6530966676805</v>
      </c>
      <c r="V376" s="43">
        <f t="shared" si="161"/>
        <v>111.98956273040474</v>
      </c>
      <c r="W376" s="43">
        <f t="shared" si="162"/>
        <v>111.98956273040474</v>
      </c>
      <c r="X376" s="43">
        <f t="shared" si="163"/>
        <v>111.98956273040474</v>
      </c>
      <c r="Y376" s="43">
        <f t="shared" si="164"/>
        <v>111.98956273040474</v>
      </c>
      <c r="Z376" s="43">
        <f t="shared" si="165"/>
        <v>111.98956273040474</v>
      </c>
      <c r="AB376" s="43">
        <f t="shared" si="142"/>
        <v>1422.26744667614</v>
      </c>
      <c r="AC376" s="43">
        <f t="shared" si="143"/>
        <v>1381.2225972995268</v>
      </c>
      <c r="AD376" s="43">
        <f t="shared" si="144"/>
        <v>1341.4634901925424</v>
      </c>
      <c r="AE376" s="43">
        <f t="shared" si="145"/>
        <v>1302.9498490913188</v>
      </c>
      <c r="AF376" s="43">
        <f t="shared" si="146"/>
        <v>1265.6426593980852</v>
      </c>
      <c r="AH376" s="43">
        <f t="shared" si="147"/>
        <v>45053.401086441823</v>
      </c>
      <c r="AI376" s="43">
        <f t="shared" si="148"/>
        <v>43672.178489142294</v>
      </c>
      <c r="AJ376" s="43">
        <f t="shared" si="149"/>
        <v>42330.714998949748</v>
      </c>
      <c r="AK376" s="43">
        <f t="shared" si="150"/>
        <v>41027.765149858431</v>
      </c>
      <c r="AL376" s="43">
        <f t="shared" si="151"/>
        <v>39762.122490460344</v>
      </c>
      <c r="AN376" s="47">
        <f t="shared" si="152"/>
        <v>3269.4568912202549</v>
      </c>
      <c r="AO376" s="47">
        <f t="shared" si="153"/>
        <v>3608.5037002457839</v>
      </c>
      <c r="AP376" s="47">
        <f t="shared" si="154"/>
        <v>3500.3299551389796</v>
      </c>
      <c r="AQ376" s="47">
        <f t="shared" si="155"/>
        <v>3559.4769323335327</v>
      </c>
      <c r="AR376" s="43">
        <f t="shared" si="156"/>
        <v>2776.6033140355785</v>
      </c>
      <c r="AS376" s="120"/>
      <c r="AT376" s="120"/>
      <c r="AU376" s="120"/>
      <c r="AV376" s="120"/>
      <c r="AW376" s="120"/>
      <c r="AX376" s="120"/>
    </row>
    <row r="377" spans="1:50" s="89" customFormat="1" ht="13">
      <c r="A377" s="3"/>
      <c r="B377" s="37">
        <f>'13. Desinvesteringen'!B660</f>
        <v>641</v>
      </c>
      <c r="C377" s="331"/>
      <c r="D377" s="331"/>
      <c r="E377" s="331"/>
      <c r="F377" s="42">
        <f>'5. Input GAW-waarde desinv.'!D336</f>
        <v>16985.961159910781</v>
      </c>
      <c r="G377" s="175">
        <f>'13. Desinvesteringen'!D660</f>
        <v>2010</v>
      </c>
      <c r="H377" s="175">
        <f>'13. Desinvesteringen'!G660</f>
        <v>2024</v>
      </c>
      <c r="I377" s="37" t="str">
        <f>'13. Desinvesteringen'!C660</f>
        <v>21 Hoofdtransportleiding</v>
      </c>
      <c r="J377" s="164">
        <f>'13. Desinvesteringen'!F660</f>
        <v>0</v>
      </c>
      <c r="K377" s="38">
        <f>_xlfn.XLOOKUP(I377,'3. Input (des)investeringen '!$B$11:$B$89,'3. Input (des)investeringen '!$E$11:$E$89)</f>
        <v>1</v>
      </c>
      <c r="L377" s="331"/>
      <c r="M377" s="38">
        <f>_xlfn.XLOOKUP(I377,'3. Input (des)investeringen '!$B$11:$B$89,'3. Input (des)investeringen '!$D$11:$D$89,0)</f>
        <v>55</v>
      </c>
      <c r="N377" s="38">
        <f t="shared" si="140"/>
        <v>43.5</v>
      </c>
      <c r="P377" s="43">
        <f t="shared" si="160"/>
        <v>456.86378292173822</v>
      </c>
      <c r="Q377" s="43">
        <f t="shared" si="160"/>
        <v>443.21038251258284</v>
      </c>
      <c r="R377" s="43">
        <f t="shared" si="160"/>
        <v>429.9650147593332</v>
      </c>
      <c r="S377" s="43">
        <f t="shared" si="160"/>
        <v>417.11548558261751</v>
      </c>
      <c r="T377" s="43">
        <f t="shared" si="160"/>
        <v>404.64996532382662</v>
      </c>
      <c r="V377" s="43">
        <f t="shared" si="161"/>
        <v>39.048186574507547</v>
      </c>
      <c r="W377" s="43">
        <f t="shared" si="162"/>
        <v>39.048186574507554</v>
      </c>
      <c r="X377" s="43">
        <f t="shared" si="163"/>
        <v>39.048186574507554</v>
      </c>
      <c r="Y377" s="43">
        <f t="shared" si="164"/>
        <v>39.048186574507554</v>
      </c>
      <c r="Z377" s="43">
        <f t="shared" si="165"/>
        <v>39.048186574507554</v>
      </c>
      <c r="AB377" s="43">
        <f t="shared" si="142"/>
        <v>495.91196949624577</v>
      </c>
      <c r="AC377" s="43">
        <f t="shared" si="143"/>
        <v>482.25856908709039</v>
      </c>
      <c r="AD377" s="43">
        <f t="shared" si="144"/>
        <v>469.01320133384075</v>
      </c>
      <c r="AE377" s="43">
        <f t="shared" si="145"/>
        <v>456.16367215712506</v>
      </c>
      <c r="AF377" s="43">
        <f t="shared" si="146"/>
        <v>443.69815189833417</v>
      </c>
      <c r="AH377" s="43">
        <f t="shared" si="147"/>
        <v>16490.049190414535</v>
      </c>
      <c r="AI377" s="43">
        <f t="shared" si="148"/>
        <v>16007.790621327444</v>
      </c>
      <c r="AJ377" s="43">
        <f t="shared" si="149"/>
        <v>15538.777419993603</v>
      </c>
      <c r="AK377" s="43">
        <f t="shared" si="150"/>
        <v>15082.613747836478</v>
      </c>
      <c r="AL377" s="43">
        <f t="shared" si="151"/>
        <v>14638.915595938144</v>
      </c>
      <c r="AN377" s="47">
        <f t="shared" si="152"/>
        <v>1172.0039863032416</v>
      </c>
      <c r="AO377" s="47">
        <f t="shared" si="153"/>
        <v>1298.6558907747899</v>
      </c>
      <c r="AP377" s="47">
        <f t="shared" si="154"/>
        <v>1261.4908497535146</v>
      </c>
      <c r="AQ377" s="47">
        <f t="shared" si="155"/>
        <v>1285.7074282881313</v>
      </c>
      <c r="AR377" s="43">
        <f t="shared" si="156"/>
        <v>999.97694454398356</v>
      </c>
      <c r="AS377" s="120"/>
      <c r="AT377" s="120"/>
      <c r="AU377" s="120"/>
      <c r="AV377" s="120"/>
      <c r="AW377" s="120"/>
      <c r="AX377" s="120"/>
    </row>
    <row r="378" spans="1:50" s="89" customFormat="1" ht="13">
      <c r="A378" s="3"/>
      <c r="B378" s="37">
        <f>'13. Desinvesteringen'!B661</f>
        <v>642</v>
      </c>
      <c r="C378" s="331"/>
      <c r="D378" s="331"/>
      <c r="E378" s="331"/>
      <c r="F378" s="42">
        <f>'5. Input GAW-waarde desinv.'!D337</f>
        <v>26102.739490909091</v>
      </c>
      <c r="G378" s="175">
        <f>'13. Desinvesteringen'!D661</f>
        <v>2020</v>
      </c>
      <c r="H378" s="175">
        <f>'13. Desinvesteringen'!G661</f>
        <v>2024</v>
      </c>
      <c r="I378" s="37" t="str">
        <f>'13. Desinvesteringen'!C661</f>
        <v>21 Hoofdtransportleiding</v>
      </c>
      <c r="J378" s="164">
        <f>'13. Desinvesteringen'!F661</f>
        <v>0</v>
      </c>
      <c r="K378" s="38">
        <f>_xlfn.XLOOKUP(I378,'3. Input (des)investeringen '!$B$11:$B$89,'3. Input (des)investeringen '!$E$11:$E$89)</f>
        <v>1</v>
      </c>
      <c r="L378" s="331"/>
      <c r="M378" s="38">
        <f>_xlfn.XLOOKUP(I378,'3. Input (des)investeringen '!$B$11:$B$89,'3. Input (des)investeringen '!$D$11:$D$89,0)</f>
        <v>55</v>
      </c>
      <c r="N378" s="38">
        <f t="shared" si="140"/>
        <v>53.5</v>
      </c>
      <c r="P378" s="43">
        <f t="shared" si="160"/>
        <v>570.84495709090902</v>
      </c>
      <c r="Q378" s="43">
        <f t="shared" si="160"/>
        <v>556.9739581335599</v>
      </c>
      <c r="R378" s="43">
        <f t="shared" si="160"/>
        <v>543.44001148732389</v>
      </c>
      <c r="S378" s="43">
        <f t="shared" si="160"/>
        <v>530.23492709604307</v>
      </c>
      <c r="T378" s="43">
        <f t="shared" si="160"/>
        <v>517.35071391427005</v>
      </c>
      <c r="V378" s="43">
        <f t="shared" si="161"/>
        <v>48.790167272727274</v>
      </c>
      <c r="W378" s="43">
        <f t="shared" si="162"/>
        <v>48.790167272727274</v>
      </c>
      <c r="X378" s="43">
        <f t="shared" si="163"/>
        <v>48.790167272727274</v>
      </c>
      <c r="Y378" s="43">
        <f t="shared" si="164"/>
        <v>48.790167272727274</v>
      </c>
      <c r="Z378" s="43">
        <f t="shared" si="165"/>
        <v>48.790167272727274</v>
      </c>
      <c r="AB378" s="43">
        <f t="shared" si="142"/>
        <v>619.63512436363635</v>
      </c>
      <c r="AC378" s="43">
        <f t="shared" si="143"/>
        <v>605.76412540628712</v>
      </c>
      <c r="AD378" s="43">
        <f t="shared" si="144"/>
        <v>592.2301787600511</v>
      </c>
      <c r="AE378" s="43">
        <f t="shared" si="145"/>
        <v>579.0250943687704</v>
      </c>
      <c r="AF378" s="43">
        <f t="shared" si="146"/>
        <v>566.14088118699738</v>
      </c>
      <c r="AH378" s="43">
        <f t="shared" si="147"/>
        <v>25483.104366545456</v>
      </c>
      <c r="AI378" s="43">
        <f t="shared" si="148"/>
        <v>24877.340241139169</v>
      </c>
      <c r="AJ378" s="43">
        <f t="shared" si="149"/>
        <v>24285.110062379117</v>
      </c>
      <c r="AK378" s="43">
        <f t="shared" si="150"/>
        <v>23706.084968010346</v>
      </c>
      <c r="AL378" s="43">
        <f t="shared" si="151"/>
        <v>23139.944086823347</v>
      </c>
      <c r="AN378" s="47">
        <f t="shared" si="152"/>
        <v>1664.4424033920002</v>
      </c>
      <c r="AO378" s="47">
        <f t="shared" si="153"/>
        <v>1874.5084777043846</v>
      </c>
      <c r="AP378" s="47">
        <f t="shared" si="154"/>
        <v>1830.7707919413861</v>
      </c>
      <c r="AQ378" s="47">
        <f t="shared" si="155"/>
        <v>1882.8597676093393</v>
      </c>
      <c r="AR378" s="43">
        <f t="shared" si="156"/>
        <v>1445.4587564862845</v>
      </c>
      <c r="AS378" s="120"/>
      <c r="AT378" s="120"/>
      <c r="AU378" s="120"/>
      <c r="AV378" s="120"/>
      <c r="AW378" s="120"/>
      <c r="AX378" s="120"/>
    </row>
    <row r="379" spans="1:50" s="89" customFormat="1" ht="13">
      <c r="A379" s="3"/>
      <c r="B379" s="37">
        <f>'13. Desinvesteringen'!B662</f>
        <v>643</v>
      </c>
      <c r="C379" s="331"/>
      <c r="D379" s="331"/>
      <c r="E379" s="331"/>
      <c r="F379" s="42">
        <f>'5. Input GAW-waarde desinv.'!D338</f>
        <v>87808</v>
      </c>
      <c r="G379" s="175">
        <f>'13. Desinvesteringen'!D662</f>
        <v>2022</v>
      </c>
      <c r="H379" s="175">
        <f>'13. Desinvesteringen'!G662</f>
        <v>2024</v>
      </c>
      <c r="I379" s="37" t="str">
        <f>'13. Desinvesteringen'!C662</f>
        <v>21 Hoofdtransportleiding</v>
      </c>
      <c r="J379" s="164">
        <f>'13. Desinvesteringen'!F662</f>
        <v>274866</v>
      </c>
      <c r="K379" s="38">
        <f>_xlfn.XLOOKUP(I379,'3. Input (des)investeringen '!$B$11:$B$89,'3. Input (des)investeringen '!$E$11:$E$89)</f>
        <v>1</v>
      </c>
      <c r="L379" s="331"/>
      <c r="M379" s="38">
        <f>_xlfn.XLOOKUP(I379,'3. Input (des)investeringen '!$B$11:$B$89,'3. Input (des)investeringen '!$D$11:$D$89,0)</f>
        <v>55</v>
      </c>
      <c r="N379" s="38">
        <f t="shared" si="140"/>
        <v>55</v>
      </c>
      <c r="P379" s="338">
        <v>933.95781818181808</v>
      </c>
      <c r="Q379" s="338">
        <v>1845.840269752066</v>
      </c>
      <c r="R379" s="338">
        <v>1802.2113179215626</v>
      </c>
      <c r="S379" s="338">
        <v>1759.6135958615982</v>
      </c>
      <c r="T379" s="338">
        <v>1718.0227290503242</v>
      </c>
      <c r="V379" s="338">
        <v>79.825454545454562</v>
      </c>
      <c r="W379" s="338">
        <v>159.65090909090912</v>
      </c>
      <c r="X379" s="338">
        <v>159.65090909090912</v>
      </c>
      <c r="Y379" s="338">
        <v>159.65090909090912</v>
      </c>
      <c r="Z379" s="338">
        <v>159.65090909090912</v>
      </c>
      <c r="AB379" s="43">
        <f t="shared" si="142"/>
        <v>1013.7832727272727</v>
      </c>
      <c r="AC379" s="43">
        <f t="shared" si="143"/>
        <v>2005.4911788429752</v>
      </c>
      <c r="AD379" s="43">
        <f t="shared" si="144"/>
        <v>1961.8622270124717</v>
      </c>
      <c r="AE379" s="43">
        <f t="shared" si="145"/>
        <v>1919.2645049525074</v>
      </c>
      <c r="AF379" s="43">
        <f t="shared" si="146"/>
        <v>1877.6736381412334</v>
      </c>
      <c r="AH379" s="43">
        <f t="shared" si="147"/>
        <v>86794.216727272724</v>
      </c>
      <c r="AI379" s="43">
        <f t="shared" si="148"/>
        <v>84788.725548429749</v>
      </c>
      <c r="AJ379" s="43">
        <f t="shared" si="149"/>
        <v>82826.863321417273</v>
      </c>
      <c r="AK379" s="43">
        <f t="shared" si="150"/>
        <v>80907.598816464772</v>
      </c>
      <c r="AL379" s="43">
        <f t="shared" si="151"/>
        <v>79029.925178323538</v>
      </c>
      <c r="AN379" s="47">
        <f t="shared" si="152"/>
        <v>4572.3461585454543</v>
      </c>
      <c r="AO379" s="47">
        <f t="shared" si="153"/>
        <v>6329.7161818128925</v>
      </c>
      <c r="AP379" s="47">
        <f t="shared" si="154"/>
        <v>6186.0322564047519</v>
      </c>
      <c r="AQ379" s="47">
        <f t="shared" si="155"/>
        <v>6369.1824398580693</v>
      </c>
      <c r="AR379" s="43">
        <f t="shared" si="156"/>
        <v>4880.8107949175283</v>
      </c>
      <c r="AS379" s="120"/>
      <c r="AT379" s="120"/>
      <c r="AU379" s="120"/>
      <c r="AV379" s="120"/>
      <c r="AW379" s="120"/>
      <c r="AX379" s="120"/>
    </row>
    <row r="380" spans="1:50" s="89" customFormat="1" ht="13">
      <c r="A380" s="3"/>
      <c r="B380" s="37">
        <f>'13. Desinvesteringen'!B663</f>
        <v>644</v>
      </c>
      <c r="C380" s="331"/>
      <c r="D380" s="331"/>
      <c r="E380" s="331"/>
      <c r="F380" s="42">
        <f>'5. Input GAW-waarde desinv.'!D339</f>
        <v>0</v>
      </c>
      <c r="G380" s="175">
        <f>'13. Desinvesteringen'!D663</f>
        <v>1964</v>
      </c>
      <c r="H380" s="175">
        <f>'13. Desinvesteringen'!G663</f>
        <v>2024</v>
      </c>
      <c r="I380" s="37" t="str">
        <f>'13. Desinvesteringen'!C663</f>
        <v>32 M&amp;R stations</v>
      </c>
      <c r="J380" s="164">
        <f>'13. Desinvesteringen'!F663</f>
        <v>0</v>
      </c>
      <c r="K380" s="38">
        <f>_xlfn.XLOOKUP(I380,'3. Input (des)investeringen '!$B$11:$B$89,'3. Input (des)investeringen '!$E$11:$E$89)</f>
        <v>1</v>
      </c>
      <c r="L380" s="331"/>
      <c r="M380" s="38">
        <f>_xlfn.XLOOKUP(I380,'3. Input (des)investeringen '!$B$11:$B$89,'3. Input (des)investeringen '!$D$11:$D$89,0)</f>
        <v>30</v>
      </c>
      <c r="N380" s="38">
        <f t="shared" si="140"/>
        <v>0</v>
      </c>
      <c r="P380" s="43">
        <f t="shared" ref="P380:T395" si="166">IF($M380&gt;0, IF(OR($G380&gt;P$50,$G380+$M380&lt;P$50),0,
VDB($F380,0,$N380,MAX(0,P$50-2022),MIN($N380,P$50-2021),$F$23,FALSE))*(1-$F$26), 0)</f>
        <v>0</v>
      </c>
      <c r="Q380" s="43">
        <f t="shared" si="166"/>
        <v>0</v>
      </c>
      <c r="R380" s="43">
        <f t="shared" si="166"/>
        <v>0</v>
      </c>
      <c r="S380" s="43">
        <f t="shared" si="166"/>
        <v>0</v>
      </c>
      <c r="T380" s="43">
        <f t="shared" si="166"/>
        <v>0</v>
      </c>
      <c r="V380" s="43">
        <f t="shared" ref="V380:V383" si="167">IF($M380&gt;0, IF(OR($G380&gt;V$50,$G380+$M380&lt;V$50),0,
VDB($F380,0,$N380,MAX(0,P$50-2022),MIN($N380,P$50-2021),1,FALSE))*$F$26, 0)</f>
        <v>0</v>
      </c>
      <c r="W380" s="43">
        <f t="shared" ref="W380:W383" si="168">IF($M380&gt;0, IF(OR($G380&gt;W$50,$G380+$M380&lt;W$50),0,
VDB($F380,0,$N380,MAX(0,Q$50-2022),MIN($N380,Q$50-2021),1,FALSE))*$F$26, 0)</f>
        <v>0</v>
      </c>
      <c r="X380" s="43">
        <f t="shared" ref="X380:X383" si="169">IF($M380&gt;0, IF(OR($G380&gt;X$50,$G380+$M380&lt;X$50),0,
VDB($F380,0,$N380,MAX(0,R$50-2022),MIN($N380,R$50-2021),1,FALSE))*$F$26, 0)</f>
        <v>0</v>
      </c>
      <c r="Y380" s="43">
        <f t="shared" ref="Y380:Y383" si="170">IF($M380&gt;0, IF(OR($G380&gt;Y$50,$G380+$M380&lt;Y$50),0,
VDB($F380,0,$N380,MAX(0,S$50-2022),MIN($N380,S$50-2021),1,FALSE))*$F$26, 0)</f>
        <v>0</v>
      </c>
      <c r="Z380" s="43">
        <f t="shared" ref="Z380:Z383" si="171">IF($M380&gt;0, IF(OR($G380&gt;Z$50,$G380+$M380&lt;Z$50),0,
VDB($F380,0,$N380,MAX(0,T$50-2022),MIN($N380,T$50-2021),1,FALSE))*$F$26, 0)</f>
        <v>0</v>
      </c>
      <c r="AB380" s="43">
        <f t="shared" si="142"/>
        <v>0</v>
      </c>
      <c r="AC380" s="43">
        <f t="shared" si="143"/>
        <v>0</v>
      </c>
      <c r="AD380" s="43">
        <f t="shared" si="144"/>
        <v>0</v>
      </c>
      <c r="AE380" s="43">
        <f t="shared" si="145"/>
        <v>0</v>
      </c>
      <c r="AF380" s="43">
        <f t="shared" si="146"/>
        <v>0</v>
      </c>
      <c r="AH380" s="43">
        <f t="shared" si="147"/>
        <v>0</v>
      </c>
      <c r="AI380" s="43">
        <f t="shared" si="148"/>
        <v>0</v>
      </c>
      <c r="AJ380" s="43">
        <f t="shared" si="149"/>
        <v>0</v>
      </c>
      <c r="AK380" s="43">
        <f t="shared" si="150"/>
        <v>0</v>
      </c>
      <c r="AL380" s="43">
        <f t="shared" si="151"/>
        <v>0</v>
      </c>
      <c r="AN380" s="47">
        <f t="shared" si="152"/>
        <v>0</v>
      </c>
      <c r="AO380" s="47">
        <f t="shared" si="153"/>
        <v>0</v>
      </c>
      <c r="AP380" s="47">
        <f t="shared" si="154"/>
        <v>0</v>
      </c>
      <c r="AQ380" s="47">
        <f t="shared" si="155"/>
        <v>0</v>
      </c>
      <c r="AR380" s="43">
        <f t="shared" si="156"/>
        <v>0</v>
      </c>
      <c r="AS380" s="120"/>
      <c r="AT380" s="120"/>
      <c r="AU380" s="120"/>
      <c r="AV380" s="120"/>
      <c r="AW380" s="120"/>
      <c r="AX380" s="120"/>
    </row>
    <row r="381" spans="1:50" s="89" customFormat="1" ht="13">
      <c r="A381" s="3"/>
      <c r="B381" s="37">
        <f>'13. Desinvesteringen'!B664</f>
        <v>645</v>
      </c>
      <c r="C381" s="331"/>
      <c r="D381" s="331"/>
      <c r="E381" s="331"/>
      <c r="F381" s="42">
        <f>'5. Input GAW-waarde desinv.'!D340</f>
        <v>0</v>
      </c>
      <c r="G381" s="175">
        <f>'13. Desinvesteringen'!D664</f>
        <v>1973</v>
      </c>
      <c r="H381" s="175">
        <f>'13. Desinvesteringen'!G664</f>
        <v>2024</v>
      </c>
      <c r="I381" s="37" t="str">
        <f>'13. Desinvesteringen'!C664</f>
        <v>34 Reduceerstations</v>
      </c>
      <c r="J381" s="164">
        <f>'13. Desinvesteringen'!F664</f>
        <v>0</v>
      </c>
      <c r="K381" s="38">
        <f>_xlfn.XLOOKUP(I381,'3. Input (des)investeringen '!$B$11:$B$89,'3. Input (des)investeringen '!$E$11:$E$89)</f>
        <v>1</v>
      </c>
      <c r="L381" s="331"/>
      <c r="M381" s="38">
        <f>_xlfn.XLOOKUP(I381,'3. Input (des)investeringen '!$B$11:$B$89,'3. Input (des)investeringen '!$D$11:$D$89,0)</f>
        <v>30</v>
      </c>
      <c r="N381" s="38">
        <f t="shared" si="140"/>
        <v>0</v>
      </c>
      <c r="P381" s="43">
        <f t="shared" si="166"/>
        <v>0</v>
      </c>
      <c r="Q381" s="43">
        <f t="shared" si="166"/>
        <v>0</v>
      </c>
      <c r="R381" s="43">
        <f t="shared" si="166"/>
        <v>0</v>
      </c>
      <c r="S381" s="43">
        <f t="shared" si="166"/>
        <v>0</v>
      </c>
      <c r="T381" s="43">
        <f t="shared" si="166"/>
        <v>0</v>
      </c>
      <c r="V381" s="43">
        <f t="shared" si="167"/>
        <v>0</v>
      </c>
      <c r="W381" s="43">
        <f t="shared" si="168"/>
        <v>0</v>
      </c>
      <c r="X381" s="43">
        <f t="shared" si="169"/>
        <v>0</v>
      </c>
      <c r="Y381" s="43">
        <f t="shared" si="170"/>
        <v>0</v>
      </c>
      <c r="Z381" s="43">
        <f t="shared" si="171"/>
        <v>0</v>
      </c>
      <c r="AB381" s="43">
        <f t="shared" si="142"/>
        <v>0</v>
      </c>
      <c r="AC381" s="43">
        <f t="shared" si="143"/>
        <v>0</v>
      </c>
      <c r="AD381" s="43">
        <f t="shared" si="144"/>
        <v>0</v>
      </c>
      <c r="AE381" s="43">
        <f t="shared" si="145"/>
        <v>0</v>
      </c>
      <c r="AF381" s="43">
        <f t="shared" si="146"/>
        <v>0</v>
      </c>
      <c r="AH381" s="43">
        <f t="shared" si="147"/>
        <v>0</v>
      </c>
      <c r="AI381" s="43">
        <f t="shared" si="148"/>
        <v>0</v>
      </c>
      <c r="AJ381" s="43">
        <f t="shared" si="149"/>
        <v>0</v>
      </c>
      <c r="AK381" s="43">
        <f t="shared" si="150"/>
        <v>0</v>
      </c>
      <c r="AL381" s="43">
        <f t="shared" si="151"/>
        <v>0</v>
      </c>
      <c r="AN381" s="47">
        <f t="shared" si="152"/>
        <v>0</v>
      </c>
      <c r="AO381" s="47">
        <f t="shared" si="153"/>
        <v>0</v>
      </c>
      <c r="AP381" s="47">
        <f t="shared" si="154"/>
        <v>0</v>
      </c>
      <c r="AQ381" s="47">
        <f t="shared" si="155"/>
        <v>0</v>
      </c>
      <c r="AR381" s="43">
        <f t="shared" si="156"/>
        <v>0</v>
      </c>
      <c r="AS381" s="120"/>
      <c r="AT381" s="120"/>
      <c r="AU381" s="120"/>
      <c r="AV381" s="120"/>
      <c r="AW381" s="120"/>
      <c r="AX381" s="120"/>
    </row>
    <row r="382" spans="1:50" s="89" customFormat="1" ht="13">
      <c r="A382" s="3"/>
      <c r="B382" s="37">
        <f>'13. Desinvesteringen'!B665</f>
        <v>646</v>
      </c>
      <c r="C382" s="331"/>
      <c r="D382" s="331"/>
      <c r="E382" s="331"/>
      <c r="F382" s="42">
        <f>'5. Input GAW-waarde desinv.'!D341</f>
        <v>0</v>
      </c>
      <c r="G382" s="175">
        <f>'13. Desinvesteringen'!D665</f>
        <v>1986</v>
      </c>
      <c r="H382" s="175">
        <f>'13. Desinvesteringen'!G665</f>
        <v>2024</v>
      </c>
      <c r="I382" s="37" t="str">
        <f>'13. Desinvesteringen'!C665</f>
        <v>34 Reduceerstations</v>
      </c>
      <c r="J382" s="164">
        <f>'13. Desinvesteringen'!F665</f>
        <v>0</v>
      </c>
      <c r="K382" s="38">
        <f>_xlfn.XLOOKUP(I382,'3. Input (des)investeringen '!$B$11:$B$89,'3. Input (des)investeringen '!$E$11:$E$89)</f>
        <v>1</v>
      </c>
      <c r="L382" s="331"/>
      <c r="M382" s="38">
        <f>_xlfn.XLOOKUP(I382,'3. Input (des)investeringen '!$B$11:$B$89,'3. Input (des)investeringen '!$D$11:$D$89,0)</f>
        <v>30</v>
      </c>
      <c r="N382" s="38">
        <f t="shared" si="140"/>
        <v>0</v>
      </c>
      <c r="P382" s="43">
        <f t="shared" si="166"/>
        <v>0</v>
      </c>
      <c r="Q382" s="43">
        <f t="shared" si="166"/>
        <v>0</v>
      </c>
      <c r="R382" s="43">
        <f t="shared" si="166"/>
        <v>0</v>
      </c>
      <c r="S382" s="43">
        <f t="shared" si="166"/>
        <v>0</v>
      </c>
      <c r="T382" s="43">
        <f t="shared" si="166"/>
        <v>0</v>
      </c>
      <c r="V382" s="43">
        <f t="shared" si="167"/>
        <v>0</v>
      </c>
      <c r="W382" s="43">
        <f t="shared" si="168"/>
        <v>0</v>
      </c>
      <c r="X382" s="43">
        <f t="shared" si="169"/>
        <v>0</v>
      </c>
      <c r="Y382" s="43">
        <f t="shared" si="170"/>
        <v>0</v>
      </c>
      <c r="Z382" s="43">
        <f t="shared" si="171"/>
        <v>0</v>
      </c>
      <c r="AB382" s="43">
        <f t="shared" si="142"/>
        <v>0</v>
      </c>
      <c r="AC382" s="43">
        <f t="shared" si="143"/>
        <v>0</v>
      </c>
      <c r="AD382" s="43">
        <f t="shared" si="144"/>
        <v>0</v>
      </c>
      <c r="AE382" s="43">
        <f t="shared" si="145"/>
        <v>0</v>
      </c>
      <c r="AF382" s="43">
        <f t="shared" si="146"/>
        <v>0</v>
      </c>
      <c r="AH382" s="43">
        <f t="shared" si="147"/>
        <v>0</v>
      </c>
      <c r="AI382" s="43">
        <f t="shared" si="148"/>
        <v>0</v>
      </c>
      <c r="AJ382" s="43">
        <f t="shared" si="149"/>
        <v>0</v>
      </c>
      <c r="AK382" s="43">
        <f t="shared" si="150"/>
        <v>0</v>
      </c>
      <c r="AL382" s="43">
        <f t="shared" si="151"/>
        <v>0</v>
      </c>
      <c r="AN382" s="47">
        <f t="shared" si="152"/>
        <v>0</v>
      </c>
      <c r="AO382" s="47">
        <f t="shared" si="153"/>
        <v>0</v>
      </c>
      <c r="AP382" s="47">
        <f t="shared" si="154"/>
        <v>0</v>
      </c>
      <c r="AQ382" s="47">
        <f t="shared" si="155"/>
        <v>0</v>
      </c>
      <c r="AR382" s="43">
        <f t="shared" si="156"/>
        <v>0</v>
      </c>
      <c r="AS382" s="120"/>
      <c r="AT382" s="120"/>
      <c r="AU382" s="120"/>
      <c r="AV382" s="120"/>
      <c r="AW382" s="120"/>
      <c r="AX382" s="120"/>
    </row>
    <row r="383" spans="1:50" s="89" customFormat="1" ht="13">
      <c r="A383" s="3"/>
      <c r="B383" s="37">
        <f>'13. Desinvesteringen'!B666</f>
        <v>647</v>
      </c>
      <c r="C383" s="331"/>
      <c r="D383" s="331"/>
      <c r="E383" s="331"/>
      <c r="F383" s="42">
        <f>'5. Input GAW-waarde desinv.'!D342</f>
        <v>26595.363825908324</v>
      </c>
      <c r="G383" s="175">
        <f>'13. Desinvesteringen'!D666</f>
        <v>2011</v>
      </c>
      <c r="H383" s="175">
        <f>'13. Desinvesteringen'!G666</f>
        <v>2024</v>
      </c>
      <c r="I383" s="37" t="str">
        <f>'13. Desinvesteringen'!C666</f>
        <v>34 Reduceerstations</v>
      </c>
      <c r="J383" s="164">
        <f>'13. Desinvesteringen'!F666</f>
        <v>0</v>
      </c>
      <c r="K383" s="38">
        <f>_xlfn.XLOOKUP(I383,'3. Input (des)investeringen '!$B$11:$B$89,'3. Input (des)investeringen '!$E$11:$E$89)</f>
        <v>1</v>
      </c>
      <c r="L383" s="331"/>
      <c r="M383" s="38">
        <f>_xlfn.XLOOKUP(I383,'3. Input (des)investeringen '!$B$11:$B$89,'3. Input (des)investeringen '!$D$11:$D$89,0)</f>
        <v>30</v>
      </c>
      <c r="N383" s="38">
        <f t="shared" si="140"/>
        <v>19.5</v>
      </c>
      <c r="P383" s="43">
        <f t="shared" si="166"/>
        <v>1595.7218295544994</v>
      </c>
      <c r="Q383" s="43">
        <f t="shared" si="166"/>
        <v>1489.3403742508663</v>
      </c>
      <c r="R383" s="43">
        <f t="shared" si="166"/>
        <v>1390.051015967475</v>
      </c>
      <c r="S383" s="43">
        <f t="shared" si="166"/>
        <v>1297.3809482363101</v>
      </c>
      <c r="T383" s="43">
        <f t="shared" si="166"/>
        <v>1210.888885020556</v>
      </c>
      <c r="V383" s="43">
        <f t="shared" si="167"/>
        <v>136.38648115850421</v>
      </c>
      <c r="W383" s="43">
        <f t="shared" si="168"/>
        <v>136.38648115850424</v>
      </c>
      <c r="X383" s="43">
        <f t="shared" si="169"/>
        <v>136.38648115850424</v>
      </c>
      <c r="Y383" s="43">
        <f t="shared" si="170"/>
        <v>136.38648115850424</v>
      </c>
      <c r="Z383" s="43">
        <f t="shared" si="171"/>
        <v>136.38648115850424</v>
      </c>
      <c r="AB383" s="43">
        <f t="shared" si="142"/>
        <v>1732.1083107130037</v>
      </c>
      <c r="AC383" s="43">
        <f t="shared" si="143"/>
        <v>1625.7268554093705</v>
      </c>
      <c r="AD383" s="43">
        <f t="shared" si="144"/>
        <v>1526.4374971259792</v>
      </c>
      <c r="AE383" s="43">
        <f t="shared" si="145"/>
        <v>1433.7674293948144</v>
      </c>
      <c r="AF383" s="43">
        <f t="shared" si="146"/>
        <v>1347.2753661790603</v>
      </c>
      <c r="AH383" s="43">
        <f t="shared" si="147"/>
        <v>24863.25551519532</v>
      </c>
      <c r="AI383" s="43">
        <f t="shared" si="148"/>
        <v>23237.528659785949</v>
      </c>
      <c r="AJ383" s="43">
        <f t="shared" si="149"/>
        <v>21711.09116265997</v>
      </c>
      <c r="AK383" s="43">
        <f t="shared" si="150"/>
        <v>20277.323733265155</v>
      </c>
      <c r="AL383" s="43">
        <f t="shared" si="151"/>
        <v>18930.048367086096</v>
      </c>
      <c r="AN383" s="47">
        <f t="shared" si="152"/>
        <v>2751.5017868360119</v>
      </c>
      <c r="AO383" s="47">
        <f t="shared" si="153"/>
        <v>2810.8408170584535</v>
      </c>
      <c r="AP383" s="47">
        <f t="shared" si="154"/>
        <v>2633.7031464216379</v>
      </c>
      <c r="AQ383" s="47">
        <f t="shared" si="155"/>
        <v>2549.0202347243976</v>
      </c>
      <c r="AR383" s="43">
        <f t="shared" si="156"/>
        <v>2066.6172041283317</v>
      </c>
      <c r="AS383" s="120"/>
      <c r="AT383" s="120"/>
      <c r="AU383" s="120"/>
      <c r="AV383" s="120"/>
      <c r="AW383" s="120"/>
      <c r="AX383" s="120"/>
    </row>
    <row r="384" spans="1:50" s="89" customFormat="1" ht="13">
      <c r="A384" s="3"/>
      <c r="B384" s="37">
        <f>'13. Desinvesteringen'!B667</f>
        <v>648</v>
      </c>
      <c r="C384" s="331"/>
      <c r="D384" s="331"/>
      <c r="E384" s="331"/>
      <c r="F384" s="42">
        <f>'5. Input GAW-waarde desinv.'!D343</f>
        <v>4399.4836460310435</v>
      </c>
      <c r="G384" s="175">
        <f>'13. Desinvesteringen'!D667</f>
        <v>1998</v>
      </c>
      <c r="H384" s="175">
        <f>'13. Desinvesteringen'!G667</f>
        <v>2024</v>
      </c>
      <c r="I384" s="37" t="str">
        <f>'13. Desinvesteringen'!C667</f>
        <v>35 Injectiestations</v>
      </c>
      <c r="J384" s="164">
        <f>'13. Desinvesteringen'!F667</f>
        <v>0</v>
      </c>
      <c r="K384" s="38">
        <f>_xlfn.XLOOKUP(I384,'3. Input (des)investeringen '!$B$11:$B$89,'3. Input (des)investeringen '!$E$11:$E$89)</f>
        <v>1</v>
      </c>
      <c r="L384" s="331"/>
      <c r="M384" s="38">
        <f>_xlfn.XLOOKUP(I384,'3. Input (des)investeringen '!$B$11:$B$89,'3. Input (des)investeringen '!$D$11:$D$89,0)</f>
        <v>30</v>
      </c>
      <c r="N384" s="38">
        <f t="shared" ref="N384:N447" si="172">IF($M384&gt;0, MAX(0,IF(G384&lt;2022,M384-2021+G384-0.5,M384)), 0)</f>
        <v>6.5</v>
      </c>
      <c r="P384" s="43">
        <f t="shared" si="166"/>
        <v>791.90705628558794</v>
      </c>
      <c r="Q384" s="43">
        <f t="shared" si="166"/>
        <v>633.52564502847031</v>
      </c>
      <c r="R384" s="43">
        <f t="shared" si="166"/>
        <v>563.13390669197349</v>
      </c>
      <c r="S384" s="43">
        <f t="shared" si="166"/>
        <v>563.13390669197349</v>
      </c>
      <c r="T384" s="43">
        <f t="shared" si="166"/>
        <v>563.13390669197349</v>
      </c>
      <c r="V384" s="43">
        <f t="shared" ref="V384:V447" si="173">IF($M384&gt;0, IF(OR($G384&gt;V$50,$G384+$M384&lt;V$50),0,
VDB($F384,0,$N384,MAX(0,P$50-2022),MIN($N384,P$50-2021),1,FALSE))*$F$26, 0)</f>
        <v>67.684363785092984</v>
      </c>
      <c r="W384" s="43">
        <f t="shared" ref="W384:W447" si="174">IF($M384&gt;0, IF(OR($G384&gt;W$50,$G384+$M384&lt;W$50),0,
VDB($F384,0,$N384,MAX(0,Q$50-2022),MIN($N384,Q$50-2021),1,FALSE))*$F$26, 0)</f>
        <v>67.684363785092984</v>
      </c>
      <c r="X384" s="43">
        <f t="shared" ref="X384:X447" si="175">IF($M384&gt;0, IF(OR($G384&gt;X$50,$G384+$M384&lt;X$50),0,
VDB($F384,0,$N384,MAX(0,R$50-2022),MIN($N384,R$50-2021),1,FALSE))*$F$26, 0)</f>
        <v>67.684363785092984</v>
      </c>
      <c r="Y384" s="43">
        <f t="shared" ref="Y384:Y447" si="176">IF($M384&gt;0, IF(OR($G384&gt;Y$50,$G384+$M384&lt;Y$50),0,
VDB($F384,0,$N384,MAX(0,S$50-2022),MIN($N384,S$50-2021),1,FALSE))*$F$26, 0)</f>
        <v>67.684363785092984</v>
      </c>
      <c r="Z384" s="43">
        <f t="shared" ref="Z384:Z447" si="177">IF($M384&gt;0, IF(OR($G384&gt;Z$50,$G384+$M384&lt;Z$50),0,
VDB($F384,0,$N384,MAX(0,T$50-2022),MIN($N384,T$50-2021),1,FALSE))*$F$26, 0)</f>
        <v>67.684363785092984</v>
      </c>
      <c r="AB384" s="43">
        <f t="shared" ref="AB384:AB447" si="178">P384+V384</f>
        <v>859.5914200706809</v>
      </c>
      <c r="AC384" s="43">
        <f t="shared" ref="AC384:AC447" si="179">Q384+W384</f>
        <v>701.21000881356326</v>
      </c>
      <c r="AD384" s="43">
        <f t="shared" ref="AD384:AD447" si="180">R384+X384</f>
        <v>630.81827047706645</v>
      </c>
      <c r="AE384" s="43">
        <f t="shared" ref="AE384:AE447" si="181">S384+Y384</f>
        <v>630.81827047706645</v>
      </c>
      <c r="AF384" s="43">
        <f t="shared" ref="AF384:AF447" si="182">T384+Z384</f>
        <v>630.81827047706645</v>
      </c>
      <c r="AH384" s="43">
        <f t="shared" ref="AH384:AH447" si="183">IF($M384&gt;0, IF($M384&gt;0,IF(OR($G384&gt;AH$50,$G384+$M384&lt;=AH$50),0,IF(AH$50=2022,$F384-AB384,AG384-AB384))), $F384)</f>
        <v>3539.8922259603623</v>
      </c>
      <c r="AI384" s="43">
        <f t="shared" ref="AI384:AI447" si="184">IF($M384&gt;0, IF(OR($G384&gt;AI$50,$G384+$M384&lt;=AI$50),0,IF(AI$50=2022,$F384-AC384,AH384-AC384)), AH384)</f>
        <v>2838.6822171467993</v>
      </c>
      <c r="AJ384" s="43">
        <f t="shared" ref="AJ384:AJ447" si="185">IF($M384&gt;0, IF(OR($G384&gt;AJ$50,$G384+$M384&lt;=AJ$50),0,IF(AJ$50=2022,$F384-AD384,AI384-AD384)), AI384)</f>
        <v>2207.8639466697327</v>
      </c>
      <c r="AK384" s="43">
        <f t="shared" ref="AK384:AK447" si="186">IF($M384&gt;0, IF(OR($G384&gt;AK$50,$G384+$M384&lt;=AK$50),0,IF(AK$50=2022,$F384-AE384,AJ384-AE384)), AJ384)</f>
        <v>1577.0456761926662</v>
      </c>
      <c r="AL384" s="43">
        <f t="shared" ref="AL384:AL447" si="187">IF($M384&gt;0, IF(OR($G384&gt;AL$50,$G384+$M384&lt;=AL$50),0,IF(AL$50=2022,$F384-AF384,AK384-AF384)), AK384)</f>
        <v>946.22740571559973</v>
      </c>
      <c r="AN384" s="47">
        <f t="shared" ref="AN384:AN447" si="188">(AB384+AH384*H$17)*IF($K384=1,$F$32,1)</f>
        <v>1004.7270013350558</v>
      </c>
      <c r="AO384" s="47">
        <f t="shared" ref="AO384:AO447" si="189">(AC384+AI384*I$17)*IF($K384=1,$F$32,1)</f>
        <v>845.98280188805006</v>
      </c>
      <c r="AP384" s="47">
        <f t="shared" ref="AP384:AP447" si="190">(AD384+AJ384*J$17)*IF($K384=1,$F$32,1)</f>
        <v>743.41933175722284</v>
      </c>
      <c r="AQ384" s="47">
        <f t="shared" ref="AQ384:AQ447" si="191">(AE384+AK384*K$17)*IF($K384=1,$F$32,1)</f>
        <v>717.55578266766315</v>
      </c>
      <c r="AR384" s="43">
        <f t="shared" ref="AR384:AR447" si="192">(AF384+AL384*L$17)*IF($K384=1,$F$32,1)</f>
        <v>666.77491189425928</v>
      </c>
      <c r="AS384" s="120"/>
      <c r="AT384" s="120"/>
      <c r="AU384" s="120"/>
      <c r="AV384" s="120"/>
      <c r="AW384" s="120"/>
      <c r="AX384" s="120"/>
    </row>
    <row r="385" spans="1:50" s="89" customFormat="1" ht="13">
      <c r="A385" s="3"/>
      <c r="B385" s="37">
        <f>'13. Desinvesteringen'!B668</f>
        <v>649</v>
      </c>
      <c r="C385" s="331"/>
      <c r="D385" s="331"/>
      <c r="E385" s="331"/>
      <c r="F385" s="42">
        <f>'5. Input GAW-waarde desinv.'!D344</f>
        <v>0</v>
      </c>
      <c r="G385" s="175">
        <f>'13. Desinvesteringen'!D668</f>
        <v>1955</v>
      </c>
      <c r="H385" s="175">
        <f>'13. Desinvesteringen'!G668</f>
        <v>2025</v>
      </c>
      <c r="I385" s="37" t="str">
        <f>'13. Desinvesteringen'!C668</f>
        <v>01 Regionale leidingen</v>
      </c>
      <c r="J385" s="164">
        <f>'13. Desinvesteringen'!F668</f>
        <v>0</v>
      </c>
      <c r="K385" s="38">
        <f>_xlfn.XLOOKUP(I385,'3. Input (des)investeringen '!$B$11:$B$89,'3. Input (des)investeringen '!$E$11:$E$89)</f>
        <v>1</v>
      </c>
      <c r="L385" s="331"/>
      <c r="M385" s="38">
        <f>_xlfn.XLOOKUP(I385,'3. Input (des)investeringen '!$B$11:$B$89,'3. Input (des)investeringen '!$D$11:$D$89,0)</f>
        <v>55</v>
      </c>
      <c r="N385" s="38">
        <f t="shared" si="172"/>
        <v>0</v>
      </c>
      <c r="P385" s="43">
        <f t="shared" si="166"/>
        <v>0</v>
      </c>
      <c r="Q385" s="43">
        <f t="shared" si="166"/>
        <v>0</v>
      </c>
      <c r="R385" s="43">
        <f t="shared" si="166"/>
        <v>0</v>
      </c>
      <c r="S385" s="43">
        <f t="shared" si="166"/>
        <v>0</v>
      </c>
      <c r="T385" s="43">
        <f t="shared" si="166"/>
        <v>0</v>
      </c>
      <c r="V385" s="43">
        <f t="shared" si="173"/>
        <v>0</v>
      </c>
      <c r="W385" s="43">
        <f t="shared" si="174"/>
        <v>0</v>
      </c>
      <c r="X385" s="43">
        <f t="shared" si="175"/>
        <v>0</v>
      </c>
      <c r="Y385" s="43">
        <f t="shared" si="176"/>
        <v>0</v>
      </c>
      <c r="Z385" s="43">
        <f t="shared" si="177"/>
        <v>0</v>
      </c>
      <c r="AB385" s="43">
        <f t="shared" si="178"/>
        <v>0</v>
      </c>
      <c r="AC385" s="43">
        <f t="shared" si="179"/>
        <v>0</v>
      </c>
      <c r="AD385" s="43">
        <f t="shared" si="180"/>
        <v>0</v>
      </c>
      <c r="AE385" s="43">
        <f t="shared" si="181"/>
        <v>0</v>
      </c>
      <c r="AF385" s="43">
        <f t="shared" si="182"/>
        <v>0</v>
      </c>
      <c r="AH385" s="43">
        <f t="shared" si="183"/>
        <v>0</v>
      </c>
      <c r="AI385" s="43">
        <f t="shared" si="184"/>
        <v>0</v>
      </c>
      <c r="AJ385" s="43">
        <f t="shared" si="185"/>
        <v>0</v>
      </c>
      <c r="AK385" s="43">
        <f t="shared" si="186"/>
        <v>0</v>
      </c>
      <c r="AL385" s="43">
        <f t="shared" si="187"/>
        <v>0</v>
      </c>
      <c r="AN385" s="47">
        <f t="shared" si="188"/>
        <v>0</v>
      </c>
      <c r="AO385" s="47">
        <f t="shared" si="189"/>
        <v>0</v>
      </c>
      <c r="AP385" s="47">
        <f t="shared" si="190"/>
        <v>0</v>
      </c>
      <c r="AQ385" s="47">
        <f t="shared" si="191"/>
        <v>0</v>
      </c>
      <c r="AR385" s="43">
        <f t="shared" si="192"/>
        <v>0</v>
      </c>
      <c r="AS385" s="120"/>
      <c r="AT385" s="120"/>
      <c r="AU385" s="120"/>
      <c r="AV385" s="120"/>
      <c r="AW385" s="120"/>
      <c r="AX385" s="120"/>
    </row>
    <row r="386" spans="1:50" s="89" customFormat="1" ht="13">
      <c r="A386" s="3"/>
      <c r="B386" s="37">
        <f>'13. Desinvesteringen'!B669</f>
        <v>650</v>
      </c>
      <c r="C386" s="331"/>
      <c r="D386" s="331"/>
      <c r="E386" s="331"/>
      <c r="F386" s="42">
        <f>'5. Input GAW-waarde desinv.'!D345</f>
        <v>0</v>
      </c>
      <c r="G386" s="175">
        <f>'13. Desinvesteringen'!D669</f>
        <v>1958</v>
      </c>
      <c r="H386" s="175">
        <f>'13. Desinvesteringen'!G669</f>
        <v>2025</v>
      </c>
      <c r="I386" s="37" t="str">
        <f>'13. Desinvesteringen'!C669</f>
        <v>01 Regionale leidingen</v>
      </c>
      <c r="J386" s="164">
        <f>'13. Desinvesteringen'!F669</f>
        <v>0</v>
      </c>
      <c r="K386" s="38">
        <f>_xlfn.XLOOKUP(I386,'3. Input (des)investeringen '!$B$11:$B$89,'3. Input (des)investeringen '!$E$11:$E$89)</f>
        <v>1</v>
      </c>
      <c r="L386" s="331"/>
      <c r="M386" s="38">
        <f>_xlfn.XLOOKUP(I386,'3. Input (des)investeringen '!$B$11:$B$89,'3. Input (des)investeringen '!$D$11:$D$89,0)</f>
        <v>55</v>
      </c>
      <c r="N386" s="38">
        <f t="shared" si="172"/>
        <v>0</v>
      </c>
      <c r="P386" s="43">
        <f t="shared" si="166"/>
        <v>0</v>
      </c>
      <c r="Q386" s="43">
        <f t="shared" si="166"/>
        <v>0</v>
      </c>
      <c r="R386" s="43">
        <f t="shared" si="166"/>
        <v>0</v>
      </c>
      <c r="S386" s="43">
        <f t="shared" si="166"/>
        <v>0</v>
      </c>
      <c r="T386" s="43">
        <f t="shared" si="166"/>
        <v>0</v>
      </c>
      <c r="V386" s="43">
        <f t="shared" si="173"/>
        <v>0</v>
      </c>
      <c r="W386" s="43">
        <f t="shared" si="174"/>
        <v>0</v>
      </c>
      <c r="X386" s="43">
        <f t="shared" si="175"/>
        <v>0</v>
      </c>
      <c r="Y386" s="43">
        <f t="shared" si="176"/>
        <v>0</v>
      </c>
      <c r="Z386" s="43">
        <f t="shared" si="177"/>
        <v>0</v>
      </c>
      <c r="AB386" s="43">
        <f t="shared" si="178"/>
        <v>0</v>
      </c>
      <c r="AC386" s="43">
        <f t="shared" si="179"/>
        <v>0</v>
      </c>
      <c r="AD386" s="43">
        <f t="shared" si="180"/>
        <v>0</v>
      </c>
      <c r="AE386" s="43">
        <f t="shared" si="181"/>
        <v>0</v>
      </c>
      <c r="AF386" s="43">
        <f t="shared" si="182"/>
        <v>0</v>
      </c>
      <c r="AH386" s="43">
        <f t="shared" si="183"/>
        <v>0</v>
      </c>
      <c r="AI386" s="43">
        <f t="shared" si="184"/>
        <v>0</v>
      </c>
      <c r="AJ386" s="43">
        <f t="shared" si="185"/>
        <v>0</v>
      </c>
      <c r="AK386" s="43">
        <f t="shared" si="186"/>
        <v>0</v>
      </c>
      <c r="AL386" s="43">
        <f t="shared" si="187"/>
        <v>0</v>
      </c>
      <c r="AN386" s="47">
        <f t="shared" si="188"/>
        <v>0</v>
      </c>
      <c r="AO386" s="47">
        <f t="shared" si="189"/>
        <v>0</v>
      </c>
      <c r="AP386" s="47">
        <f t="shared" si="190"/>
        <v>0</v>
      </c>
      <c r="AQ386" s="47">
        <f t="shared" si="191"/>
        <v>0</v>
      </c>
      <c r="AR386" s="43">
        <f t="shared" si="192"/>
        <v>0</v>
      </c>
      <c r="AS386" s="120"/>
      <c r="AT386" s="120"/>
      <c r="AU386" s="120"/>
      <c r="AV386" s="120"/>
      <c r="AW386" s="120"/>
      <c r="AX386" s="120"/>
    </row>
    <row r="387" spans="1:50" s="89" customFormat="1" ht="13">
      <c r="A387" s="3"/>
      <c r="B387" s="37">
        <f>'13. Desinvesteringen'!B670</f>
        <v>651</v>
      </c>
      <c r="C387" s="331"/>
      <c r="D387" s="331"/>
      <c r="E387" s="331"/>
      <c r="F387" s="42">
        <f>'5. Input GAW-waarde desinv.'!D346</f>
        <v>0</v>
      </c>
      <c r="G387" s="175">
        <f>'13. Desinvesteringen'!D670</f>
        <v>1959</v>
      </c>
      <c r="H387" s="175">
        <f>'13. Desinvesteringen'!G670</f>
        <v>2025</v>
      </c>
      <c r="I387" s="37" t="str">
        <f>'13. Desinvesteringen'!C670</f>
        <v>01 Regionale leidingen</v>
      </c>
      <c r="J387" s="164">
        <f>'13. Desinvesteringen'!F670</f>
        <v>0</v>
      </c>
      <c r="K387" s="38">
        <f>_xlfn.XLOOKUP(I387,'3. Input (des)investeringen '!$B$11:$B$89,'3. Input (des)investeringen '!$E$11:$E$89)</f>
        <v>1</v>
      </c>
      <c r="L387" s="331"/>
      <c r="M387" s="38">
        <f>_xlfn.XLOOKUP(I387,'3. Input (des)investeringen '!$B$11:$B$89,'3. Input (des)investeringen '!$D$11:$D$89,0)</f>
        <v>55</v>
      </c>
      <c r="N387" s="38">
        <f t="shared" si="172"/>
        <v>0</v>
      </c>
      <c r="P387" s="43">
        <f t="shared" si="166"/>
        <v>0</v>
      </c>
      <c r="Q387" s="43">
        <f t="shared" si="166"/>
        <v>0</v>
      </c>
      <c r="R387" s="43">
        <f t="shared" si="166"/>
        <v>0</v>
      </c>
      <c r="S387" s="43">
        <f t="shared" si="166"/>
        <v>0</v>
      </c>
      <c r="T387" s="43">
        <f t="shared" si="166"/>
        <v>0</v>
      </c>
      <c r="V387" s="43">
        <f t="shared" si="173"/>
        <v>0</v>
      </c>
      <c r="W387" s="43">
        <f t="shared" si="174"/>
        <v>0</v>
      </c>
      <c r="X387" s="43">
        <f t="shared" si="175"/>
        <v>0</v>
      </c>
      <c r="Y387" s="43">
        <f t="shared" si="176"/>
        <v>0</v>
      </c>
      <c r="Z387" s="43">
        <f t="shared" si="177"/>
        <v>0</v>
      </c>
      <c r="AB387" s="43">
        <f t="shared" si="178"/>
        <v>0</v>
      </c>
      <c r="AC387" s="43">
        <f t="shared" si="179"/>
        <v>0</v>
      </c>
      <c r="AD387" s="43">
        <f t="shared" si="180"/>
        <v>0</v>
      </c>
      <c r="AE387" s="43">
        <f t="shared" si="181"/>
        <v>0</v>
      </c>
      <c r="AF387" s="43">
        <f t="shared" si="182"/>
        <v>0</v>
      </c>
      <c r="AH387" s="43">
        <f t="shared" si="183"/>
        <v>0</v>
      </c>
      <c r="AI387" s="43">
        <f t="shared" si="184"/>
        <v>0</v>
      </c>
      <c r="AJ387" s="43">
        <f t="shared" si="185"/>
        <v>0</v>
      </c>
      <c r="AK387" s="43">
        <f t="shared" si="186"/>
        <v>0</v>
      </c>
      <c r="AL387" s="43">
        <f t="shared" si="187"/>
        <v>0</v>
      </c>
      <c r="AN387" s="47">
        <f t="shared" si="188"/>
        <v>0</v>
      </c>
      <c r="AO387" s="47">
        <f t="shared" si="189"/>
        <v>0</v>
      </c>
      <c r="AP387" s="47">
        <f t="shared" si="190"/>
        <v>0</v>
      </c>
      <c r="AQ387" s="47">
        <f t="shared" si="191"/>
        <v>0</v>
      </c>
      <c r="AR387" s="43">
        <f t="shared" si="192"/>
        <v>0</v>
      </c>
      <c r="AS387" s="120"/>
      <c r="AT387" s="120"/>
      <c r="AU387" s="120"/>
      <c r="AV387" s="120"/>
      <c r="AW387" s="120"/>
      <c r="AX387" s="120"/>
    </row>
    <row r="388" spans="1:50" s="89" customFormat="1" ht="13">
      <c r="A388" s="3"/>
      <c r="B388" s="37">
        <f>'13. Desinvesteringen'!B671</f>
        <v>652</v>
      </c>
      <c r="C388" s="331"/>
      <c r="D388" s="331"/>
      <c r="E388" s="331"/>
      <c r="F388" s="42">
        <f>'5. Input GAW-waarde desinv.'!D347</f>
        <v>0</v>
      </c>
      <c r="G388" s="175">
        <f>'13. Desinvesteringen'!D671</f>
        <v>1960</v>
      </c>
      <c r="H388" s="175">
        <f>'13. Desinvesteringen'!G671</f>
        <v>2025</v>
      </c>
      <c r="I388" s="37" t="str">
        <f>'13. Desinvesteringen'!C671</f>
        <v>01 Regionale leidingen</v>
      </c>
      <c r="J388" s="164">
        <f>'13. Desinvesteringen'!F671</f>
        <v>0</v>
      </c>
      <c r="K388" s="38">
        <f>_xlfn.XLOOKUP(I388,'3. Input (des)investeringen '!$B$11:$B$89,'3. Input (des)investeringen '!$E$11:$E$89)</f>
        <v>1</v>
      </c>
      <c r="L388" s="331"/>
      <c r="M388" s="38">
        <f>_xlfn.XLOOKUP(I388,'3. Input (des)investeringen '!$B$11:$B$89,'3. Input (des)investeringen '!$D$11:$D$89,0)</f>
        <v>55</v>
      </c>
      <c r="N388" s="38">
        <f t="shared" si="172"/>
        <v>0</v>
      </c>
      <c r="P388" s="43">
        <f t="shared" si="166"/>
        <v>0</v>
      </c>
      <c r="Q388" s="43">
        <f t="shared" si="166"/>
        <v>0</v>
      </c>
      <c r="R388" s="43">
        <f t="shared" si="166"/>
        <v>0</v>
      </c>
      <c r="S388" s="43">
        <f t="shared" si="166"/>
        <v>0</v>
      </c>
      <c r="T388" s="43">
        <f t="shared" si="166"/>
        <v>0</v>
      </c>
      <c r="V388" s="43">
        <f t="shared" si="173"/>
        <v>0</v>
      </c>
      <c r="W388" s="43">
        <f t="shared" si="174"/>
        <v>0</v>
      </c>
      <c r="X388" s="43">
        <f t="shared" si="175"/>
        <v>0</v>
      </c>
      <c r="Y388" s="43">
        <f t="shared" si="176"/>
        <v>0</v>
      </c>
      <c r="Z388" s="43">
        <f t="shared" si="177"/>
        <v>0</v>
      </c>
      <c r="AB388" s="43">
        <f t="shared" si="178"/>
        <v>0</v>
      </c>
      <c r="AC388" s="43">
        <f t="shared" si="179"/>
        <v>0</v>
      </c>
      <c r="AD388" s="43">
        <f t="shared" si="180"/>
        <v>0</v>
      </c>
      <c r="AE388" s="43">
        <f t="shared" si="181"/>
        <v>0</v>
      </c>
      <c r="AF388" s="43">
        <f t="shared" si="182"/>
        <v>0</v>
      </c>
      <c r="AH388" s="43">
        <f t="shared" si="183"/>
        <v>0</v>
      </c>
      <c r="AI388" s="43">
        <f t="shared" si="184"/>
        <v>0</v>
      </c>
      <c r="AJ388" s="43">
        <f t="shared" si="185"/>
        <v>0</v>
      </c>
      <c r="AK388" s="43">
        <f t="shared" si="186"/>
        <v>0</v>
      </c>
      <c r="AL388" s="43">
        <f t="shared" si="187"/>
        <v>0</v>
      </c>
      <c r="AN388" s="47">
        <f t="shared" si="188"/>
        <v>0</v>
      </c>
      <c r="AO388" s="47">
        <f t="shared" si="189"/>
        <v>0</v>
      </c>
      <c r="AP388" s="47">
        <f t="shared" si="190"/>
        <v>0</v>
      </c>
      <c r="AQ388" s="47">
        <f t="shared" si="191"/>
        <v>0</v>
      </c>
      <c r="AR388" s="43">
        <f t="shared" si="192"/>
        <v>0</v>
      </c>
      <c r="AS388" s="120"/>
      <c r="AT388" s="120"/>
      <c r="AU388" s="120"/>
      <c r="AV388" s="120"/>
      <c r="AW388" s="120"/>
      <c r="AX388" s="120"/>
    </row>
    <row r="389" spans="1:50" s="89" customFormat="1" ht="13">
      <c r="A389" s="3"/>
      <c r="B389" s="37">
        <f>'13. Desinvesteringen'!B672</f>
        <v>653</v>
      </c>
      <c r="C389" s="331"/>
      <c r="D389" s="331"/>
      <c r="E389" s="331"/>
      <c r="F389" s="42">
        <f>'5. Input GAW-waarde desinv.'!D348</f>
        <v>0</v>
      </c>
      <c r="G389" s="175">
        <f>'13. Desinvesteringen'!D672</f>
        <v>1962</v>
      </c>
      <c r="H389" s="175">
        <f>'13. Desinvesteringen'!G672</f>
        <v>2025</v>
      </c>
      <c r="I389" s="37" t="str">
        <f>'13. Desinvesteringen'!C672</f>
        <v>01 Regionale leidingen</v>
      </c>
      <c r="J389" s="164">
        <f>'13. Desinvesteringen'!F672</f>
        <v>0</v>
      </c>
      <c r="K389" s="38">
        <f>_xlfn.XLOOKUP(I389,'3. Input (des)investeringen '!$B$11:$B$89,'3. Input (des)investeringen '!$E$11:$E$89)</f>
        <v>1</v>
      </c>
      <c r="L389" s="331"/>
      <c r="M389" s="38">
        <f>_xlfn.XLOOKUP(I389,'3. Input (des)investeringen '!$B$11:$B$89,'3. Input (des)investeringen '!$D$11:$D$89,0)</f>
        <v>55</v>
      </c>
      <c r="N389" s="38">
        <f t="shared" si="172"/>
        <v>0</v>
      </c>
      <c r="P389" s="43">
        <f t="shared" si="166"/>
        <v>0</v>
      </c>
      <c r="Q389" s="43">
        <f t="shared" si="166"/>
        <v>0</v>
      </c>
      <c r="R389" s="43">
        <f t="shared" si="166"/>
        <v>0</v>
      </c>
      <c r="S389" s="43">
        <f t="shared" si="166"/>
        <v>0</v>
      </c>
      <c r="T389" s="43">
        <f t="shared" si="166"/>
        <v>0</v>
      </c>
      <c r="V389" s="43">
        <f t="shared" si="173"/>
        <v>0</v>
      </c>
      <c r="W389" s="43">
        <f t="shared" si="174"/>
        <v>0</v>
      </c>
      <c r="X389" s="43">
        <f t="shared" si="175"/>
        <v>0</v>
      </c>
      <c r="Y389" s="43">
        <f t="shared" si="176"/>
        <v>0</v>
      </c>
      <c r="Z389" s="43">
        <f t="shared" si="177"/>
        <v>0</v>
      </c>
      <c r="AB389" s="43">
        <f t="shared" si="178"/>
        <v>0</v>
      </c>
      <c r="AC389" s="43">
        <f t="shared" si="179"/>
        <v>0</v>
      </c>
      <c r="AD389" s="43">
        <f t="shared" si="180"/>
        <v>0</v>
      </c>
      <c r="AE389" s="43">
        <f t="shared" si="181"/>
        <v>0</v>
      </c>
      <c r="AF389" s="43">
        <f t="shared" si="182"/>
        <v>0</v>
      </c>
      <c r="AH389" s="43">
        <f t="shared" si="183"/>
        <v>0</v>
      </c>
      <c r="AI389" s="43">
        <f t="shared" si="184"/>
        <v>0</v>
      </c>
      <c r="AJ389" s="43">
        <f t="shared" si="185"/>
        <v>0</v>
      </c>
      <c r="AK389" s="43">
        <f t="shared" si="186"/>
        <v>0</v>
      </c>
      <c r="AL389" s="43">
        <f t="shared" si="187"/>
        <v>0</v>
      </c>
      <c r="AN389" s="47">
        <f t="shared" si="188"/>
        <v>0</v>
      </c>
      <c r="AO389" s="47">
        <f t="shared" si="189"/>
        <v>0</v>
      </c>
      <c r="AP389" s="47">
        <f t="shared" si="190"/>
        <v>0</v>
      </c>
      <c r="AQ389" s="47">
        <f t="shared" si="191"/>
        <v>0</v>
      </c>
      <c r="AR389" s="43">
        <f t="shared" si="192"/>
        <v>0</v>
      </c>
      <c r="AS389" s="120"/>
      <c r="AT389" s="120"/>
      <c r="AU389" s="120"/>
      <c r="AV389" s="120"/>
      <c r="AW389" s="120"/>
      <c r="AX389" s="120"/>
    </row>
    <row r="390" spans="1:50" s="89" customFormat="1" ht="13">
      <c r="A390" s="3"/>
      <c r="B390" s="37">
        <f>'13. Desinvesteringen'!B673</f>
        <v>654</v>
      </c>
      <c r="C390" s="331"/>
      <c r="D390" s="331"/>
      <c r="E390" s="331"/>
      <c r="F390" s="42">
        <f>'5. Input GAW-waarde desinv.'!D349</f>
        <v>0</v>
      </c>
      <c r="G390" s="175">
        <f>'13. Desinvesteringen'!D673</f>
        <v>1964</v>
      </c>
      <c r="H390" s="175">
        <f>'13. Desinvesteringen'!G673</f>
        <v>2025</v>
      </c>
      <c r="I390" s="37" t="str">
        <f>'13. Desinvesteringen'!C673</f>
        <v>01 Regionale leidingen</v>
      </c>
      <c r="J390" s="164">
        <f>'13. Desinvesteringen'!F673</f>
        <v>0</v>
      </c>
      <c r="K390" s="38">
        <f>_xlfn.XLOOKUP(I390,'3. Input (des)investeringen '!$B$11:$B$89,'3. Input (des)investeringen '!$E$11:$E$89)</f>
        <v>1</v>
      </c>
      <c r="L390" s="331"/>
      <c r="M390" s="38">
        <f>_xlfn.XLOOKUP(I390,'3. Input (des)investeringen '!$B$11:$B$89,'3. Input (des)investeringen '!$D$11:$D$89,0)</f>
        <v>55</v>
      </c>
      <c r="N390" s="38">
        <f t="shared" si="172"/>
        <v>0</v>
      </c>
      <c r="P390" s="43">
        <f t="shared" si="166"/>
        <v>0</v>
      </c>
      <c r="Q390" s="43">
        <f t="shared" si="166"/>
        <v>0</v>
      </c>
      <c r="R390" s="43">
        <f t="shared" si="166"/>
        <v>0</v>
      </c>
      <c r="S390" s="43">
        <f t="shared" si="166"/>
        <v>0</v>
      </c>
      <c r="T390" s="43">
        <f t="shared" si="166"/>
        <v>0</v>
      </c>
      <c r="V390" s="43">
        <f t="shared" si="173"/>
        <v>0</v>
      </c>
      <c r="W390" s="43">
        <f t="shared" si="174"/>
        <v>0</v>
      </c>
      <c r="X390" s="43">
        <f t="shared" si="175"/>
        <v>0</v>
      </c>
      <c r="Y390" s="43">
        <f t="shared" si="176"/>
        <v>0</v>
      </c>
      <c r="Z390" s="43">
        <f t="shared" si="177"/>
        <v>0</v>
      </c>
      <c r="AB390" s="43">
        <f t="shared" si="178"/>
        <v>0</v>
      </c>
      <c r="AC390" s="43">
        <f t="shared" si="179"/>
        <v>0</v>
      </c>
      <c r="AD390" s="43">
        <f t="shared" si="180"/>
        <v>0</v>
      </c>
      <c r="AE390" s="43">
        <f t="shared" si="181"/>
        <v>0</v>
      </c>
      <c r="AF390" s="43">
        <f t="shared" si="182"/>
        <v>0</v>
      </c>
      <c r="AH390" s="43">
        <f t="shared" si="183"/>
        <v>0</v>
      </c>
      <c r="AI390" s="43">
        <f t="shared" si="184"/>
        <v>0</v>
      </c>
      <c r="AJ390" s="43">
        <f t="shared" si="185"/>
        <v>0</v>
      </c>
      <c r="AK390" s="43">
        <f t="shared" si="186"/>
        <v>0</v>
      </c>
      <c r="AL390" s="43">
        <f t="shared" si="187"/>
        <v>0</v>
      </c>
      <c r="AN390" s="47">
        <f t="shared" si="188"/>
        <v>0</v>
      </c>
      <c r="AO390" s="47">
        <f t="shared" si="189"/>
        <v>0</v>
      </c>
      <c r="AP390" s="47">
        <f t="shared" si="190"/>
        <v>0</v>
      </c>
      <c r="AQ390" s="47">
        <f t="shared" si="191"/>
        <v>0</v>
      </c>
      <c r="AR390" s="43">
        <f t="shared" si="192"/>
        <v>0</v>
      </c>
      <c r="AS390" s="120"/>
      <c r="AT390" s="120"/>
      <c r="AU390" s="120"/>
      <c r="AV390" s="120"/>
      <c r="AW390" s="120"/>
      <c r="AX390" s="120"/>
    </row>
    <row r="391" spans="1:50" s="89" customFormat="1" ht="13">
      <c r="A391" s="3"/>
      <c r="B391" s="37">
        <f>'13. Desinvesteringen'!B674</f>
        <v>655</v>
      </c>
      <c r="C391" s="331"/>
      <c r="D391" s="331"/>
      <c r="E391" s="331"/>
      <c r="F391" s="42">
        <f>'5. Input GAW-waarde desinv.'!D350</f>
        <v>0</v>
      </c>
      <c r="G391" s="175">
        <f>'13. Desinvesteringen'!D674</f>
        <v>1965</v>
      </c>
      <c r="H391" s="175">
        <f>'13. Desinvesteringen'!G674</f>
        <v>2025</v>
      </c>
      <c r="I391" s="37" t="str">
        <f>'13. Desinvesteringen'!C674</f>
        <v>01 Regionale leidingen</v>
      </c>
      <c r="J391" s="164">
        <f>'13. Desinvesteringen'!F674</f>
        <v>0</v>
      </c>
      <c r="K391" s="38">
        <f>_xlfn.XLOOKUP(I391,'3. Input (des)investeringen '!$B$11:$B$89,'3. Input (des)investeringen '!$E$11:$E$89)</f>
        <v>1</v>
      </c>
      <c r="L391" s="331"/>
      <c r="M391" s="38">
        <f>_xlfn.XLOOKUP(I391,'3. Input (des)investeringen '!$B$11:$B$89,'3. Input (des)investeringen '!$D$11:$D$89,0)</f>
        <v>55</v>
      </c>
      <c r="N391" s="38">
        <f t="shared" si="172"/>
        <v>0</v>
      </c>
      <c r="P391" s="43">
        <f t="shared" si="166"/>
        <v>0</v>
      </c>
      <c r="Q391" s="43">
        <f t="shared" si="166"/>
        <v>0</v>
      </c>
      <c r="R391" s="43">
        <f t="shared" si="166"/>
        <v>0</v>
      </c>
      <c r="S391" s="43">
        <f t="shared" si="166"/>
        <v>0</v>
      </c>
      <c r="T391" s="43">
        <f t="shared" si="166"/>
        <v>0</v>
      </c>
      <c r="V391" s="43">
        <f t="shared" si="173"/>
        <v>0</v>
      </c>
      <c r="W391" s="43">
        <f t="shared" si="174"/>
        <v>0</v>
      </c>
      <c r="X391" s="43">
        <f t="shared" si="175"/>
        <v>0</v>
      </c>
      <c r="Y391" s="43">
        <f t="shared" si="176"/>
        <v>0</v>
      </c>
      <c r="Z391" s="43">
        <f t="shared" si="177"/>
        <v>0</v>
      </c>
      <c r="AB391" s="43">
        <f t="shared" si="178"/>
        <v>0</v>
      </c>
      <c r="AC391" s="43">
        <f t="shared" si="179"/>
        <v>0</v>
      </c>
      <c r="AD391" s="43">
        <f t="shared" si="180"/>
        <v>0</v>
      </c>
      <c r="AE391" s="43">
        <f t="shared" si="181"/>
        <v>0</v>
      </c>
      <c r="AF391" s="43">
        <f t="shared" si="182"/>
        <v>0</v>
      </c>
      <c r="AH391" s="43">
        <f t="shared" si="183"/>
        <v>0</v>
      </c>
      <c r="AI391" s="43">
        <f t="shared" si="184"/>
        <v>0</v>
      </c>
      <c r="AJ391" s="43">
        <f t="shared" si="185"/>
        <v>0</v>
      </c>
      <c r="AK391" s="43">
        <f t="shared" si="186"/>
        <v>0</v>
      </c>
      <c r="AL391" s="43">
        <f t="shared" si="187"/>
        <v>0</v>
      </c>
      <c r="AN391" s="47">
        <f t="shared" si="188"/>
        <v>0</v>
      </c>
      <c r="AO391" s="47">
        <f t="shared" si="189"/>
        <v>0</v>
      </c>
      <c r="AP391" s="47">
        <f t="shared" si="190"/>
        <v>0</v>
      </c>
      <c r="AQ391" s="47">
        <f t="shared" si="191"/>
        <v>0</v>
      </c>
      <c r="AR391" s="43">
        <f t="shared" si="192"/>
        <v>0</v>
      </c>
      <c r="AS391" s="120"/>
      <c r="AT391" s="120"/>
      <c r="AU391" s="120"/>
      <c r="AV391" s="120"/>
      <c r="AW391" s="120"/>
      <c r="AX391" s="120"/>
    </row>
    <row r="392" spans="1:50" s="89" customFormat="1" ht="13">
      <c r="A392" s="3"/>
      <c r="B392" s="37">
        <f>'13. Desinvesteringen'!B675</f>
        <v>656</v>
      </c>
      <c r="C392" s="331"/>
      <c r="D392" s="331"/>
      <c r="E392" s="331"/>
      <c r="F392" s="42">
        <f>'5. Input GAW-waarde desinv.'!D351</f>
        <v>0</v>
      </c>
      <c r="G392" s="175">
        <f>'13. Desinvesteringen'!D675</f>
        <v>1966</v>
      </c>
      <c r="H392" s="175">
        <f>'13. Desinvesteringen'!G675</f>
        <v>2025</v>
      </c>
      <c r="I392" s="37" t="str">
        <f>'13. Desinvesteringen'!C675</f>
        <v>01 Regionale leidingen</v>
      </c>
      <c r="J392" s="164">
        <f>'13. Desinvesteringen'!F675</f>
        <v>0</v>
      </c>
      <c r="K392" s="38">
        <f>_xlfn.XLOOKUP(I392,'3. Input (des)investeringen '!$B$11:$B$89,'3. Input (des)investeringen '!$E$11:$E$89)</f>
        <v>1</v>
      </c>
      <c r="L392" s="331"/>
      <c r="M392" s="38">
        <f>_xlfn.XLOOKUP(I392,'3. Input (des)investeringen '!$B$11:$B$89,'3. Input (des)investeringen '!$D$11:$D$89,0)</f>
        <v>55</v>
      </c>
      <c r="N392" s="38">
        <f t="shared" si="172"/>
        <v>0</v>
      </c>
      <c r="P392" s="43">
        <f t="shared" si="166"/>
        <v>0</v>
      </c>
      <c r="Q392" s="43">
        <f t="shared" si="166"/>
        <v>0</v>
      </c>
      <c r="R392" s="43">
        <f t="shared" si="166"/>
        <v>0</v>
      </c>
      <c r="S392" s="43">
        <f t="shared" si="166"/>
        <v>0</v>
      </c>
      <c r="T392" s="43">
        <f t="shared" si="166"/>
        <v>0</v>
      </c>
      <c r="V392" s="43">
        <f t="shared" si="173"/>
        <v>0</v>
      </c>
      <c r="W392" s="43">
        <f t="shared" si="174"/>
        <v>0</v>
      </c>
      <c r="X392" s="43">
        <f t="shared" si="175"/>
        <v>0</v>
      </c>
      <c r="Y392" s="43">
        <f t="shared" si="176"/>
        <v>0</v>
      </c>
      <c r="Z392" s="43">
        <f t="shared" si="177"/>
        <v>0</v>
      </c>
      <c r="AB392" s="43">
        <f t="shared" si="178"/>
        <v>0</v>
      </c>
      <c r="AC392" s="43">
        <f t="shared" si="179"/>
        <v>0</v>
      </c>
      <c r="AD392" s="43">
        <f t="shared" si="180"/>
        <v>0</v>
      </c>
      <c r="AE392" s="43">
        <f t="shared" si="181"/>
        <v>0</v>
      </c>
      <c r="AF392" s="43">
        <f t="shared" si="182"/>
        <v>0</v>
      </c>
      <c r="AH392" s="43">
        <f t="shared" si="183"/>
        <v>0</v>
      </c>
      <c r="AI392" s="43">
        <f t="shared" si="184"/>
        <v>0</v>
      </c>
      <c r="AJ392" s="43">
        <f t="shared" si="185"/>
        <v>0</v>
      </c>
      <c r="AK392" s="43">
        <f t="shared" si="186"/>
        <v>0</v>
      </c>
      <c r="AL392" s="43">
        <f t="shared" si="187"/>
        <v>0</v>
      </c>
      <c r="AN392" s="47">
        <f t="shared" si="188"/>
        <v>0</v>
      </c>
      <c r="AO392" s="47">
        <f t="shared" si="189"/>
        <v>0</v>
      </c>
      <c r="AP392" s="47">
        <f t="shared" si="190"/>
        <v>0</v>
      </c>
      <c r="AQ392" s="47">
        <f t="shared" si="191"/>
        <v>0</v>
      </c>
      <c r="AR392" s="43">
        <f t="shared" si="192"/>
        <v>0</v>
      </c>
      <c r="AS392" s="120"/>
      <c r="AT392" s="120"/>
      <c r="AU392" s="120"/>
      <c r="AV392" s="120"/>
      <c r="AW392" s="120"/>
      <c r="AX392" s="120"/>
    </row>
    <row r="393" spans="1:50" s="89" customFormat="1" ht="13">
      <c r="A393" s="3"/>
      <c r="B393" s="37">
        <f>'13. Desinvesteringen'!B676</f>
        <v>657</v>
      </c>
      <c r="C393" s="331"/>
      <c r="D393" s="331"/>
      <c r="E393" s="331"/>
      <c r="F393" s="42">
        <f>'5. Input GAW-waarde desinv.'!D352</f>
        <v>6693</v>
      </c>
      <c r="G393" s="175">
        <f>'13. Desinvesteringen'!D676</f>
        <v>1967</v>
      </c>
      <c r="H393" s="175">
        <f>'13. Desinvesteringen'!G676</f>
        <v>2025</v>
      </c>
      <c r="I393" s="37" t="str">
        <f>'13. Desinvesteringen'!C676</f>
        <v>01 Regionale leidingen</v>
      </c>
      <c r="J393" s="164">
        <f>'13. Desinvesteringen'!F676</f>
        <v>0</v>
      </c>
      <c r="K393" s="38">
        <f>_xlfn.XLOOKUP(I393,'3. Input (des)investeringen '!$B$11:$B$89,'3. Input (des)investeringen '!$E$11:$E$89)</f>
        <v>1</v>
      </c>
      <c r="L393" s="331"/>
      <c r="M393" s="38">
        <f>_xlfn.XLOOKUP(I393,'3. Input (des)investeringen '!$B$11:$B$89,'3. Input (des)investeringen '!$D$11:$D$89,0)</f>
        <v>55</v>
      </c>
      <c r="N393" s="38">
        <f t="shared" si="172"/>
        <v>0.5</v>
      </c>
      <c r="P393" s="43">
        <f t="shared" si="166"/>
        <v>6023.7</v>
      </c>
      <c r="Q393" s="43">
        <f t="shared" si="166"/>
        <v>0</v>
      </c>
      <c r="R393" s="43">
        <f t="shared" si="166"/>
        <v>0</v>
      </c>
      <c r="S393" s="43">
        <f t="shared" si="166"/>
        <v>0</v>
      </c>
      <c r="T393" s="43">
        <f t="shared" si="166"/>
        <v>0</v>
      </c>
      <c r="V393" s="43">
        <f t="shared" si="173"/>
        <v>669.30000000000007</v>
      </c>
      <c r="W393" s="43">
        <f t="shared" si="174"/>
        <v>0</v>
      </c>
      <c r="X393" s="43">
        <f t="shared" si="175"/>
        <v>0</v>
      </c>
      <c r="Y393" s="43">
        <f t="shared" si="176"/>
        <v>0</v>
      </c>
      <c r="Z393" s="43">
        <f t="shared" si="177"/>
        <v>0</v>
      </c>
      <c r="AB393" s="43">
        <f t="shared" si="178"/>
        <v>6693</v>
      </c>
      <c r="AC393" s="43">
        <f t="shared" si="179"/>
        <v>0</v>
      </c>
      <c r="AD393" s="43">
        <f t="shared" si="180"/>
        <v>0</v>
      </c>
      <c r="AE393" s="43">
        <f t="shared" si="181"/>
        <v>0</v>
      </c>
      <c r="AF393" s="43">
        <f t="shared" si="182"/>
        <v>0</v>
      </c>
      <c r="AH393" s="43">
        <f t="shared" si="183"/>
        <v>0</v>
      </c>
      <c r="AI393" s="43">
        <f t="shared" si="184"/>
        <v>0</v>
      </c>
      <c r="AJ393" s="43">
        <f t="shared" si="185"/>
        <v>0</v>
      </c>
      <c r="AK393" s="43">
        <f t="shared" si="186"/>
        <v>0</v>
      </c>
      <c r="AL393" s="43">
        <f t="shared" si="187"/>
        <v>0</v>
      </c>
      <c r="AN393" s="47">
        <f t="shared" si="188"/>
        <v>6693</v>
      </c>
      <c r="AO393" s="47">
        <f t="shared" si="189"/>
        <v>0</v>
      </c>
      <c r="AP393" s="47">
        <f t="shared" si="190"/>
        <v>0</v>
      </c>
      <c r="AQ393" s="47">
        <f t="shared" si="191"/>
        <v>0</v>
      </c>
      <c r="AR393" s="43">
        <f t="shared" si="192"/>
        <v>0</v>
      </c>
      <c r="AS393" s="120"/>
      <c r="AT393" s="120"/>
      <c r="AU393" s="120"/>
      <c r="AV393" s="120"/>
      <c r="AW393" s="120"/>
      <c r="AX393" s="120"/>
    </row>
    <row r="394" spans="1:50" s="89" customFormat="1" ht="13">
      <c r="A394" s="3"/>
      <c r="B394" s="37">
        <f>'13. Desinvesteringen'!B677</f>
        <v>658</v>
      </c>
      <c r="C394" s="331"/>
      <c r="D394" s="331"/>
      <c r="E394" s="331"/>
      <c r="F394" s="42">
        <f>'5. Input GAW-waarde desinv.'!D353</f>
        <v>14367</v>
      </c>
      <c r="G394" s="175">
        <f>'13. Desinvesteringen'!D677</f>
        <v>1968</v>
      </c>
      <c r="H394" s="175">
        <f>'13. Desinvesteringen'!G677</f>
        <v>2025</v>
      </c>
      <c r="I394" s="37" t="str">
        <f>'13. Desinvesteringen'!C677</f>
        <v>01 Regionale leidingen</v>
      </c>
      <c r="J394" s="164">
        <f>'13. Desinvesteringen'!F677</f>
        <v>0</v>
      </c>
      <c r="K394" s="38">
        <f>_xlfn.XLOOKUP(I394,'3. Input (des)investeringen '!$B$11:$B$89,'3. Input (des)investeringen '!$E$11:$E$89)</f>
        <v>1</v>
      </c>
      <c r="L394" s="331"/>
      <c r="M394" s="38">
        <f>_xlfn.XLOOKUP(I394,'3. Input (des)investeringen '!$B$11:$B$89,'3. Input (des)investeringen '!$D$11:$D$89,0)</f>
        <v>55</v>
      </c>
      <c r="N394" s="38">
        <f t="shared" si="172"/>
        <v>1.5</v>
      </c>
      <c r="P394" s="43">
        <f t="shared" si="166"/>
        <v>11206.26</v>
      </c>
      <c r="Q394" s="43">
        <f t="shared" si="166"/>
        <v>1724.0400000000004</v>
      </c>
      <c r="R394" s="43">
        <f t="shared" si="166"/>
        <v>0</v>
      </c>
      <c r="S394" s="43">
        <f t="shared" si="166"/>
        <v>0</v>
      </c>
      <c r="T394" s="43">
        <f t="shared" si="166"/>
        <v>0</v>
      </c>
      <c r="V394" s="43">
        <f t="shared" si="173"/>
        <v>957.80000000000007</v>
      </c>
      <c r="W394" s="43">
        <f t="shared" si="174"/>
        <v>478.90000000000003</v>
      </c>
      <c r="X394" s="43">
        <f t="shared" si="175"/>
        <v>0</v>
      </c>
      <c r="Y394" s="43">
        <f t="shared" si="176"/>
        <v>0</v>
      </c>
      <c r="Z394" s="43">
        <f t="shared" si="177"/>
        <v>0</v>
      </c>
      <c r="AB394" s="43">
        <f t="shared" si="178"/>
        <v>12164.06</v>
      </c>
      <c r="AC394" s="43">
        <f t="shared" si="179"/>
        <v>2202.9400000000005</v>
      </c>
      <c r="AD394" s="43">
        <f t="shared" si="180"/>
        <v>0</v>
      </c>
      <c r="AE394" s="43">
        <f t="shared" si="181"/>
        <v>0</v>
      </c>
      <c r="AF394" s="43">
        <f t="shared" si="182"/>
        <v>0</v>
      </c>
      <c r="AH394" s="43">
        <f t="shared" si="183"/>
        <v>2202.9400000000005</v>
      </c>
      <c r="AI394" s="43">
        <f t="shared" si="184"/>
        <v>0</v>
      </c>
      <c r="AJ394" s="43">
        <f t="shared" si="185"/>
        <v>0</v>
      </c>
      <c r="AK394" s="43">
        <f t="shared" si="186"/>
        <v>0</v>
      </c>
      <c r="AL394" s="43">
        <f t="shared" si="187"/>
        <v>0</v>
      </c>
      <c r="AN394" s="47">
        <f t="shared" si="188"/>
        <v>12254.38054</v>
      </c>
      <c r="AO394" s="47">
        <f t="shared" si="189"/>
        <v>2202.9400000000005</v>
      </c>
      <c r="AP394" s="47">
        <f t="shared" si="190"/>
        <v>0</v>
      </c>
      <c r="AQ394" s="47">
        <f t="shared" si="191"/>
        <v>0</v>
      </c>
      <c r="AR394" s="43">
        <f t="shared" si="192"/>
        <v>0</v>
      </c>
      <c r="AS394" s="120"/>
      <c r="AT394" s="120"/>
      <c r="AU394" s="120"/>
      <c r="AV394" s="120"/>
      <c r="AW394" s="120"/>
      <c r="AX394" s="120"/>
    </row>
    <row r="395" spans="1:50" s="89" customFormat="1" ht="13">
      <c r="A395" s="3"/>
      <c r="B395" s="37">
        <f>'13. Desinvesteringen'!B678</f>
        <v>659</v>
      </c>
      <c r="C395" s="331"/>
      <c r="D395" s="331"/>
      <c r="E395" s="331"/>
      <c r="F395" s="42">
        <f>'5. Input GAW-waarde desinv.'!D354</f>
        <v>93948</v>
      </c>
      <c r="G395" s="175">
        <f>'13. Desinvesteringen'!D678</f>
        <v>1969</v>
      </c>
      <c r="H395" s="175">
        <f>'13. Desinvesteringen'!G678</f>
        <v>2025</v>
      </c>
      <c r="I395" s="37" t="str">
        <f>'13. Desinvesteringen'!C678</f>
        <v>01 Regionale leidingen</v>
      </c>
      <c r="J395" s="164">
        <f>'13. Desinvesteringen'!F678</f>
        <v>0</v>
      </c>
      <c r="K395" s="38">
        <f>_xlfn.XLOOKUP(I395,'3. Input (des)investeringen '!$B$11:$B$89,'3. Input (des)investeringen '!$E$11:$E$89)</f>
        <v>1</v>
      </c>
      <c r="L395" s="331"/>
      <c r="M395" s="38">
        <f>_xlfn.XLOOKUP(I395,'3. Input (des)investeringen '!$B$11:$B$89,'3. Input (des)investeringen '!$D$11:$D$89,0)</f>
        <v>55</v>
      </c>
      <c r="N395" s="38">
        <f t="shared" si="172"/>
        <v>2.5</v>
      </c>
      <c r="P395" s="43">
        <f t="shared" si="166"/>
        <v>43967.663999999997</v>
      </c>
      <c r="Q395" s="43">
        <f t="shared" si="166"/>
        <v>27057.024000000001</v>
      </c>
      <c r="R395" s="43">
        <f t="shared" si="166"/>
        <v>13528.512000000001</v>
      </c>
      <c r="S395" s="43">
        <f t="shared" si="166"/>
        <v>0</v>
      </c>
      <c r="T395" s="43">
        <f t="shared" si="166"/>
        <v>0</v>
      </c>
      <c r="V395" s="43">
        <f t="shared" si="173"/>
        <v>3757.9200000000005</v>
      </c>
      <c r="W395" s="43">
        <f t="shared" si="174"/>
        <v>3757.92</v>
      </c>
      <c r="X395" s="43">
        <f t="shared" si="175"/>
        <v>1878.96</v>
      </c>
      <c r="Y395" s="43">
        <f t="shared" si="176"/>
        <v>0</v>
      </c>
      <c r="Z395" s="43">
        <f t="shared" si="177"/>
        <v>0</v>
      </c>
      <c r="AB395" s="43">
        <f t="shared" si="178"/>
        <v>47725.583999999995</v>
      </c>
      <c r="AC395" s="43">
        <f t="shared" si="179"/>
        <v>30814.944000000003</v>
      </c>
      <c r="AD395" s="43">
        <f t="shared" si="180"/>
        <v>15407.472000000002</v>
      </c>
      <c r="AE395" s="43">
        <f t="shared" si="181"/>
        <v>0</v>
      </c>
      <c r="AF395" s="43">
        <f t="shared" si="182"/>
        <v>0</v>
      </c>
      <c r="AH395" s="43">
        <f t="shared" si="183"/>
        <v>46222.416000000005</v>
      </c>
      <c r="AI395" s="43">
        <f t="shared" si="184"/>
        <v>15407.472000000002</v>
      </c>
      <c r="AJ395" s="43">
        <f t="shared" si="185"/>
        <v>0</v>
      </c>
      <c r="AK395" s="43">
        <f t="shared" si="186"/>
        <v>0</v>
      </c>
      <c r="AL395" s="43">
        <f t="shared" si="187"/>
        <v>0</v>
      </c>
      <c r="AN395" s="47">
        <f t="shared" si="188"/>
        <v>49620.703055999998</v>
      </c>
      <c r="AO395" s="47">
        <f t="shared" si="189"/>
        <v>31600.725072000005</v>
      </c>
      <c r="AP395" s="47">
        <f t="shared" si="190"/>
        <v>15407.472000000002</v>
      </c>
      <c r="AQ395" s="47">
        <f t="shared" si="191"/>
        <v>0</v>
      </c>
      <c r="AR395" s="43">
        <f t="shared" si="192"/>
        <v>0</v>
      </c>
      <c r="AS395" s="120"/>
      <c r="AT395" s="120"/>
      <c r="AU395" s="120"/>
      <c r="AV395" s="120"/>
      <c r="AW395" s="120"/>
      <c r="AX395" s="120"/>
    </row>
    <row r="396" spans="1:50" s="89" customFormat="1" ht="13">
      <c r="A396" s="3"/>
      <c r="B396" s="37">
        <f>'13. Desinvesteringen'!B679</f>
        <v>660</v>
      </c>
      <c r="C396" s="331"/>
      <c r="D396" s="331"/>
      <c r="E396" s="331"/>
      <c r="F396" s="42">
        <f>'5. Input GAW-waarde desinv.'!D355</f>
        <v>18198</v>
      </c>
      <c r="G396" s="175">
        <f>'13. Desinvesteringen'!D679</f>
        <v>1970</v>
      </c>
      <c r="H396" s="175">
        <f>'13. Desinvesteringen'!G679</f>
        <v>2025</v>
      </c>
      <c r="I396" s="37" t="str">
        <f>'13. Desinvesteringen'!C679</f>
        <v>01 Regionale leidingen</v>
      </c>
      <c r="J396" s="164">
        <f>'13. Desinvesteringen'!F679</f>
        <v>0</v>
      </c>
      <c r="K396" s="38">
        <f>_xlfn.XLOOKUP(I396,'3. Input (des)investeringen '!$B$11:$B$89,'3. Input (des)investeringen '!$E$11:$E$89)</f>
        <v>1</v>
      </c>
      <c r="L396" s="331"/>
      <c r="M396" s="38">
        <f>_xlfn.XLOOKUP(I396,'3. Input (des)investeringen '!$B$11:$B$89,'3. Input (des)investeringen '!$D$11:$D$89,0)</f>
        <v>55</v>
      </c>
      <c r="N396" s="38">
        <f t="shared" si="172"/>
        <v>3.5</v>
      </c>
      <c r="P396" s="43">
        <f t="shared" ref="P396:T446" si="193">IF($M396&gt;0, IF(OR($G396&gt;P$50,$G396+$M396&lt;P$50),0,
VDB($F396,0,$N396,MAX(0,P$50-2022),MIN($N396,P$50-2021),$F$23,FALSE))*(1-$F$26), 0)</f>
        <v>6083.3314285714287</v>
      </c>
      <c r="Q396" s="43">
        <f t="shared" si="193"/>
        <v>4117.9474285714286</v>
      </c>
      <c r="R396" s="43">
        <f t="shared" si="193"/>
        <v>4117.9474285714286</v>
      </c>
      <c r="S396" s="43">
        <f t="shared" si="193"/>
        <v>2058.9737142857143</v>
      </c>
      <c r="T396" s="43">
        <f t="shared" si="193"/>
        <v>0</v>
      </c>
      <c r="V396" s="43">
        <f t="shared" si="173"/>
        <v>519.94285714285718</v>
      </c>
      <c r="W396" s="43">
        <f t="shared" si="174"/>
        <v>519.94285714285706</v>
      </c>
      <c r="X396" s="43">
        <f t="shared" si="175"/>
        <v>519.94285714285706</v>
      </c>
      <c r="Y396" s="43">
        <f t="shared" si="176"/>
        <v>259.97142857142853</v>
      </c>
      <c r="Z396" s="43">
        <f t="shared" si="177"/>
        <v>0</v>
      </c>
      <c r="AB396" s="43">
        <f t="shared" si="178"/>
        <v>6603.2742857142857</v>
      </c>
      <c r="AC396" s="43">
        <f t="shared" si="179"/>
        <v>4637.8902857142857</v>
      </c>
      <c r="AD396" s="43">
        <f t="shared" si="180"/>
        <v>4637.8902857142857</v>
      </c>
      <c r="AE396" s="43">
        <f t="shared" si="181"/>
        <v>2318.9451428571429</v>
      </c>
      <c r="AF396" s="43">
        <f t="shared" si="182"/>
        <v>0</v>
      </c>
      <c r="AH396" s="43">
        <f t="shared" si="183"/>
        <v>11594.725714285714</v>
      </c>
      <c r="AI396" s="43">
        <f t="shared" si="184"/>
        <v>6956.8354285714286</v>
      </c>
      <c r="AJ396" s="43">
        <f t="shared" si="185"/>
        <v>2318.9451428571429</v>
      </c>
      <c r="AK396" s="43">
        <f t="shared" si="186"/>
        <v>0</v>
      </c>
      <c r="AL396" s="43">
        <f t="shared" si="187"/>
        <v>0</v>
      </c>
      <c r="AN396" s="47">
        <f t="shared" si="188"/>
        <v>7078.6580400000003</v>
      </c>
      <c r="AO396" s="47">
        <f t="shared" si="189"/>
        <v>4992.6888925714284</v>
      </c>
      <c r="AP396" s="47">
        <f t="shared" si="190"/>
        <v>4756.1564879999996</v>
      </c>
      <c r="AQ396" s="47">
        <f t="shared" si="191"/>
        <v>2318.9451428571429</v>
      </c>
      <c r="AR396" s="43">
        <f t="shared" si="192"/>
        <v>0</v>
      </c>
      <c r="AS396" s="120"/>
      <c r="AT396" s="120"/>
      <c r="AU396" s="120"/>
      <c r="AV396" s="120"/>
      <c r="AW396" s="120"/>
      <c r="AX396" s="120"/>
    </row>
    <row r="397" spans="1:50" s="89" customFormat="1" ht="13">
      <c r="A397" s="3"/>
      <c r="B397" s="37">
        <f>'13. Desinvesteringen'!B680</f>
        <v>661</v>
      </c>
      <c r="C397" s="331"/>
      <c r="D397" s="331"/>
      <c r="E397" s="331"/>
      <c r="F397" s="42">
        <f>'5. Input GAW-waarde desinv.'!D356</f>
        <v>15661</v>
      </c>
      <c r="G397" s="175">
        <f>'13. Desinvesteringen'!D680</f>
        <v>1971</v>
      </c>
      <c r="H397" s="175">
        <f>'13. Desinvesteringen'!G680</f>
        <v>2025</v>
      </c>
      <c r="I397" s="37" t="str">
        <f>'13. Desinvesteringen'!C680</f>
        <v>01 Regionale leidingen</v>
      </c>
      <c r="J397" s="164">
        <f>'13. Desinvesteringen'!F680</f>
        <v>0</v>
      </c>
      <c r="K397" s="38">
        <f>_xlfn.XLOOKUP(I397,'3. Input (des)investeringen '!$B$11:$B$89,'3. Input (des)investeringen '!$E$11:$E$89)</f>
        <v>1</v>
      </c>
      <c r="L397" s="331"/>
      <c r="M397" s="38">
        <f>_xlfn.XLOOKUP(I397,'3. Input (des)investeringen '!$B$11:$B$89,'3. Input (des)investeringen '!$D$11:$D$89,0)</f>
        <v>55</v>
      </c>
      <c r="N397" s="38">
        <f t="shared" si="172"/>
        <v>4.5</v>
      </c>
      <c r="P397" s="43">
        <f t="shared" si="193"/>
        <v>4071.8600000000006</v>
      </c>
      <c r="Q397" s="43">
        <f t="shared" si="193"/>
        <v>2895.5448888888891</v>
      </c>
      <c r="R397" s="43">
        <f t="shared" si="193"/>
        <v>2850.998044444445</v>
      </c>
      <c r="S397" s="43">
        <f t="shared" si="193"/>
        <v>2850.998044444445</v>
      </c>
      <c r="T397" s="43">
        <f t="shared" si="193"/>
        <v>1425.4990222222225</v>
      </c>
      <c r="V397" s="43">
        <f t="shared" si="173"/>
        <v>348.02222222222224</v>
      </c>
      <c r="W397" s="43">
        <f t="shared" si="174"/>
        <v>348.02222222222224</v>
      </c>
      <c r="X397" s="43">
        <f t="shared" si="175"/>
        <v>348.02222222222224</v>
      </c>
      <c r="Y397" s="43">
        <f t="shared" si="176"/>
        <v>348.02222222222224</v>
      </c>
      <c r="Z397" s="43">
        <f t="shared" si="177"/>
        <v>174.01111111111112</v>
      </c>
      <c r="AB397" s="43">
        <f t="shared" si="178"/>
        <v>4419.8822222222225</v>
      </c>
      <c r="AC397" s="43">
        <f t="shared" si="179"/>
        <v>3243.5671111111114</v>
      </c>
      <c r="AD397" s="43">
        <f t="shared" si="180"/>
        <v>3199.0202666666673</v>
      </c>
      <c r="AE397" s="43">
        <f t="shared" si="181"/>
        <v>3199.0202666666673</v>
      </c>
      <c r="AF397" s="43">
        <f t="shared" si="182"/>
        <v>1599.5101333333337</v>
      </c>
      <c r="AH397" s="43">
        <f t="shared" si="183"/>
        <v>11241.117777777778</v>
      </c>
      <c r="AI397" s="43">
        <f t="shared" si="184"/>
        <v>7997.5506666666661</v>
      </c>
      <c r="AJ397" s="43">
        <f t="shared" si="185"/>
        <v>4798.5303999999987</v>
      </c>
      <c r="AK397" s="43">
        <f t="shared" si="186"/>
        <v>1599.5101333333314</v>
      </c>
      <c r="AL397" s="43">
        <f t="shared" si="187"/>
        <v>0</v>
      </c>
      <c r="AN397" s="47">
        <f t="shared" si="188"/>
        <v>4880.7680511111112</v>
      </c>
      <c r="AO397" s="47">
        <f t="shared" si="189"/>
        <v>3651.4421951111112</v>
      </c>
      <c r="AP397" s="47">
        <f t="shared" si="190"/>
        <v>3443.7453170666672</v>
      </c>
      <c r="AQ397" s="47">
        <f t="shared" si="191"/>
        <v>3286.9933240000005</v>
      </c>
      <c r="AR397" s="43">
        <f t="shared" si="192"/>
        <v>1599.5101333333337</v>
      </c>
      <c r="AS397" s="120"/>
      <c r="AT397" s="120"/>
      <c r="AU397" s="120"/>
      <c r="AV397" s="120"/>
      <c r="AW397" s="120"/>
      <c r="AX397" s="120"/>
    </row>
    <row r="398" spans="1:50" s="89" customFormat="1" ht="13">
      <c r="A398" s="3"/>
      <c r="B398" s="37">
        <f>'13. Desinvesteringen'!B681</f>
        <v>662</v>
      </c>
      <c r="C398" s="331"/>
      <c r="D398" s="331"/>
      <c r="E398" s="331"/>
      <c r="F398" s="42">
        <f>'5. Input GAW-waarde desinv.'!D357</f>
        <v>35764</v>
      </c>
      <c r="G398" s="175">
        <f>'13. Desinvesteringen'!D681</f>
        <v>1972</v>
      </c>
      <c r="H398" s="175">
        <f>'13. Desinvesteringen'!G681</f>
        <v>2025</v>
      </c>
      <c r="I398" s="37" t="str">
        <f>'13. Desinvesteringen'!C681</f>
        <v>01 Regionale leidingen</v>
      </c>
      <c r="J398" s="164">
        <f>'13. Desinvesteringen'!F681</f>
        <v>0</v>
      </c>
      <c r="K398" s="38">
        <f>_xlfn.XLOOKUP(I398,'3. Input (des)investeringen '!$B$11:$B$89,'3. Input (des)investeringen '!$E$11:$E$89)</f>
        <v>1</v>
      </c>
      <c r="L398" s="331"/>
      <c r="M398" s="38">
        <f>_xlfn.XLOOKUP(I398,'3. Input (des)investeringen '!$B$11:$B$89,'3. Input (des)investeringen '!$D$11:$D$89,0)</f>
        <v>55</v>
      </c>
      <c r="N398" s="38">
        <f t="shared" si="172"/>
        <v>5.5</v>
      </c>
      <c r="P398" s="43">
        <f t="shared" si="193"/>
        <v>7607.9781818181827</v>
      </c>
      <c r="Q398" s="43">
        <f t="shared" si="193"/>
        <v>5809.7287933884299</v>
      </c>
      <c r="R398" s="43">
        <f t="shared" si="193"/>
        <v>5362.8265785123967</v>
      </c>
      <c r="S398" s="43">
        <f t="shared" si="193"/>
        <v>5362.8265785123967</v>
      </c>
      <c r="T398" s="43">
        <f t="shared" si="193"/>
        <v>5362.8265785123967</v>
      </c>
      <c r="V398" s="43">
        <f t="shared" si="173"/>
        <v>650.25454545454556</v>
      </c>
      <c r="W398" s="43">
        <f t="shared" si="174"/>
        <v>650.25454545454545</v>
      </c>
      <c r="X398" s="43">
        <f t="shared" si="175"/>
        <v>650.25454545454545</v>
      </c>
      <c r="Y398" s="43">
        <f t="shared" si="176"/>
        <v>650.25454545454545</v>
      </c>
      <c r="Z398" s="43">
        <f t="shared" si="177"/>
        <v>650.25454545454545</v>
      </c>
      <c r="AB398" s="43">
        <f t="shared" si="178"/>
        <v>8258.2327272727289</v>
      </c>
      <c r="AC398" s="43">
        <f t="shared" si="179"/>
        <v>6459.9833388429752</v>
      </c>
      <c r="AD398" s="43">
        <f t="shared" si="180"/>
        <v>6013.081123966942</v>
      </c>
      <c r="AE398" s="43">
        <f t="shared" si="181"/>
        <v>6013.081123966942</v>
      </c>
      <c r="AF398" s="43">
        <f t="shared" si="182"/>
        <v>6013.081123966942</v>
      </c>
      <c r="AH398" s="43">
        <f t="shared" si="183"/>
        <v>27505.767272727273</v>
      </c>
      <c r="AI398" s="43">
        <f t="shared" si="184"/>
        <v>21045.783933884297</v>
      </c>
      <c r="AJ398" s="43">
        <f t="shared" si="185"/>
        <v>15032.702809917355</v>
      </c>
      <c r="AK398" s="43">
        <f t="shared" si="186"/>
        <v>9019.6216859504129</v>
      </c>
      <c r="AL398" s="43">
        <f t="shared" si="187"/>
        <v>3006.540561983471</v>
      </c>
      <c r="AN398" s="47">
        <f t="shared" si="188"/>
        <v>9385.9691854545472</v>
      </c>
      <c r="AO398" s="47">
        <f t="shared" si="189"/>
        <v>7533.3183194710746</v>
      </c>
      <c r="AP398" s="47">
        <f t="shared" si="190"/>
        <v>6779.748967272727</v>
      </c>
      <c r="AQ398" s="47">
        <f t="shared" si="191"/>
        <v>6509.160316694215</v>
      </c>
      <c r="AR398" s="43">
        <f t="shared" si="192"/>
        <v>6127.3296653223142</v>
      </c>
      <c r="AS398" s="120"/>
      <c r="AT398" s="120"/>
      <c r="AU398" s="120"/>
      <c r="AV398" s="120"/>
      <c r="AW398" s="120"/>
      <c r="AX398" s="120"/>
    </row>
    <row r="399" spans="1:50" s="89" customFormat="1" ht="13">
      <c r="A399" s="3"/>
      <c r="B399" s="37">
        <f>'13. Desinvesteringen'!B682</f>
        <v>663</v>
      </c>
      <c r="C399" s="331"/>
      <c r="D399" s="331"/>
      <c r="E399" s="331"/>
      <c r="F399" s="42">
        <f>'5. Input GAW-waarde desinv.'!D358</f>
        <v>19266</v>
      </c>
      <c r="G399" s="175">
        <f>'13. Desinvesteringen'!D682</f>
        <v>1973</v>
      </c>
      <c r="H399" s="175">
        <f>'13. Desinvesteringen'!G682</f>
        <v>2025</v>
      </c>
      <c r="I399" s="37" t="str">
        <f>'13. Desinvesteringen'!C682</f>
        <v>01 Regionale leidingen</v>
      </c>
      <c r="J399" s="164">
        <f>'13. Desinvesteringen'!F682</f>
        <v>0</v>
      </c>
      <c r="K399" s="38">
        <f>_xlfn.XLOOKUP(I399,'3. Input (des)investeringen '!$B$11:$B$89,'3. Input (des)investeringen '!$E$11:$E$89)</f>
        <v>1</v>
      </c>
      <c r="L399" s="331"/>
      <c r="M399" s="38">
        <f>_xlfn.XLOOKUP(I399,'3. Input (des)investeringen '!$B$11:$B$89,'3. Input (des)investeringen '!$D$11:$D$89,0)</f>
        <v>55</v>
      </c>
      <c r="N399" s="38">
        <f t="shared" si="172"/>
        <v>6.5</v>
      </c>
      <c r="P399" s="43">
        <f t="shared" si="193"/>
        <v>3467.88</v>
      </c>
      <c r="Q399" s="43">
        <f t="shared" si="193"/>
        <v>2774.3040000000001</v>
      </c>
      <c r="R399" s="43">
        <f t="shared" si="193"/>
        <v>2466.0480000000002</v>
      </c>
      <c r="S399" s="43">
        <f t="shared" si="193"/>
        <v>2466.0480000000002</v>
      </c>
      <c r="T399" s="43">
        <f t="shared" si="193"/>
        <v>2466.0480000000002</v>
      </c>
      <c r="V399" s="43">
        <f t="shared" si="173"/>
        <v>296.40000000000003</v>
      </c>
      <c r="W399" s="43">
        <f t="shared" si="174"/>
        <v>296.40000000000003</v>
      </c>
      <c r="X399" s="43">
        <f t="shared" si="175"/>
        <v>296.40000000000003</v>
      </c>
      <c r="Y399" s="43">
        <f t="shared" si="176"/>
        <v>296.40000000000003</v>
      </c>
      <c r="Z399" s="43">
        <f t="shared" si="177"/>
        <v>296.40000000000003</v>
      </c>
      <c r="AB399" s="43">
        <f t="shared" si="178"/>
        <v>3764.28</v>
      </c>
      <c r="AC399" s="43">
        <f t="shared" si="179"/>
        <v>3070.7040000000002</v>
      </c>
      <c r="AD399" s="43">
        <f t="shared" si="180"/>
        <v>2762.4480000000003</v>
      </c>
      <c r="AE399" s="43">
        <f t="shared" si="181"/>
        <v>2762.4480000000003</v>
      </c>
      <c r="AF399" s="43">
        <f t="shared" si="182"/>
        <v>2762.4480000000003</v>
      </c>
      <c r="AH399" s="43">
        <f t="shared" si="183"/>
        <v>15501.72</v>
      </c>
      <c r="AI399" s="43">
        <f t="shared" si="184"/>
        <v>12431.016</v>
      </c>
      <c r="AJ399" s="43">
        <f t="shared" si="185"/>
        <v>9668.5679999999993</v>
      </c>
      <c r="AK399" s="43">
        <f t="shared" si="186"/>
        <v>6906.119999999999</v>
      </c>
      <c r="AL399" s="43">
        <f t="shared" si="187"/>
        <v>4143.6719999999987</v>
      </c>
      <c r="AN399" s="47">
        <f t="shared" si="188"/>
        <v>4399.85052</v>
      </c>
      <c r="AO399" s="47">
        <f t="shared" si="189"/>
        <v>3704.6858160000002</v>
      </c>
      <c r="AP399" s="47">
        <f t="shared" si="190"/>
        <v>3255.5449680000002</v>
      </c>
      <c r="AQ399" s="47">
        <f t="shared" si="191"/>
        <v>3142.2846000000004</v>
      </c>
      <c r="AR399" s="43">
        <f t="shared" si="192"/>
        <v>2919.9075360000002</v>
      </c>
      <c r="AS399" s="120"/>
      <c r="AT399" s="120"/>
      <c r="AU399" s="120"/>
      <c r="AV399" s="120"/>
      <c r="AW399" s="120"/>
      <c r="AX399" s="120"/>
    </row>
    <row r="400" spans="1:50" s="89" customFormat="1" ht="13">
      <c r="A400" s="3"/>
      <c r="B400" s="37">
        <f>'13. Desinvesteringen'!B683</f>
        <v>664</v>
      </c>
      <c r="C400" s="331"/>
      <c r="D400" s="331"/>
      <c r="E400" s="331"/>
      <c r="F400" s="42">
        <f>'5. Input GAW-waarde desinv.'!D359</f>
        <v>20844</v>
      </c>
      <c r="G400" s="175">
        <f>'13. Desinvesteringen'!D683</f>
        <v>1974</v>
      </c>
      <c r="H400" s="175">
        <f>'13. Desinvesteringen'!G683</f>
        <v>2025</v>
      </c>
      <c r="I400" s="37" t="str">
        <f>'13. Desinvesteringen'!C683</f>
        <v>01 Regionale leidingen</v>
      </c>
      <c r="J400" s="164">
        <f>'13. Desinvesteringen'!F683</f>
        <v>0</v>
      </c>
      <c r="K400" s="38">
        <f>_xlfn.XLOOKUP(I400,'3. Input (des)investeringen '!$B$11:$B$89,'3. Input (des)investeringen '!$E$11:$E$89)</f>
        <v>1</v>
      </c>
      <c r="L400" s="331"/>
      <c r="M400" s="38">
        <f>_xlfn.XLOOKUP(I400,'3. Input (des)investeringen '!$B$11:$B$89,'3. Input (des)investeringen '!$D$11:$D$89,0)</f>
        <v>55</v>
      </c>
      <c r="N400" s="38">
        <f t="shared" si="172"/>
        <v>7.5</v>
      </c>
      <c r="P400" s="43">
        <f t="shared" si="193"/>
        <v>3251.6640000000002</v>
      </c>
      <c r="Q400" s="43">
        <f t="shared" si="193"/>
        <v>2688.0422400000002</v>
      </c>
      <c r="R400" s="43">
        <f t="shared" si="193"/>
        <v>2330.8897745454547</v>
      </c>
      <c r="S400" s="43">
        <f t="shared" si="193"/>
        <v>2330.8897745454547</v>
      </c>
      <c r="T400" s="43">
        <f t="shared" si="193"/>
        <v>2330.8897745454547</v>
      </c>
      <c r="V400" s="43">
        <f t="shared" si="173"/>
        <v>277.92</v>
      </c>
      <c r="W400" s="43">
        <f t="shared" si="174"/>
        <v>277.92</v>
      </c>
      <c r="X400" s="43">
        <f t="shared" si="175"/>
        <v>277.92</v>
      </c>
      <c r="Y400" s="43">
        <f t="shared" si="176"/>
        <v>277.92</v>
      </c>
      <c r="Z400" s="43">
        <f t="shared" si="177"/>
        <v>277.92</v>
      </c>
      <c r="AB400" s="43">
        <f t="shared" si="178"/>
        <v>3529.5840000000003</v>
      </c>
      <c r="AC400" s="43">
        <f t="shared" si="179"/>
        <v>2965.9622400000003</v>
      </c>
      <c r="AD400" s="43">
        <f t="shared" si="180"/>
        <v>2608.8097745454547</v>
      </c>
      <c r="AE400" s="43">
        <f t="shared" si="181"/>
        <v>2608.8097745454547</v>
      </c>
      <c r="AF400" s="43">
        <f t="shared" si="182"/>
        <v>2608.8097745454547</v>
      </c>
      <c r="AH400" s="43">
        <f t="shared" si="183"/>
        <v>17314.416000000001</v>
      </c>
      <c r="AI400" s="43">
        <f t="shared" si="184"/>
        <v>14348.45376</v>
      </c>
      <c r="AJ400" s="43">
        <f t="shared" si="185"/>
        <v>11739.643985454546</v>
      </c>
      <c r="AK400" s="43">
        <f t="shared" si="186"/>
        <v>9130.8342109090918</v>
      </c>
      <c r="AL400" s="43">
        <f t="shared" si="187"/>
        <v>6522.0244363636375</v>
      </c>
      <c r="AN400" s="47">
        <f t="shared" si="188"/>
        <v>4239.4750560000002</v>
      </c>
      <c r="AO400" s="47">
        <f t="shared" si="189"/>
        <v>3697.7333817600002</v>
      </c>
      <c r="AP400" s="47">
        <f t="shared" si="190"/>
        <v>3207.5316178036364</v>
      </c>
      <c r="AQ400" s="47">
        <f t="shared" si="191"/>
        <v>3111.0056561454549</v>
      </c>
      <c r="AR400" s="43">
        <f t="shared" si="192"/>
        <v>2856.6467031272728</v>
      </c>
      <c r="AS400" s="120"/>
      <c r="AT400" s="120"/>
      <c r="AU400" s="120"/>
      <c r="AV400" s="120"/>
      <c r="AW400" s="120"/>
      <c r="AX400" s="120"/>
    </row>
    <row r="401" spans="1:50" s="89" customFormat="1" ht="13">
      <c r="A401" s="3"/>
      <c r="B401" s="37">
        <f>'13. Desinvesteringen'!B684</f>
        <v>665</v>
      </c>
      <c r="C401" s="331"/>
      <c r="D401" s="331"/>
      <c r="E401" s="331"/>
      <c r="F401" s="42">
        <f>'5. Input GAW-waarde desinv.'!D360</f>
        <v>21515</v>
      </c>
      <c r="G401" s="175">
        <f>'13. Desinvesteringen'!D684</f>
        <v>1975</v>
      </c>
      <c r="H401" s="175">
        <f>'13. Desinvesteringen'!G684</f>
        <v>2025</v>
      </c>
      <c r="I401" s="37" t="str">
        <f>'13. Desinvesteringen'!C684</f>
        <v>01 Regionale leidingen</v>
      </c>
      <c r="J401" s="164">
        <f>'13. Desinvesteringen'!F684</f>
        <v>0</v>
      </c>
      <c r="K401" s="38">
        <f>_xlfn.XLOOKUP(I401,'3. Input (des)investeringen '!$B$11:$B$89,'3. Input (des)investeringen '!$E$11:$E$89)</f>
        <v>1</v>
      </c>
      <c r="L401" s="331"/>
      <c r="M401" s="38">
        <f>_xlfn.XLOOKUP(I401,'3. Input (des)investeringen '!$B$11:$B$89,'3. Input (des)investeringen '!$D$11:$D$89,0)</f>
        <v>55</v>
      </c>
      <c r="N401" s="38">
        <f t="shared" si="172"/>
        <v>8.5</v>
      </c>
      <c r="P401" s="43">
        <f t="shared" si="193"/>
        <v>2961.4764705882358</v>
      </c>
      <c r="Q401" s="43">
        <f t="shared" si="193"/>
        <v>2508.5447750865051</v>
      </c>
      <c r="R401" s="43">
        <f t="shared" si="193"/>
        <v>2137.4582698961935</v>
      </c>
      <c r="S401" s="43">
        <f t="shared" si="193"/>
        <v>2137.4582698961935</v>
      </c>
      <c r="T401" s="43">
        <f t="shared" si="193"/>
        <v>2137.4582698961935</v>
      </c>
      <c r="V401" s="43">
        <f t="shared" si="173"/>
        <v>253.11764705882354</v>
      </c>
      <c r="W401" s="43">
        <f t="shared" si="174"/>
        <v>253.11764705882356</v>
      </c>
      <c r="X401" s="43">
        <f t="shared" si="175"/>
        <v>253.11764705882356</v>
      </c>
      <c r="Y401" s="43">
        <f t="shared" si="176"/>
        <v>253.11764705882356</v>
      </c>
      <c r="Z401" s="43">
        <f t="shared" si="177"/>
        <v>253.11764705882356</v>
      </c>
      <c r="AB401" s="43">
        <f t="shared" si="178"/>
        <v>3214.5941176470592</v>
      </c>
      <c r="AC401" s="43">
        <f t="shared" si="179"/>
        <v>2761.6624221453285</v>
      </c>
      <c r="AD401" s="43">
        <f t="shared" si="180"/>
        <v>2390.575916955017</v>
      </c>
      <c r="AE401" s="43">
        <f t="shared" si="181"/>
        <v>2390.575916955017</v>
      </c>
      <c r="AF401" s="43">
        <f t="shared" si="182"/>
        <v>2390.575916955017</v>
      </c>
      <c r="AH401" s="43">
        <f t="shared" si="183"/>
        <v>18300.405882352941</v>
      </c>
      <c r="AI401" s="43">
        <f t="shared" si="184"/>
        <v>15538.743460207614</v>
      </c>
      <c r="AJ401" s="43">
        <f t="shared" si="185"/>
        <v>13148.167543252597</v>
      </c>
      <c r="AK401" s="43">
        <f t="shared" si="186"/>
        <v>10757.591626297581</v>
      </c>
      <c r="AL401" s="43">
        <f t="shared" si="187"/>
        <v>8367.0157093425642</v>
      </c>
      <c r="AN401" s="47">
        <f t="shared" si="188"/>
        <v>3964.9107588235297</v>
      </c>
      <c r="AO401" s="47">
        <f t="shared" si="189"/>
        <v>3554.1383386159168</v>
      </c>
      <c r="AP401" s="47">
        <f t="shared" si="190"/>
        <v>3061.1324616608995</v>
      </c>
      <c r="AQ401" s="47">
        <f t="shared" si="191"/>
        <v>2982.2434564013838</v>
      </c>
      <c r="AR401" s="43">
        <f t="shared" si="192"/>
        <v>2708.5225139100344</v>
      </c>
      <c r="AS401" s="120"/>
      <c r="AT401" s="120"/>
      <c r="AU401" s="120"/>
      <c r="AV401" s="120"/>
      <c r="AW401" s="120"/>
      <c r="AX401" s="120"/>
    </row>
    <row r="402" spans="1:50" s="89" customFormat="1" ht="13">
      <c r="A402" s="3"/>
      <c r="B402" s="37">
        <f>'13. Desinvesteringen'!B685</f>
        <v>666</v>
      </c>
      <c r="C402" s="331"/>
      <c r="D402" s="331"/>
      <c r="E402" s="331"/>
      <c r="F402" s="42">
        <f>'5. Input GAW-waarde desinv.'!D361</f>
        <v>22168</v>
      </c>
      <c r="G402" s="175">
        <f>'13. Desinvesteringen'!D685</f>
        <v>1977</v>
      </c>
      <c r="H402" s="175">
        <f>'13. Desinvesteringen'!G685</f>
        <v>2025</v>
      </c>
      <c r="I402" s="37" t="str">
        <f>'13. Desinvesteringen'!C685</f>
        <v>01 Regionale leidingen</v>
      </c>
      <c r="J402" s="164">
        <f>'13. Desinvesteringen'!F685</f>
        <v>0</v>
      </c>
      <c r="K402" s="38">
        <f>_xlfn.XLOOKUP(I402,'3. Input (des)investeringen '!$B$11:$B$89,'3. Input (des)investeringen '!$E$11:$E$89)</f>
        <v>1</v>
      </c>
      <c r="L402" s="331"/>
      <c r="M402" s="38">
        <f>_xlfn.XLOOKUP(I402,'3. Input (des)investeringen '!$B$11:$B$89,'3. Input (des)investeringen '!$D$11:$D$89,0)</f>
        <v>55</v>
      </c>
      <c r="N402" s="38">
        <f t="shared" si="172"/>
        <v>10.5</v>
      </c>
      <c r="P402" s="43">
        <f t="shared" si="193"/>
        <v>2470.1485714285718</v>
      </c>
      <c r="Q402" s="43">
        <f t="shared" si="193"/>
        <v>2164.3206530612247</v>
      </c>
      <c r="R402" s="43">
        <f t="shared" si="193"/>
        <v>1896.3571436345967</v>
      </c>
      <c r="S402" s="43">
        <f t="shared" si="193"/>
        <v>1789.3831509167478</v>
      </c>
      <c r="T402" s="43">
        <f t="shared" si="193"/>
        <v>1789.3831509167478</v>
      </c>
      <c r="V402" s="43">
        <f t="shared" si="173"/>
        <v>211.12380952380954</v>
      </c>
      <c r="W402" s="43">
        <f t="shared" si="174"/>
        <v>211.12380952380954</v>
      </c>
      <c r="X402" s="43">
        <f t="shared" si="175"/>
        <v>211.12380952380954</v>
      </c>
      <c r="Y402" s="43">
        <f t="shared" si="176"/>
        <v>211.12380952380954</v>
      </c>
      <c r="Z402" s="43">
        <f t="shared" si="177"/>
        <v>211.12380952380954</v>
      </c>
      <c r="AB402" s="43">
        <f t="shared" si="178"/>
        <v>2681.2723809523814</v>
      </c>
      <c r="AC402" s="43">
        <f t="shared" si="179"/>
        <v>2375.4444625850342</v>
      </c>
      <c r="AD402" s="43">
        <f t="shared" si="180"/>
        <v>2107.480953158406</v>
      </c>
      <c r="AE402" s="43">
        <f t="shared" si="181"/>
        <v>2000.5069604405574</v>
      </c>
      <c r="AF402" s="43">
        <f t="shared" si="182"/>
        <v>2000.5069604405574</v>
      </c>
      <c r="AH402" s="43">
        <f t="shared" si="183"/>
        <v>19486.727619047619</v>
      </c>
      <c r="AI402" s="43">
        <f t="shared" si="184"/>
        <v>17111.283156462585</v>
      </c>
      <c r="AJ402" s="43">
        <f t="shared" si="185"/>
        <v>15003.802203304178</v>
      </c>
      <c r="AK402" s="43">
        <f t="shared" si="186"/>
        <v>13003.29524286362</v>
      </c>
      <c r="AL402" s="43">
        <f t="shared" si="187"/>
        <v>11002.788282423062</v>
      </c>
      <c r="AN402" s="47">
        <f t="shared" si="188"/>
        <v>3480.2282133333338</v>
      </c>
      <c r="AO402" s="47">
        <f t="shared" si="189"/>
        <v>3248.1199035646259</v>
      </c>
      <c r="AP402" s="47">
        <f t="shared" si="190"/>
        <v>2872.6748655269189</v>
      </c>
      <c r="AQ402" s="47">
        <f t="shared" si="191"/>
        <v>2715.6881987980564</v>
      </c>
      <c r="AR402" s="43">
        <f t="shared" si="192"/>
        <v>2418.6129151726336</v>
      </c>
      <c r="AS402" s="120"/>
      <c r="AT402" s="120"/>
      <c r="AU402" s="120"/>
      <c r="AV402" s="120"/>
      <c r="AW402" s="120"/>
      <c r="AX402" s="120"/>
    </row>
    <row r="403" spans="1:50" s="89" customFormat="1" ht="13">
      <c r="A403" s="3"/>
      <c r="B403" s="37">
        <f>'13. Desinvesteringen'!B686</f>
        <v>667</v>
      </c>
      <c r="C403" s="331"/>
      <c r="D403" s="331"/>
      <c r="E403" s="331"/>
      <c r="F403" s="42">
        <f>'5. Input GAW-waarde desinv.'!D362</f>
        <v>22734</v>
      </c>
      <c r="G403" s="175">
        <f>'13. Desinvesteringen'!D686</f>
        <v>1978</v>
      </c>
      <c r="H403" s="175">
        <f>'13. Desinvesteringen'!G686</f>
        <v>2025</v>
      </c>
      <c r="I403" s="37" t="str">
        <f>'13. Desinvesteringen'!C686</f>
        <v>01 Regionale leidingen</v>
      </c>
      <c r="J403" s="164">
        <f>'13. Desinvesteringen'!F686</f>
        <v>0</v>
      </c>
      <c r="K403" s="38">
        <f>_xlfn.XLOOKUP(I403,'3. Input (des)investeringen '!$B$11:$B$89,'3. Input (des)investeringen '!$E$11:$E$89)</f>
        <v>1</v>
      </c>
      <c r="L403" s="331"/>
      <c r="M403" s="38">
        <f>_xlfn.XLOOKUP(I403,'3. Input (des)investeringen '!$B$11:$B$89,'3. Input (des)investeringen '!$D$11:$D$89,0)</f>
        <v>55</v>
      </c>
      <c r="N403" s="38">
        <f t="shared" si="172"/>
        <v>11.5</v>
      </c>
      <c r="P403" s="43">
        <f t="shared" si="193"/>
        <v>2312.9373913043478</v>
      </c>
      <c r="Q403" s="43">
        <f t="shared" si="193"/>
        <v>2051.474903591683</v>
      </c>
      <c r="R403" s="43">
        <f t="shared" si="193"/>
        <v>1819.5690449247968</v>
      </c>
      <c r="S403" s="43">
        <f t="shared" si="193"/>
        <v>1679.6021953151972</v>
      </c>
      <c r="T403" s="43">
        <f t="shared" si="193"/>
        <v>1679.6021953151972</v>
      </c>
      <c r="V403" s="43">
        <f t="shared" si="173"/>
        <v>197.68695652173915</v>
      </c>
      <c r="W403" s="43">
        <f t="shared" si="174"/>
        <v>197.68695652173915</v>
      </c>
      <c r="X403" s="43">
        <f t="shared" si="175"/>
        <v>197.68695652173915</v>
      </c>
      <c r="Y403" s="43">
        <f t="shared" si="176"/>
        <v>197.68695652173915</v>
      </c>
      <c r="Z403" s="43">
        <f t="shared" si="177"/>
        <v>197.68695652173915</v>
      </c>
      <c r="AB403" s="43">
        <f t="shared" si="178"/>
        <v>2510.6243478260867</v>
      </c>
      <c r="AC403" s="43">
        <f t="shared" si="179"/>
        <v>2249.1618601134223</v>
      </c>
      <c r="AD403" s="43">
        <f t="shared" si="180"/>
        <v>2017.2560014465359</v>
      </c>
      <c r="AE403" s="43">
        <f t="shared" si="181"/>
        <v>1877.2891518369363</v>
      </c>
      <c r="AF403" s="43">
        <f t="shared" si="182"/>
        <v>1877.2891518369363</v>
      </c>
      <c r="AH403" s="43">
        <f t="shared" si="183"/>
        <v>20223.375652173912</v>
      </c>
      <c r="AI403" s="43">
        <f t="shared" si="184"/>
        <v>17974.213792060491</v>
      </c>
      <c r="AJ403" s="43">
        <f t="shared" si="185"/>
        <v>15956.957790613955</v>
      </c>
      <c r="AK403" s="43">
        <f t="shared" si="186"/>
        <v>14079.668638777019</v>
      </c>
      <c r="AL403" s="43">
        <f t="shared" si="187"/>
        <v>12202.379486940083</v>
      </c>
      <c r="AN403" s="47">
        <f t="shared" si="188"/>
        <v>3339.7827495652173</v>
      </c>
      <c r="AO403" s="47">
        <f t="shared" si="189"/>
        <v>3165.8467635085071</v>
      </c>
      <c r="AP403" s="47">
        <f t="shared" si="190"/>
        <v>2831.0608487678473</v>
      </c>
      <c r="AQ403" s="47">
        <f t="shared" si="191"/>
        <v>2651.6709269696721</v>
      </c>
      <c r="AR403" s="43">
        <f t="shared" si="192"/>
        <v>2340.9795723406596</v>
      </c>
      <c r="AS403" s="120"/>
      <c r="AT403" s="120"/>
      <c r="AU403" s="120"/>
      <c r="AV403" s="120"/>
      <c r="AW403" s="120"/>
      <c r="AX403" s="120"/>
    </row>
    <row r="404" spans="1:50" s="89" customFormat="1" ht="13">
      <c r="A404" s="3"/>
      <c r="B404" s="37">
        <f>'13. Desinvesteringen'!B687</f>
        <v>668</v>
      </c>
      <c r="C404" s="331"/>
      <c r="D404" s="331"/>
      <c r="E404" s="331"/>
      <c r="F404" s="42">
        <f>'5. Input GAW-waarde desinv.'!D363</f>
        <v>24435</v>
      </c>
      <c r="G404" s="175">
        <f>'13. Desinvesteringen'!D687</f>
        <v>1980</v>
      </c>
      <c r="H404" s="175">
        <f>'13. Desinvesteringen'!G687</f>
        <v>2025</v>
      </c>
      <c r="I404" s="37" t="str">
        <f>'13. Desinvesteringen'!C687</f>
        <v>01 Regionale leidingen</v>
      </c>
      <c r="J404" s="164">
        <f>'13. Desinvesteringen'!F687</f>
        <v>0</v>
      </c>
      <c r="K404" s="38">
        <f>_xlfn.XLOOKUP(I404,'3. Input (des)investeringen '!$B$11:$B$89,'3. Input (des)investeringen '!$E$11:$E$89)</f>
        <v>1</v>
      </c>
      <c r="L404" s="331"/>
      <c r="M404" s="38">
        <f>_xlfn.XLOOKUP(I404,'3. Input (des)investeringen '!$B$11:$B$89,'3. Input (des)investeringen '!$D$11:$D$89,0)</f>
        <v>55</v>
      </c>
      <c r="N404" s="38">
        <f t="shared" si="172"/>
        <v>13.5</v>
      </c>
      <c r="P404" s="43">
        <f t="shared" si="193"/>
        <v>2117.7000000000003</v>
      </c>
      <c r="Q404" s="43">
        <f t="shared" si="193"/>
        <v>1913.7733333333333</v>
      </c>
      <c r="R404" s="43">
        <f t="shared" si="193"/>
        <v>1729.484049382716</v>
      </c>
      <c r="S404" s="43">
        <f t="shared" si="193"/>
        <v>1562.9411409236395</v>
      </c>
      <c r="T404" s="43">
        <f t="shared" si="193"/>
        <v>1543.9580501431906</v>
      </c>
      <c r="V404" s="43">
        <f t="shared" si="173"/>
        <v>181</v>
      </c>
      <c r="W404" s="43">
        <f t="shared" si="174"/>
        <v>181</v>
      </c>
      <c r="X404" s="43">
        <f t="shared" si="175"/>
        <v>181</v>
      </c>
      <c r="Y404" s="43">
        <f t="shared" si="176"/>
        <v>181</v>
      </c>
      <c r="Z404" s="43">
        <f t="shared" si="177"/>
        <v>181</v>
      </c>
      <c r="AB404" s="43">
        <f t="shared" si="178"/>
        <v>2298.7000000000003</v>
      </c>
      <c r="AC404" s="43">
        <f t="shared" si="179"/>
        <v>2094.7733333333335</v>
      </c>
      <c r="AD404" s="43">
        <f t="shared" si="180"/>
        <v>1910.484049382716</v>
      </c>
      <c r="AE404" s="43">
        <f t="shared" si="181"/>
        <v>1743.9411409236395</v>
      </c>
      <c r="AF404" s="43">
        <f t="shared" si="182"/>
        <v>1724.9580501431906</v>
      </c>
      <c r="AH404" s="43">
        <f t="shared" si="183"/>
        <v>22136.3</v>
      </c>
      <c r="AI404" s="43">
        <f t="shared" si="184"/>
        <v>20041.526666666665</v>
      </c>
      <c r="AJ404" s="43">
        <f t="shared" si="185"/>
        <v>18131.042617283951</v>
      </c>
      <c r="AK404" s="43">
        <f t="shared" si="186"/>
        <v>16387.101476360313</v>
      </c>
      <c r="AL404" s="43">
        <f t="shared" si="187"/>
        <v>14662.143426217122</v>
      </c>
      <c r="AN404" s="47">
        <f t="shared" si="188"/>
        <v>3206.2883000000002</v>
      </c>
      <c r="AO404" s="47">
        <f t="shared" si="189"/>
        <v>3116.8911933333334</v>
      </c>
      <c r="AP404" s="47">
        <f t="shared" si="190"/>
        <v>2835.1672228641974</v>
      </c>
      <c r="AQ404" s="47">
        <f t="shared" si="191"/>
        <v>2645.2317221234566</v>
      </c>
      <c r="AR404" s="43">
        <f t="shared" si="192"/>
        <v>2282.1195003394414</v>
      </c>
      <c r="AS404" s="120"/>
      <c r="AT404" s="120"/>
      <c r="AU404" s="120"/>
      <c r="AV404" s="120"/>
      <c r="AW404" s="120"/>
      <c r="AX404" s="120"/>
    </row>
    <row r="405" spans="1:50" s="89" customFormat="1" ht="13">
      <c r="A405" s="3"/>
      <c r="B405" s="37">
        <f>'13. Desinvesteringen'!B688</f>
        <v>669</v>
      </c>
      <c r="C405" s="331"/>
      <c r="D405" s="331"/>
      <c r="E405" s="331"/>
      <c r="F405" s="42">
        <f>'5. Input GAW-waarde desinv.'!D364</f>
        <v>34214</v>
      </c>
      <c r="G405" s="175">
        <f>'13. Desinvesteringen'!D688</f>
        <v>1986</v>
      </c>
      <c r="H405" s="175">
        <f>'13. Desinvesteringen'!G688</f>
        <v>2025</v>
      </c>
      <c r="I405" s="37" t="str">
        <f>'13. Desinvesteringen'!C688</f>
        <v>01 Regionale leidingen</v>
      </c>
      <c r="J405" s="164">
        <f>'13. Desinvesteringen'!F688</f>
        <v>0</v>
      </c>
      <c r="K405" s="38">
        <f>_xlfn.XLOOKUP(I405,'3. Input (des)investeringen '!$B$11:$B$89,'3. Input (des)investeringen '!$E$11:$E$89)</f>
        <v>1</v>
      </c>
      <c r="L405" s="331"/>
      <c r="M405" s="38">
        <f>_xlfn.XLOOKUP(I405,'3. Input (des)investeringen '!$B$11:$B$89,'3. Input (des)investeringen '!$D$11:$D$89,0)</f>
        <v>55</v>
      </c>
      <c r="N405" s="38">
        <f t="shared" si="172"/>
        <v>19.5</v>
      </c>
      <c r="P405" s="43">
        <f t="shared" si="193"/>
        <v>2052.84</v>
      </c>
      <c r="Q405" s="43">
        <f t="shared" si="193"/>
        <v>1915.9839999999999</v>
      </c>
      <c r="R405" s="43">
        <f t="shared" si="193"/>
        <v>1788.2517333333333</v>
      </c>
      <c r="S405" s="43">
        <f t="shared" si="193"/>
        <v>1669.034951111111</v>
      </c>
      <c r="T405" s="43">
        <f t="shared" si="193"/>
        <v>1557.7659543703705</v>
      </c>
      <c r="V405" s="43">
        <f t="shared" si="173"/>
        <v>175.45641025641027</v>
      </c>
      <c r="W405" s="43">
        <f t="shared" si="174"/>
        <v>175.45641025641027</v>
      </c>
      <c r="X405" s="43">
        <f t="shared" si="175"/>
        <v>175.45641025641027</v>
      </c>
      <c r="Y405" s="43">
        <f t="shared" si="176"/>
        <v>175.45641025641027</v>
      </c>
      <c r="Z405" s="43">
        <f t="shared" si="177"/>
        <v>175.45641025641027</v>
      </c>
      <c r="AB405" s="43">
        <f t="shared" si="178"/>
        <v>2228.2964102564106</v>
      </c>
      <c r="AC405" s="43">
        <f t="shared" si="179"/>
        <v>2091.4404102564104</v>
      </c>
      <c r="AD405" s="43">
        <f t="shared" si="180"/>
        <v>1963.7081435897435</v>
      </c>
      <c r="AE405" s="43">
        <f t="shared" si="181"/>
        <v>1844.4913613675212</v>
      </c>
      <c r="AF405" s="43">
        <f t="shared" si="182"/>
        <v>1733.2223646267807</v>
      </c>
      <c r="AH405" s="43">
        <f t="shared" si="183"/>
        <v>31985.703589743589</v>
      </c>
      <c r="AI405" s="43">
        <f t="shared" si="184"/>
        <v>29894.263179487178</v>
      </c>
      <c r="AJ405" s="43">
        <f t="shared" si="185"/>
        <v>27930.555035897436</v>
      </c>
      <c r="AK405" s="43">
        <f t="shared" si="186"/>
        <v>26086.063674529916</v>
      </c>
      <c r="AL405" s="43">
        <f t="shared" si="187"/>
        <v>24352.841309903135</v>
      </c>
      <c r="AN405" s="47">
        <f t="shared" si="188"/>
        <v>3539.7102574358978</v>
      </c>
      <c r="AO405" s="47">
        <f t="shared" si="189"/>
        <v>3616.0478324102564</v>
      </c>
      <c r="AP405" s="47">
        <f t="shared" si="190"/>
        <v>3388.1664504205128</v>
      </c>
      <c r="AQ405" s="47">
        <f t="shared" si="191"/>
        <v>3279.2248634666666</v>
      </c>
      <c r="AR405" s="43">
        <f t="shared" si="192"/>
        <v>2658.6303344030998</v>
      </c>
      <c r="AS405" s="120"/>
      <c r="AT405" s="120"/>
      <c r="AU405" s="120"/>
      <c r="AV405" s="120"/>
      <c r="AW405" s="120"/>
      <c r="AX405" s="120"/>
    </row>
    <row r="406" spans="1:50" s="89" customFormat="1" ht="13">
      <c r="A406" s="3"/>
      <c r="B406" s="37">
        <f>'13. Desinvesteringen'!B689</f>
        <v>670</v>
      </c>
      <c r="C406" s="331"/>
      <c r="D406" s="331"/>
      <c r="E406" s="331"/>
      <c r="F406" s="42">
        <f>'5. Input GAW-waarde desinv.'!D365</f>
        <v>15206</v>
      </c>
      <c r="G406" s="175">
        <f>'13. Desinvesteringen'!D689</f>
        <v>1987</v>
      </c>
      <c r="H406" s="175">
        <f>'13. Desinvesteringen'!G689</f>
        <v>2025</v>
      </c>
      <c r="I406" s="37" t="str">
        <f>'13. Desinvesteringen'!C689</f>
        <v>01 Regionale leidingen</v>
      </c>
      <c r="J406" s="164">
        <f>'13. Desinvesteringen'!F689</f>
        <v>0</v>
      </c>
      <c r="K406" s="38">
        <f>_xlfn.XLOOKUP(I406,'3. Input (des)investeringen '!$B$11:$B$89,'3. Input (des)investeringen '!$E$11:$E$89)</f>
        <v>1</v>
      </c>
      <c r="L406" s="331"/>
      <c r="M406" s="38">
        <f>_xlfn.XLOOKUP(I406,'3. Input (des)investeringen '!$B$11:$B$89,'3. Input (des)investeringen '!$D$11:$D$89,0)</f>
        <v>55</v>
      </c>
      <c r="N406" s="38">
        <f t="shared" si="172"/>
        <v>20.5</v>
      </c>
      <c r="P406" s="43">
        <f t="shared" si="193"/>
        <v>867.85463414634148</v>
      </c>
      <c r="Q406" s="43">
        <f t="shared" si="193"/>
        <v>812.81995002974429</v>
      </c>
      <c r="R406" s="43">
        <f t="shared" si="193"/>
        <v>761.27527027176052</v>
      </c>
      <c r="S406" s="43">
        <f t="shared" si="193"/>
        <v>712.99927752281963</v>
      </c>
      <c r="T406" s="43">
        <f t="shared" si="193"/>
        <v>667.78468919210422</v>
      </c>
      <c r="V406" s="43">
        <f t="shared" si="173"/>
        <v>74.175609756097558</v>
      </c>
      <c r="W406" s="43">
        <f t="shared" si="174"/>
        <v>74.175609756097558</v>
      </c>
      <c r="X406" s="43">
        <f t="shared" si="175"/>
        <v>74.175609756097558</v>
      </c>
      <c r="Y406" s="43">
        <f t="shared" si="176"/>
        <v>74.175609756097558</v>
      </c>
      <c r="Z406" s="43">
        <f t="shared" si="177"/>
        <v>74.175609756097558</v>
      </c>
      <c r="AB406" s="43">
        <f t="shared" si="178"/>
        <v>942.030243902439</v>
      </c>
      <c r="AC406" s="43">
        <f t="shared" si="179"/>
        <v>886.99555978584181</v>
      </c>
      <c r="AD406" s="43">
        <f t="shared" si="180"/>
        <v>835.45088002785803</v>
      </c>
      <c r="AE406" s="43">
        <f t="shared" si="181"/>
        <v>787.17488727891714</v>
      </c>
      <c r="AF406" s="43">
        <f t="shared" si="182"/>
        <v>741.96029894820174</v>
      </c>
      <c r="AH406" s="43">
        <f t="shared" si="183"/>
        <v>14263.969756097562</v>
      </c>
      <c r="AI406" s="43">
        <f t="shared" si="184"/>
        <v>13376.974196311719</v>
      </c>
      <c r="AJ406" s="43">
        <f t="shared" si="185"/>
        <v>12541.523316283861</v>
      </c>
      <c r="AK406" s="43">
        <f t="shared" si="186"/>
        <v>11754.348429004944</v>
      </c>
      <c r="AL406" s="43">
        <f t="shared" si="187"/>
        <v>11012.388130056743</v>
      </c>
      <c r="AN406" s="47">
        <f t="shared" si="188"/>
        <v>1526.853003902439</v>
      </c>
      <c r="AO406" s="47">
        <f t="shared" si="189"/>
        <v>1569.2212437977396</v>
      </c>
      <c r="AP406" s="47">
        <f t="shared" si="190"/>
        <v>1475.0685691583349</v>
      </c>
      <c r="AQ406" s="47">
        <f t="shared" si="191"/>
        <v>1433.6640508741889</v>
      </c>
      <c r="AR406" s="43">
        <f t="shared" si="192"/>
        <v>1160.4310478903581</v>
      </c>
      <c r="AS406" s="120"/>
      <c r="AT406" s="120"/>
      <c r="AU406" s="120"/>
      <c r="AV406" s="120"/>
      <c r="AW406" s="120"/>
      <c r="AX406" s="120"/>
    </row>
    <row r="407" spans="1:50" s="89" customFormat="1" ht="13">
      <c r="A407" s="3"/>
      <c r="B407" s="37">
        <f>'13. Desinvesteringen'!B690</f>
        <v>671</v>
      </c>
      <c r="C407" s="331"/>
      <c r="D407" s="331"/>
      <c r="E407" s="331"/>
      <c r="F407" s="42">
        <f>'5. Input GAW-waarde desinv.'!D366</f>
        <v>22137</v>
      </c>
      <c r="G407" s="175">
        <f>'13. Desinvesteringen'!D690</f>
        <v>1992</v>
      </c>
      <c r="H407" s="175">
        <f>'13. Desinvesteringen'!G690</f>
        <v>2025</v>
      </c>
      <c r="I407" s="37" t="str">
        <f>'13. Desinvesteringen'!C690</f>
        <v>01 Regionale leidingen</v>
      </c>
      <c r="J407" s="164">
        <f>'13. Desinvesteringen'!F690</f>
        <v>0</v>
      </c>
      <c r="K407" s="38">
        <f>_xlfn.XLOOKUP(I407,'3. Input (des)investeringen '!$B$11:$B$89,'3. Input (des)investeringen '!$E$11:$E$89)</f>
        <v>1</v>
      </c>
      <c r="L407" s="331"/>
      <c r="M407" s="38">
        <f>_xlfn.XLOOKUP(I407,'3. Input (des)investeringen '!$B$11:$B$89,'3. Input (des)investeringen '!$D$11:$D$89,0)</f>
        <v>55</v>
      </c>
      <c r="N407" s="38">
        <f t="shared" si="172"/>
        <v>25.5</v>
      </c>
      <c r="P407" s="43">
        <f t="shared" si="193"/>
        <v>1015.6976470588235</v>
      </c>
      <c r="Q407" s="43">
        <f t="shared" si="193"/>
        <v>963.9169826989621</v>
      </c>
      <c r="R407" s="43">
        <f t="shared" si="193"/>
        <v>914.776116914309</v>
      </c>
      <c r="S407" s="43">
        <f t="shared" si="193"/>
        <v>868.14047173828556</v>
      </c>
      <c r="T407" s="43">
        <f t="shared" si="193"/>
        <v>823.88233004182393</v>
      </c>
      <c r="V407" s="43">
        <f t="shared" si="173"/>
        <v>86.811764705882354</v>
      </c>
      <c r="W407" s="43">
        <f t="shared" si="174"/>
        <v>86.811764705882354</v>
      </c>
      <c r="X407" s="43">
        <f t="shared" si="175"/>
        <v>86.811764705882354</v>
      </c>
      <c r="Y407" s="43">
        <f t="shared" si="176"/>
        <v>86.811764705882354</v>
      </c>
      <c r="Z407" s="43">
        <f t="shared" si="177"/>
        <v>86.811764705882354</v>
      </c>
      <c r="AB407" s="43">
        <f t="shared" si="178"/>
        <v>1102.5094117647059</v>
      </c>
      <c r="AC407" s="43">
        <f t="shared" si="179"/>
        <v>1050.7287474048444</v>
      </c>
      <c r="AD407" s="43">
        <f t="shared" si="180"/>
        <v>1001.5878816201914</v>
      </c>
      <c r="AE407" s="43">
        <f t="shared" si="181"/>
        <v>954.95223644416797</v>
      </c>
      <c r="AF407" s="43">
        <f t="shared" si="182"/>
        <v>910.69409474770623</v>
      </c>
      <c r="AH407" s="43">
        <f t="shared" si="183"/>
        <v>21034.490588235294</v>
      </c>
      <c r="AI407" s="43">
        <f t="shared" si="184"/>
        <v>19983.761840830448</v>
      </c>
      <c r="AJ407" s="43">
        <f t="shared" si="185"/>
        <v>18982.173959210257</v>
      </c>
      <c r="AK407" s="43">
        <f t="shared" si="186"/>
        <v>18027.221722766088</v>
      </c>
      <c r="AL407" s="43">
        <f t="shared" si="187"/>
        <v>17116.527628018383</v>
      </c>
      <c r="AN407" s="47">
        <f t="shared" si="188"/>
        <v>1964.9235258823528</v>
      </c>
      <c r="AO407" s="47">
        <f t="shared" si="189"/>
        <v>2069.9006012871973</v>
      </c>
      <c r="AP407" s="47">
        <f t="shared" si="190"/>
        <v>1969.6787535399144</v>
      </c>
      <c r="AQ407" s="47">
        <f t="shared" si="191"/>
        <v>1946.4494311963028</v>
      </c>
      <c r="AR407" s="43">
        <f t="shared" si="192"/>
        <v>1561.1221446124048</v>
      </c>
      <c r="AS407" s="120"/>
      <c r="AT407" s="120"/>
      <c r="AU407" s="120"/>
      <c r="AV407" s="120"/>
      <c r="AW407" s="120"/>
      <c r="AX407" s="120"/>
    </row>
    <row r="408" spans="1:50" s="89" customFormat="1" ht="13">
      <c r="A408" s="3"/>
      <c r="B408" s="37">
        <f>'13. Desinvesteringen'!B691</f>
        <v>672</v>
      </c>
      <c r="C408" s="331"/>
      <c r="D408" s="331"/>
      <c r="E408" s="331"/>
      <c r="F408" s="42">
        <f>'5. Input GAW-waarde desinv.'!D367</f>
        <v>33597</v>
      </c>
      <c r="G408" s="175">
        <f>'13. Desinvesteringen'!D691</f>
        <v>1993</v>
      </c>
      <c r="H408" s="175">
        <f>'13. Desinvesteringen'!G691</f>
        <v>2025</v>
      </c>
      <c r="I408" s="37" t="str">
        <f>'13. Desinvesteringen'!C691</f>
        <v>01 Regionale leidingen</v>
      </c>
      <c r="J408" s="164">
        <f>'13. Desinvesteringen'!F691</f>
        <v>0</v>
      </c>
      <c r="K408" s="38">
        <f>_xlfn.XLOOKUP(I408,'3. Input (des)investeringen '!$B$11:$B$89,'3. Input (des)investeringen '!$E$11:$E$89)</f>
        <v>1</v>
      </c>
      <c r="L408" s="331"/>
      <c r="M408" s="38">
        <f>_xlfn.XLOOKUP(I408,'3. Input (des)investeringen '!$B$11:$B$89,'3. Input (des)investeringen '!$D$11:$D$89,0)</f>
        <v>55</v>
      </c>
      <c r="N408" s="38">
        <f t="shared" si="172"/>
        <v>26.5</v>
      </c>
      <c r="P408" s="43">
        <f t="shared" si="193"/>
        <v>1483.339245283019</v>
      </c>
      <c r="Q408" s="43">
        <f t="shared" si="193"/>
        <v>1410.5716596653615</v>
      </c>
      <c r="R408" s="43">
        <f t="shared" si="193"/>
        <v>1341.3738046629098</v>
      </c>
      <c r="S408" s="43">
        <f t="shared" si="193"/>
        <v>1275.5705614152955</v>
      </c>
      <c r="T408" s="43">
        <f t="shared" si="193"/>
        <v>1212.9954017986959</v>
      </c>
      <c r="V408" s="43">
        <f t="shared" si="173"/>
        <v>126.7811320754717</v>
      </c>
      <c r="W408" s="43">
        <f t="shared" si="174"/>
        <v>126.7811320754717</v>
      </c>
      <c r="X408" s="43">
        <f t="shared" si="175"/>
        <v>126.7811320754717</v>
      </c>
      <c r="Y408" s="43">
        <f t="shared" si="176"/>
        <v>126.7811320754717</v>
      </c>
      <c r="Z408" s="43">
        <f t="shared" si="177"/>
        <v>126.7811320754717</v>
      </c>
      <c r="AB408" s="43">
        <f t="shared" si="178"/>
        <v>1610.1203773584907</v>
      </c>
      <c r="AC408" s="43">
        <f t="shared" si="179"/>
        <v>1537.3527917408333</v>
      </c>
      <c r="AD408" s="43">
        <f t="shared" si="180"/>
        <v>1468.1549367383816</v>
      </c>
      <c r="AE408" s="43">
        <f t="shared" si="181"/>
        <v>1402.3516934907673</v>
      </c>
      <c r="AF408" s="43">
        <f t="shared" si="182"/>
        <v>1339.7765338741676</v>
      </c>
      <c r="AH408" s="43">
        <f t="shared" si="183"/>
        <v>31986.879622641511</v>
      </c>
      <c r="AI408" s="43">
        <f t="shared" si="184"/>
        <v>30449.526830900679</v>
      </c>
      <c r="AJ408" s="43">
        <f t="shared" si="185"/>
        <v>28981.371894162297</v>
      </c>
      <c r="AK408" s="43">
        <f t="shared" si="186"/>
        <v>27579.02020067153</v>
      </c>
      <c r="AL408" s="43">
        <f t="shared" si="187"/>
        <v>26239.243666797363</v>
      </c>
      <c r="AN408" s="47">
        <f t="shared" si="188"/>
        <v>2921.5824418867924</v>
      </c>
      <c r="AO408" s="47">
        <f t="shared" si="189"/>
        <v>3090.2786601167677</v>
      </c>
      <c r="AP408" s="47">
        <f t="shared" si="190"/>
        <v>2946.2049033406583</v>
      </c>
      <c r="AQ408" s="47">
        <f t="shared" si="191"/>
        <v>2919.1978045277015</v>
      </c>
      <c r="AR408" s="43">
        <f t="shared" si="192"/>
        <v>2336.8677932124674</v>
      </c>
      <c r="AS408" s="120"/>
      <c r="AT408" s="120"/>
      <c r="AU408" s="120"/>
      <c r="AV408" s="120"/>
      <c r="AW408" s="120"/>
      <c r="AX408" s="120"/>
    </row>
    <row r="409" spans="1:50" s="89" customFormat="1" ht="13">
      <c r="A409" s="3"/>
      <c r="B409" s="37">
        <f>'13. Desinvesteringen'!B692</f>
        <v>673</v>
      </c>
      <c r="C409" s="331"/>
      <c r="D409" s="331"/>
      <c r="E409" s="331"/>
      <c r="F409" s="42">
        <f>'5. Input GAW-waarde desinv.'!D368</f>
        <v>14916</v>
      </c>
      <c r="G409" s="175">
        <f>'13. Desinvesteringen'!D692</f>
        <v>1995</v>
      </c>
      <c r="H409" s="175">
        <f>'13. Desinvesteringen'!G692</f>
        <v>2025</v>
      </c>
      <c r="I409" s="37" t="str">
        <f>'13. Desinvesteringen'!C692</f>
        <v>01 Regionale leidingen</v>
      </c>
      <c r="J409" s="164">
        <f>'13. Desinvesteringen'!F692</f>
        <v>0</v>
      </c>
      <c r="K409" s="38">
        <f>_xlfn.XLOOKUP(I409,'3. Input (des)investeringen '!$B$11:$B$89,'3. Input (des)investeringen '!$E$11:$E$89)</f>
        <v>1</v>
      </c>
      <c r="L409" s="331"/>
      <c r="M409" s="38">
        <f>_xlfn.XLOOKUP(I409,'3. Input (des)investeringen '!$B$11:$B$89,'3. Input (des)investeringen '!$D$11:$D$89,0)</f>
        <v>55</v>
      </c>
      <c r="N409" s="38">
        <f t="shared" si="172"/>
        <v>28.5</v>
      </c>
      <c r="P409" s="43">
        <f t="shared" si="193"/>
        <v>612.34105263157903</v>
      </c>
      <c r="Q409" s="43">
        <f t="shared" si="193"/>
        <v>584.40970637119119</v>
      </c>
      <c r="R409" s="43">
        <f t="shared" si="193"/>
        <v>557.75242151917189</v>
      </c>
      <c r="S409" s="43">
        <f t="shared" si="193"/>
        <v>532.31108299373602</v>
      </c>
      <c r="T409" s="43">
        <f t="shared" si="193"/>
        <v>508.03022657647796</v>
      </c>
      <c r="V409" s="43">
        <f t="shared" si="173"/>
        <v>52.336842105263159</v>
      </c>
      <c r="W409" s="43">
        <f t="shared" si="174"/>
        <v>52.336842105263159</v>
      </c>
      <c r="X409" s="43">
        <f t="shared" si="175"/>
        <v>52.336842105263159</v>
      </c>
      <c r="Y409" s="43">
        <f t="shared" si="176"/>
        <v>52.336842105263159</v>
      </c>
      <c r="Z409" s="43">
        <f t="shared" si="177"/>
        <v>52.336842105263159</v>
      </c>
      <c r="AB409" s="43">
        <f t="shared" si="178"/>
        <v>664.67789473684218</v>
      </c>
      <c r="AC409" s="43">
        <f t="shared" si="179"/>
        <v>636.74654847645434</v>
      </c>
      <c r="AD409" s="43">
        <f t="shared" si="180"/>
        <v>610.08926362443503</v>
      </c>
      <c r="AE409" s="43">
        <f t="shared" si="181"/>
        <v>584.64792509899917</v>
      </c>
      <c r="AF409" s="43">
        <f t="shared" si="182"/>
        <v>560.3670686817411</v>
      </c>
      <c r="AH409" s="43">
        <f t="shared" si="183"/>
        <v>14251.322105263158</v>
      </c>
      <c r="AI409" s="43">
        <f t="shared" si="184"/>
        <v>13614.575556786704</v>
      </c>
      <c r="AJ409" s="43">
        <f t="shared" si="185"/>
        <v>13004.486293162268</v>
      </c>
      <c r="AK409" s="43">
        <f t="shared" si="186"/>
        <v>12419.838368063269</v>
      </c>
      <c r="AL409" s="43">
        <f t="shared" si="187"/>
        <v>11859.471299381528</v>
      </c>
      <c r="AN409" s="47">
        <f t="shared" si="188"/>
        <v>1248.9821010526316</v>
      </c>
      <c r="AO409" s="47">
        <f t="shared" si="189"/>
        <v>1331.0899018725763</v>
      </c>
      <c r="AP409" s="47">
        <f t="shared" si="190"/>
        <v>1273.3180645757107</v>
      </c>
      <c r="AQ409" s="47">
        <f t="shared" si="191"/>
        <v>1267.7390353424789</v>
      </c>
      <c r="AR409" s="43">
        <f t="shared" si="192"/>
        <v>1011.0269780582391</v>
      </c>
      <c r="AS409" s="120"/>
      <c r="AT409" s="120"/>
      <c r="AU409" s="120"/>
      <c r="AV409" s="120"/>
      <c r="AW409" s="120"/>
      <c r="AX409" s="120"/>
    </row>
    <row r="410" spans="1:50" s="89" customFormat="1" ht="13">
      <c r="A410" s="3"/>
      <c r="B410" s="37">
        <f>'13. Desinvesteringen'!B693</f>
        <v>674</v>
      </c>
      <c r="C410" s="331"/>
      <c r="D410" s="331"/>
      <c r="E410" s="331"/>
      <c r="F410" s="42">
        <f>'5. Input GAW-waarde desinv.'!D369</f>
        <v>5509</v>
      </c>
      <c r="G410" s="175">
        <f>'13. Desinvesteringen'!D693</f>
        <v>1998</v>
      </c>
      <c r="H410" s="175">
        <f>'13. Desinvesteringen'!G693</f>
        <v>2025</v>
      </c>
      <c r="I410" s="37" t="str">
        <f>'13. Desinvesteringen'!C693</f>
        <v>01 Regionale leidingen</v>
      </c>
      <c r="J410" s="164">
        <f>'13. Desinvesteringen'!F693</f>
        <v>0</v>
      </c>
      <c r="K410" s="38">
        <f>_xlfn.XLOOKUP(I410,'3. Input (des)investeringen '!$B$11:$B$89,'3. Input (des)investeringen '!$E$11:$E$89)</f>
        <v>1</v>
      </c>
      <c r="L410" s="331"/>
      <c r="M410" s="38">
        <f>_xlfn.XLOOKUP(I410,'3. Input (des)investeringen '!$B$11:$B$89,'3. Input (des)investeringen '!$D$11:$D$89,0)</f>
        <v>55</v>
      </c>
      <c r="N410" s="38">
        <f t="shared" si="172"/>
        <v>31.5</v>
      </c>
      <c r="P410" s="43">
        <f t="shared" si="193"/>
        <v>204.62</v>
      </c>
      <c r="Q410" s="43">
        <f t="shared" si="193"/>
        <v>196.17536507936506</v>
      </c>
      <c r="R410" s="43">
        <f t="shared" si="193"/>
        <v>188.07923890148652</v>
      </c>
      <c r="S410" s="43">
        <f t="shared" si="193"/>
        <v>180.31723856586964</v>
      </c>
      <c r="T410" s="43">
        <f t="shared" si="193"/>
        <v>172.87557475204011</v>
      </c>
      <c r="V410" s="43">
        <f t="shared" si="173"/>
        <v>17.488888888888891</v>
      </c>
      <c r="W410" s="43">
        <f t="shared" si="174"/>
        <v>17.488888888888891</v>
      </c>
      <c r="X410" s="43">
        <f t="shared" si="175"/>
        <v>17.488888888888891</v>
      </c>
      <c r="Y410" s="43">
        <f t="shared" si="176"/>
        <v>17.488888888888891</v>
      </c>
      <c r="Z410" s="43">
        <f t="shared" si="177"/>
        <v>17.488888888888891</v>
      </c>
      <c r="AB410" s="43">
        <f t="shared" si="178"/>
        <v>222.10888888888888</v>
      </c>
      <c r="AC410" s="43">
        <f t="shared" si="179"/>
        <v>213.66425396825395</v>
      </c>
      <c r="AD410" s="43">
        <f t="shared" si="180"/>
        <v>205.5681277903754</v>
      </c>
      <c r="AE410" s="43">
        <f t="shared" si="181"/>
        <v>197.80612745475852</v>
      </c>
      <c r="AF410" s="43">
        <f t="shared" si="182"/>
        <v>190.36446364092899</v>
      </c>
      <c r="AH410" s="43">
        <f t="shared" si="183"/>
        <v>5286.8911111111111</v>
      </c>
      <c r="AI410" s="43">
        <f t="shared" si="184"/>
        <v>5073.2268571428567</v>
      </c>
      <c r="AJ410" s="43">
        <f t="shared" si="185"/>
        <v>4867.6587293524817</v>
      </c>
      <c r="AK410" s="43">
        <f t="shared" si="186"/>
        <v>4669.8526018977236</v>
      </c>
      <c r="AL410" s="43">
        <f t="shared" si="187"/>
        <v>4479.4881382567946</v>
      </c>
      <c r="AN410" s="47">
        <f t="shared" si="188"/>
        <v>438.87142444444441</v>
      </c>
      <c r="AO410" s="47">
        <f t="shared" si="189"/>
        <v>472.39882368253961</v>
      </c>
      <c r="AP410" s="47">
        <f t="shared" si="190"/>
        <v>453.81872298735198</v>
      </c>
      <c r="AQ410" s="47">
        <f t="shared" si="191"/>
        <v>454.64802055913333</v>
      </c>
      <c r="AR410" s="43">
        <f t="shared" si="192"/>
        <v>360.58501289468717</v>
      </c>
      <c r="AS410" s="120"/>
      <c r="AT410" s="120"/>
      <c r="AU410" s="120"/>
      <c r="AV410" s="120"/>
      <c r="AW410" s="120"/>
      <c r="AX410" s="120"/>
    </row>
    <row r="411" spans="1:50" s="89" customFormat="1" ht="13">
      <c r="A411" s="3"/>
      <c r="B411" s="37">
        <f>'13. Desinvesteringen'!B694</f>
        <v>675</v>
      </c>
      <c r="C411" s="331"/>
      <c r="D411" s="331"/>
      <c r="E411" s="331"/>
      <c r="F411" s="42">
        <f>'5. Input GAW-waarde desinv.'!D370</f>
        <v>6680</v>
      </c>
      <c r="G411" s="175">
        <f>'13. Desinvesteringen'!D694</f>
        <v>2004</v>
      </c>
      <c r="H411" s="175">
        <f>'13. Desinvesteringen'!G694</f>
        <v>2025</v>
      </c>
      <c r="I411" s="37" t="str">
        <f>'13. Desinvesteringen'!C694</f>
        <v>01 Regionale leidingen</v>
      </c>
      <c r="J411" s="164">
        <f>'13. Desinvesteringen'!F694</f>
        <v>0</v>
      </c>
      <c r="K411" s="38">
        <f>_xlfn.XLOOKUP(I411,'3. Input (des)investeringen '!$B$11:$B$89,'3. Input (des)investeringen '!$E$11:$E$89)</f>
        <v>1</v>
      </c>
      <c r="L411" s="331"/>
      <c r="M411" s="38">
        <f>_xlfn.XLOOKUP(I411,'3. Input (des)investeringen '!$B$11:$B$89,'3. Input (des)investeringen '!$D$11:$D$89,0)</f>
        <v>55</v>
      </c>
      <c r="N411" s="38">
        <f t="shared" si="172"/>
        <v>37.5</v>
      </c>
      <c r="P411" s="43">
        <f t="shared" si="193"/>
        <v>208.416</v>
      </c>
      <c r="Q411" s="43">
        <f t="shared" si="193"/>
        <v>201.190912</v>
      </c>
      <c r="R411" s="43">
        <f t="shared" si="193"/>
        <v>194.21629371733331</v>
      </c>
      <c r="S411" s="43">
        <f t="shared" si="193"/>
        <v>187.48346220179909</v>
      </c>
      <c r="T411" s="43">
        <f t="shared" si="193"/>
        <v>180.98403551213673</v>
      </c>
      <c r="V411" s="43">
        <f t="shared" si="173"/>
        <v>17.813333333333336</v>
      </c>
      <c r="W411" s="43">
        <f t="shared" si="174"/>
        <v>17.813333333333333</v>
      </c>
      <c r="X411" s="43">
        <f t="shared" si="175"/>
        <v>17.813333333333333</v>
      </c>
      <c r="Y411" s="43">
        <f t="shared" si="176"/>
        <v>17.813333333333333</v>
      </c>
      <c r="Z411" s="43">
        <f t="shared" si="177"/>
        <v>17.813333333333333</v>
      </c>
      <c r="AB411" s="43">
        <f t="shared" si="178"/>
        <v>226.22933333333333</v>
      </c>
      <c r="AC411" s="43">
        <f t="shared" si="179"/>
        <v>219.00424533333333</v>
      </c>
      <c r="AD411" s="43">
        <f t="shared" si="180"/>
        <v>212.02962705066665</v>
      </c>
      <c r="AE411" s="43">
        <f t="shared" si="181"/>
        <v>205.29679553513242</v>
      </c>
      <c r="AF411" s="43">
        <f t="shared" si="182"/>
        <v>198.79736884547006</v>
      </c>
      <c r="AH411" s="43">
        <f t="shared" si="183"/>
        <v>6453.7706666666663</v>
      </c>
      <c r="AI411" s="43">
        <f t="shared" si="184"/>
        <v>6234.7664213333328</v>
      </c>
      <c r="AJ411" s="43">
        <f t="shared" si="185"/>
        <v>6022.7367942826659</v>
      </c>
      <c r="AK411" s="43">
        <f t="shared" si="186"/>
        <v>5817.4399987475335</v>
      </c>
      <c r="AL411" s="43">
        <f t="shared" si="187"/>
        <v>5618.6426299020632</v>
      </c>
      <c r="AN411" s="47">
        <f t="shared" si="188"/>
        <v>490.83393066666667</v>
      </c>
      <c r="AO411" s="47">
        <f t="shared" si="189"/>
        <v>536.97733282133333</v>
      </c>
      <c r="AP411" s="47">
        <f t="shared" si="190"/>
        <v>519.18920355908267</v>
      </c>
      <c r="AQ411" s="47">
        <f t="shared" si="191"/>
        <v>525.25599546624676</v>
      </c>
      <c r="AR411" s="43">
        <f t="shared" si="192"/>
        <v>412.30578878174845</v>
      </c>
      <c r="AS411" s="120"/>
      <c r="AT411" s="120"/>
      <c r="AU411" s="120"/>
      <c r="AV411" s="120"/>
      <c r="AW411" s="120"/>
      <c r="AX411" s="120"/>
    </row>
    <row r="412" spans="1:50" s="89" customFormat="1" ht="13">
      <c r="A412" s="3"/>
      <c r="B412" s="37">
        <f>'13. Desinvesteringen'!B695</f>
        <v>676</v>
      </c>
      <c r="C412" s="331"/>
      <c r="D412" s="331"/>
      <c r="E412" s="331"/>
      <c r="F412" s="42">
        <f>'5. Input GAW-waarde desinv.'!D371</f>
        <v>452654</v>
      </c>
      <c r="G412" s="175">
        <f>'13. Desinvesteringen'!D695</f>
        <v>2005</v>
      </c>
      <c r="H412" s="175">
        <f>'13. Desinvesteringen'!G695</f>
        <v>2025</v>
      </c>
      <c r="I412" s="37" t="str">
        <f>'13. Desinvesteringen'!C695</f>
        <v>01 Regionale leidingen</v>
      </c>
      <c r="J412" s="164">
        <f>'13. Desinvesteringen'!F695</f>
        <v>0</v>
      </c>
      <c r="K412" s="38">
        <f>_xlfn.XLOOKUP(I412,'3. Input (des)investeringen '!$B$11:$B$89,'3. Input (des)investeringen '!$E$11:$E$89)</f>
        <v>1</v>
      </c>
      <c r="L412" s="331"/>
      <c r="M412" s="38">
        <f>_xlfn.XLOOKUP(I412,'3. Input (des)investeringen '!$B$11:$B$89,'3. Input (des)investeringen '!$D$11:$D$89,0)</f>
        <v>55</v>
      </c>
      <c r="N412" s="38">
        <f t="shared" si="172"/>
        <v>38.5</v>
      </c>
      <c r="P412" s="43">
        <f t="shared" si="193"/>
        <v>13755.978701298704</v>
      </c>
      <c r="Q412" s="43">
        <f t="shared" si="193"/>
        <v>13291.491108787319</v>
      </c>
      <c r="R412" s="43">
        <f t="shared" si="193"/>
        <v>12842.687512906188</v>
      </c>
      <c r="S412" s="43">
        <f t="shared" si="193"/>
        <v>12409.038324158708</v>
      </c>
      <c r="T412" s="43">
        <f t="shared" si="193"/>
        <v>11990.031835291013</v>
      </c>
      <c r="V412" s="43">
        <f t="shared" si="173"/>
        <v>1175.7246753246754</v>
      </c>
      <c r="W412" s="43">
        <f t="shared" si="174"/>
        <v>1175.7246753246752</v>
      </c>
      <c r="X412" s="43">
        <f t="shared" si="175"/>
        <v>1175.7246753246752</v>
      </c>
      <c r="Y412" s="43">
        <f t="shared" si="176"/>
        <v>1175.7246753246752</v>
      </c>
      <c r="Z412" s="43">
        <f t="shared" si="177"/>
        <v>1175.7246753246752</v>
      </c>
      <c r="AB412" s="43">
        <f t="shared" si="178"/>
        <v>14931.70337662338</v>
      </c>
      <c r="AC412" s="43">
        <f t="shared" si="179"/>
        <v>14467.215784111993</v>
      </c>
      <c r="AD412" s="43">
        <f t="shared" si="180"/>
        <v>14018.412188230863</v>
      </c>
      <c r="AE412" s="43">
        <f t="shared" si="181"/>
        <v>13584.762999483382</v>
      </c>
      <c r="AF412" s="43">
        <f t="shared" si="182"/>
        <v>13165.756510615687</v>
      </c>
      <c r="AH412" s="43">
        <f t="shared" si="183"/>
        <v>437722.29662337661</v>
      </c>
      <c r="AI412" s="43">
        <f t="shared" si="184"/>
        <v>423255.08083926461</v>
      </c>
      <c r="AJ412" s="43">
        <f t="shared" si="185"/>
        <v>409236.66865103377</v>
      </c>
      <c r="AK412" s="43">
        <f t="shared" si="186"/>
        <v>395651.90565155039</v>
      </c>
      <c r="AL412" s="43">
        <f t="shared" si="187"/>
        <v>382486.14914093469</v>
      </c>
      <c r="AN412" s="47">
        <f t="shared" si="188"/>
        <v>32878.317538181822</v>
      </c>
      <c r="AO412" s="47">
        <f t="shared" si="189"/>
        <v>36053.224906914489</v>
      </c>
      <c r="AP412" s="47">
        <f t="shared" si="190"/>
        <v>34889.482289433581</v>
      </c>
      <c r="AQ412" s="47">
        <f t="shared" si="191"/>
        <v>35345.617810318654</v>
      </c>
      <c r="AR412" s="43">
        <f t="shared" si="192"/>
        <v>27700.230177971207</v>
      </c>
      <c r="AS412" s="120"/>
      <c r="AT412" s="120"/>
      <c r="AU412" s="120"/>
      <c r="AV412" s="120"/>
      <c r="AW412" s="120"/>
      <c r="AX412" s="120"/>
    </row>
    <row r="413" spans="1:50" s="89" customFormat="1" ht="13">
      <c r="A413" s="3"/>
      <c r="B413" s="37">
        <f>'13. Desinvesteringen'!B696</f>
        <v>677</v>
      </c>
      <c r="C413" s="331"/>
      <c r="D413" s="331"/>
      <c r="E413" s="331"/>
      <c r="F413" s="42">
        <f>'5. Input GAW-waarde desinv.'!D372</f>
        <v>216564</v>
      </c>
      <c r="G413" s="175">
        <f>'13. Desinvesteringen'!D696</f>
        <v>2008</v>
      </c>
      <c r="H413" s="175">
        <f>'13. Desinvesteringen'!G696</f>
        <v>2025</v>
      </c>
      <c r="I413" s="37" t="str">
        <f>'13. Desinvesteringen'!C696</f>
        <v>01 Regionale leidingen</v>
      </c>
      <c r="J413" s="164">
        <f>'13. Desinvesteringen'!F696</f>
        <v>189352</v>
      </c>
      <c r="K413" s="38">
        <f>_xlfn.XLOOKUP(I413,'3. Input (des)investeringen '!$B$11:$B$89,'3. Input (des)investeringen '!$E$11:$E$89)</f>
        <v>1</v>
      </c>
      <c r="L413" s="331"/>
      <c r="M413" s="38">
        <f>_xlfn.XLOOKUP(I413,'3. Input (des)investeringen '!$B$11:$B$89,'3. Input (des)investeringen '!$D$11:$D$89,0)</f>
        <v>55</v>
      </c>
      <c r="N413" s="38">
        <f t="shared" si="172"/>
        <v>41.5</v>
      </c>
      <c r="P413" s="43">
        <f t="shared" si="193"/>
        <v>6105.5392771084344</v>
      </c>
      <c r="Q413" s="43">
        <f t="shared" si="193"/>
        <v>5914.2814202351583</v>
      </c>
      <c r="R413" s="43">
        <f t="shared" si="193"/>
        <v>5729.0147733362255</v>
      </c>
      <c r="S413" s="43">
        <f t="shared" si="193"/>
        <v>5549.5516599546081</v>
      </c>
      <c r="T413" s="43">
        <f t="shared" si="193"/>
        <v>5375.7102826548253</v>
      </c>
      <c r="V413" s="43">
        <f t="shared" si="173"/>
        <v>521.84096385542171</v>
      </c>
      <c r="W413" s="43">
        <f t="shared" si="174"/>
        <v>521.84096385542171</v>
      </c>
      <c r="X413" s="43">
        <f t="shared" si="175"/>
        <v>521.84096385542171</v>
      </c>
      <c r="Y413" s="43">
        <f t="shared" si="176"/>
        <v>521.84096385542171</v>
      </c>
      <c r="Z413" s="43">
        <f t="shared" si="177"/>
        <v>521.84096385542171</v>
      </c>
      <c r="AB413" s="43">
        <f t="shared" si="178"/>
        <v>6627.3802409638556</v>
      </c>
      <c r="AC413" s="43">
        <f t="shared" si="179"/>
        <v>6436.1223840905805</v>
      </c>
      <c r="AD413" s="43">
        <f t="shared" si="180"/>
        <v>6250.8557371916468</v>
      </c>
      <c r="AE413" s="43">
        <f t="shared" si="181"/>
        <v>6071.3926238100303</v>
      </c>
      <c r="AF413" s="43">
        <f t="shared" si="182"/>
        <v>5897.5512465102474</v>
      </c>
      <c r="AH413" s="43">
        <f t="shared" si="183"/>
        <v>209936.61975903614</v>
      </c>
      <c r="AI413" s="43">
        <f t="shared" si="184"/>
        <v>203500.49737494555</v>
      </c>
      <c r="AJ413" s="43">
        <f t="shared" si="185"/>
        <v>197249.6416377539</v>
      </c>
      <c r="AK413" s="43">
        <f t="shared" si="186"/>
        <v>191178.24901394386</v>
      </c>
      <c r="AL413" s="43">
        <f t="shared" si="187"/>
        <v>185280.69776743362</v>
      </c>
      <c r="AN413" s="47">
        <f t="shared" si="188"/>
        <v>15234.781651084339</v>
      </c>
      <c r="AO413" s="47">
        <f t="shared" si="189"/>
        <v>16814.647750212804</v>
      </c>
      <c r="AP413" s="47">
        <f t="shared" si="190"/>
        <v>16310.587460717095</v>
      </c>
      <c r="AQ413" s="47">
        <f t="shared" si="191"/>
        <v>16586.196319576942</v>
      </c>
      <c r="AR413" s="43">
        <f t="shared" si="192"/>
        <v>12938.217761672724</v>
      </c>
      <c r="AS413" s="120"/>
      <c r="AT413" s="120"/>
      <c r="AU413" s="120"/>
      <c r="AV413" s="120"/>
      <c r="AW413" s="120"/>
      <c r="AX413" s="120"/>
    </row>
    <row r="414" spans="1:50" s="89" customFormat="1" ht="13">
      <c r="A414" s="3"/>
      <c r="B414" s="37">
        <f>'13. Desinvesteringen'!B697</f>
        <v>678</v>
      </c>
      <c r="C414" s="331"/>
      <c r="D414" s="331"/>
      <c r="E414" s="331"/>
      <c r="F414" s="42">
        <f>'5. Input GAW-waarde desinv.'!D373</f>
        <v>1006173</v>
      </c>
      <c r="G414" s="175">
        <f>'13. Desinvesteringen'!D697</f>
        <v>2010</v>
      </c>
      <c r="H414" s="175">
        <f>'13. Desinvesteringen'!G697</f>
        <v>2025</v>
      </c>
      <c r="I414" s="37" t="str">
        <f>'13. Desinvesteringen'!C697</f>
        <v>01 Regionale leidingen</v>
      </c>
      <c r="J414" s="164">
        <f>'13. Desinvesteringen'!F697</f>
        <v>0</v>
      </c>
      <c r="K414" s="38">
        <f>_xlfn.XLOOKUP(I414,'3. Input (des)investeringen '!$B$11:$B$89,'3. Input (des)investeringen '!$E$11:$E$89)</f>
        <v>1</v>
      </c>
      <c r="L414" s="331"/>
      <c r="M414" s="38">
        <f>_xlfn.XLOOKUP(I414,'3. Input (des)investeringen '!$B$11:$B$89,'3. Input (des)investeringen '!$D$11:$D$89,0)</f>
        <v>55</v>
      </c>
      <c r="N414" s="38">
        <f t="shared" si="172"/>
        <v>43.5</v>
      </c>
      <c r="P414" s="43">
        <f t="shared" si="193"/>
        <v>27062.584137931037</v>
      </c>
      <c r="Q414" s="43">
        <f t="shared" si="193"/>
        <v>26253.817255648039</v>
      </c>
      <c r="R414" s="43">
        <f t="shared" si="193"/>
        <v>25469.220418122924</v>
      </c>
      <c r="S414" s="43">
        <f t="shared" si="193"/>
        <v>24708.071302179022</v>
      </c>
      <c r="T414" s="43">
        <f t="shared" si="193"/>
        <v>23969.669171309302</v>
      </c>
      <c r="V414" s="43">
        <f t="shared" si="173"/>
        <v>2313.0413793103448</v>
      </c>
      <c r="W414" s="43">
        <f t="shared" si="174"/>
        <v>2313.0413793103448</v>
      </c>
      <c r="X414" s="43">
        <f t="shared" si="175"/>
        <v>2313.0413793103448</v>
      </c>
      <c r="Y414" s="43">
        <f t="shared" si="176"/>
        <v>2313.0413793103448</v>
      </c>
      <c r="Z414" s="43">
        <f t="shared" si="177"/>
        <v>2313.0413793103448</v>
      </c>
      <c r="AB414" s="43">
        <f t="shared" si="178"/>
        <v>29375.62551724138</v>
      </c>
      <c r="AC414" s="43">
        <f t="shared" si="179"/>
        <v>28566.858634958382</v>
      </c>
      <c r="AD414" s="43">
        <f t="shared" si="180"/>
        <v>27782.261797433268</v>
      </c>
      <c r="AE414" s="43">
        <f t="shared" si="181"/>
        <v>27021.112681489365</v>
      </c>
      <c r="AF414" s="43">
        <f t="shared" si="182"/>
        <v>26282.710550619646</v>
      </c>
      <c r="AH414" s="43">
        <f t="shared" si="183"/>
        <v>976797.37448275858</v>
      </c>
      <c r="AI414" s="43">
        <f t="shared" si="184"/>
        <v>948230.51584780018</v>
      </c>
      <c r="AJ414" s="43">
        <f t="shared" si="185"/>
        <v>920448.25405036693</v>
      </c>
      <c r="AK414" s="43">
        <f t="shared" si="186"/>
        <v>893427.14136887761</v>
      </c>
      <c r="AL414" s="43">
        <f t="shared" si="187"/>
        <v>867144.43081825797</v>
      </c>
      <c r="AN414" s="47">
        <f t="shared" si="188"/>
        <v>69424.31787103448</v>
      </c>
      <c r="AO414" s="47">
        <f t="shared" si="189"/>
        <v>76926.614943196182</v>
      </c>
      <c r="AP414" s="47">
        <f t="shared" si="190"/>
        <v>74725.122754001975</v>
      </c>
      <c r="AQ414" s="47">
        <f t="shared" si="191"/>
        <v>76159.605456777645</v>
      </c>
      <c r="AR414" s="43">
        <f t="shared" si="192"/>
        <v>59234.198921713447</v>
      </c>
      <c r="AS414" s="120"/>
      <c r="AT414" s="120"/>
      <c r="AU414" s="120"/>
      <c r="AV414" s="120"/>
      <c r="AW414" s="120"/>
      <c r="AX414" s="120"/>
    </row>
    <row r="415" spans="1:50" s="89" customFormat="1" ht="13">
      <c r="A415" s="3"/>
      <c r="B415" s="37">
        <f>'13. Desinvesteringen'!B698</f>
        <v>679</v>
      </c>
      <c r="C415" s="331"/>
      <c r="D415" s="331"/>
      <c r="E415" s="331"/>
      <c r="F415" s="42">
        <f>'5. Input GAW-waarde desinv.'!D374</f>
        <v>85313</v>
      </c>
      <c r="G415" s="175">
        <f>'13. Desinvesteringen'!D698</f>
        <v>2011</v>
      </c>
      <c r="H415" s="175">
        <f>'13. Desinvesteringen'!G698</f>
        <v>2025</v>
      </c>
      <c r="I415" s="37" t="str">
        <f>'13. Desinvesteringen'!C698</f>
        <v>01 Regionale leidingen</v>
      </c>
      <c r="J415" s="164">
        <f>'13. Desinvesteringen'!F698</f>
        <v>0</v>
      </c>
      <c r="K415" s="38">
        <f>_xlfn.XLOOKUP(I415,'3. Input (des)investeringen '!$B$11:$B$89,'3. Input (des)investeringen '!$E$11:$E$89)</f>
        <v>1</v>
      </c>
      <c r="L415" s="331"/>
      <c r="M415" s="38">
        <f>_xlfn.XLOOKUP(I415,'3. Input (des)investeringen '!$B$11:$B$89,'3. Input (des)investeringen '!$D$11:$D$89,0)</f>
        <v>55</v>
      </c>
      <c r="N415" s="38">
        <f t="shared" si="172"/>
        <v>44.5</v>
      </c>
      <c r="P415" s="43">
        <f t="shared" si="193"/>
        <v>2243.0608988764047</v>
      </c>
      <c r="Q415" s="43">
        <f t="shared" si="193"/>
        <v>2177.5332771114759</v>
      </c>
      <c r="R415" s="43">
        <f t="shared" si="193"/>
        <v>2113.9199454205786</v>
      </c>
      <c r="S415" s="43">
        <f t="shared" si="193"/>
        <v>2052.1649807228991</v>
      </c>
      <c r="T415" s="43">
        <f t="shared" si="193"/>
        <v>1992.2140936456008</v>
      </c>
      <c r="V415" s="43">
        <f t="shared" si="173"/>
        <v>191.71460674157305</v>
      </c>
      <c r="W415" s="43">
        <f t="shared" si="174"/>
        <v>191.71460674157305</v>
      </c>
      <c r="X415" s="43">
        <f t="shared" si="175"/>
        <v>191.71460674157305</v>
      </c>
      <c r="Y415" s="43">
        <f t="shared" si="176"/>
        <v>191.71460674157305</v>
      </c>
      <c r="Z415" s="43">
        <f t="shared" si="177"/>
        <v>191.71460674157305</v>
      </c>
      <c r="AB415" s="43">
        <f t="shared" si="178"/>
        <v>2434.7755056179776</v>
      </c>
      <c r="AC415" s="43">
        <f t="shared" si="179"/>
        <v>2369.2478838530487</v>
      </c>
      <c r="AD415" s="43">
        <f t="shared" si="180"/>
        <v>2305.6345521621515</v>
      </c>
      <c r="AE415" s="43">
        <f t="shared" si="181"/>
        <v>2243.879587464472</v>
      </c>
      <c r="AF415" s="43">
        <f t="shared" si="182"/>
        <v>2183.9287003871736</v>
      </c>
      <c r="AH415" s="43">
        <f t="shared" si="183"/>
        <v>82878.224494382026</v>
      </c>
      <c r="AI415" s="43">
        <f t="shared" si="184"/>
        <v>80508.976610528975</v>
      </c>
      <c r="AJ415" s="43">
        <f t="shared" si="185"/>
        <v>78203.342058366819</v>
      </c>
      <c r="AK415" s="43">
        <f t="shared" si="186"/>
        <v>75959.462470902348</v>
      </c>
      <c r="AL415" s="43">
        <f t="shared" si="187"/>
        <v>73775.533770515176</v>
      </c>
      <c r="AN415" s="47">
        <f t="shared" si="188"/>
        <v>5832.7827098876405</v>
      </c>
      <c r="AO415" s="47">
        <f t="shared" si="189"/>
        <v>6475.2056909900266</v>
      </c>
      <c r="AP415" s="47">
        <f t="shared" si="190"/>
        <v>6294.0049971388589</v>
      </c>
      <c r="AQ415" s="47">
        <f t="shared" si="191"/>
        <v>6421.6500233641009</v>
      </c>
      <c r="AR415" s="43">
        <f t="shared" si="192"/>
        <v>4987.3989836667497</v>
      </c>
      <c r="AS415" s="120"/>
      <c r="AT415" s="120"/>
      <c r="AU415" s="120"/>
      <c r="AV415" s="120"/>
      <c r="AW415" s="120"/>
      <c r="AX415" s="120"/>
    </row>
    <row r="416" spans="1:50" s="89" customFormat="1" ht="13">
      <c r="A416" s="3"/>
      <c r="B416" s="37">
        <f>'13. Desinvesteringen'!B699</f>
        <v>680</v>
      </c>
      <c r="C416" s="331"/>
      <c r="D416" s="331"/>
      <c r="E416" s="331"/>
      <c r="F416" s="42">
        <f>'5. Input GAW-waarde desinv.'!D375</f>
        <v>578683</v>
      </c>
      <c r="G416" s="175">
        <f>'13. Desinvesteringen'!D699</f>
        <v>2012</v>
      </c>
      <c r="H416" s="175">
        <f>'13. Desinvesteringen'!G699</f>
        <v>2025</v>
      </c>
      <c r="I416" s="37" t="str">
        <f>'13. Desinvesteringen'!C699</f>
        <v>01 Regionale leidingen</v>
      </c>
      <c r="J416" s="164">
        <f>'13. Desinvesteringen'!F699</f>
        <v>0</v>
      </c>
      <c r="K416" s="38">
        <f>_xlfn.XLOOKUP(I416,'3. Input (des)investeringen '!$B$11:$B$89,'3. Input (des)investeringen '!$E$11:$E$89)</f>
        <v>1</v>
      </c>
      <c r="L416" s="331"/>
      <c r="M416" s="38">
        <f>_xlfn.XLOOKUP(I416,'3. Input (des)investeringen '!$B$11:$B$89,'3. Input (des)investeringen '!$D$11:$D$89,0)</f>
        <v>55</v>
      </c>
      <c r="N416" s="38">
        <f t="shared" si="172"/>
        <v>45.5</v>
      </c>
      <c r="P416" s="43">
        <f t="shared" si="193"/>
        <v>14880.420000000004</v>
      </c>
      <c r="Q416" s="43">
        <f t="shared" si="193"/>
        <v>14455.265142857143</v>
      </c>
      <c r="R416" s="43">
        <f t="shared" si="193"/>
        <v>14042.25756734694</v>
      </c>
      <c r="S416" s="43">
        <f t="shared" si="193"/>
        <v>13641.050208279883</v>
      </c>
      <c r="T416" s="43">
        <f t="shared" si="193"/>
        <v>13251.305916614743</v>
      </c>
      <c r="V416" s="43">
        <f t="shared" si="173"/>
        <v>1271.8307692307694</v>
      </c>
      <c r="W416" s="43">
        <f t="shared" si="174"/>
        <v>1271.8307692307692</v>
      </c>
      <c r="X416" s="43">
        <f t="shared" si="175"/>
        <v>1271.8307692307692</v>
      </c>
      <c r="Y416" s="43">
        <f t="shared" si="176"/>
        <v>1271.8307692307692</v>
      </c>
      <c r="Z416" s="43">
        <f t="shared" si="177"/>
        <v>1271.8307692307692</v>
      </c>
      <c r="AB416" s="43">
        <f t="shared" si="178"/>
        <v>16152.250769230774</v>
      </c>
      <c r="AC416" s="43">
        <f t="shared" si="179"/>
        <v>15727.095912087912</v>
      </c>
      <c r="AD416" s="43">
        <f t="shared" si="180"/>
        <v>15314.08833657771</v>
      </c>
      <c r="AE416" s="43">
        <f t="shared" si="181"/>
        <v>14912.880977510653</v>
      </c>
      <c r="AF416" s="43">
        <f t="shared" si="182"/>
        <v>14523.136685845513</v>
      </c>
      <c r="AH416" s="43">
        <f t="shared" si="183"/>
        <v>562530.74923076923</v>
      </c>
      <c r="AI416" s="43">
        <f t="shared" si="184"/>
        <v>546803.65331868129</v>
      </c>
      <c r="AJ416" s="43">
        <f t="shared" si="185"/>
        <v>531489.56498210353</v>
      </c>
      <c r="AK416" s="43">
        <f t="shared" si="186"/>
        <v>516576.68400459288</v>
      </c>
      <c r="AL416" s="43">
        <f t="shared" si="187"/>
        <v>502053.54731874738</v>
      </c>
      <c r="AN416" s="47">
        <f t="shared" si="188"/>
        <v>39216.011487692318</v>
      </c>
      <c r="AO416" s="47">
        <f t="shared" si="189"/>
        <v>43614.082231340653</v>
      </c>
      <c r="AP416" s="47">
        <f t="shared" si="190"/>
        <v>42420.05615066499</v>
      </c>
      <c r="AQ416" s="47">
        <f t="shared" si="191"/>
        <v>43324.598597763266</v>
      </c>
      <c r="AR416" s="43">
        <f t="shared" si="192"/>
        <v>33601.171483957914</v>
      </c>
      <c r="AS416" s="120"/>
      <c r="AT416" s="120"/>
      <c r="AU416" s="120"/>
      <c r="AV416" s="120"/>
      <c r="AW416" s="120"/>
      <c r="AX416" s="120"/>
    </row>
    <row r="417" spans="1:50" s="89" customFormat="1" ht="13">
      <c r="A417" s="3"/>
      <c r="B417" s="37">
        <f>'13. Desinvesteringen'!B700</f>
        <v>681</v>
      </c>
      <c r="C417" s="331"/>
      <c r="D417" s="331"/>
      <c r="E417" s="331"/>
      <c r="F417" s="42">
        <f>'5. Input GAW-waarde desinv.'!D376</f>
        <v>183743</v>
      </c>
      <c r="G417" s="175">
        <f>'13. Desinvesteringen'!D700</f>
        <v>2016</v>
      </c>
      <c r="H417" s="175">
        <f>'13. Desinvesteringen'!G700</f>
        <v>2025</v>
      </c>
      <c r="I417" s="37" t="str">
        <f>'13. Desinvesteringen'!C700</f>
        <v>01 Regionale leidingen</v>
      </c>
      <c r="J417" s="164">
        <f>'13. Desinvesteringen'!F700</f>
        <v>0</v>
      </c>
      <c r="K417" s="38">
        <f>_xlfn.XLOOKUP(I417,'3. Input (des)investeringen '!$B$11:$B$89,'3. Input (des)investeringen '!$E$11:$E$89)</f>
        <v>1</v>
      </c>
      <c r="L417" s="331"/>
      <c r="M417" s="38">
        <f>_xlfn.XLOOKUP(I417,'3. Input (des)investeringen '!$B$11:$B$89,'3. Input (des)investeringen '!$D$11:$D$89,0)</f>
        <v>55</v>
      </c>
      <c r="N417" s="38">
        <f t="shared" si="172"/>
        <v>49.5</v>
      </c>
      <c r="P417" s="43">
        <f t="shared" si="193"/>
        <v>4343.0163636363641</v>
      </c>
      <c r="Q417" s="43">
        <f t="shared" si="193"/>
        <v>4228.9573480257122</v>
      </c>
      <c r="R417" s="43">
        <f t="shared" si="193"/>
        <v>4117.8938217139257</v>
      </c>
      <c r="S417" s="43">
        <f t="shared" si="193"/>
        <v>4009.7471152850753</v>
      </c>
      <c r="T417" s="43">
        <f t="shared" si="193"/>
        <v>3904.4406253886996</v>
      </c>
      <c r="V417" s="43">
        <f t="shared" si="173"/>
        <v>371.19797979797983</v>
      </c>
      <c r="W417" s="43">
        <f t="shared" si="174"/>
        <v>371.19797979797983</v>
      </c>
      <c r="X417" s="43">
        <f t="shared" si="175"/>
        <v>371.19797979797983</v>
      </c>
      <c r="Y417" s="43">
        <f t="shared" si="176"/>
        <v>371.19797979797983</v>
      </c>
      <c r="Z417" s="43">
        <f t="shared" si="177"/>
        <v>371.19797979797983</v>
      </c>
      <c r="AB417" s="43">
        <f t="shared" si="178"/>
        <v>4714.2143434343443</v>
      </c>
      <c r="AC417" s="43">
        <f t="shared" si="179"/>
        <v>4600.1553278236925</v>
      </c>
      <c r="AD417" s="43">
        <f t="shared" si="180"/>
        <v>4489.0918015119059</v>
      </c>
      <c r="AE417" s="43">
        <f t="shared" si="181"/>
        <v>4380.9450950830551</v>
      </c>
      <c r="AF417" s="43">
        <f t="shared" si="182"/>
        <v>4275.6386051866793</v>
      </c>
      <c r="AH417" s="43">
        <f t="shared" si="183"/>
        <v>179028.78565656565</v>
      </c>
      <c r="AI417" s="43">
        <f t="shared" si="184"/>
        <v>174428.63032874197</v>
      </c>
      <c r="AJ417" s="43">
        <f t="shared" si="185"/>
        <v>169939.53852723006</v>
      </c>
      <c r="AK417" s="43">
        <f t="shared" si="186"/>
        <v>165558.593432147</v>
      </c>
      <c r="AL417" s="43">
        <f t="shared" si="187"/>
        <v>161282.95482696031</v>
      </c>
      <c r="AN417" s="47">
        <f t="shared" si="188"/>
        <v>12054.394555353538</v>
      </c>
      <c r="AO417" s="47">
        <f t="shared" si="189"/>
        <v>13496.015474589534</v>
      </c>
      <c r="AP417" s="47">
        <f t="shared" si="190"/>
        <v>13156.008266400639</v>
      </c>
      <c r="AQ417" s="47">
        <f t="shared" si="191"/>
        <v>13486.66773385114</v>
      </c>
      <c r="AR417" s="43">
        <f t="shared" si="192"/>
        <v>10404.390888611171</v>
      </c>
      <c r="AS417" s="120"/>
      <c r="AT417" s="120"/>
      <c r="AU417" s="120"/>
      <c r="AV417" s="120"/>
      <c r="AW417" s="120"/>
      <c r="AX417" s="120"/>
    </row>
    <row r="418" spans="1:50" s="89" customFormat="1" ht="13">
      <c r="A418" s="3"/>
      <c r="B418" s="37">
        <f>'13. Desinvesteringen'!B701</f>
        <v>682</v>
      </c>
      <c r="C418" s="331"/>
      <c r="D418" s="331"/>
      <c r="E418" s="331"/>
      <c r="F418" s="42">
        <f>'5. Input GAW-waarde desinv.'!D377</f>
        <v>431227</v>
      </c>
      <c r="G418" s="175">
        <f>'13. Desinvesteringen'!D701</f>
        <v>2017</v>
      </c>
      <c r="H418" s="175">
        <f>'13. Desinvesteringen'!G701</f>
        <v>2025</v>
      </c>
      <c r="I418" s="37" t="str">
        <f>'13. Desinvesteringen'!C701</f>
        <v>01 Regionale leidingen</v>
      </c>
      <c r="J418" s="164">
        <f>'13. Desinvesteringen'!F701</f>
        <v>0</v>
      </c>
      <c r="K418" s="38">
        <f>_xlfn.XLOOKUP(I418,'3. Input (des)investeringen '!$B$11:$B$89,'3. Input (des)investeringen '!$E$11:$E$89)</f>
        <v>1</v>
      </c>
      <c r="L418" s="331"/>
      <c r="M418" s="38">
        <f>_xlfn.XLOOKUP(I418,'3. Input (des)investeringen '!$B$11:$B$89,'3. Input (des)investeringen '!$D$11:$D$89,0)</f>
        <v>55</v>
      </c>
      <c r="N418" s="38">
        <f t="shared" si="172"/>
        <v>50.5</v>
      </c>
      <c r="P418" s="43">
        <f t="shared" si="193"/>
        <v>9990.8037623762393</v>
      </c>
      <c r="Q418" s="43">
        <f t="shared" si="193"/>
        <v>9733.6147546319007</v>
      </c>
      <c r="R418" s="43">
        <f t="shared" si="193"/>
        <v>9483.0464540176145</v>
      </c>
      <c r="S418" s="43">
        <f t="shared" si="193"/>
        <v>9238.9284264884482</v>
      </c>
      <c r="T418" s="43">
        <f t="shared" si="193"/>
        <v>9001.0946254105256</v>
      </c>
      <c r="V418" s="43">
        <f t="shared" si="173"/>
        <v>853.91485148514857</v>
      </c>
      <c r="W418" s="43">
        <f t="shared" si="174"/>
        <v>853.91485148514857</v>
      </c>
      <c r="X418" s="43">
        <f t="shared" si="175"/>
        <v>853.91485148514857</v>
      </c>
      <c r="Y418" s="43">
        <f t="shared" si="176"/>
        <v>853.91485148514857</v>
      </c>
      <c r="Z418" s="43">
        <f t="shared" si="177"/>
        <v>853.91485148514857</v>
      </c>
      <c r="AB418" s="43">
        <f t="shared" si="178"/>
        <v>10844.718613861387</v>
      </c>
      <c r="AC418" s="43">
        <f t="shared" si="179"/>
        <v>10587.529606117048</v>
      </c>
      <c r="AD418" s="43">
        <f t="shared" si="180"/>
        <v>10336.961305502762</v>
      </c>
      <c r="AE418" s="43">
        <f t="shared" si="181"/>
        <v>10092.843277973596</v>
      </c>
      <c r="AF418" s="43">
        <f t="shared" si="182"/>
        <v>9855.0094768956733</v>
      </c>
      <c r="AH418" s="43">
        <f t="shared" si="183"/>
        <v>420382.28138613864</v>
      </c>
      <c r="AI418" s="43">
        <f t="shared" si="184"/>
        <v>409794.75178002159</v>
      </c>
      <c r="AJ418" s="43">
        <f t="shared" si="185"/>
        <v>399457.79047451884</v>
      </c>
      <c r="AK418" s="43">
        <f t="shared" si="186"/>
        <v>389364.94719654525</v>
      </c>
      <c r="AL418" s="43">
        <f t="shared" si="187"/>
        <v>379509.93771964958</v>
      </c>
      <c r="AN418" s="47">
        <f t="shared" si="188"/>
        <v>28080.392150693071</v>
      </c>
      <c r="AO418" s="47">
        <f t="shared" si="189"/>
        <v>31487.061946898149</v>
      </c>
      <c r="AP418" s="47">
        <f t="shared" si="190"/>
        <v>30709.308619703221</v>
      </c>
      <c r="AQ418" s="47">
        <f t="shared" si="191"/>
        <v>31507.915373783584</v>
      </c>
      <c r="AR418" s="43">
        <f t="shared" si="192"/>
        <v>24276.387110242358</v>
      </c>
      <c r="AS418" s="120"/>
      <c r="AT418" s="120"/>
      <c r="AU418" s="120"/>
      <c r="AV418" s="120"/>
      <c r="AW418" s="120"/>
      <c r="AX418" s="120"/>
    </row>
    <row r="419" spans="1:50" s="89" customFormat="1" ht="13">
      <c r="A419" s="3"/>
      <c r="B419" s="37">
        <f>'13. Desinvesteringen'!B702</f>
        <v>683</v>
      </c>
      <c r="C419" s="331"/>
      <c r="D419" s="331"/>
      <c r="E419" s="331"/>
      <c r="F419" s="42">
        <f>'5. Input GAW-waarde desinv.'!D378</f>
        <v>-2839</v>
      </c>
      <c r="G419" s="175">
        <f>'13. Desinvesteringen'!D702</f>
        <v>2018</v>
      </c>
      <c r="H419" s="175">
        <f>'13. Desinvesteringen'!G702</f>
        <v>2025</v>
      </c>
      <c r="I419" s="37" t="str">
        <f>'13. Desinvesteringen'!C702</f>
        <v>01 Regionale leidingen</v>
      </c>
      <c r="J419" s="164">
        <f>'13. Desinvesteringen'!F702</f>
        <v>0</v>
      </c>
      <c r="K419" s="38">
        <f>_xlfn.XLOOKUP(I419,'3. Input (des)investeringen '!$B$11:$B$89,'3. Input (des)investeringen '!$E$11:$E$89)</f>
        <v>1</v>
      </c>
      <c r="L419" s="331"/>
      <c r="M419" s="38">
        <f>_xlfn.XLOOKUP(I419,'3. Input (des)investeringen '!$B$11:$B$89,'3. Input (des)investeringen '!$D$11:$D$89,0)</f>
        <v>55</v>
      </c>
      <c r="N419" s="38">
        <f t="shared" si="172"/>
        <v>51.5</v>
      </c>
      <c r="P419" s="338">
        <v>-64.497669902912634</v>
      </c>
      <c r="Q419" s="338">
        <v>-62.869573381091534</v>
      </c>
      <c r="R419" s="338">
        <v>-61.28257444137467</v>
      </c>
      <c r="S419" s="338">
        <v>-59.735635669068117</v>
      </c>
      <c r="T419" s="338">
        <v>-58.227745836645035</v>
      </c>
      <c r="V419" s="338">
        <v>-5.5126213592233011</v>
      </c>
      <c r="W419" s="338">
        <v>-5.512621359223302</v>
      </c>
      <c r="X419" s="338">
        <v>-5.512621359223302</v>
      </c>
      <c r="Y419" s="338">
        <v>-5.512621359223302</v>
      </c>
      <c r="Z419" s="338">
        <v>-5.512621359223302</v>
      </c>
      <c r="AB419" s="43">
        <f t="shared" si="178"/>
        <v>-70.010291262135937</v>
      </c>
      <c r="AC419" s="43">
        <f t="shared" si="179"/>
        <v>-68.38219474031483</v>
      </c>
      <c r="AD419" s="43">
        <f t="shared" si="180"/>
        <v>-66.795195800597966</v>
      </c>
      <c r="AE419" s="43">
        <f t="shared" si="181"/>
        <v>-65.24825702829142</v>
      </c>
      <c r="AF419" s="43">
        <f t="shared" si="182"/>
        <v>-63.740367195868338</v>
      </c>
      <c r="AH419" s="43">
        <f t="shared" si="183"/>
        <v>-2768.989708737864</v>
      </c>
      <c r="AI419" s="43">
        <f t="shared" si="184"/>
        <v>-2700.6075139975492</v>
      </c>
      <c r="AJ419" s="43">
        <f t="shared" si="185"/>
        <v>-2633.8123181969513</v>
      </c>
      <c r="AK419" s="43">
        <f t="shared" si="186"/>
        <v>-2568.5640611686599</v>
      </c>
      <c r="AL419" s="43">
        <f t="shared" si="187"/>
        <v>-2504.8236939727917</v>
      </c>
      <c r="AN419" s="47">
        <f t="shared" si="188"/>
        <v>-183.53886932038836</v>
      </c>
      <c r="AO419" s="47">
        <f t="shared" si="189"/>
        <v>-206.11317795418984</v>
      </c>
      <c r="AP419" s="47">
        <f t="shared" si="190"/>
        <v>-201.11962402864248</v>
      </c>
      <c r="AQ419" s="47">
        <f t="shared" si="191"/>
        <v>-206.51928039256771</v>
      </c>
      <c r="AR419" s="43">
        <f t="shared" si="192"/>
        <v>-158.92366756683441</v>
      </c>
      <c r="AS419" s="120"/>
      <c r="AT419" s="120"/>
      <c r="AU419" s="120"/>
      <c r="AV419" s="120"/>
      <c r="AW419" s="120"/>
      <c r="AX419" s="120"/>
    </row>
    <row r="420" spans="1:50" s="89" customFormat="1" ht="13">
      <c r="A420" s="3"/>
      <c r="B420" s="37">
        <f>'13. Desinvesteringen'!B703</f>
        <v>684</v>
      </c>
      <c r="C420" s="331"/>
      <c r="D420" s="331"/>
      <c r="E420" s="331"/>
      <c r="F420" s="42">
        <f>'5. Input GAW-waarde desinv.'!D379</f>
        <v>0</v>
      </c>
      <c r="G420" s="175">
        <f>'13. Desinvesteringen'!D703</f>
        <v>1966</v>
      </c>
      <c r="H420" s="175">
        <f>'13. Desinvesteringen'!G703</f>
        <v>2025</v>
      </c>
      <c r="I420" s="37" t="str">
        <f>'13. Desinvesteringen'!C703</f>
        <v>02 Gasontvangststations</v>
      </c>
      <c r="J420" s="164">
        <f>'13. Desinvesteringen'!F703</f>
        <v>0</v>
      </c>
      <c r="K420" s="38">
        <f>_xlfn.XLOOKUP(I420,'3. Input (des)investeringen '!$B$11:$B$89,'3. Input (des)investeringen '!$E$11:$E$89)</f>
        <v>0</v>
      </c>
      <c r="L420" s="331"/>
      <c r="M420" s="38">
        <f>_xlfn.XLOOKUP(I420,'3. Input (des)investeringen '!$B$11:$B$89,'3. Input (des)investeringen '!$D$11:$D$89,0)</f>
        <v>30</v>
      </c>
      <c r="N420" s="38">
        <f t="shared" si="172"/>
        <v>0</v>
      </c>
      <c r="P420" s="43">
        <f t="shared" si="193"/>
        <v>0</v>
      </c>
      <c r="Q420" s="43">
        <f t="shared" si="193"/>
        <v>0</v>
      </c>
      <c r="R420" s="43">
        <f t="shared" si="193"/>
        <v>0</v>
      </c>
      <c r="S420" s="43">
        <f t="shared" si="193"/>
        <v>0</v>
      </c>
      <c r="T420" s="43">
        <f t="shared" si="193"/>
        <v>0</v>
      </c>
      <c r="V420" s="43">
        <f t="shared" si="173"/>
        <v>0</v>
      </c>
      <c r="W420" s="43">
        <f t="shared" si="174"/>
        <v>0</v>
      </c>
      <c r="X420" s="43">
        <f t="shared" si="175"/>
        <v>0</v>
      </c>
      <c r="Y420" s="43">
        <f t="shared" si="176"/>
        <v>0</v>
      </c>
      <c r="Z420" s="43">
        <f t="shared" si="177"/>
        <v>0</v>
      </c>
      <c r="AB420" s="43">
        <f t="shared" si="178"/>
        <v>0</v>
      </c>
      <c r="AC420" s="43">
        <f t="shared" si="179"/>
        <v>0</v>
      </c>
      <c r="AD420" s="43">
        <f t="shared" si="180"/>
        <v>0</v>
      </c>
      <c r="AE420" s="43">
        <f t="shared" si="181"/>
        <v>0</v>
      </c>
      <c r="AF420" s="43">
        <f t="shared" si="182"/>
        <v>0</v>
      </c>
      <c r="AH420" s="43">
        <f t="shared" si="183"/>
        <v>0</v>
      </c>
      <c r="AI420" s="43">
        <f t="shared" si="184"/>
        <v>0</v>
      </c>
      <c r="AJ420" s="43">
        <f t="shared" si="185"/>
        <v>0</v>
      </c>
      <c r="AK420" s="43">
        <f t="shared" si="186"/>
        <v>0</v>
      </c>
      <c r="AL420" s="43">
        <f t="shared" si="187"/>
        <v>0</v>
      </c>
      <c r="AN420" s="47">
        <f t="shared" si="188"/>
        <v>0</v>
      </c>
      <c r="AO420" s="47">
        <f t="shared" si="189"/>
        <v>0</v>
      </c>
      <c r="AP420" s="47">
        <f t="shared" si="190"/>
        <v>0</v>
      </c>
      <c r="AQ420" s="47">
        <f t="shared" si="191"/>
        <v>0</v>
      </c>
      <c r="AR420" s="43">
        <f t="shared" si="192"/>
        <v>0</v>
      </c>
      <c r="AS420" s="120"/>
      <c r="AT420" s="120"/>
      <c r="AU420" s="120"/>
      <c r="AV420" s="120"/>
      <c r="AW420" s="120"/>
      <c r="AX420" s="120"/>
    </row>
    <row r="421" spans="1:50" s="89" customFormat="1" ht="13">
      <c r="A421" s="3"/>
      <c r="B421" s="37">
        <f>'13. Desinvesteringen'!B704</f>
        <v>685</v>
      </c>
      <c r="C421" s="331"/>
      <c r="D421" s="331"/>
      <c r="E421" s="331"/>
      <c r="F421" s="42">
        <f>'5. Input GAW-waarde desinv.'!D380</f>
        <v>0</v>
      </c>
      <c r="G421" s="175">
        <f>'13. Desinvesteringen'!D704</f>
        <v>1967</v>
      </c>
      <c r="H421" s="175">
        <f>'13. Desinvesteringen'!G704</f>
        <v>2025</v>
      </c>
      <c r="I421" s="37" t="str">
        <f>'13. Desinvesteringen'!C704</f>
        <v>02 Gasontvangststations</v>
      </c>
      <c r="J421" s="164">
        <f>'13. Desinvesteringen'!F704</f>
        <v>0</v>
      </c>
      <c r="K421" s="38">
        <f>_xlfn.XLOOKUP(I421,'3. Input (des)investeringen '!$B$11:$B$89,'3. Input (des)investeringen '!$E$11:$E$89)</f>
        <v>0</v>
      </c>
      <c r="L421" s="331"/>
      <c r="M421" s="38">
        <f>_xlfn.XLOOKUP(I421,'3. Input (des)investeringen '!$B$11:$B$89,'3. Input (des)investeringen '!$D$11:$D$89,0)</f>
        <v>30</v>
      </c>
      <c r="N421" s="38">
        <f t="shared" si="172"/>
        <v>0</v>
      </c>
      <c r="P421" s="43">
        <f t="shared" si="193"/>
        <v>0</v>
      </c>
      <c r="Q421" s="43">
        <f t="shared" si="193"/>
        <v>0</v>
      </c>
      <c r="R421" s="43">
        <f t="shared" si="193"/>
        <v>0</v>
      </c>
      <c r="S421" s="43">
        <f t="shared" si="193"/>
        <v>0</v>
      </c>
      <c r="T421" s="43">
        <f t="shared" si="193"/>
        <v>0</v>
      </c>
      <c r="V421" s="43">
        <f t="shared" si="173"/>
        <v>0</v>
      </c>
      <c r="W421" s="43">
        <f t="shared" si="174"/>
        <v>0</v>
      </c>
      <c r="X421" s="43">
        <f t="shared" si="175"/>
        <v>0</v>
      </c>
      <c r="Y421" s="43">
        <f t="shared" si="176"/>
        <v>0</v>
      </c>
      <c r="Z421" s="43">
        <f t="shared" si="177"/>
        <v>0</v>
      </c>
      <c r="AB421" s="43">
        <f t="shared" si="178"/>
        <v>0</v>
      </c>
      <c r="AC421" s="43">
        <f t="shared" si="179"/>
        <v>0</v>
      </c>
      <c r="AD421" s="43">
        <f t="shared" si="180"/>
        <v>0</v>
      </c>
      <c r="AE421" s="43">
        <f t="shared" si="181"/>
        <v>0</v>
      </c>
      <c r="AF421" s="43">
        <f t="shared" si="182"/>
        <v>0</v>
      </c>
      <c r="AH421" s="43">
        <f t="shared" si="183"/>
        <v>0</v>
      </c>
      <c r="AI421" s="43">
        <f t="shared" si="184"/>
        <v>0</v>
      </c>
      <c r="AJ421" s="43">
        <f t="shared" si="185"/>
        <v>0</v>
      </c>
      <c r="AK421" s="43">
        <f t="shared" si="186"/>
        <v>0</v>
      </c>
      <c r="AL421" s="43">
        <f t="shared" si="187"/>
        <v>0</v>
      </c>
      <c r="AN421" s="47">
        <f t="shared" si="188"/>
        <v>0</v>
      </c>
      <c r="AO421" s="47">
        <f t="shared" si="189"/>
        <v>0</v>
      </c>
      <c r="AP421" s="47">
        <f t="shared" si="190"/>
        <v>0</v>
      </c>
      <c r="AQ421" s="47">
        <f t="shared" si="191"/>
        <v>0</v>
      </c>
      <c r="AR421" s="43">
        <f t="shared" si="192"/>
        <v>0</v>
      </c>
      <c r="AS421" s="120"/>
      <c r="AT421" s="120"/>
      <c r="AU421" s="120"/>
      <c r="AV421" s="120"/>
      <c r="AW421" s="120"/>
      <c r="AX421" s="120"/>
    </row>
    <row r="422" spans="1:50" s="89" customFormat="1" ht="13">
      <c r="A422" s="3"/>
      <c r="B422" s="37">
        <f>'13. Desinvesteringen'!B705</f>
        <v>686</v>
      </c>
      <c r="C422" s="331"/>
      <c r="D422" s="331"/>
      <c r="E422" s="331"/>
      <c r="F422" s="42">
        <f>'5. Input GAW-waarde desinv.'!D381</f>
        <v>0</v>
      </c>
      <c r="G422" s="175">
        <f>'13. Desinvesteringen'!D705</f>
        <v>1968</v>
      </c>
      <c r="H422" s="175">
        <f>'13. Desinvesteringen'!G705</f>
        <v>2025</v>
      </c>
      <c r="I422" s="37" t="str">
        <f>'13. Desinvesteringen'!C705</f>
        <v>02 Gasontvangststations</v>
      </c>
      <c r="J422" s="164">
        <f>'13. Desinvesteringen'!F705</f>
        <v>0</v>
      </c>
      <c r="K422" s="38">
        <f>_xlfn.XLOOKUP(I422,'3. Input (des)investeringen '!$B$11:$B$89,'3. Input (des)investeringen '!$E$11:$E$89)</f>
        <v>0</v>
      </c>
      <c r="L422" s="331"/>
      <c r="M422" s="38">
        <f>_xlfn.XLOOKUP(I422,'3. Input (des)investeringen '!$B$11:$B$89,'3. Input (des)investeringen '!$D$11:$D$89,0)</f>
        <v>30</v>
      </c>
      <c r="N422" s="38">
        <f t="shared" si="172"/>
        <v>0</v>
      </c>
      <c r="P422" s="43">
        <f t="shared" si="193"/>
        <v>0</v>
      </c>
      <c r="Q422" s="43">
        <f t="shared" si="193"/>
        <v>0</v>
      </c>
      <c r="R422" s="43">
        <f t="shared" si="193"/>
        <v>0</v>
      </c>
      <c r="S422" s="43">
        <f t="shared" si="193"/>
        <v>0</v>
      </c>
      <c r="T422" s="43">
        <f t="shared" si="193"/>
        <v>0</v>
      </c>
      <c r="V422" s="43">
        <f t="shared" si="173"/>
        <v>0</v>
      </c>
      <c r="W422" s="43">
        <f t="shared" si="174"/>
        <v>0</v>
      </c>
      <c r="X422" s="43">
        <f t="shared" si="175"/>
        <v>0</v>
      </c>
      <c r="Y422" s="43">
        <f t="shared" si="176"/>
        <v>0</v>
      </c>
      <c r="Z422" s="43">
        <f t="shared" si="177"/>
        <v>0</v>
      </c>
      <c r="AB422" s="43">
        <f t="shared" si="178"/>
        <v>0</v>
      </c>
      <c r="AC422" s="43">
        <f t="shared" si="179"/>
        <v>0</v>
      </c>
      <c r="AD422" s="43">
        <f t="shared" si="180"/>
        <v>0</v>
      </c>
      <c r="AE422" s="43">
        <f t="shared" si="181"/>
        <v>0</v>
      </c>
      <c r="AF422" s="43">
        <f t="shared" si="182"/>
        <v>0</v>
      </c>
      <c r="AH422" s="43">
        <f t="shared" si="183"/>
        <v>0</v>
      </c>
      <c r="AI422" s="43">
        <f t="shared" si="184"/>
        <v>0</v>
      </c>
      <c r="AJ422" s="43">
        <f t="shared" si="185"/>
        <v>0</v>
      </c>
      <c r="AK422" s="43">
        <f t="shared" si="186"/>
        <v>0</v>
      </c>
      <c r="AL422" s="43">
        <f t="shared" si="187"/>
        <v>0</v>
      </c>
      <c r="AN422" s="47">
        <f t="shared" si="188"/>
        <v>0</v>
      </c>
      <c r="AO422" s="47">
        <f t="shared" si="189"/>
        <v>0</v>
      </c>
      <c r="AP422" s="47">
        <f t="shared" si="190"/>
        <v>0</v>
      </c>
      <c r="AQ422" s="47">
        <f t="shared" si="191"/>
        <v>0</v>
      </c>
      <c r="AR422" s="43">
        <f t="shared" si="192"/>
        <v>0</v>
      </c>
      <c r="AS422" s="120"/>
      <c r="AT422" s="120"/>
      <c r="AU422" s="120"/>
      <c r="AV422" s="120"/>
      <c r="AW422" s="120"/>
      <c r="AX422" s="120"/>
    </row>
    <row r="423" spans="1:50" s="89" customFormat="1" ht="13">
      <c r="A423" s="3"/>
      <c r="B423" s="37">
        <f>'13. Desinvesteringen'!B706</f>
        <v>687</v>
      </c>
      <c r="C423" s="331"/>
      <c r="D423" s="331"/>
      <c r="E423" s="331"/>
      <c r="F423" s="42">
        <f>'5. Input GAW-waarde desinv.'!D382</f>
        <v>0</v>
      </c>
      <c r="G423" s="175">
        <f>'13. Desinvesteringen'!D706</f>
        <v>1969</v>
      </c>
      <c r="H423" s="175">
        <f>'13. Desinvesteringen'!G706</f>
        <v>2025</v>
      </c>
      <c r="I423" s="37" t="str">
        <f>'13. Desinvesteringen'!C706</f>
        <v>02 Gasontvangststations</v>
      </c>
      <c r="J423" s="164">
        <f>'13. Desinvesteringen'!F706</f>
        <v>0</v>
      </c>
      <c r="K423" s="38">
        <f>_xlfn.XLOOKUP(I423,'3. Input (des)investeringen '!$B$11:$B$89,'3. Input (des)investeringen '!$E$11:$E$89)</f>
        <v>0</v>
      </c>
      <c r="L423" s="331"/>
      <c r="M423" s="38">
        <f>_xlfn.XLOOKUP(I423,'3. Input (des)investeringen '!$B$11:$B$89,'3. Input (des)investeringen '!$D$11:$D$89,0)</f>
        <v>30</v>
      </c>
      <c r="N423" s="38">
        <f t="shared" si="172"/>
        <v>0</v>
      </c>
      <c r="P423" s="43">
        <f t="shared" si="193"/>
        <v>0</v>
      </c>
      <c r="Q423" s="43">
        <f t="shared" si="193"/>
        <v>0</v>
      </c>
      <c r="R423" s="43">
        <f t="shared" si="193"/>
        <v>0</v>
      </c>
      <c r="S423" s="43">
        <f t="shared" si="193"/>
        <v>0</v>
      </c>
      <c r="T423" s="43">
        <f t="shared" si="193"/>
        <v>0</v>
      </c>
      <c r="V423" s="43">
        <f t="shared" si="173"/>
        <v>0</v>
      </c>
      <c r="W423" s="43">
        <f t="shared" si="174"/>
        <v>0</v>
      </c>
      <c r="X423" s="43">
        <f t="shared" si="175"/>
        <v>0</v>
      </c>
      <c r="Y423" s="43">
        <f t="shared" si="176"/>
        <v>0</v>
      </c>
      <c r="Z423" s="43">
        <f t="shared" si="177"/>
        <v>0</v>
      </c>
      <c r="AB423" s="43">
        <f t="shared" si="178"/>
        <v>0</v>
      </c>
      <c r="AC423" s="43">
        <f t="shared" si="179"/>
        <v>0</v>
      </c>
      <c r="AD423" s="43">
        <f t="shared" si="180"/>
        <v>0</v>
      </c>
      <c r="AE423" s="43">
        <f t="shared" si="181"/>
        <v>0</v>
      </c>
      <c r="AF423" s="43">
        <f t="shared" si="182"/>
        <v>0</v>
      </c>
      <c r="AH423" s="43">
        <f t="shared" si="183"/>
        <v>0</v>
      </c>
      <c r="AI423" s="43">
        <f t="shared" si="184"/>
        <v>0</v>
      </c>
      <c r="AJ423" s="43">
        <f t="shared" si="185"/>
        <v>0</v>
      </c>
      <c r="AK423" s="43">
        <f t="shared" si="186"/>
        <v>0</v>
      </c>
      <c r="AL423" s="43">
        <f t="shared" si="187"/>
        <v>0</v>
      </c>
      <c r="AN423" s="47">
        <f t="shared" si="188"/>
        <v>0</v>
      </c>
      <c r="AO423" s="47">
        <f t="shared" si="189"/>
        <v>0</v>
      </c>
      <c r="AP423" s="47">
        <f t="shared" si="190"/>
        <v>0</v>
      </c>
      <c r="AQ423" s="47">
        <f t="shared" si="191"/>
        <v>0</v>
      </c>
      <c r="AR423" s="43">
        <f t="shared" si="192"/>
        <v>0</v>
      </c>
      <c r="AS423" s="120"/>
      <c r="AT423" s="120"/>
      <c r="AU423" s="120"/>
      <c r="AV423" s="120"/>
      <c r="AW423" s="120"/>
      <c r="AX423" s="120"/>
    </row>
    <row r="424" spans="1:50" s="89" customFormat="1" ht="13">
      <c r="A424" s="3"/>
      <c r="B424" s="37">
        <f>'13. Desinvesteringen'!B707</f>
        <v>688</v>
      </c>
      <c r="C424" s="331"/>
      <c r="D424" s="331"/>
      <c r="E424" s="331"/>
      <c r="F424" s="42">
        <f>'5. Input GAW-waarde desinv.'!D383</f>
        <v>0</v>
      </c>
      <c r="G424" s="175">
        <f>'13. Desinvesteringen'!D707</f>
        <v>1970</v>
      </c>
      <c r="H424" s="175">
        <f>'13. Desinvesteringen'!G707</f>
        <v>2025</v>
      </c>
      <c r="I424" s="37" t="str">
        <f>'13. Desinvesteringen'!C707</f>
        <v>02 Gasontvangststations</v>
      </c>
      <c r="J424" s="164">
        <f>'13. Desinvesteringen'!F707</f>
        <v>0</v>
      </c>
      <c r="K424" s="38">
        <f>_xlfn.XLOOKUP(I424,'3. Input (des)investeringen '!$B$11:$B$89,'3. Input (des)investeringen '!$E$11:$E$89)</f>
        <v>0</v>
      </c>
      <c r="L424" s="331"/>
      <c r="M424" s="38">
        <f>_xlfn.XLOOKUP(I424,'3. Input (des)investeringen '!$B$11:$B$89,'3. Input (des)investeringen '!$D$11:$D$89,0)</f>
        <v>30</v>
      </c>
      <c r="N424" s="38">
        <f t="shared" si="172"/>
        <v>0</v>
      </c>
      <c r="P424" s="43">
        <f t="shared" si="193"/>
        <v>0</v>
      </c>
      <c r="Q424" s="43">
        <f t="shared" si="193"/>
        <v>0</v>
      </c>
      <c r="R424" s="43">
        <f t="shared" si="193"/>
        <v>0</v>
      </c>
      <c r="S424" s="43">
        <f t="shared" si="193"/>
        <v>0</v>
      </c>
      <c r="T424" s="43">
        <f t="shared" si="193"/>
        <v>0</v>
      </c>
      <c r="V424" s="43">
        <f t="shared" si="173"/>
        <v>0</v>
      </c>
      <c r="W424" s="43">
        <f t="shared" si="174"/>
        <v>0</v>
      </c>
      <c r="X424" s="43">
        <f t="shared" si="175"/>
        <v>0</v>
      </c>
      <c r="Y424" s="43">
        <f t="shared" si="176"/>
        <v>0</v>
      </c>
      <c r="Z424" s="43">
        <f t="shared" si="177"/>
        <v>0</v>
      </c>
      <c r="AB424" s="43">
        <f t="shared" si="178"/>
        <v>0</v>
      </c>
      <c r="AC424" s="43">
        <f t="shared" si="179"/>
        <v>0</v>
      </c>
      <c r="AD424" s="43">
        <f t="shared" si="180"/>
        <v>0</v>
      </c>
      <c r="AE424" s="43">
        <f t="shared" si="181"/>
        <v>0</v>
      </c>
      <c r="AF424" s="43">
        <f t="shared" si="182"/>
        <v>0</v>
      </c>
      <c r="AH424" s="43">
        <f t="shared" si="183"/>
        <v>0</v>
      </c>
      <c r="AI424" s="43">
        <f t="shared" si="184"/>
        <v>0</v>
      </c>
      <c r="AJ424" s="43">
        <f t="shared" si="185"/>
        <v>0</v>
      </c>
      <c r="AK424" s="43">
        <f t="shared" si="186"/>
        <v>0</v>
      </c>
      <c r="AL424" s="43">
        <f t="shared" si="187"/>
        <v>0</v>
      </c>
      <c r="AN424" s="47">
        <f t="shared" si="188"/>
        <v>0</v>
      </c>
      <c r="AO424" s="47">
        <f t="shared" si="189"/>
        <v>0</v>
      </c>
      <c r="AP424" s="47">
        <f t="shared" si="190"/>
        <v>0</v>
      </c>
      <c r="AQ424" s="47">
        <f t="shared" si="191"/>
        <v>0</v>
      </c>
      <c r="AR424" s="43">
        <f t="shared" si="192"/>
        <v>0</v>
      </c>
      <c r="AS424" s="120"/>
      <c r="AT424" s="120"/>
      <c r="AU424" s="120"/>
      <c r="AV424" s="120"/>
      <c r="AW424" s="120"/>
      <c r="AX424" s="120"/>
    </row>
    <row r="425" spans="1:50" s="89" customFormat="1" ht="13">
      <c r="A425" s="3"/>
      <c r="B425" s="37">
        <f>'13. Desinvesteringen'!B708</f>
        <v>689</v>
      </c>
      <c r="C425" s="331"/>
      <c r="D425" s="331"/>
      <c r="E425" s="331"/>
      <c r="F425" s="42">
        <f>'5. Input GAW-waarde desinv.'!D384</f>
        <v>0</v>
      </c>
      <c r="G425" s="175">
        <f>'13. Desinvesteringen'!D708</f>
        <v>1971</v>
      </c>
      <c r="H425" s="175">
        <f>'13. Desinvesteringen'!G708</f>
        <v>2025</v>
      </c>
      <c r="I425" s="37" t="str">
        <f>'13. Desinvesteringen'!C708</f>
        <v>02 Gasontvangststations</v>
      </c>
      <c r="J425" s="164">
        <f>'13. Desinvesteringen'!F708</f>
        <v>0</v>
      </c>
      <c r="K425" s="38">
        <f>_xlfn.XLOOKUP(I425,'3. Input (des)investeringen '!$B$11:$B$89,'3. Input (des)investeringen '!$E$11:$E$89)</f>
        <v>0</v>
      </c>
      <c r="L425" s="331"/>
      <c r="M425" s="38">
        <f>_xlfn.XLOOKUP(I425,'3. Input (des)investeringen '!$B$11:$B$89,'3. Input (des)investeringen '!$D$11:$D$89,0)</f>
        <v>30</v>
      </c>
      <c r="N425" s="38">
        <f t="shared" si="172"/>
        <v>0</v>
      </c>
      <c r="P425" s="43">
        <f t="shared" si="193"/>
        <v>0</v>
      </c>
      <c r="Q425" s="43">
        <f t="shared" si="193"/>
        <v>0</v>
      </c>
      <c r="R425" s="43">
        <f t="shared" si="193"/>
        <v>0</v>
      </c>
      <c r="S425" s="43">
        <f t="shared" si="193"/>
        <v>0</v>
      </c>
      <c r="T425" s="43">
        <f t="shared" si="193"/>
        <v>0</v>
      </c>
      <c r="V425" s="43">
        <f t="shared" si="173"/>
        <v>0</v>
      </c>
      <c r="W425" s="43">
        <f t="shared" si="174"/>
        <v>0</v>
      </c>
      <c r="X425" s="43">
        <f t="shared" si="175"/>
        <v>0</v>
      </c>
      <c r="Y425" s="43">
        <f t="shared" si="176"/>
        <v>0</v>
      </c>
      <c r="Z425" s="43">
        <f t="shared" si="177"/>
        <v>0</v>
      </c>
      <c r="AB425" s="43">
        <f t="shared" si="178"/>
        <v>0</v>
      </c>
      <c r="AC425" s="43">
        <f t="shared" si="179"/>
        <v>0</v>
      </c>
      <c r="AD425" s="43">
        <f t="shared" si="180"/>
        <v>0</v>
      </c>
      <c r="AE425" s="43">
        <f t="shared" si="181"/>
        <v>0</v>
      </c>
      <c r="AF425" s="43">
        <f t="shared" si="182"/>
        <v>0</v>
      </c>
      <c r="AH425" s="43">
        <f t="shared" si="183"/>
        <v>0</v>
      </c>
      <c r="AI425" s="43">
        <f t="shared" si="184"/>
        <v>0</v>
      </c>
      <c r="AJ425" s="43">
        <f t="shared" si="185"/>
        <v>0</v>
      </c>
      <c r="AK425" s="43">
        <f t="shared" si="186"/>
        <v>0</v>
      </c>
      <c r="AL425" s="43">
        <f t="shared" si="187"/>
        <v>0</v>
      </c>
      <c r="AN425" s="47">
        <f t="shared" si="188"/>
        <v>0</v>
      </c>
      <c r="AO425" s="47">
        <f t="shared" si="189"/>
        <v>0</v>
      </c>
      <c r="AP425" s="47">
        <f t="shared" si="190"/>
        <v>0</v>
      </c>
      <c r="AQ425" s="47">
        <f t="shared" si="191"/>
        <v>0</v>
      </c>
      <c r="AR425" s="43">
        <f t="shared" si="192"/>
        <v>0</v>
      </c>
      <c r="AS425" s="120"/>
      <c r="AT425" s="120"/>
      <c r="AU425" s="120"/>
      <c r="AV425" s="120"/>
      <c r="AW425" s="120"/>
      <c r="AX425" s="120"/>
    </row>
    <row r="426" spans="1:50" s="89" customFormat="1" ht="13">
      <c r="A426" s="3"/>
      <c r="B426" s="37">
        <f>'13. Desinvesteringen'!B709</f>
        <v>690</v>
      </c>
      <c r="C426" s="331"/>
      <c r="D426" s="331"/>
      <c r="E426" s="331"/>
      <c r="F426" s="42">
        <f>'5. Input GAW-waarde desinv.'!D385</f>
        <v>0</v>
      </c>
      <c r="G426" s="175">
        <f>'13. Desinvesteringen'!D709</f>
        <v>1972</v>
      </c>
      <c r="H426" s="175">
        <f>'13. Desinvesteringen'!G709</f>
        <v>2025</v>
      </c>
      <c r="I426" s="37" t="str">
        <f>'13. Desinvesteringen'!C709</f>
        <v>02 Gasontvangststations</v>
      </c>
      <c r="J426" s="164">
        <f>'13. Desinvesteringen'!F709</f>
        <v>0</v>
      </c>
      <c r="K426" s="38">
        <f>_xlfn.XLOOKUP(I426,'3. Input (des)investeringen '!$B$11:$B$89,'3. Input (des)investeringen '!$E$11:$E$89)</f>
        <v>0</v>
      </c>
      <c r="L426" s="331"/>
      <c r="M426" s="38">
        <f>_xlfn.XLOOKUP(I426,'3. Input (des)investeringen '!$B$11:$B$89,'3. Input (des)investeringen '!$D$11:$D$89,0)</f>
        <v>30</v>
      </c>
      <c r="N426" s="38">
        <f t="shared" si="172"/>
        <v>0</v>
      </c>
      <c r="P426" s="43">
        <f t="shared" si="193"/>
        <v>0</v>
      </c>
      <c r="Q426" s="43">
        <f t="shared" si="193"/>
        <v>0</v>
      </c>
      <c r="R426" s="43">
        <f t="shared" si="193"/>
        <v>0</v>
      </c>
      <c r="S426" s="43">
        <f t="shared" si="193"/>
        <v>0</v>
      </c>
      <c r="T426" s="43">
        <f t="shared" si="193"/>
        <v>0</v>
      </c>
      <c r="V426" s="43">
        <f t="shared" si="173"/>
        <v>0</v>
      </c>
      <c r="W426" s="43">
        <f t="shared" si="174"/>
        <v>0</v>
      </c>
      <c r="X426" s="43">
        <f t="shared" si="175"/>
        <v>0</v>
      </c>
      <c r="Y426" s="43">
        <f t="shared" si="176"/>
        <v>0</v>
      </c>
      <c r="Z426" s="43">
        <f t="shared" si="177"/>
        <v>0</v>
      </c>
      <c r="AB426" s="43">
        <f t="shared" si="178"/>
        <v>0</v>
      </c>
      <c r="AC426" s="43">
        <f t="shared" si="179"/>
        <v>0</v>
      </c>
      <c r="AD426" s="43">
        <f t="shared" si="180"/>
        <v>0</v>
      </c>
      <c r="AE426" s="43">
        <f t="shared" si="181"/>
        <v>0</v>
      </c>
      <c r="AF426" s="43">
        <f t="shared" si="182"/>
        <v>0</v>
      </c>
      <c r="AH426" s="43">
        <f t="shared" si="183"/>
        <v>0</v>
      </c>
      <c r="AI426" s="43">
        <f t="shared" si="184"/>
        <v>0</v>
      </c>
      <c r="AJ426" s="43">
        <f t="shared" si="185"/>
        <v>0</v>
      </c>
      <c r="AK426" s="43">
        <f t="shared" si="186"/>
        <v>0</v>
      </c>
      <c r="AL426" s="43">
        <f t="shared" si="187"/>
        <v>0</v>
      </c>
      <c r="AN426" s="47">
        <f t="shared" si="188"/>
        <v>0</v>
      </c>
      <c r="AO426" s="47">
        <f t="shared" si="189"/>
        <v>0</v>
      </c>
      <c r="AP426" s="47">
        <f t="shared" si="190"/>
        <v>0</v>
      </c>
      <c r="AQ426" s="47">
        <f t="shared" si="191"/>
        <v>0</v>
      </c>
      <c r="AR426" s="43">
        <f t="shared" si="192"/>
        <v>0</v>
      </c>
      <c r="AS426" s="120"/>
      <c r="AT426" s="120"/>
      <c r="AU426" s="120"/>
      <c r="AV426" s="120"/>
      <c r="AW426" s="120"/>
      <c r="AX426" s="120"/>
    </row>
    <row r="427" spans="1:50" s="89" customFormat="1" ht="13">
      <c r="A427" s="3"/>
      <c r="B427" s="37">
        <f>'13. Desinvesteringen'!B710</f>
        <v>691</v>
      </c>
      <c r="C427" s="331"/>
      <c r="D427" s="331"/>
      <c r="E427" s="331"/>
      <c r="F427" s="42">
        <f>'5. Input GAW-waarde desinv.'!D386</f>
        <v>0</v>
      </c>
      <c r="G427" s="175">
        <f>'13. Desinvesteringen'!D710</f>
        <v>1973</v>
      </c>
      <c r="H427" s="175">
        <f>'13. Desinvesteringen'!G710</f>
        <v>2025</v>
      </c>
      <c r="I427" s="37" t="str">
        <f>'13. Desinvesteringen'!C710</f>
        <v>02 Gasontvangststations</v>
      </c>
      <c r="J427" s="164">
        <f>'13. Desinvesteringen'!F710</f>
        <v>0</v>
      </c>
      <c r="K427" s="38">
        <f>_xlfn.XLOOKUP(I427,'3. Input (des)investeringen '!$B$11:$B$89,'3. Input (des)investeringen '!$E$11:$E$89)</f>
        <v>0</v>
      </c>
      <c r="L427" s="331"/>
      <c r="M427" s="38">
        <f>_xlfn.XLOOKUP(I427,'3. Input (des)investeringen '!$B$11:$B$89,'3. Input (des)investeringen '!$D$11:$D$89,0)</f>
        <v>30</v>
      </c>
      <c r="N427" s="38">
        <f t="shared" si="172"/>
        <v>0</v>
      </c>
      <c r="P427" s="43">
        <f t="shared" si="193"/>
        <v>0</v>
      </c>
      <c r="Q427" s="43">
        <f t="shared" si="193"/>
        <v>0</v>
      </c>
      <c r="R427" s="43">
        <f t="shared" si="193"/>
        <v>0</v>
      </c>
      <c r="S427" s="43">
        <f t="shared" si="193"/>
        <v>0</v>
      </c>
      <c r="T427" s="43">
        <f t="shared" si="193"/>
        <v>0</v>
      </c>
      <c r="V427" s="43">
        <f t="shared" si="173"/>
        <v>0</v>
      </c>
      <c r="W427" s="43">
        <f t="shared" si="174"/>
        <v>0</v>
      </c>
      <c r="X427" s="43">
        <f t="shared" si="175"/>
        <v>0</v>
      </c>
      <c r="Y427" s="43">
        <f t="shared" si="176"/>
        <v>0</v>
      </c>
      <c r="Z427" s="43">
        <f t="shared" si="177"/>
        <v>0</v>
      </c>
      <c r="AB427" s="43">
        <f t="shared" si="178"/>
        <v>0</v>
      </c>
      <c r="AC427" s="43">
        <f t="shared" si="179"/>
        <v>0</v>
      </c>
      <c r="AD427" s="43">
        <f t="shared" si="180"/>
        <v>0</v>
      </c>
      <c r="AE427" s="43">
        <f t="shared" si="181"/>
        <v>0</v>
      </c>
      <c r="AF427" s="43">
        <f t="shared" si="182"/>
        <v>0</v>
      </c>
      <c r="AH427" s="43">
        <f t="shared" si="183"/>
        <v>0</v>
      </c>
      <c r="AI427" s="43">
        <f t="shared" si="184"/>
        <v>0</v>
      </c>
      <c r="AJ427" s="43">
        <f t="shared" si="185"/>
        <v>0</v>
      </c>
      <c r="AK427" s="43">
        <f t="shared" si="186"/>
        <v>0</v>
      </c>
      <c r="AL427" s="43">
        <f t="shared" si="187"/>
        <v>0</v>
      </c>
      <c r="AN427" s="47">
        <f t="shared" si="188"/>
        <v>0</v>
      </c>
      <c r="AO427" s="47">
        <f t="shared" si="189"/>
        <v>0</v>
      </c>
      <c r="AP427" s="47">
        <f t="shared" si="190"/>
        <v>0</v>
      </c>
      <c r="AQ427" s="47">
        <f t="shared" si="191"/>
        <v>0</v>
      </c>
      <c r="AR427" s="43">
        <f t="shared" si="192"/>
        <v>0</v>
      </c>
      <c r="AS427" s="120"/>
      <c r="AT427" s="120"/>
      <c r="AU427" s="120"/>
      <c r="AV427" s="120"/>
      <c r="AW427" s="120"/>
      <c r="AX427" s="120"/>
    </row>
    <row r="428" spans="1:50" s="89" customFormat="1" ht="13">
      <c r="A428" s="3"/>
      <c r="B428" s="37">
        <f>'13. Desinvesteringen'!B711</f>
        <v>692</v>
      </c>
      <c r="C428" s="331"/>
      <c r="D428" s="331"/>
      <c r="E428" s="331"/>
      <c r="F428" s="42">
        <f>'5. Input GAW-waarde desinv.'!D387</f>
        <v>0</v>
      </c>
      <c r="G428" s="175">
        <f>'13. Desinvesteringen'!D711</f>
        <v>1974</v>
      </c>
      <c r="H428" s="175">
        <f>'13. Desinvesteringen'!G711</f>
        <v>2025</v>
      </c>
      <c r="I428" s="37" t="str">
        <f>'13. Desinvesteringen'!C711</f>
        <v>02 Gasontvangststations</v>
      </c>
      <c r="J428" s="164">
        <f>'13. Desinvesteringen'!F711</f>
        <v>0</v>
      </c>
      <c r="K428" s="38">
        <f>_xlfn.XLOOKUP(I428,'3. Input (des)investeringen '!$B$11:$B$89,'3. Input (des)investeringen '!$E$11:$E$89)</f>
        <v>0</v>
      </c>
      <c r="L428" s="331"/>
      <c r="M428" s="38">
        <f>_xlfn.XLOOKUP(I428,'3. Input (des)investeringen '!$B$11:$B$89,'3. Input (des)investeringen '!$D$11:$D$89,0)</f>
        <v>30</v>
      </c>
      <c r="N428" s="38">
        <f t="shared" si="172"/>
        <v>0</v>
      </c>
      <c r="P428" s="43">
        <f t="shared" si="193"/>
        <v>0</v>
      </c>
      <c r="Q428" s="43">
        <f t="shared" si="193"/>
        <v>0</v>
      </c>
      <c r="R428" s="43">
        <f t="shared" si="193"/>
        <v>0</v>
      </c>
      <c r="S428" s="43">
        <f t="shared" si="193"/>
        <v>0</v>
      </c>
      <c r="T428" s="43">
        <f t="shared" si="193"/>
        <v>0</v>
      </c>
      <c r="V428" s="43">
        <f t="shared" si="173"/>
        <v>0</v>
      </c>
      <c r="W428" s="43">
        <f t="shared" si="174"/>
        <v>0</v>
      </c>
      <c r="X428" s="43">
        <f t="shared" si="175"/>
        <v>0</v>
      </c>
      <c r="Y428" s="43">
        <f t="shared" si="176"/>
        <v>0</v>
      </c>
      <c r="Z428" s="43">
        <f t="shared" si="177"/>
        <v>0</v>
      </c>
      <c r="AB428" s="43">
        <f t="shared" si="178"/>
        <v>0</v>
      </c>
      <c r="AC428" s="43">
        <f t="shared" si="179"/>
        <v>0</v>
      </c>
      <c r="AD428" s="43">
        <f t="shared" si="180"/>
        <v>0</v>
      </c>
      <c r="AE428" s="43">
        <f t="shared" si="181"/>
        <v>0</v>
      </c>
      <c r="AF428" s="43">
        <f t="shared" si="182"/>
        <v>0</v>
      </c>
      <c r="AH428" s="43">
        <f t="shared" si="183"/>
        <v>0</v>
      </c>
      <c r="AI428" s="43">
        <f t="shared" si="184"/>
        <v>0</v>
      </c>
      <c r="AJ428" s="43">
        <f t="shared" si="185"/>
        <v>0</v>
      </c>
      <c r="AK428" s="43">
        <f t="shared" si="186"/>
        <v>0</v>
      </c>
      <c r="AL428" s="43">
        <f t="shared" si="187"/>
        <v>0</v>
      </c>
      <c r="AN428" s="47">
        <f t="shared" si="188"/>
        <v>0</v>
      </c>
      <c r="AO428" s="47">
        <f t="shared" si="189"/>
        <v>0</v>
      </c>
      <c r="AP428" s="47">
        <f t="shared" si="190"/>
        <v>0</v>
      </c>
      <c r="AQ428" s="47">
        <f t="shared" si="191"/>
        <v>0</v>
      </c>
      <c r="AR428" s="43">
        <f t="shared" si="192"/>
        <v>0</v>
      </c>
      <c r="AS428" s="120"/>
      <c r="AT428" s="120"/>
      <c r="AU428" s="120"/>
      <c r="AV428" s="120"/>
      <c r="AW428" s="120"/>
      <c r="AX428" s="120"/>
    </row>
    <row r="429" spans="1:50" s="89" customFormat="1" ht="13">
      <c r="A429" s="3"/>
      <c r="B429" s="37">
        <f>'13. Desinvesteringen'!B712</f>
        <v>693</v>
      </c>
      <c r="C429" s="331"/>
      <c r="D429" s="331"/>
      <c r="E429" s="331"/>
      <c r="F429" s="42">
        <f>'5. Input GAW-waarde desinv.'!D388</f>
        <v>0</v>
      </c>
      <c r="G429" s="175">
        <f>'13. Desinvesteringen'!D712</f>
        <v>1975</v>
      </c>
      <c r="H429" s="175">
        <f>'13. Desinvesteringen'!G712</f>
        <v>2025</v>
      </c>
      <c r="I429" s="37" t="str">
        <f>'13. Desinvesteringen'!C712</f>
        <v>02 Gasontvangststations</v>
      </c>
      <c r="J429" s="164">
        <f>'13. Desinvesteringen'!F712</f>
        <v>0</v>
      </c>
      <c r="K429" s="38">
        <f>_xlfn.XLOOKUP(I429,'3. Input (des)investeringen '!$B$11:$B$89,'3. Input (des)investeringen '!$E$11:$E$89)</f>
        <v>0</v>
      </c>
      <c r="L429" s="331"/>
      <c r="M429" s="38">
        <f>_xlfn.XLOOKUP(I429,'3. Input (des)investeringen '!$B$11:$B$89,'3. Input (des)investeringen '!$D$11:$D$89,0)</f>
        <v>30</v>
      </c>
      <c r="N429" s="38">
        <f t="shared" si="172"/>
        <v>0</v>
      </c>
      <c r="P429" s="43">
        <f t="shared" si="193"/>
        <v>0</v>
      </c>
      <c r="Q429" s="43">
        <f t="shared" si="193"/>
        <v>0</v>
      </c>
      <c r="R429" s="43">
        <f t="shared" si="193"/>
        <v>0</v>
      </c>
      <c r="S429" s="43">
        <f t="shared" si="193"/>
        <v>0</v>
      </c>
      <c r="T429" s="43">
        <f t="shared" si="193"/>
        <v>0</v>
      </c>
      <c r="V429" s="43">
        <f t="shared" si="173"/>
        <v>0</v>
      </c>
      <c r="W429" s="43">
        <f t="shared" si="174"/>
        <v>0</v>
      </c>
      <c r="X429" s="43">
        <f t="shared" si="175"/>
        <v>0</v>
      </c>
      <c r="Y429" s="43">
        <f t="shared" si="176"/>
        <v>0</v>
      </c>
      <c r="Z429" s="43">
        <f t="shared" si="177"/>
        <v>0</v>
      </c>
      <c r="AB429" s="43">
        <f t="shared" si="178"/>
        <v>0</v>
      </c>
      <c r="AC429" s="43">
        <f t="shared" si="179"/>
        <v>0</v>
      </c>
      <c r="AD429" s="43">
        <f t="shared" si="180"/>
        <v>0</v>
      </c>
      <c r="AE429" s="43">
        <f t="shared" si="181"/>
        <v>0</v>
      </c>
      <c r="AF429" s="43">
        <f t="shared" si="182"/>
        <v>0</v>
      </c>
      <c r="AH429" s="43">
        <f t="shared" si="183"/>
        <v>0</v>
      </c>
      <c r="AI429" s="43">
        <f t="shared" si="184"/>
        <v>0</v>
      </c>
      <c r="AJ429" s="43">
        <f t="shared" si="185"/>
        <v>0</v>
      </c>
      <c r="AK429" s="43">
        <f t="shared" si="186"/>
        <v>0</v>
      </c>
      <c r="AL429" s="43">
        <f t="shared" si="187"/>
        <v>0</v>
      </c>
      <c r="AN429" s="47">
        <f t="shared" si="188"/>
        <v>0</v>
      </c>
      <c r="AO429" s="47">
        <f t="shared" si="189"/>
        <v>0</v>
      </c>
      <c r="AP429" s="47">
        <f t="shared" si="190"/>
        <v>0</v>
      </c>
      <c r="AQ429" s="47">
        <f t="shared" si="191"/>
        <v>0</v>
      </c>
      <c r="AR429" s="43">
        <f t="shared" si="192"/>
        <v>0</v>
      </c>
      <c r="AS429" s="120"/>
      <c r="AT429" s="120"/>
      <c r="AU429" s="120"/>
      <c r="AV429" s="120"/>
      <c r="AW429" s="120"/>
      <c r="AX429" s="120"/>
    </row>
    <row r="430" spans="1:50" s="89" customFormat="1" ht="13">
      <c r="A430" s="3"/>
      <c r="B430" s="37">
        <f>'13. Desinvesteringen'!B713</f>
        <v>694</v>
      </c>
      <c r="C430" s="331"/>
      <c r="D430" s="331"/>
      <c r="E430" s="331"/>
      <c r="F430" s="42">
        <f>'5. Input GAW-waarde desinv.'!D389</f>
        <v>0</v>
      </c>
      <c r="G430" s="175">
        <f>'13. Desinvesteringen'!D713</f>
        <v>1976</v>
      </c>
      <c r="H430" s="175">
        <f>'13. Desinvesteringen'!G713</f>
        <v>2025</v>
      </c>
      <c r="I430" s="37" t="str">
        <f>'13. Desinvesteringen'!C713</f>
        <v>02 Gasontvangststations</v>
      </c>
      <c r="J430" s="164">
        <f>'13. Desinvesteringen'!F713</f>
        <v>0</v>
      </c>
      <c r="K430" s="38">
        <f>_xlfn.XLOOKUP(I430,'3. Input (des)investeringen '!$B$11:$B$89,'3. Input (des)investeringen '!$E$11:$E$89)</f>
        <v>0</v>
      </c>
      <c r="L430" s="331"/>
      <c r="M430" s="38">
        <f>_xlfn.XLOOKUP(I430,'3. Input (des)investeringen '!$B$11:$B$89,'3. Input (des)investeringen '!$D$11:$D$89,0)</f>
        <v>30</v>
      </c>
      <c r="N430" s="38">
        <f t="shared" si="172"/>
        <v>0</v>
      </c>
      <c r="P430" s="43">
        <f t="shared" si="193"/>
        <v>0</v>
      </c>
      <c r="Q430" s="43">
        <f t="shared" si="193"/>
        <v>0</v>
      </c>
      <c r="R430" s="43">
        <f t="shared" si="193"/>
        <v>0</v>
      </c>
      <c r="S430" s="43">
        <f t="shared" si="193"/>
        <v>0</v>
      </c>
      <c r="T430" s="43">
        <f t="shared" si="193"/>
        <v>0</v>
      </c>
      <c r="V430" s="43">
        <f t="shared" si="173"/>
        <v>0</v>
      </c>
      <c r="W430" s="43">
        <f t="shared" si="174"/>
        <v>0</v>
      </c>
      <c r="X430" s="43">
        <f t="shared" si="175"/>
        <v>0</v>
      </c>
      <c r="Y430" s="43">
        <f t="shared" si="176"/>
        <v>0</v>
      </c>
      <c r="Z430" s="43">
        <f t="shared" si="177"/>
        <v>0</v>
      </c>
      <c r="AB430" s="43">
        <f t="shared" si="178"/>
        <v>0</v>
      </c>
      <c r="AC430" s="43">
        <f t="shared" si="179"/>
        <v>0</v>
      </c>
      <c r="AD430" s="43">
        <f t="shared" si="180"/>
        <v>0</v>
      </c>
      <c r="AE430" s="43">
        <f t="shared" si="181"/>
        <v>0</v>
      </c>
      <c r="AF430" s="43">
        <f t="shared" si="182"/>
        <v>0</v>
      </c>
      <c r="AH430" s="43">
        <f t="shared" si="183"/>
        <v>0</v>
      </c>
      <c r="AI430" s="43">
        <f t="shared" si="184"/>
        <v>0</v>
      </c>
      <c r="AJ430" s="43">
        <f t="shared" si="185"/>
        <v>0</v>
      </c>
      <c r="AK430" s="43">
        <f t="shared" si="186"/>
        <v>0</v>
      </c>
      <c r="AL430" s="43">
        <f t="shared" si="187"/>
        <v>0</v>
      </c>
      <c r="AN430" s="47">
        <f t="shared" si="188"/>
        <v>0</v>
      </c>
      <c r="AO430" s="47">
        <f t="shared" si="189"/>
        <v>0</v>
      </c>
      <c r="AP430" s="47">
        <f t="shared" si="190"/>
        <v>0</v>
      </c>
      <c r="AQ430" s="47">
        <f t="shared" si="191"/>
        <v>0</v>
      </c>
      <c r="AR430" s="43">
        <f t="shared" si="192"/>
        <v>0</v>
      </c>
      <c r="AS430" s="120"/>
      <c r="AT430" s="120"/>
      <c r="AU430" s="120"/>
      <c r="AV430" s="120"/>
      <c r="AW430" s="120"/>
      <c r="AX430" s="120"/>
    </row>
    <row r="431" spans="1:50" s="89" customFormat="1" ht="13">
      <c r="A431" s="3"/>
      <c r="B431" s="37">
        <f>'13. Desinvesteringen'!B714</f>
        <v>695</v>
      </c>
      <c r="C431" s="331"/>
      <c r="D431" s="331"/>
      <c r="E431" s="331"/>
      <c r="F431" s="42">
        <f>'5. Input GAW-waarde desinv.'!D390</f>
        <v>0</v>
      </c>
      <c r="G431" s="175">
        <f>'13. Desinvesteringen'!D714</f>
        <v>1977</v>
      </c>
      <c r="H431" s="175">
        <f>'13. Desinvesteringen'!G714</f>
        <v>2025</v>
      </c>
      <c r="I431" s="37" t="str">
        <f>'13. Desinvesteringen'!C714</f>
        <v>02 Gasontvangststations</v>
      </c>
      <c r="J431" s="164">
        <f>'13. Desinvesteringen'!F714</f>
        <v>0</v>
      </c>
      <c r="K431" s="38">
        <f>_xlfn.XLOOKUP(I431,'3. Input (des)investeringen '!$B$11:$B$89,'3. Input (des)investeringen '!$E$11:$E$89)</f>
        <v>0</v>
      </c>
      <c r="L431" s="331"/>
      <c r="M431" s="38">
        <f>_xlfn.XLOOKUP(I431,'3. Input (des)investeringen '!$B$11:$B$89,'3. Input (des)investeringen '!$D$11:$D$89,0)</f>
        <v>30</v>
      </c>
      <c r="N431" s="38">
        <f t="shared" si="172"/>
        <v>0</v>
      </c>
      <c r="P431" s="43">
        <f t="shared" si="193"/>
        <v>0</v>
      </c>
      <c r="Q431" s="43">
        <f t="shared" si="193"/>
        <v>0</v>
      </c>
      <c r="R431" s="43">
        <f t="shared" si="193"/>
        <v>0</v>
      </c>
      <c r="S431" s="43">
        <f t="shared" si="193"/>
        <v>0</v>
      </c>
      <c r="T431" s="43">
        <f t="shared" si="193"/>
        <v>0</v>
      </c>
      <c r="V431" s="43">
        <f t="shared" si="173"/>
        <v>0</v>
      </c>
      <c r="W431" s="43">
        <f t="shared" si="174"/>
        <v>0</v>
      </c>
      <c r="X431" s="43">
        <f t="shared" si="175"/>
        <v>0</v>
      </c>
      <c r="Y431" s="43">
        <f t="shared" si="176"/>
        <v>0</v>
      </c>
      <c r="Z431" s="43">
        <f t="shared" si="177"/>
        <v>0</v>
      </c>
      <c r="AB431" s="43">
        <f t="shared" si="178"/>
        <v>0</v>
      </c>
      <c r="AC431" s="43">
        <f t="shared" si="179"/>
        <v>0</v>
      </c>
      <c r="AD431" s="43">
        <f t="shared" si="180"/>
        <v>0</v>
      </c>
      <c r="AE431" s="43">
        <f t="shared" si="181"/>
        <v>0</v>
      </c>
      <c r="AF431" s="43">
        <f t="shared" si="182"/>
        <v>0</v>
      </c>
      <c r="AH431" s="43">
        <f t="shared" si="183"/>
        <v>0</v>
      </c>
      <c r="AI431" s="43">
        <f t="shared" si="184"/>
        <v>0</v>
      </c>
      <c r="AJ431" s="43">
        <f t="shared" si="185"/>
        <v>0</v>
      </c>
      <c r="AK431" s="43">
        <f t="shared" si="186"/>
        <v>0</v>
      </c>
      <c r="AL431" s="43">
        <f t="shared" si="187"/>
        <v>0</v>
      </c>
      <c r="AN431" s="47">
        <f t="shared" si="188"/>
        <v>0</v>
      </c>
      <c r="AO431" s="47">
        <f t="shared" si="189"/>
        <v>0</v>
      </c>
      <c r="AP431" s="47">
        <f t="shared" si="190"/>
        <v>0</v>
      </c>
      <c r="AQ431" s="47">
        <f t="shared" si="191"/>
        <v>0</v>
      </c>
      <c r="AR431" s="43">
        <f t="shared" si="192"/>
        <v>0</v>
      </c>
      <c r="AS431" s="120"/>
      <c r="AT431" s="120"/>
      <c r="AU431" s="120"/>
      <c r="AV431" s="120"/>
      <c r="AW431" s="120"/>
      <c r="AX431" s="120"/>
    </row>
    <row r="432" spans="1:50" s="89" customFormat="1" ht="13">
      <c r="A432" s="3"/>
      <c r="B432" s="37">
        <f>'13. Desinvesteringen'!B715</f>
        <v>696</v>
      </c>
      <c r="C432" s="331"/>
      <c r="D432" s="331"/>
      <c r="E432" s="331"/>
      <c r="F432" s="42">
        <f>'5. Input GAW-waarde desinv.'!D391</f>
        <v>0</v>
      </c>
      <c r="G432" s="175">
        <f>'13. Desinvesteringen'!D715</f>
        <v>1978</v>
      </c>
      <c r="H432" s="175">
        <f>'13. Desinvesteringen'!G715</f>
        <v>2025</v>
      </c>
      <c r="I432" s="37" t="str">
        <f>'13. Desinvesteringen'!C715</f>
        <v>02 Gasontvangststations</v>
      </c>
      <c r="J432" s="164">
        <f>'13. Desinvesteringen'!F715</f>
        <v>0</v>
      </c>
      <c r="K432" s="38">
        <f>_xlfn.XLOOKUP(I432,'3. Input (des)investeringen '!$B$11:$B$89,'3. Input (des)investeringen '!$E$11:$E$89)</f>
        <v>0</v>
      </c>
      <c r="L432" s="331"/>
      <c r="M432" s="38">
        <f>_xlfn.XLOOKUP(I432,'3. Input (des)investeringen '!$B$11:$B$89,'3. Input (des)investeringen '!$D$11:$D$89,0)</f>
        <v>30</v>
      </c>
      <c r="N432" s="38">
        <f t="shared" si="172"/>
        <v>0</v>
      </c>
      <c r="P432" s="43">
        <f t="shared" si="193"/>
        <v>0</v>
      </c>
      <c r="Q432" s="43">
        <f t="shared" si="193"/>
        <v>0</v>
      </c>
      <c r="R432" s="43">
        <f t="shared" si="193"/>
        <v>0</v>
      </c>
      <c r="S432" s="43">
        <f t="shared" si="193"/>
        <v>0</v>
      </c>
      <c r="T432" s="43">
        <f t="shared" si="193"/>
        <v>0</v>
      </c>
      <c r="V432" s="43">
        <f t="shared" si="173"/>
        <v>0</v>
      </c>
      <c r="W432" s="43">
        <f t="shared" si="174"/>
        <v>0</v>
      </c>
      <c r="X432" s="43">
        <f t="shared" si="175"/>
        <v>0</v>
      </c>
      <c r="Y432" s="43">
        <f t="shared" si="176"/>
        <v>0</v>
      </c>
      <c r="Z432" s="43">
        <f t="shared" si="177"/>
        <v>0</v>
      </c>
      <c r="AB432" s="43">
        <f t="shared" si="178"/>
        <v>0</v>
      </c>
      <c r="AC432" s="43">
        <f t="shared" si="179"/>
        <v>0</v>
      </c>
      <c r="AD432" s="43">
        <f t="shared" si="180"/>
        <v>0</v>
      </c>
      <c r="AE432" s="43">
        <f t="shared" si="181"/>
        <v>0</v>
      </c>
      <c r="AF432" s="43">
        <f t="shared" si="182"/>
        <v>0</v>
      </c>
      <c r="AH432" s="43">
        <f t="shared" si="183"/>
        <v>0</v>
      </c>
      <c r="AI432" s="43">
        <f t="shared" si="184"/>
        <v>0</v>
      </c>
      <c r="AJ432" s="43">
        <f t="shared" si="185"/>
        <v>0</v>
      </c>
      <c r="AK432" s="43">
        <f t="shared" si="186"/>
        <v>0</v>
      </c>
      <c r="AL432" s="43">
        <f t="shared" si="187"/>
        <v>0</v>
      </c>
      <c r="AN432" s="47">
        <f t="shared" si="188"/>
        <v>0</v>
      </c>
      <c r="AO432" s="47">
        <f t="shared" si="189"/>
        <v>0</v>
      </c>
      <c r="AP432" s="47">
        <f t="shared" si="190"/>
        <v>0</v>
      </c>
      <c r="AQ432" s="47">
        <f t="shared" si="191"/>
        <v>0</v>
      </c>
      <c r="AR432" s="43">
        <f t="shared" si="192"/>
        <v>0</v>
      </c>
      <c r="AS432" s="120"/>
      <c r="AT432" s="120"/>
      <c r="AU432" s="120"/>
      <c r="AV432" s="120"/>
      <c r="AW432" s="120"/>
      <c r="AX432" s="120"/>
    </row>
    <row r="433" spans="1:50" s="89" customFormat="1" ht="13">
      <c r="A433" s="3"/>
      <c r="B433" s="37">
        <f>'13. Desinvesteringen'!B716</f>
        <v>697</v>
      </c>
      <c r="C433" s="331"/>
      <c r="D433" s="331"/>
      <c r="E433" s="331"/>
      <c r="F433" s="42">
        <f>'5. Input GAW-waarde desinv.'!D392</f>
        <v>0</v>
      </c>
      <c r="G433" s="175">
        <f>'13. Desinvesteringen'!D716</f>
        <v>1980</v>
      </c>
      <c r="H433" s="175">
        <f>'13. Desinvesteringen'!G716</f>
        <v>2025</v>
      </c>
      <c r="I433" s="37" t="str">
        <f>'13. Desinvesteringen'!C716</f>
        <v>02 Gasontvangststations</v>
      </c>
      <c r="J433" s="164">
        <f>'13. Desinvesteringen'!F716</f>
        <v>0</v>
      </c>
      <c r="K433" s="38">
        <f>_xlfn.XLOOKUP(I433,'3. Input (des)investeringen '!$B$11:$B$89,'3. Input (des)investeringen '!$E$11:$E$89)</f>
        <v>0</v>
      </c>
      <c r="L433" s="331"/>
      <c r="M433" s="38">
        <f>_xlfn.XLOOKUP(I433,'3. Input (des)investeringen '!$B$11:$B$89,'3. Input (des)investeringen '!$D$11:$D$89,0)</f>
        <v>30</v>
      </c>
      <c r="N433" s="38">
        <f t="shared" si="172"/>
        <v>0</v>
      </c>
      <c r="P433" s="43">
        <f t="shared" si="193"/>
        <v>0</v>
      </c>
      <c r="Q433" s="43">
        <f t="shared" si="193"/>
        <v>0</v>
      </c>
      <c r="R433" s="43">
        <f t="shared" si="193"/>
        <v>0</v>
      </c>
      <c r="S433" s="43">
        <f t="shared" si="193"/>
        <v>0</v>
      </c>
      <c r="T433" s="43">
        <f t="shared" si="193"/>
        <v>0</v>
      </c>
      <c r="V433" s="43">
        <f t="shared" si="173"/>
        <v>0</v>
      </c>
      <c r="W433" s="43">
        <f t="shared" si="174"/>
        <v>0</v>
      </c>
      <c r="X433" s="43">
        <f t="shared" si="175"/>
        <v>0</v>
      </c>
      <c r="Y433" s="43">
        <f t="shared" si="176"/>
        <v>0</v>
      </c>
      <c r="Z433" s="43">
        <f t="shared" si="177"/>
        <v>0</v>
      </c>
      <c r="AB433" s="43">
        <f t="shared" si="178"/>
        <v>0</v>
      </c>
      <c r="AC433" s="43">
        <f t="shared" si="179"/>
        <v>0</v>
      </c>
      <c r="AD433" s="43">
        <f t="shared" si="180"/>
        <v>0</v>
      </c>
      <c r="AE433" s="43">
        <f t="shared" si="181"/>
        <v>0</v>
      </c>
      <c r="AF433" s="43">
        <f t="shared" si="182"/>
        <v>0</v>
      </c>
      <c r="AH433" s="43">
        <f t="shared" si="183"/>
        <v>0</v>
      </c>
      <c r="AI433" s="43">
        <f t="shared" si="184"/>
        <v>0</v>
      </c>
      <c r="AJ433" s="43">
        <f t="shared" si="185"/>
        <v>0</v>
      </c>
      <c r="AK433" s="43">
        <f t="shared" si="186"/>
        <v>0</v>
      </c>
      <c r="AL433" s="43">
        <f t="shared" si="187"/>
        <v>0</v>
      </c>
      <c r="AN433" s="47">
        <f t="shared" si="188"/>
        <v>0</v>
      </c>
      <c r="AO433" s="47">
        <f t="shared" si="189"/>
        <v>0</v>
      </c>
      <c r="AP433" s="47">
        <f t="shared" si="190"/>
        <v>0</v>
      </c>
      <c r="AQ433" s="47">
        <f t="shared" si="191"/>
        <v>0</v>
      </c>
      <c r="AR433" s="43">
        <f t="shared" si="192"/>
        <v>0</v>
      </c>
      <c r="AS433" s="120"/>
      <c r="AT433" s="120"/>
      <c r="AU433" s="120"/>
      <c r="AV433" s="120"/>
      <c r="AW433" s="120"/>
      <c r="AX433" s="120"/>
    </row>
    <row r="434" spans="1:50" s="89" customFormat="1" ht="13">
      <c r="A434" s="3"/>
      <c r="B434" s="37">
        <f>'13. Desinvesteringen'!B717</f>
        <v>698</v>
      </c>
      <c r="C434" s="331"/>
      <c r="D434" s="331"/>
      <c r="E434" s="331"/>
      <c r="F434" s="42">
        <f>'5. Input GAW-waarde desinv.'!D393</f>
        <v>0</v>
      </c>
      <c r="G434" s="175">
        <f>'13. Desinvesteringen'!D717</f>
        <v>1982</v>
      </c>
      <c r="H434" s="175">
        <f>'13. Desinvesteringen'!G717</f>
        <v>2025</v>
      </c>
      <c r="I434" s="37" t="str">
        <f>'13. Desinvesteringen'!C717</f>
        <v>02 Gasontvangststations</v>
      </c>
      <c r="J434" s="164">
        <f>'13. Desinvesteringen'!F717</f>
        <v>0</v>
      </c>
      <c r="K434" s="38">
        <f>_xlfn.XLOOKUP(I434,'3. Input (des)investeringen '!$B$11:$B$89,'3. Input (des)investeringen '!$E$11:$E$89)</f>
        <v>0</v>
      </c>
      <c r="L434" s="331"/>
      <c r="M434" s="38">
        <f>_xlfn.XLOOKUP(I434,'3. Input (des)investeringen '!$B$11:$B$89,'3. Input (des)investeringen '!$D$11:$D$89,0)</f>
        <v>30</v>
      </c>
      <c r="N434" s="38">
        <f t="shared" si="172"/>
        <v>0</v>
      </c>
      <c r="P434" s="43">
        <f t="shared" si="193"/>
        <v>0</v>
      </c>
      <c r="Q434" s="43">
        <f t="shared" si="193"/>
        <v>0</v>
      </c>
      <c r="R434" s="43">
        <f t="shared" si="193"/>
        <v>0</v>
      </c>
      <c r="S434" s="43">
        <f t="shared" si="193"/>
        <v>0</v>
      </c>
      <c r="T434" s="43">
        <f t="shared" si="193"/>
        <v>0</v>
      </c>
      <c r="V434" s="43">
        <f t="shared" si="173"/>
        <v>0</v>
      </c>
      <c r="W434" s="43">
        <f t="shared" si="174"/>
        <v>0</v>
      </c>
      <c r="X434" s="43">
        <f t="shared" si="175"/>
        <v>0</v>
      </c>
      <c r="Y434" s="43">
        <f t="shared" si="176"/>
        <v>0</v>
      </c>
      <c r="Z434" s="43">
        <f t="shared" si="177"/>
        <v>0</v>
      </c>
      <c r="AB434" s="43">
        <f t="shared" si="178"/>
        <v>0</v>
      </c>
      <c r="AC434" s="43">
        <f t="shared" si="179"/>
        <v>0</v>
      </c>
      <c r="AD434" s="43">
        <f t="shared" si="180"/>
        <v>0</v>
      </c>
      <c r="AE434" s="43">
        <f t="shared" si="181"/>
        <v>0</v>
      </c>
      <c r="AF434" s="43">
        <f t="shared" si="182"/>
        <v>0</v>
      </c>
      <c r="AH434" s="43">
        <f t="shared" si="183"/>
        <v>0</v>
      </c>
      <c r="AI434" s="43">
        <f t="shared" si="184"/>
        <v>0</v>
      </c>
      <c r="AJ434" s="43">
        <f t="shared" si="185"/>
        <v>0</v>
      </c>
      <c r="AK434" s="43">
        <f t="shared" si="186"/>
        <v>0</v>
      </c>
      <c r="AL434" s="43">
        <f t="shared" si="187"/>
        <v>0</v>
      </c>
      <c r="AN434" s="47">
        <f t="shared" si="188"/>
        <v>0</v>
      </c>
      <c r="AO434" s="47">
        <f t="shared" si="189"/>
        <v>0</v>
      </c>
      <c r="AP434" s="47">
        <f t="shared" si="190"/>
        <v>0</v>
      </c>
      <c r="AQ434" s="47">
        <f t="shared" si="191"/>
        <v>0</v>
      </c>
      <c r="AR434" s="43">
        <f t="shared" si="192"/>
        <v>0</v>
      </c>
      <c r="AS434" s="120"/>
      <c r="AT434" s="120"/>
      <c r="AU434" s="120"/>
      <c r="AV434" s="120"/>
      <c r="AW434" s="120"/>
      <c r="AX434" s="120"/>
    </row>
    <row r="435" spans="1:50" s="89" customFormat="1" ht="13">
      <c r="A435" s="3"/>
      <c r="B435" s="37">
        <f>'13. Desinvesteringen'!B718</f>
        <v>699</v>
      </c>
      <c r="C435" s="331"/>
      <c r="D435" s="331"/>
      <c r="E435" s="331"/>
      <c r="F435" s="42">
        <f>'5. Input GAW-waarde desinv.'!D394</f>
        <v>0</v>
      </c>
      <c r="G435" s="175">
        <f>'13. Desinvesteringen'!D718</f>
        <v>1984</v>
      </c>
      <c r="H435" s="175">
        <f>'13. Desinvesteringen'!G718</f>
        <v>2025</v>
      </c>
      <c r="I435" s="37" t="str">
        <f>'13. Desinvesteringen'!C718</f>
        <v>02 Gasontvangststations</v>
      </c>
      <c r="J435" s="164">
        <f>'13. Desinvesteringen'!F718</f>
        <v>0</v>
      </c>
      <c r="K435" s="38">
        <f>_xlfn.XLOOKUP(I435,'3. Input (des)investeringen '!$B$11:$B$89,'3. Input (des)investeringen '!$E$11:$E$89)</f>
        <v>0</v>
      </c>
      <c r="L435" s="331"/>
      <c r="M435" s="38">
        <f>_xlfn.XLOOKUP(I435,'3. Input (des)investeringen '!$B$11:$B$89,'3. Input (des)investeringen '!$D$11:$D$89,0)</f>
        <v>30</v>
      </c>
      <c r="N435" s="38">
        <f t="shared" si="172"/>
        <v>0</v>
      </c>
      <c r="P435" s="43">
        <f t="shared" si="193"/>
        <v>0</v>
      </c>
      <c r="Q435" s="43">
        <f t="shared" si="193"/>
        <v>0</v>
      </c>
      <c r="R435" s="43">
        <f t="shared" si="193"/>
        <v>0</v>
      </c>
      <c r="S435" s="43">
        <f t="shared" si="193"/>
        <v>0</v>
      </c>
      <c r="T435" s="43">
        <f t="shared" si="193"/>
        <v>0</v>
      </c>
      <c r="V435" s="43">
        <f t="shared" si="173"/>
        <v>0</v>
      </c>
      <c r="W435" s="43">
        <f t="shared" si="174"/>
        <v>0</v>
      </c>
      <c r="X435" s="43">
        <f t="shared" si="175"/>
        <v>0</v>
      </c>
      <c r="Y435" s="43">
        <f t="shared" si="176"/>
        <v>0</v>
      </c>
      <c r="Z435" s="43">
        <f t="shared" si="177"/>
        <v>0</v>
      </c>
      <c r="AB435" s="43">
        <f t="shared" si="178"/>
        <v>0</v>
      </c>
      <c r="AC435" s="43">
        <f t="shared" si="179"/>
        <v>0</v>
      </c>
      <c r="AD435" s="43">
        <f t="shared" si="180"/>
        <v>0</v>
      </c>
      <c r="AE435" s="43">
        <f t="shared" si="181"/>
        <v>0</v>
      </c>
      <c r="AF435" s="43">
        <f t="shared" si="182"/>
        <v>0</v>
      </c>
      <c r="AH435" s="43">
        <f t="shared" si="183"/>
        <v>0</v>
      </c>
      <c r="AI435" s="43">
        <f t="shared" si="184"/>
        <v>0</v>
      </c>
      <c r="AJ435" s="43">
        <f t="shared" si="185"/>
        <v>0</v>
      </c>
      <c r="AK435" s="43">
        <f t="shared" si="186"/>
        <v>0</v>
      </c>
      <c r="AL435" s="43">
        <f t="shared" si="187"/>
        <v>0</v>
      </c>
      <c r="AN435" s="47">
        <f t="shared" si="188"/>
        <v>0</v>
      </c>
      <c r="AO435" s="47">
        <f t="shared" si="189"/>
        <v>0</v>
      </c>
      <c r="AP435" s="47">
        <f t="shared" si="190"/>
        <v>0</v>
      </c>
      <c r="AQ435" s="47">
        <f t="shared" si="191"/>
        <v>0</v>
      </c>
      <c r="AR435" s="43">
        <f t="shared" si="192"/>
        <v>0</v>
      </c>
      <c r="AS435" s="120"/>
      <c r="AT435" s="120"/>
      <c r="AU435" s="120"/>
      <c r="AV435" s="120"/>
      <c r="AW435" s="120"/>
      <c r="AX435" s="120"/>
    </row>
    <row r="436" spans="1:50" s="89" customFormat="1" ht="13">
      <c r="A436" s="3"/>
      <c r="B436" s="37">
        <f>'13. Desinvesteringen'!B719</f>
        <v>700</v>
      </c>
      <c r="C436" s="331"/>
      <c r="D436" s="331"/>
      <c r="E436" s="331"/>
      <c r="F436" s="42">
        <f>'5. Input GAW-waarde desinv.'!D395</f>
        <v>0</v>
      </c>
      <c r="G436" s="175">
        <f>'13. Desinvesteringen'!D719</f>
        <v>1985</v>
      </c>
      <c r="H436" s="175">
        <f>'13. Desinvesteringen'!G719</f>
        <v>2025</v>
      </c>
      <c r="I436" s="37" t="str">
        <f>'13. Desinvesteringen'!C719</f>
        <v>02 Gasontvangststations</v>
      </c>
      <c r="J436" s="164">
        <f>'13. Desinvesteringen'!F719</f>
        <v>0</v>
      </c>
      <c r="K436" s="38">
        <f>_xlfn.XLOOKUP(I436,'3. Input (des)investeringen '!$B$11:$B$89,'3. Input (des)investeringen '!$E$11:$E$89)</f>
        <v>0</v>
      </c>
      <c r="L436" s="331"/>
      <c r="M436" s="38">
        <f>_xlfn.XLOOKUP(I436,'3. Input (des)investeringen '!$B$11:$B$89,'3. Input (des)investeringen '!$D$11:$D$89,0)</f>
        <v>30</v>
      </c>
      <c r="N436" s="38">
        <f t="shared" si="172"/>
        <v>0</v>
      </c>
      <c r="P436" s="43">
        <f t="shared" si="193"/>
        <v>0</v>
      </c>
      <c r="Q436" s="43">
        <f t="shared" si="193"/>
        <v>0</v>
      </c>
      <c r="R436" s="43">
        <f t="shared" si="193"/>
        <v>0</v>
      </c>
      <c r="S436" s="43">
        <f t="shared" si="193"/>
        <v>0</v>
      </c>
      <c r="T436" s="43">
        <f t="shared" si="193"/>
        <v>0</v>
      </c>
      <c r="V436" s="43">
        <f t="shared" si="173"/>
        <v>0</v>
      </c>
      <c r="W436" s="43">
        <f t="shared" si="174"/>
        <v>0</v>
      </c>
      <c r="X436" s="43">
        <f t="shared" si="175"/>
        <v>0</v>
      </c>
      <c r="Y436" s="43">
        <f t="shared" si="176"/>
        <v>0</v>
      </c>
      <c r="Z436" s="43">
        <f t="shared" si="177"/>
        <v>0</v>
      </c>
      <c r="AB436" s="43">
        <f t="shared" si="178"/>
        <v>0</v>
      </c>
      <c r="AC436" s="43">
        <f t="shared" si="179"/>
        <v>0</v>
      </c>
      <c r="AD436" s="43">
        <f t="shared" si="180"/>
        <v>0</v>
      </c>
      <c r="AE436" s="43">
        <f t="shared" si="181"/>
        <v>0</v>
      </c>
      <c r="AF436" s="43">
        <f t="shared" si="182"/>
        <v>0</v>
      </c>
      <c r="AH436" s="43">
        <f t="shared" si="183"/>
        <v>0</v>
      </c>
      <c r="AI436" s="43">
        <f t="shared" si="184"/>
        <v>0</v>
      </c>
      <c r="AJ436" s="43">
        <f t="shared" si="185"/>
        <v>0</v>
      </c>
      <c r="AK436" s="43">
        <f t="shared" si="186"/>
        <v>0</v>
      </c>
      <c r="AL436" s="43">
        <f t="shared" si="187"/>
        <v>0</v>
      </c>
      <c r="AN436" s="47">
        <f t="shared" si="188"/>
        <v>0</v>
      </c>
      <c r="AO436" s="47">
        <f t="shared" si="189"/>
        <v>0</v>
      </c>
      <c r="AP436" s="47">
        <f t="shared" si="190"/>
        <v>0</v>
      </c>
      <c r="AQ436" s="47">
        <f t="shared" si="191"/>
        <v>0</v>
      </c>
      <c r="AR436" s="43">
        <f t="shared" si="192"/>
        <v>0</v>
      </c>
      <c r="AS436" s="120"/>
      <c r="AT436" s="120"/>
      <c r="AU436" s="120"/>
      <c r="AV436" s="120"/>
      <c r="AW436" s="120"/>
      <c r="AX436" s="120"/>
    </row>
    <row r="437" spans="1:50" s="89" customFormat="1" ht="13">
      <c r="A437" s="3"/>
      <c r="B437" s="37">
        <f>'13. Desinvesteringen'!B720</f>
        <v>701</v>
      </c>
      <c r="C437" s="331"/>
      <c r="D437" s="331"/>
      <c r="E437" s="331"/>
      <c r="F437" s="42">
        <f>'5. Input GAW-waarde desinv.'!D396</f>
        <v>0</v>
      </c>
      <c r="G437" s="175">
        <f>'13. Desinvesteringen'!D720</f>
        <v>1987</v>
      </c>
      <c r="H437" s="175">
        <f>'13. Desinvesteringen'!G720</f>
        <v>2025</v>
      </c>
      <c r="I437" s="37" t="str">
        <f>'13. Desinvesteringen'!C720</f>
        <v>02 Gasontvangststations</v>
      </c>
      <c r="J437" s="164">
        <f>'13. Desinvesteringen'!F720</f>
        <v>0</v>
      </c>
      <c r="K437" s="38">
        <f>_xlfn.XLOOKUP(I437,'3. Input (des)investeringen '!$B$11:$B$89,'3. Input (des)investeringen '!$E$11:$E$89)</f>
        <v>0</v>
      </c>
      <c r="L437" s="331"/>
      <c r="M437" s="38">
        <f>_xlfn.XLOOKUP(I437,'3. Input (des)investeringen '!$B$11:$B$89,'3. Input (des)investeringen '!$D$11:$D$89,0)</f>
        <v>30</v>
      </c>
      <c r="N437" s="38">
        <f t="shared" si="172"/>
        <v>0</v>
      </c>
      <c r="P437" s="43">
        <f t="shared" si="193"/>
        <v>0</v>
      </c>
      <c r="Q437" s="43">
        <f t="shared" si="193"/>
        <v>0</v>
      </c>
      <c r="R437" s="43">
        <f t="shared" si="193"/>
        <v>0</v>
      </c>
      <c r="S437" s="43">
        <f t="shared" si="193"/>
        <v>0</v>
      </c>
      <c r="T437" s="43">
        <f t="shared" si="193"/>
        <v>0</v>
      </c>
      <c r="V437" s="43">
        <f t="shared" si="173"/>
        <v>0</v>
      </c>
      <c r="W437" s="43">
        <f t="shared" si="174"/>
        <v>0</v>
      </c>
      <c r="X437" s="43">
        <f t="shared" si="175"/>
        <v>0</v>
      </c>
      <c r="Y437" s="43">
        <f t="shared" si="176"/>
        <v>0</v>
      </c>
      <c r="Z437" s="43">
        <f t="shared" si="177"/>
        <v>0</v>
      </c>
      <c r="AB437" s="43">
        <f t="shared" si="178"/>
        <v>0</v>
      </c>
      <c r="AC437" s="43">
        <f t="shared" si="179"/>
        <v>0</v>
      </c>
      <c r="AD437" s="43">
        <f t="shared" si="180"/>
        <v>0</v>
      </c>
      <c r="AE437" s="43">
        <f t="shared" si="181"/>
        <v>0</v>
      </c>
      <c r="AF437" s="43">
        <f t="shared" si="182"/>
        <v>0</v>
      </c>
      <c r="AH437" s="43">
        <f t="shared" si="183"/>
        <v>0</v>
      </c>
      <c r="AI437" s="43">
        <f t="shared" si="184"/>
        <v>0</v>
      </c>
      <c r="AJ437" s="43">
        <f t="shared" si="185"/>
        <v>0</v>
      </c>
      <c r="AK437" s="43">
        <f t="shared" si="186"/>
        <v>0</v>
      </c>
      <c r="AL437" s="43">
        <f t="shared" si="187"/>
        <v>0</v>
      </c>
      <c r="AN437" s="47">
        <f t="shared" si="188"/>
        <v>0</v>
      </c>
      <c r="AO437" s="47">
        <f t="shared" si="189"/>
        <v>0</v>
      </c>
      <c r="AP437" s="47">
        <f t="shared" si="190"/>
        <v>0</v>
      </c>
      <c r="AQ437" s="47">
        <f t="shared" si="191"/>
        <v>0</v>
      </c>
      <c r="AR437" s="43">
        <f t="shared" si="192"/>
        <v>0</v>
      </c>
      <c r="AS437" s="120"/>
      <c r="AT437" s="120"/>
      <c r="AU437" s="120"/>
      <c r="AV437" s="120"/>
      <c r="AW437" s="120"/>
      <c r="AX437" s="120"/>
    </row>
    <row r="438" spans="1:50" s="89" customFormat="1" ht="13">
      <c r="A438" s="3"/>
      <c r="B438" s="37">
        <f>'13. Desinvesteringen'!B721</f>
        <v>702</v>
      </c>
      <c r="C438" s="331"/>
      <c r="D438" s="331"/>
      <c r="E438" s="331"/>
      <c r="F438" s="42">
        <f>'5. Input GAW-waarde desinv.'!D397</f>
        <v>0</v>
      </c>
      <c r="G438" s="175">
        <f>'13. Desinvesteringen'!D721</f>
        <v>1988</v>
      </c>
      <c r="H438" s="175">
        <f>'13. Desinvesteringen'!G721</f>
        <v>2025</v>
      </c>
      <c r="I438" s="37" t="str">
        <f>'13. Desinvesteringen'!C721</f>
        <v>02 Gasontvangststations</v>
      </c>
      <c r="J438" s="164">
        <f>'13. Desinvesteringen'!F721</f>
        <v>0</v>
      </c>
      <c r="K438" s="38">
        <f>_xlfn.XLOOKUP(I438,'3. Input (des)investeringen '!$B$11:$B$89,'3. Input (des)investeringen '!$E$11:$E$89)</f>
        <v>0</v>
      </c>
      <c r="L438" s="331"/>
      <c r="M438" s="38">
        <f>_xlfn.XLOOKUP(I438,'3. Input (des)investeringen '!$B$11:$B$89,'3. Input (des)investeringen '!$D$11:$D$89,0)</f>
        <v>30</v>
      </c>
      <c r="N438" s="38">
        <f t="shared" si="172"/>
        <v>0</v>
      </c>
      <c r="P438" s="43">
        <f t="shared" si="193"/>
        <v>0</v>
      </c>
      <c r="Q438" s="43">
        <f t="shared" si="193"/>
        <v>0</v>
      </c>
      <c r="R438" s="43">
        <f t="shared" si="193"/>
        <v>0</v>
      </c>
      <c r="S438" s="43">
        <f t="shared" si="193"/>
        <v>0</v>
      </c>
      <c r="T438" s="43">
        <f t="shared" si="193"/>
        <v>0</v>
      </c>
      <c r="V438" s="43">
        <f t="shared" si="173"/>
        <v>0</v>
      </c>
      <c r="W438" s="43">
        <f t="shared" si="174"/>
        <v>0</v>
      </c>
      <c r="X438" s="43">
        <f t="shared" si="175"/>
        <v>0</v>
      </c>
      <c r="Y438" s="43">
        <f t="shared" si="176"/>
        <v>0</v>
      </c>
      <c r="Z438" s="43">
        <f t="shared" si="177"/>
        <v>0</v>
      </c>
      <c r="AB438" s="43">
        <f t="shared" si="178"/>
        <v>0</v>
      </c>
      <c r="AC438" s="43">
        <f t="shared" si="179"/>
        <v>0</v>
      </c>
      <c r="AD438" s="43">
        <f t="shared" si="180"/>
        <v>0</v>
      </c>
      <c r="AE438" s="43">
        <f t="shared" si="181"/>
        <v>0</v>
      </c>
      <c r="AF438" s="43">
        <f t="shared" si="182"/>
        <v>0</v>
      </c>
      <c r="AH438" s="43">
        <f t="shared" si="183"/>
        <v>0</v>
      </c>
      <c r="AI438" s="43">
        <f t="shared" si="184"/>
        <v>0</v>
      </c>
      <c r="AJ438" s="43">
        <f t="shared" si="185"/>
        <v>0</v>
      </c>
      <c r="AK438" s="43">
        <f t="shared" si="186"/>
        <v>0</v>
      </c>
      <c r="AL438" s="43">
        <f t="shared" si="187"/>
        <v>0</v>
      </c>
      <c r="AN438" s="47">
        <f t="shared" si="188"/>
        <v>0</v>
      </c>
      <c r="AO438" s="47">
        <f t="shared" si="189"/>
        <v>0</v>
      </c>
      <c r="AP438" s="47">
        <f t="shared" si="190"/>
        <v>0</v>
      </c>
      <c r="AQ438" s="47">
        <f t="shared" si="191"/>
        <v>0</v>
      </c>
      <c r="AR438" s="43">
        <f t="shared" si="192"/>
        <v>0</v>
      </c>
      <c r="AS438" s="120"/>
      <c r="AT438" s="120"/>
      <c r="AU438" s="120"/>
      <c r="AV438" s="120"/>
      <c r="AW438" s="120"/>
      <c r="AX438" s="120"/>
    </row>
    <row r="439" spans="1:50" s="89" customFormat="1" ht="13">
      <c r="A439" s="3"/>
      <c r="B439" s="37">
        <f>'13. Desinvesteringen'!B722</f>
        <v>703</v>
      </c>
      <c r="C439" s="331"/>
      <c r="D439" s="331"/>
      <c r="E439" s="331"/>
      <c r="F439" s="42">
        <f>'5. Input GAW-waarde desinv.'!D398</f>
        <v>0</v>
      </c>
      <c r="G439" s="175">
        <f>'13. Desinvesteringen'!D722</f>
        <v>1989</v>
      </c>
      <c r="H439" s="175">
        <f>'13. Desinvesteringen'!G722</f>
        <v>2025</v>
      </c>
      <c r="I439" s="37" t="str">
        <f>'13. Desinvesteringen'!C722</f>
        <v>02 Gasontvangststations</v>
      </c>
      <c r="J439" s="164">
        <f>'13. Desinvesteringen'!F722</f>
        <v>0</v>
      </c>
      <c r="K439" s="38">
        <f>_xlfn.XLOOKUP(I439,'3. Input (des)investeringen '!$B$11:$B$89,'3. Input (des)investeringen '!$E$11:$E$89)</f>
        <v>0</v>
      </c>
      <c r="L439" s="331"/>
      <c r="M439" s="38">
        <f>_xlfn.XLOOKUP(I439,'3. Input (des)investeringen '!$B$11:$B$89,'3. Input (des)investeringen '!$D$11:$D$89,0)</f>
        <v>30</v>
      </c>
      <c r="N439" s="38">
        <f t="shared" si="172"/>
        <v>0</v>
      </c>
      <c r="P439" s="43">
        <f t="shared" si="193"/>
        <v>0</v>
      </c>
      <c r="Q439" s="43">
        <f t="shared" si="193"/>
        <v>0</v>
      </c>
      <c r="R439" s="43">
        <f t="shared" si="193"/>
        <v>0</v>
      </c>
      <c r="S439" s="43">
        <f t="shared" si="193"/>
        <v>0</v>
      </c>
      <c r="T439" s="43">
        <f t="shared" si="193"/>
        <v>0</v>
      </c>
      <c r="V439" s="43">
        <f t="shared" si="173"/>
        <v>0</v>
      </c>
      <c r="W439" s="43">
        <f t="shared" si="174"/>
        <v>0</v>
      </c>
      <c r="X439" s="43">
        <f t="shared" si="175"/>
        <v>0</v>
      </c>
      <c r="Y439" s="43">
        <f t="shared" si="176"/>
        <v>0</v>
      </c>
      <c r="Z439" s="43">
        <f t="shared" si="177"/>
        <v>0</v>
      </c>
      <c r="AB439" s="43">
        <f t="shared" si="178"/>
        <v>0</v>
      </c>
      <c r="AC439" s="43">
        <f t="shared" si="179"/>
        <v>0</v>
      </c>
      <c r="AD439" s="43">
        <f t="shared" si="180"/>
        <v>0</v>
      </c>
      <c r="AE439" s="43">
        <f t="shared" si="181"/>
        <v>0</v>
      </c>
      <c r="AF439" s="43">
        <f t="shared" si="182"/>
        <v>0</v>
      </c>
      <c r="AH439" s="43">
        <f t="shared" si="183"/>
        <v>0</v>
      </c>
      <c r="AI439" s="43">
        <f t="shared" si="184"/>
        <v>0</v>
      </c>
      <c r="AJ439" s="43">
        <f t="shared" si="185"/>
        <v>0</v>
      </c>
      <c r="AK439" s="43">
        <f t="shared" si="186"/>
        <v>0</v>
      </c>
      <c r="AL439" s="43">
        <f t="shared" si="187"/>
        <v>0</v>
      </c>
      <c r="AN439" s="47">
        <f t="shared" si="188"/>
        <v>0</v>
      </c>
      <c r="AO439" s="47">
        <f t="shared" si="189"/>
        <v>0</v>
      </c>
      <c r="AP439" s="47">
        <f t="shared" si="190"/>
        <v>0</v>
      </c>
      <c r="AQ439" s="47">
        <f t="shared" si="191"/>
        <v>0</v>
      </c>
      <c r="AR439" s="43">
        <f t="shared" si="192"/>
        <v>0</v>
      </c>
      <c r="AS439" s="120"/>
      <c r="AT439" s="120"/>
      <c r="AU439" s="120"/>
      <c r="AV439" s="120"/>
      <c r="AW439" s="120"/>
      <c r="AX439" s="120"/>
    </row>
    <row r="440" spans="1:50" s="89" customFormat="1" ht="13">
      <c r="A440" s="3"/>
      <c r="B440" s="37">
        <f>'13. Desinvesteringen'!B723</f>
        <v>704</v>
      </c>
      <c r="C440" s="331"/>
      <c r="D440" s="331"/>
      <c r="E440" s="331"/>
      <c r="F440" s="42">
        <f>'5. Input GAW-waarde desinv.'!D399</f>
        <v>2417</v>
      </c>
      <c r="G440" s="175">
        <f>'13. Desinvesteringen'!D723</f>
        <v>1992</v>
      </c>
      <c r="H440" s="175">
        <f>'13. Desinvesteringen'!G723</f>
        <v>2025</v>
      </c>
      <c r="I440" s="37" t="str">
        <f>'13. Desinvesteringen'!C723</f>
        <v>02 Gasontvangststations</v>
      </c>
      <c r="J440" s="164">
        <f>'13. Desinvesteringen'!F723</f>
        <v>0</v>
      </c>
      <c r="K440" s="38">
        <f>_xlfn.XLOOKUP(I440,'3. Input (des)investeringen '!$B$11:$B$89,'3. Input (des)investeringen '!$E$11:$E$89)</f>
        <v>0</v>
      </c>
      <c r="L440" s="331"/>
      <c r="M440" s="38">
        <f>_xlfn.XLOOKUP(I440,'3. Input (des)investeringen '!$B$11:$B$89,'3. Input (des)investeringen '!$D$11:$D$89,0)</f>
        <v>30</v>
      </c>
      <c r="N440" s="38">
        <f t="shared" si="172"/>
        <v>0.5</v>
      </c>
      <c r="P440" s="43">
        <f t="shared" si="193"/>
        <v>2175.3000000000002</v>
      </c>
      <c r="Q440" s="43">
        <f t="shared" si="193"/>
        <v>0</v>
      </c>
      <c r="R440" s="43">
        <f t="shared" si="193"/>
        <v>0</v>
      </c>
      <c r="S440" s="43">
        <f t="shared" si="193"/>
        <v>0</v>
      </c>
      <c r="T440" s="43">
        <f t="shared" si="193"/>
        <v>0</v>
      </c>
      <c r="V440" s="43">
        <f t="shared" si="173"/>
        <v>241.70000000000002</v>
      </c>
      <c r="W440" s="43">
        <f t="shared" si="174"/>
        <v>0</v>
      </c>
      <c r="X440" s="43">
        <f t="shared" si="175"/>
        <v>0</v>
      </c>
      <c r="Y440" s="43">
        <f t="shared" si="176"/>
        <v>0</v>
      </c>
      <c r="Z440" s="43">
        <f t="shared" si="177"/>
        <v>0</v>
      </c>
      <c r="AB440" s="43">
        <f t="shared" si="178"/>
        <v>2417</v>
      </c>
      <c r="AC440" s="43">
        <f t="shared" si="179"/>
        <v>0</v>
      </c>
      <c r="AD440" s="43">
        <f t="shared" si="180"/>
        <v>0</v>
      </c>
      <c r="AE440" s="43">
        <f t="shared" si="181"/>
        <v>0</v>
      </c>
      <c r="AF440" s="43">
        <f t="shared" si="182"/>
        <v>0</v>
      </c>
      <c r="AH440" s="43">
        <f t="shared" si="183"/>
        <v>0</v>
      </c>
      <c r="AI440" s="43">
        <f t="shared" si="184"/>
        <v>0</v>
      </c>
      <c r="AJ440" s="43">
        <f t="shared" si="185"/>
        <v>0</v>
      </c>
      <c r="AK440" s="43">
        <f t="shared" si="186"/>
        <v>0</v>
      </c>
      <c r="AL440" s="43">
        <f t="shared" si="187"/>
        <v>0</v>
      </c>
      <c r="AN440" s="47">
        <f t="shared" si="188"/>
        <v>2417</v>
      </c>
      <c r="AO440" s="47">
        <f t="shared" si="189"/>
        <v>0</v>
      </c>
      <c r="AP440" s="47">
        <f t="shared" si="190"/>
        <v>0</v>
      </c>
      <c r="AQ440" s="47">
        <f t="shared" si="191"/>
        <v>0</v>
      </c>
      <c r="AR440" s="43">
        <f t="shared" si="192"/>
        <v>0</v>
      </c>
      <c r="AS440" s="120"/>
      <c r="AT440" s="120"/>
      <c r="AU440" s="120"/>
      <c r="AV440" s="120"/>
      <c r="AW440" s="120"/>
      <c r="AX440" s="120"/>
    </row>
    <row r="441" spans="1:50" s="89" customFormat="1" ht="13">
      <c r="A441" s="3"/>
      <c r="B441" s="37">
        <f>'13. Desinvesteringen'!B724</f>
        <v>705</v>
      </c>
      <c r="C441" s="331"/>
      <c r="D441" s="331"/>
      <c r="E441" s="331"/>
      <c r="F441" s="42">
        <f>'5. Input GAW-waarde desinv.'!D400</f>
        <v>13470</v>
      </c>
      <c r="G441" s="175">
        <f>'13. Desinvesteringen'!D724</f>
        <v>1993</v>
      </c>
      <c r="H441" s="175">
        <f>'13. Desinvesteringen'!G724</f>
        <v>2025</v>
      </c>
      <c r="I441" s="37" t="str">
        <f>'13. Desinvesteringen'!C724</f>
        <v>02 Gasontvangststations</v>
      </c>
      <c r="J441" s="164">
        <f>'13. Desinvesteringen'!F724</f>
        <v>0</v>
      </c>
      <c r="K441" s="38">
        <f>_xlfn.XLOOKUP(I441,'3. Input (des)investeringen '!$B$11:$B$89,'3. Input (des)investeringen '!$E$11:$E$89)</f>
        <v>0</v>
      </c>
      <c r="L441" s="331"/>
      <c r="M441" s="38">
        <f>_xlfn.XLOOKUP(I441,'3. Input (des)investeringen '!$B$11:$B$89,'3. Input (des)investeringen '!$D$11:$D$89,0)</f>
        <v>30</v>
      </c>
      <c r="N441" s="38">
        <f t="shared" si="172"/>
        <v>1.5</v>
      </c>
      <c r="P441" s="43">
        <f t="shared" si="193"/>
        <v>10506.6</v>
      </c>
      <c r="Q441" s="43">
        <f t="shared" si="193"/>
        <v>1616.4</v>
      </c>
      <c r="R441" s="43">
        <f t="shared" si="193"/>
        <v>0</v>
      </c>
      <c r="S441" s="43">
        <f t="shared" si="193"/>
        <v>0</v>
      </c>
      <c r="T441" s="43">
        <f t="shared" si="193"/>
        <v>0</v>
      </c>
      <c r="V441" s="43">
        <f t="shared" si="173"/>
        <v>898</v>
      </c>
      <c r="W441" s="43">
        <f t="shared" si="174"/>
        <v>449</v>
      </c>
      <c r="X441" s="43">
        <f t="shared" si="175"/>
        <v>0</v>
      </c>
      <c r="Y441" s="43">
        <f t="shared" si="176"/>
        <v>0</v>
      </c>
      <c r="Z441" s="43">
        <f t="shared" si="177"/>
        <v>0</v>
      </c>
      <c r="AB441" s="43">
        <f t="shared" si="178"/>
        <v>11404.6</v>
      </c>
      <c r="AC441" s="43">
        <f t="shared" si="179"/>
        <v>2065.4</v>
      </c>
      <c r="AD441" s="43">
        <f t="shared" si="180"/>
        <v>0</v>
      </c>
      <c r="AE441" s="43">
        <f t="shared" si="181"/>
        <v>0</v>
      </c>
      <c r="AF441" s="43">
        <f t="shared" si="182"/>
        <v>0</v>
      </c>
      <c r="AH441" s="43">
        <f t="shared" si="183"/>
        <v>2065.3999999999996</v>
      </c>
      <c r="AI441" s="43">
        <f t="shared" si="184"/>
        <v>0</v>
      </c>
      <c r="AJ441" s="43">
        <f t="shared" si="185"/>
        <v>0</v>
      </c>
      <c r="AK441" s="43">
        <f t="shared" si="186"/>
        <v>0</v>
      </c>
      <c r="AL441" s="43">
        <f t="shared" si="187"/>
        <v>0</v>
      </c>
      <c r="AN441" s="47">
        <f t="shared" si="188"/>
        <v>11489.2814</v>
      </c>
      <c r="AO441" s="47">
        <f t="shared" si="189"/>
        <v>2065.4</v>
      </c>
      <c r="AP441" s="47">
        <f t="shared" si="190"/>
        <v>0</v>
      </c>
      <c r="AQ441" s="47">
        <f t="shared" si="191"/>
        <v>0</v>
      </c>
      <c r="AR441" s="43">
        <f t="shared" si="192"/>
        <v>0</v>
      </c>
      <c r="AS441" s="120"/>
      <c r="AT441" s="120"/>
      <c r="AU441" s="120"/>
      <c r="AV441" s="120"/>
      <c r="AW441" s="120"/>
      <c r="AX441" s="120"/>
    </row>
    <row r="442" spans="1:50" s="89" customFormat="1" ht="13">
      <c r="A442" s="3"/>
      <c r="B442" s="37">
        <f>'13. Desinvesteringen'!B725</f>
        <v>706</v>
      </c>
      <c r="C442" s="331"/>
      <c r="D442" s="331"/>
      <c r="E442" s="331"/>
      <c r="F442" s="42">
        <f>'5. Input GAW-waarde desinv.'!D401</f>
        <v>9189</v>
      </c>
      <c r="G442" s="175">
        <f>'13. Desinvesteringen'!D725</f>
        <v>1994</v>
      </c>
      <c r="H442" s="175">
        <f>'13. Desinvesteringen'!G725</f>
        <v>2025</v>
      </c>
      <c r="I442" s="37" t="str">
        <f>'13. Desinvesteringen'!C725</f>
        <v>02 Gasontvangststations</v>
      </c>
      <c r="J442" s="164">
        <f>'13. Desinvesteringen'!F725</f>
        <v>0</v>
      </c>
      <c r="K442" s="38">
        <f>_xlfn.XLOOKUP(I442,'3. Input (des)investeringen '!$B$11:$B$89,'3. Input (des)investeringen '!$E$11:$E$89)</f>
        <v>0</v>
      </c>
      <c r="L442" s="331"/>
      <c r="M442" s="38">
        <f>_xlfn.XLOOKUP(I442,'3. Input (des)investeringen '!$B$11:$B$89,'3. Input (des)investeringen '!$D$11:$D$89,0)</f>
        <v>30</v>
      </c>
      <c r="N442" s="38">
        <f t="shared" si="172"/>
        <v>2.5</v>
      </c>
      <c r="P442" s="43">
        <f t="shared" si="193"/>
        <v>4300.4520000000002</v>
      </c>
      <c r="Q442" s="43">
        <f t="shared" si="193"/>
        <v>2646.4320000000002</v>
      </c>
      <c r="R442" s="43">
        <f t="shared" si="193"/>
        <v>1323.2160000000001</v>
      </c>
      <c r="S442" s="43">
        <f t="shared" si="193"/>
        <v>0</v>
      </c>
      <c r="T442" s="43">
        <f t="shared" si="193"/>
        <v>0</v>
      </c>
      <c r="V442" s="43">
        <f t="shared" si="173"/>
        <v>367.56000000000006</v>
      </c>
      <c r="W442" s="43">
        <f t="shared" si="174"/>
        <v>367.56</v>
      </c>
      <c r="X442" s="43">
        <f t="shared" si="175"/>
        <v>183.78</v>
      </c>
      <c r="Y442" s="43">
        <f t="shared" si="176"/>
        <v>0</v>
      </c>
      <c r="Z442" s="43">
        <f t="shared" si="177"/>
        <v>0</v>
      </c>
      <c r="AB442" s="43">
        <f t="shared" si="178"/>
        <v>4668.0120000000006</v>
      </c>
      <c r="AC442" s="43">
        <f t="shared" si="179"/>
        <v>3013.9920000000002</v>
      </c>
      <c r="AD442" s="43">
        <f t="shared" si="180"/>
        <v>1506.9960000000001</v>
      </c>
      <c r="AE442" s="43">
        <f t="shared" si="181"/>
        <v>0</v>
      </c>
      <c r="AF442" s="43">
        <f t="shared" si="182"/>
        <v>0</v>
      </c>
      <c r="AH442" s="43">
        <f t="shared" si="183"/>
        <v>4520.9879999999994</v>
      </c>
      <c r="AI442" s="43">
        <f t="shared" si="184"/>
        <v>1506.9959999999992</v>
      </c>
      <c r="AJ442" s="43">
        <f t="shared" si="185"/>
        <v>0</v>
      </c>
      <c r="AK442" s="43">
        <f t="shared" si="186"/>
        <v>0</v>
      </c>
      <c r="AL442" s="43">
        <f t="shared" si="187"/>
        <v>0</v>
      </c>
      <c r="AN442" s="47">
        <f t="shared" si="188"/>
        <v>4853.3725080000004</v>
      </c>
      <c r="AO442" s="47">
        <f t="shared" si="189"/>
        <v>3090.8487960000002</v>
      </c>
      <c r="AP442" s="47">
        <f t="shared" si="190"/>
        <v>1506.9960000000001</v>
      </c>
      <c r="AQ442" s="47">
        <f t="shared" si="191"/>
        <v>0</v>
      </c>
      <c r="AR442" s="43">
        <f t="shared" si="192"/>
        <v>0</v>
      </c>
      <c r="AS442" s="120"/>
      <c r="AT442" s="120"/>
      <c r="AU442" s="120"/>
      <c r="AV442" s="120"/>
      <c r="AW442" s="120"/>
      <c r="AX442" s="120"/>
    </row>
    <row r="443" spans="1:50" s="89" customFormat="1" ht="13">
      <c r="A443" s="3"/>
      <c r="B443" s="37">
        <f>'13. Desinvesteringen'!B726</f>
        <v>707</v>
      </c>
      <c r="C443" s="331"/>
      <c r="D443" s="331"/>
      <c r="E443" s="331"/>
      <c r="F443" s="42">
        <f>'5. Input GAW-waarde desinv.'!D402</f>
        <v>29766</v>
      </c>
      <c r="G443" s="175">
        <f>'13. Desinvesteringen'!D726</f>
        <v>1995</v>
      </c>
      <c r="H443" s="175">
        <f>'13. Desinvesteringen'!G726</f>
        <v>2025</v>
      </c>
      <c r="I443" s="37" t="str">
        <f>'13. Desinvesteringen'!C726</f>
        <v>02 Gasontvangststations</v>
      </c>
      <c r="J443" s="164">
        <f>'13. Desinvesteringen'!F726</f>
        <v>0</v>
      </c>
      <c r="K443" s="38">
        <f>_xlfn.XLOOKUP(I443,'3. Input (des)investeringen '!$B$11:$B$89,'3. Input (des)investeringen '!$E$11:$E$89)</f>
        <v>0</v>
      </c>
      <c r="L443" s="331"/>
      <c r="M443" s="38">
        <f>_xlfn.XLOOKUP(I443,'3. Input (des)investeringen '!$B$11:$B$89,'3. Input (des)investeringen '!$D$11:$D$89,0)</f>
        <v>30</v>
      </c>
      <c r="N443" s="38">
        <f t="shared" si="172"/>
        <v>3.5</v>
      </c>
      <c r="P443" s="43">
        <f t="shared" si="193"/>
        <v>9950.3485714285725</v>
      </c>
      <c r="Q443" s="43">
        <f t="shared" si="193"/>
        <v>6735.6205714285716</v>
      </c>
      <c r="R443" s="43">
        <f t="shared" si="193"/>
        <v>6735.6205714285716</v>
      </c>
      <c r="S443" s="43">
        <f t="shared" si="193"/>
        <v>3367.8102857142858</v>
      </c>
      <c r="T443" s="43">
        <f t="shared" si="193"/>
        <v>0</v>
      </c>
      <c r="V443" s="43">
        <f t="shared" si="173"/>
        <v>850.45714285714303</v>
      </c>
      <c r="W443" s="43">
        <f t="shared" si="174"/>
        <v>850.45714285714303</v>
      </c>
      <c r="X443" s="43">
        <f t="shared" si="175"/>
        <v>850.45714285714303</v>
      </c>
      <c r="Y443" s="43">
        <f t="shared" si="176"/>
        <v>425.22857142857151</v>
      </c>
      <c r="Z443" s="43">
        <f t="shared" si="177"/>
        <v>0</v>
      </c>
      <c r="AB443" s="43">
        <f t="shared" si="178"/>
        <v>10800.805714285716</v>
      </c>
      <c r="AC443" s="43">
        <f t="shared" si="179"/>
        <v>7586.077714285715</v>
      </c>
      <c r="AD443" s="43">
        <f t="shared" si="180"/>
        <v>7586.077714285715</v>
      </c>
      <c r="AE443" s="43">
        <f t="shared" si="181"/>
        <v>3793.0388571428575</v>
      </c>
      <c r="AF443" s="43">
        <f t="shared" si="182"/>
        <v>0</v>
      </c>
      <c r="AH443" s="43">
        <f t="shared" si="183"/>
        <v>18965.194285714286</v>
      </c>
      <c r="AI443" s="43">
        <f t="shared" si="184"/>
        <v>11379.116571428571</v>
      </c>
      <c r="AJ443" s="43">
        <f t="shared" si="185"/>
        <v>3793.0388571428557</v>
      </c>
      <c r="AK443" s="43">
        <f t="shared" si="186"/>
        <v>0</v>
      </c>
      <c r="AL443" s="43">
        <f t="shared" si="187"/>
        <v>0</v>
      </c>
      <c r="AN443" s="47">
        <f t="shared" si="188"/>
        <v>11578.378680000002</v>
      </c>
      <c r="AO443" s="47">
        <f t="shared" si="189"/>
        <v>8166.4126594285717</v>
      </c>
      <c r="AP443" s="47">
        <f t="shared" si="190"/>
        <v>7779.5226960000009</v>
      </c>
      <c r="AQ443" s="47">
        <f t="shared" si="191"/>
        <v>3793.0388571428575</v>
      </c>
      <c r="AR443" s="43">
        <f t="shared" si="192"/>
        <v>0</v>
      </c>
      <c r="AS443" s="120"/>
      <c r="AT443" s="120"/>
      <c r="AU443" s="120"/>
      <c r="AV443" s="120"/>
      <c r="AW443" s="120"/>
      <c r="AX443" s="120"/>
    </row>
    <row r="444" spans="1:50" s="89" customFormat="1" ht="13">
      <c r="A444" s="3"/>
      <c r="B444" s="37">
        <f>'13. Desinvesteringen'!B727</f>
        <v>708</v>
      </c>
      <c r="C444" s="331"/>
      <c r="D444" s="331"/>
      <c r="E444" s="331"/>
      <c r="F444" s="42">
        <f>'5. Input GAW-waarde desinv.'!D403</f>
        <v>6878</v>
      </c>
      <c r="G444" s="175">
        <f>'13. Desinvesteringen'!D727</f>
        <v>1997</v>
      </c>
      <c r="H444" s="175">
        <f>'13. Desinvesteringen'!G727</f>
        <v>2025</v>
      </c>
      <c r="I444" s="37" t="str">
        <f>'13. Desinvesteringen'!C727</f>
        <v>02 Gasontvangststations</v>
      </c>
      <c r="J444" s="164">
        <f>'13. Desinvesteringen'!F727</f>
        <v>0</v>
      </c>
      <c r="K444" s="38">
        <f>_xlfn.XLOOKUP(I444,'3. Input (des)investeringen '!$B$11:$B$89,'3. Input (des)investeringen '!$E$11:$E$89)</f>
        <v>0</v>
      </c>
      <c r="L444" s="331"/>
      <c r="M444" s="38">
        <f>_xlfn.XLOOKUP(I444,'3. Input (des)investeringen '!$B$11:$B$89,'3. Input (des)investeringen '!$D$11:$D$89,0)</f>
        <v>30</v>
      </c>
      <c r="N444" s="38">
        <f t="shared" si="172"/>
        <v>5.5</v>
      </c>
      <c r="P444" s="43">
        <f t="shared" si="193"/>
        <v>1463.1381818181819</v>
      </c>
      <c r="Q444" s="43">
        <f t="shared" si="193"/>
        <v>1117.3055206611568</v>
      </c>
      <c r="R444" s="43">
        <f t="shared" si="193"/>
        <v>1031.3589421487602</v>
      </c>
      <c r="S444" s="43">
        <f t="shared" si="193"/>
        <v>1031.3589421487602</v>
      </c>
      <c r="T444" s="43">
        <f t="shared" si="193"/>
        <v>1031.3589421487602</v>
      </c>
      <c r="V444" s="43">
        <f t="shared" si="173"/>
        <v>125.05454545454546</v>
      </c>
      <c r="W444" s="43">
        <f t="shared" si="174"/>
        <v>125.05454545454548</v>
      </c>
      <c r="X444" s="43">
        <f t="shared" si="175"/>
        <v>125.05454545454548</v>
      </c>
      <c r="Y444" s="43">
        <f t="shared" si="176"/>
        <v>125.05454545454548</v>
      </c>
      <c r="Z444" s="43">
        <f t="shared" si="177"/>
        <v>125.05454545454548</v>
      </c>
      <c r="AB444" s="43">
        <f t="shared" si="178"/>
        <v>1588.1927272727273</v>
      </c>
      <c r="AC444" s="43">
        <f t="shared" si="179"/>
        <v>1242.3600661157022</v>
      </c>
      <c r="AD444" s="43">
        <f t="shared" si="180"/>
        <v>1156.4134876033056</v>
      </c>
      <c r="AE444" s="43">
        <f t="shared" si="181"/>
        <v>1156.4134876033056</v>
      </c>
      <c r="AF444" s="43">
        <f t="shared" si="182"/>
        <v>1156.4134876033056</v>
      </c>
      <c r="AH444" s="43">
        <f t="shared" si="183"/>
        <v>5289.8072727272729</v>
      </c>
      <c r="AI444" s="43">
        <f t="shared" si="184"/>
        <v>4047.4472066115704</v>
      </c>
      <c r="AJ444" s="43">
        <f t="shared" si="185"/>
        <v>2891.0337190082646</v>
      </c>
      <c r="AK444" s="43">
        <f t="shared" si="186"/>
        <v>1734.620231404959</v>
      </c>
      <c r="AL444" s="43">
        <f t="shared" si="187"/>
        <v>578.20674380165337</v>
      </c>
      <c r="AN444" s="47">
        <f t="shared" si="188"/>
        <v>1805.0748254545456</v>
      </c>
      <c r="AO444" s="47">
        <f t="shared" si="189"/>
        <v>1448.7798736528923</v>
      </c>
      <c r="AP444" s="47">
        <f t="shared" si="190"/>
        <v>1303.856207272727</v>
      </c>
      <c r="AQ444" s="47">
        <f t="shared" si="191"/>
        <v>1251.8176003305784</v>
      </c>
      <c r="AR444" s="43">
        <f t="shared" si="192"/>
        <v>1178.3853438677684</v>
      </c>
      <c r="AS444" s="120"/>
      <c r="AT444" s="120"/>
      <c r="AU444" s="120"/>
      <c r="AV444" s="120"/>
      <c r="AW444" s="120"/>
      <c r="AX444" s="120"/>
    </row>
    <row r="445" spans="1:50" s="89" customFormat="1" ht="13">
      <c r="A445" s="3"/>
      <c r="B445" s="37">
        <f>'13. Desinvesteringen'!B728</f>
        <v>709</v>
      </c>
      <c r="C445" s="331"/>
      <c r="D445" s="331"/>
      <c r="E445" s="331"/>
      <c r="F445" s="42">
        <f>'5. Input GAW-waarde desinv.'!D404</f>
        <v>23564</v>
      </c>
      <c r="G445" s="175">
        <f>'13. Desinvesteringen'!D728</f>
        <v>1998</v>
      </c>
      <c r="H445" s="175">
        <f>'13. Desinvesteringen'!G728</f>
        <v>2025</v>
      </c>
      <c r="I445" s="37" t="str">
        <f>'13. Desinvesteringen'!C728</f>
        <v>02 Gasontvangststations</v>
      </c>
      <c r="J445" s="164">
        <f>'13. Desinvesteringen'!F728</f>
        <v>0</v>
      </c>
      <c r="K445" s="38">
        <f>_xlfn.XLOOKUP(I445,'3. Input (des)investeringen '!$B$11:$B$89,'3. Input (des)investeringen '!$E$11:$E$89)</f>
        <v>0</v>
      </c>
      <c r="L445" s="331"/>
      <c r="M445" s="38">
        <f>_xlfn.XLOOKUP(I445,'3. Input (des)investeringen '!$B$11:$B$89,'3. Input (des)investeringen '!$D$11:$D$89,0)</f>
        <v>30</v>
      </c>
      <c r="N445" s="38">
        <f t="shared" si="172"/>
        <v>6.5</v>
      </c>
      <c r="P445" s="43">
        <f t="shared" si="193"/>
        <v>4241.5200000000004</v>
      </c>
      <c r="Q445" s="43">
        <f t="shared" si="193"/>
        <v>3393.2160000000003</v>
      </c>
      <c r="R445" s="43">
        <f t="shared" si="193"/>
        <v>3016.192</v>
      </c>
      <c r="S445" s="43">
        <f t="shared" si="193"/>
        <v>3016.192</v>
      </c>
      <c r="T445" s="43">
        <f t="shared" si="193"/>
        <v>3016.192</v>
      </c>
      <c r="V445" s="43">
        <f t="shared" si="173"/>
        <v>362.52307692307699</v>
      </c>
      <c r="W445" s="43">
        <f t="shared" si="174"/>
        <v>362.52307692307693</v>
      </c>
      <c r="X445" s="43">
        <f t="shared" si="175"/>
        <v>362.52307692307693</v>
      </c>
      <c r="Y445" s="43">
        <f t="shared" si="176"/>
        <v>362.52307692307693</v>
      </c>
      <c r="Z445" s="43">
        <f t="shared" si="177"/>
        <v>362.52307692307693</v>
      </c>
      <c r="AB445" s="43">
        <f t="shared" si="178"/>
        <v>4604.043076923077</v>
      </c>
      <c r="AC445" s="43">
        <f t="shared" si="179"/>
        <v>3755.7390769230774</v>
      </c>
      <c r="AD445" s="43">
        <f t="shared" si="180"/>
        <v>3378.715076923077</v>
      </c>
      <c r="AE445" s="43">
        <f t="shared" si="181"/>
        <v>3378.715076923077</v>
      </c>
      <c r="AF445" s="43">
        <f t="shared" si="182"/>
        <v>3378.715076923077</v>
      </c>
      <c r="AH445" s="43">
        <f t="shared" si="183"/>
        <v>18959.956923076923</v>
      </c>
      <c r="AI445" s="43">
        <f t="shared" si="184"/>
        <v>15204.217846153846</v>
      </c>
      <c r="AJ445" s="43">
        <f t="shared" si="185"/>
        <v>11825.502769230769</v>
      </c>
      <c r="AK445" s="43">
        <f t="shared" si="186"/>
        <v>8446.787692307691</v>
      </c>
      <c r="AL445" s="43">
        <f t="shared" si="187"/>
        <v>5068.0726153846135</v>
      </c>
      <c r="AN445" s="47">
        <f t="shared" si="188"/>
        <v>5381.4013107692308</v>
      </c>
      <c r="AO445" s="47">
        <f t="shared" si="189"/>
        <v>4531.1541870769233</v>
      </c>
      <c r="AP445" s="47">
        <f t="shared" si="190"/>
        <v>3981.8157181538463</v>
      </c>
      <c r="AQ445" s="47">
        <f t="shared" si="191"/>
        <v>3843.2883999999999</v>
      </c>
      <c r="AR445" s="43">
        <f t="shared" si="192"/>
        <v>3571.3018363076922</v>
      </c>
      <c r="AS445" s="120"/>
      <c r="AT445" s="120"/>
      <c r="AU445" s="120"/>
      <c r="AV445" s="120"/>
      <c r="AW445" s="120"/>
      <c r="AX445" s="120"/>
    </row>
    <row r="446" spans="1:50" s="89" customFormat="1" ht="13">
      <c r="A446" s="3"/>
      <c r="B446" s="37">
        <f>'13. Desinvesteringen'!B729</f>
        <v>710</v>
      </c>
      <c r="C446" s="331"/>
      <c r="D446" s="331"/>
      <c r="E446" s="331"/>
      <c r="F446" s="42">
        <f>'5. Input GAW-waarde desinv.'!D405</f>
        <v>10484</v>
      </c>
      <c r="G446" s="175">
        <f>'13. Desinvesteringen'!D729</f>
        <v>2000</v>
      </c>
      <c r="H446" s="175">
        <f>'13. Desinvesteringen'!G729</f>
        <v>2025</v>
      </c>
      <c r="I446" s="37" t="str">
        <f>'13. Desinvesteringen'!C729</f>
        <v>02 Gasontvangststations</v>
      </c>
      <c r="J446" s="164">
        <f>'13. Desinvesteringen'!F729</f>
        <v>0</v>
      </c>
      <c r="K446" s="38">
        <f>_xlfn.XLOOKUP(I446,'3. Input (des)investeringen '!$B$11:$B$89,'3. Input (des)investeringen '!$E$11:$E$89)</f>
        <v>0</v>
      </c>
      <c r="L446" s="331"/>
      <c r="M446" s="38">
        <f>_xlfn.XLOOKUP(I446,'3. Input (des)investeringen '!$B$11:$B$89,'3. Input (des)investeringen '!$D$11:$D$89,0)</f>
        <v>30</v>
      </c>
      <c r="N446" s="38">
        <f t="shared" si="172"/>
        <v>8.5</v>
      </c>
      <c r="P446" s="43">
        <f t="shared" si="193"/>
        <v>1443.0917647058825</v>
      </c>
      <c r="Q446" s="43">
        <f t="shared" si="193"/>
        <v>1222.3836124567474</v>
      </c>
      <c r="R446" s="43">
        <f t="shared" si="193"/>
        <v>1041.5576342826723</v>
      </c>
      <c r="S446" s="43">
        <f t="shared" si="193"/>
        <v>1041.5576342826723</v>
      </c>
      <c r="T446" s="43">
        <f t="shared" si="193"/>
        <v>1041.5576342826723</v>
      </c>
      <c r="V446" s="43">
        <f t="shared" si="173"/>
        <v>123.34117647058825</v>
      </c>
      <c r="W446" s="43">
        <f t="shared" si="174"/>
        <v>123.34117647058822</v>
      </c>
      <c r="X446" s="43">
        <f t="shared" si="175"/>
        <v>123.34117647058822</v>
      </c>
      <c r="Y446" s="43">
        <f t="shared" si="176"/>
        <v>123.34117647058822</v>
      </c>
      <c r="Z446" s="43">
        <f t="shared" si="177"/>
        <v>123.34117647058822</v>
      </c>
      <c r="AB446" s="43">
        <f t="shared" si="178"/>
        <v>1566.4329411764706</v>
      </c>
      <c r="AC446" s="43">
        <f t="shared" si="179"/>
        <v>1345.7247889273356</v>
      </c>
      <c r="AD446" s="43">
        <f t="shared" si="180"/>
        <v>1164.8988107532605</v>
      </c>
      <c r="AE446" s="43">
        <f t="shared" si="181"/>
        <v>1164.8988107532605</v>
      </c>
      <c r="AF446" s="43">
        <f t="shared" si="182"/>
        <v>1164.8988107532605</v>
      </c>
      <c r="AH446" s="43">
        <f t="shared" si="183"/>
        <v>8917.5670588235298</v>
      </c>
      <c r="AI446" s="43">
        <f t="shared" si="184"/>
        <v>7571.842269896194</v>
      </c>
      <c r="AJ446" s="43">
        <f t="shared" si="185"/>
        <v>6406.9434591429335</v>
      </c>
      <c r="AK446" s="43">
        <f t="shared" si="186"/>
        <v>5242.0446483896731</v>
      </c>
      <c r="AL446" s="43">
        <f t="shared" si="187"/>
        <v>4077.1458376364126</v>
      </c>
      <c r="AN446" s="47">
        <f t="shared" si="188"/>
        <v>1932.0531905882353</v>
      </c>
      <c r="AO446" s="47">
        <f t="shared" si="189"/>
        <v>1731.8887446920414</v>
      </c>
      <c r="AP446" s="47">
        <f t="shared" si="190"/>
        <v>1491.6529271695501</v>
      </c>
      <c r="AQ446" s="47">
        <f t="shared" si="191"/>
        <v>1453.2112664146925</v>
      </c>
      <c r="AR446" s="43">
        <f t="shared" si="192"/>
        <v>1319.8303525834442</v>
      </c>
      <c r="AS446" s="120"/>
      <c r="AT446" s="120"/>
      <c r="AU446" s="120"/>
      <c r="AV446" s="120"/>
      <c r="AW446" s="120"/>
      <c r="AX446" s="120"/>
    </row>
    <row r="447" spans="1:50" s="89" customFormat="1" ht="13">
      <c r="A447" s="3"/>
      <c r="B447" s="37">
        <f>'13. Desinvesteringen'!B730</f>
        <v>711</v>
      </c>
      <c r="C447" s="331"/>
      <c r="D447" s="331"/>
      <c r="E447" s="331"/>
      <c r="F447" s="42">
        <f>'5. Input GAW-waarde desinv.'!D406</f>
        <v>12672</v>
      </c>
      <c r="G447" s="175">
        <f>'13. Desinvesteringen'!D730</f>
        <v>2002</v>
      </c>
      <c r="H447" s="175">
        <f>'13. Desinvesteringen'!G730</f>
        <v>2025</v>
      </c>
      <c r="I447" s="37" t="str">
        <f>'13. Desinvesteringen'!C730</f>
        <v>02 Gasontvangststations</v>
      </c>
      <c r="J447" s="164">
        <f>'13. Desinvesteringen'!F730</f>
        <v>0</v>
      </c>
      <c r="K447" s="38">
        <f>_xlfn.XLOOKUP(I447,'3. Input (des)investeringen '!$B$11:$B$89,'3. Input (des)investeringen '!$E$11:$E$89)</f>
        <v>0</v>
      </c>
      <c r="L447" s="331"/>
      <c r="M447" s="38">
        <f>_xlfn.XLOOKUP(I447,'3. Input (des)investeringen '!$B$11:$B$89,'3. Input (des)investeringen '!$D$11:$D$89,0)</f>
        <v>30</v>
      </c>
      <c r="N447" s="38">
        <f t="shared" si="172"/>
        <v>10.5</v>
      </c>
      <c r="P447" s="43">
        <f t="shared" ref="P447:T490" si="194">IF($M447&gt;0, IF(OR($G447&gt;P$50,$G447+$M447&lt;P$50),0,
VDB($F447,0,$N447,MAX(0,P$50-2022),MIN($N447,P$50-2021),$F$23,FALSE))*(1-$F$26), 0)</f>
        <v>1412.0228571428572</v>
      </c>
      <c r="Q447" s="43">
        <f t="shared" si="194"/>
        <v>1237.2009795918368</v>
      </c>
      <c r="R447" s="43">
        <f t="shared" si="194"/>
        <v>1084.0237154518952</v>
      </c>
      <c r="S447" s="43">
        <f t="shared" si="194"/>
        <v>1022.873659708455</v>
      </c>
      <c r="T447" s="43">
        <f t="shared" si="194"/>
        <v>1022.873659708455</v>
      </c>
      <c r="V447" s="43">
        <f t="shared" si="173"/>
        <v>120.6857142857143</v>
      </c>
      <c r="W447" s="43">
        <f t="shared" si="174"/>
        <v>120.6857142857143</v>
      </c>
      <c r="X447" s="43">
        <f t="shared" si="175"/>
        <v>120.6857142857143</v>
      </c>
      <c r="Y447" s="43">
        <f t="shared" si="176"/>
        <v>120.6857142857143</v>
      </c>
      <c r="Z447" s="43">
        <f t="shared" si="177"/>
        <v>120.6857142857143</v>
      </c>
      <c r="AB447" s="43">
        <f t="shared" si="178"/>
        <v>1532.7085714285715</v>
      </c>
      <c r="AC447" s="43">
        <f t="shared" si="179"/>
        <v>1357.8866938775511</v>
      </c>
      <c r="AD447" s="43">
        <f t="shared" si="180"/>
        <v>1204.7094297376095</v>
      </c>
      <c r="AE447" s="43">
        <f t="shared" si="181"/>
        <v>1143.5593739941692</v>
      </c>
      <c r="AF447" s="43">
        <f t="shared" si="182"/>
        <v>1143.5593739941692</v>
      </c>
      <c r="AH447" s="43">
        <f t="shared" si="183"/>
        <v>11139.291428571429</v>
      </c>
      <c r="AI447" s="43">
        <f t="shared" si="184"/>
        <v>9781.4047346938769</v>
      </c>
      <c r="AJ447" s="43">
        <f t="shared" si="185"/>
        <v>8576.6953049562671</v>
      </c>
      <c r="AK447" s="43">
        <f t="shared" si="186"/>
        <v>7433.1359309620984</v>
      </c>
      <c r="AL447" s="43">
        <f t="shared" si="187"/>
        <v>6289.5765569679297</v>
      </c>
      <c r="AN447" s="47">
        <f t="shared" si="188"/>
        <v>1989.4195200000001</v>
      </c>
      <c r="AO447" s="47">
        <f t="shared" si="189"/>
        <v>1856.7383353469388</v>
      </c>
      <c r="AP447" s="47">
        <f t="shared" si="190"/>
        <v>1642.1208902903791</v>
      </c>
      <c r="AQ447" s="47">
        <f t="shared" si="191"/>
        <v>1552.3818501970845</v>
      </c>
      <c r="AR447" s="43">
        <f t="shared" si="192"/>
        <v>1382.5632831589505</v>
      </c>
      <c r="AS447" s="120"/>
      <c r="AT447" s="120"/>
      <c r="AU447" s="120"/>
      <c r="AV447" s="120"/>
      <c r="AW447" s="120"/>
      <c r="AX447" s="120"/>
    </row>
    <row r="448" spans="1:50" s="89" customFormat="1" ht="13">
      <c r="A448" s="3"/>
      <c r="B448" s="37">
        <f>'13. Desinvesteringen'!B731</f>
        <v>712</v>
      </c>
      <c r="C448" s="331"/>
      <c r="D448" s="331"/>
      <c r="E448" s="331"/>
      <c r="F448" s="42">
        <f>'5. Input GAW-waarde desinv.'!D407</f>
        <v>17647</v>
      </c>
      <c r="G448" s="175">
        <f>'13. Desinvesteringen'!D731</f>
        <v>2003</v>
      </c>
      <c r="H448" s="175">
        <f>'13. Desinvesteringen'!G731</f>
        <v>2025</v>
      </c>
      <c r="I448" s="37" t="str">
        <f>'13. Desinvesteringen'!C731</f>
        <v>02 Gasontvangststations</v>
      </c>
      <c r="J448" s="164">
        <f>'13. Desinvesteringen'!F731</f>
        <v>0</v>
      </c>
      <c r="K448" s="38">
        <f>_xlfn.XLOOKUP(I448,'3. Input (des)investeringen '!$B$11:$B$89,'3. Input (des)investeringen '!$E$11:$E$89)</f>
        <v>0</v>
      </c>
      <c r="L448" s="331"/>
      <c r="M448" s="38">
        <f>_xlfn.XLOOKUP(I448,'3. Input (des)investeringen '!$B$11:$B$89,'3. Input (des)investeringen '!$D$11:$D$89,0)</f>
        <v>30</v>
      </c>
      <c r="N448" s="38">
        <f t="shared" ref="N448:N505" si="195">IF($M448&gt;0, MAX(0,IF(G448&lt;2022,M448-2021+G448-0.5,M448)), 0)</f>
        <v>11.5</v>
      </c>
      <c r="P448" s="43">
        <f t="shared" si="194"/>
        <v>1795.3904347826087</v>
      </c>
      <c r="Q448" s="43">
        <f t="shared" si="194"/>
        <v>1592.4332551984878</v>
      </c>
      <c r="R448" s="43">
        <f t="shared" si="194"/>
        <v>1412.4190611325719</v>
      </c>
      <c r="S448" s="43">
        <f t="shared" si="194"/>
        <v>1303.771441045451</v>
      </c>
      <c r="T448" s="43">
        <f t="shared" si="194"/>
        <v>1303.771441045451</v>
      </c>
      <c r="V448" s="43">
        <f t="shared" ref="V448:V504" si="196">IF($M448&gt;0, IF(OR($G448&gt;V$50,$G448+$M448&lt;V$50),0,
VDB($F448,0,$N448,MAX(0,P$50-2022),MIN($N448,P$50-2021),1,FALSE))*$F$26, 0)</f>
        <v>153.45217391304348</v>
      </c>
      <c r="W448" s="43">
        <f t="shared" ref="W448:W504" si="197">IF($M448&gt;0, IF(OR($G448&gt;W$50,$G448+$M448&lt;W$50),0,
VDB($F448,0,$N448,MAX(0,Q$50-2022),MIN($N448,Q$50-2021),1,FALSE))*$F$26, 0)</f>
        <v>153.45217391304348</v>
      </c>
      <c r="X448" s="43">
        <f t="shared" ref="X448:X504" si="198">IF($M448&gt;0, IF(OR($G448&gt;X$50,$G448+$M448&lt;X$50),0,
VDB($F448,0,$N448,MAX(0,R$50-2022),MIN($N448,R$50-2021),1,FALSE))*$F$26, 0)</f>
        <v>153.45217391304348</v>
      </c>
      <c r="Y448" s="43">
        <f t="shared" ref="Y448:Y504" si="199">IF($M448&gt;0, IF(OR($G448&gt;Y$50,$G448+$M448&lt;Y$50),0,
VDB($F448,0,$N448,MAX(0,S$50-2022),MIN($N448,S$50-2021),1,FALSE))*$F$26, 0)</f>
        <v>153.45217391304348</v>
      </c>
      <c r="Z448" s="43">
        <f t="shared" ref="Z448:Z504" si="200">IF($M448&gt;0, IF(OR($G448&gt;Z$50,$G448+$M448&lt;Z$50),0,
VDB($F448,0,$N448,MAX(0,T$50-2022),MIN($N448,T$50-2021),1,FALSE))*$F$26, 0)</f>
        <v>153.45217391304348</v>
      </c>
      <c r="AB448" s="43">
        <f t="shared" ref="AB448:AB504" si="201">P448+V448</f>
        <v>1948.8426086956522</v>
      </c>
      <c r="AC448" s="43">
        <f t="shared" ref="AC448:AC504" si="202">Q448+W448</f>
        <v>1745.8854291115313</v>
      </c>
      <c r="AD448" s="43">
        <f t="shared" ref="AD448:AD504" si="203">R448+X448</f>
        <v>1565.8712350456153</v>
      </c>
      <c r="AE448" s="43">
        <f t="shared" ref="AE448:AE504" si="204">S448+Y448</f>
        <v>1457.2236149584944</v>
      </c>
      <c r="AF448" s="43">
        <f t="shared" ref="AF448:AF504" si="205">T448+Z448</f>
        <v>1457.2236149584944</v>
      </c>
      <c r="AH448" s="43">
        <f t="shared" ref="AH448:AH504" si="206">IF($M448&gt;0, IF($M448&gt;0,IF(OR($G448&gt;AH$50,$G448+$M448&lt;=AH$50),0,IF(AH$50=2022,$F448-AB448,AG448-AB448))), $F448)</f>
        <v>15698.157391304348</v>
      </c>
      <c r="AI448" s="43">
        <f t="shared" ref="AI448:AI504" si="207">IF($M448&gt;0, IF(OR($G448&gt;AI$50,$G448+$M448&lt;=AI$50),0,IF(AI$50=2022,$F448-AC448,AH448-AC448)), AH448)</f>
        <v>13952.271962192817</v>
      </c>
      <c r="AJ448" s="43">
        <f t="shared" ref="AJ448:AJ504" si="208">IF($M448&gt;0, IF(OR($G448&gt;AJ$50,$G448+$M448&lt;=AJ$50),0,IF(AJ$50=2022,$F448-AD448,AI448-AD448)), AI448)</f>
        <v>12386.400727147202</v>
      </c>
      <c r="AK448" s="43">
        <f t="shared" ref="AK448:AK504" si="209">IF($M448&gt;0, IF(OR($G448&gt;AK$50,$G448+$M448&lt;=AK$50),0,IF(AK$50=2022,$F448-AE448,AJ448-AE448)), AJ448)</f>
        <v>10929.177112188707</v>
      </c>
      <c r="AL448" s="43">
        <f t="shared" ref="AL448:AL504" si="210">IF($M448&gt;0, IF(OR($G448&gt;AL$50,$G448+$M448&lt;=AL$50),0,IF(AL$50=2022,$F448-AF448,AK448-AF448)), AK448)</f>
        <v>9471.9534972302117</v>
      </c>
      <c r="AN448" s="47">
        <f t="shared" ref="AN448:AN505" si="211">(AB448+AH448*H$17)*IF($K448=1,$F$32,1)</f>
        <v>2592.4670617391303</v>
      </c>
      <c r="AO448" s="47">
        <f t="shared" ref="AO448:AO505" si="212">(AC448+AI448*I$17)*IF($K448=1,$F$32,1)</f>
        <v>2457.4512991833649</v>
      </c>
      <c r="AP448" s="47">
        <f t="shared" ref="AP448:AP505" si="213">(AD448+AJ448*J$17)*IF($K448=1,$F$32,1)</f>
        <v>2197.5776721301227</v>
      </c>
      <c r="AQ448" s="47">
        <f t="shared" ref="AQ448:AQ505" si="214">(AE448+AK448*K$17)*IF($K448=1,$F$32,1)</f>
        <v>2058.3283561288736</v>
      </c>
      <c r="AR448" s="43">
        <f t="shared" ref="AR448:AR505" si="215">(AF448+AL448*L$17)*IF($K448=1,$F$32,1)</f>
        <v>1817.1578478532424</v>
      </c>
      <c r="AS448" s="120"/>
      <c r="AT448" s="120"/>
      <c r="AU448" s="120"/>
      <c r="AV448" s="120"/>
      <c r="AW448" s="120"/>
      <c r="AX448" s="120"/>
    </row>
    <row r="449" spans="1:50" s="89" customFormat="1" ht="13">
      <c r="A449" s="3"/>
      <c r="B449" s="37">
        <f>'13. Desinvesteringen'!B732</f>
        <v>713</v>
      </c>
      <c r="C449" s="331"/>
      <c r="D449" s="331"/>
      <c r="E449" s="331"/>
      <c r="F449" s="42">
        <f>'5. Input GAW-waarde desinv.'!D408</f>
        <v>54274</v>
      </c>
      <c r="G449" s="175">
        <f>'13. Desinvesteringen'!D732</f>
        <v>2005</v>
      </c>
      <c r="H449" s="175">
        <f>'13. Desinvesteringen'!G732</f>
        <v>2025</v>
      </c>
      <c r="I449" s="37" t="str">
        <f>'13. Desinvesteringen'!C732</f>
        <v>02 Gasontvangststations</v>
      </c>
      <c r="J449" s="164">
        <f>'13. Desinvesteringen'!F732</f>
        <v>0</v>
      </c>
      <c r="K449" s="38">
        <f>_xlfn.XLOOKUP(I449,'3. Input (des)investeringen '!$B$11:$B$89,'3. Input (des)investeringen '!$E$11:$E$89)</f>
        <v>0</v>
      </c>
      <c r="L449" s="331"/>
      <c r="M449" s="38">
        <f>_xlfn.XLOOKUP(I449,'3. Input (des)investeringen '!$B$11:$B$89,'3. Input (des)investeringen '!$D$11:$D$89,0)</f>
        <v>30</v>
      </c>
      <c r="N449" s="38">
        <f t="shared" si="195"/>
        <v>13.5</v>
      </c>
      <c r="P449" s="43">
        <f t="shared" si="194"/>
        <v>4703.7466666666669</v>
      </c>
      <c r="Q449" s="43">
        <f t="shared" si="194"/>
        <v>4250.7932839506166</v>
      </c>
      <c r="R449" s="43">
        <f t="shared" si="194"/>
        <v>3841.4576343850026</v>
      </c>
      <c r="S449" s="43">
        <f t="shared" si="194"/>
        <v>3471.5394918145944</v>
      </c>
      <c r="T449" s="43">
        <f t="shared" si="194"/>
        <v>3429.3750445455908</v>
      </c>
      <c r="V449" s="43">
        <f t="shared" si="196"/>
        <v>402.02962962962965</v>
      </c>
      <c r="W449" s="43">
        <f t="shared" si="197"/>
        <v>402.02962962962965</v>
      </c>
      <c r="X449" s="43">
        <f t="shared" si="198"/>
        <v>402.02962962962965</v>
      </c>
      <c r="Y449" s="43">
        <f t="shared" si="199"/>
        <v>402.02962962962965</v>
      </c>
      <c r="Z449" s="43">
        <f t="shared" si="200"/>
        <v>402.02962962962965</v>
      </c>
      <c r="AB449" s="43">
        <f t="shared" si="201"/>
        <v>5105.776296296297</v>
      </c>
      <c r="AC449" s="43">
        <f t="shared" si="202"/>
        <v>4652.8229135802467</v>
      </c>
      <c r="AD449" s="43">
        <f t="shared" si="203"/>
        <v>4243.4872640146323</v>
      </c>
      <c r="AE449" s="43">
        <f t="shared" si="204"/>
        <v>3873.569121444224</v>
      </c>
      <c r="AF449" s="43">
        <f t="shared" si="205"/>
        <v>3831.4046741752204</v>
      </c>
      <c r="AH449" s="43">
        <f t="shared" si="206"/>
        <v>49168.223703703705</v>
      </c>
      <c r="AI449" s="43">
        <f t="shared" si="207"/>
        <v>44515.400790123458</v>
      </c>
      <c r="AJ449" s="43">
        <f t="shared" si="208"/>
        <v>40271.913526108823</v>
      </c>
      <c r="AK449" s="43">
        <f t="shared" si="209"/>
        <v>36398.344404664596</v>
      </c>
      <c r="AL449" s="43">
        <f t="shared" si="210"/>
        <v>32566.939730489376</v>
      </c>
      <c r="AN449" s="47">
        <f t="shared" si="211"/>
        <v>7121.6734681481485</v>
      </c>
      <c r="AO449" s="47">
        <f t="shared" si="212"/>
        <v>6923.1083538765433</v>
      </c>
      <c r="AP449" s="47">
        <f t="shared" si="213"/>
        <v>6297.3548538461819</v>
      </c>
      <c r="AQ449" s="47">
        <f t="shared" si="214"/>
        <v>5875.4780637007771</v>
      </c>
      <c r="AR449" s="43">
        <f t="shared" si="215"/>
        <v>5068.9483839338163</v>
      </c>
      <c r="AS449" s="120"/>
      <c r="AT449" s="120"/>
      <c r="AU449" s="120"/>
      <c r="AV449" s="120"/>
      <c r="AW449" s="120"/>
      <c r="AX449" s="120"/>
    </row>
    <row r="450" spans="1:50" s="89" customFormat="1" ht="13">
      <c r="A450" s="3"/>
      <c r="B450" s="37">
        <f>'13. Desinvesteringen'!B733</f>
        <v>714</v>
      </c>
      <c r="C450" s="331"/>
      <c r="D450" s="331"/>
      <c r="E450" s="331"/>
      <c r="F450" s="42">
        <f>'5. Input GAW-waarde desinv.'!D409</f>
        <v>34231</v>
      </c>
      <c r="G450" s="175">
        <f>'13. Desinvesteringen'!D733</f>
        <v>2006</v>
      </c>
      <c r="H450" s="175">
        <f>'13. Desinvesteringen'!G733</f>
        <v>2025</v>
      </c>
      <c r="I450" s="37" t="str">
        <f>'13. Desinvesteringen'!C733</f>
        <v>02 Gasontvangststations</v>
      </c>
      <c r="J450" s="164">
        <f>'13. Desinvesteringen'!F733</f>
        <v>0</v>
      </c>
      <c r="K450" s="38">
        <f>_xlfn.XLOOKUP(I450,'3. Input (des)investeringen '!$B$11:$B$89,'3. Input (des)investeringen '!$E$11:$E$89)</f>
        <v>0</v>
      </c>
      <c r="L450" s="331"/>
      <c r="M450" s="38">
        <f>_xlfn.XLOOKUP(I450,'3. Input (des)investeringen '!$B$11:$B$89,'3. Input (des)investeringen '!$D$11:$D$89,0)</f>
        <v>30</v>
      </c>
      <c r="N450" s="38">
        <f t="shared" si="195"/>
        <v>14.5</v>
      </c>
      <c r="P450" s="43">
        <f t="shared" si="194"/>
        <v>2762.0875862068965</v>
      </c>
      <c r="Q450" s="43">
        <f t="shared" si="194"/>
        <v>2514.4521474435196</v>
      </c>
      <c r="R450" s="43">
        <f t="shared" si="194"/>
        <v>2289.0185066382387</v>
      </c>
      <c r="S450" s="43">
        <f t="shared" si="194"/>
        <v>2083.796157767224</v>
      </c>
      <c r="T450" s="43">
        <f t="shared" si="194"/>
        <v>2015.0995811375356</v>
      </c>
      <c r="V450" s="43">
        <f t="shared" si="196"/>
        <v>236.07586206896553</v>
      </c>
      <c r="W450" s="43">
        <f t="shared" si="197"/>
        <v>236.07586206896553</v>
      </c>
      <c r="X450" s="43">
        <f t="shared" si="198"/>
        <v>236.07586206896553</v>
      </c>
      <c r="Y450" s="43">
        <f t="shared" si="199"/>
        <v>236.07586206896553</v>
      </c>
      <c r="Z450" s="43">
        <f t="shared" si="200"/>
        <v>236.07586206896553</v>
      </c>
      <c r="AB450" s="43">
        <f t="shared" si="201"/>
        <v>2998.1634482758618</v>
      </c>
      <c r="AC450" s="43">
        <f t="shared" si="202"/>
        <v>2750.5280095124854</v>
      </c>
      <c r="AD450" s="43">
        <f t="shared" si="203"/>
        <v>2525.094368707204</v>
      </c>
      <c r="AE450" s="43">
        <f t="shared" si="204"/>
        <v>2319.8720198361898</v>
      </c>
      <c r="AF450" s="43">
        <f t="shared" si="205"/>
        <v>2251.1754432065009</v>
      </c>
      <c r="AH450" s="43">
        <f t="shared" si="206"/>
        <v>31232.83655172414</v>
      </c>
      <c r="AI450" s="43">
        <f t="shared" si="207"/>
        <v>28482.308542211656</v>
      </c>
      <c r="AJ450" s="43">
        <f t="shared" si="208"/>
        <v>25957.214173504453</v>
      </c>
      <c r="AK450" s="43">
        <f t="shared" si="209"/>
        <v>23637.342153668265</v>
      </c>
      <c r="AL450" s="43">
        <f t="shared" si="210"/>
        <v>21386.166710461766</v>
      </c>
      <c r="AN450" s="47">
        <f t="shared" si="211"/>
        <v>4278.7097468965512</v>
      </c>
      <c r="AO450" s="47">
        <f t="shared" si="212"/>
        <v>4203.12574516528</v>
      </c>
      <c r="AP450" s="47">
        <f t="shared" si="213"/>
        <v>3848.912291555931</v>
      </c>
      <c r="AQ450" s="47">
        <f t="shared" si="214"/>
        <v>3619.9258382879443</v>
      </c>
      <c r="AR450" s="43">
        <f t="shared" si="215"/>
        <v>3063.8497782040481</v>
      </c>
      <c r="AS450" s="120"/>
      <c r="AT450" s="120"/>
      <c r="AU450" s="120"/>
      <c r="AV450" s="120"/>
      <c r="AW450" s="120"/>
      <c r="AX450" s="120"/>
    </row>
    <row r="451" spans="1:50" s="89" customFormat="1" ht="13">
      <c r="A451" s="3"/>
      <c r="B451" s="37">
        <f>'13. Desinvesteringen'!B734</f>
        <v>715</v>
      </c>
      <c r="C451" s="331"/>
      <c r="D451" s="331"/>
      <c r="E451" s="331"/>
      <c r="F451" s="42">
        <f>'5. Input GAW-waarde desinv.'!D410</f>
        <v>17490</v>
      </c>
      <c r="G451" s="175">
        <f>'13. Desinvesteringen'!D734</f>
        <v>2007</v>
      </c>
      <c r="H451" s="175">
        <f>'13. Desinvesteringen'!G734</f>
        <v>2025</v>
      </c>
      <c r="I451" s="37" t="str">
        <f>'13. Desinvesteringen'!C734</f>
        <v>02 Gasontvangststations</v>
      </c>
      <c r="J451" s="164">
        <f>'13. Desinvesteringen'!F734</f>
        <v>0</v>
      </c>
      <c r="K451" s="38">
        <f>_xlfn.XLOOKUP(I451,'3. Input (des)investeringen '!$B$11:$B$89,'3. Input (des)investeringen '!$E$11:$E$89)</f>
        <v>0</v>
      </c>
      <c r="L451" s="331"/>
      <c r="M451" s="38">
        <f>_xlfn.XLOOKUP(I451,'3. Input (des)investeringen '!$B$11:$B$89,'3. Input (des)investeringen '!$D$11:$D$89,0)</f>
        <v>30</v>
      </c>
      <c r="N451" s="38">
        <f t="shared" si="195"/>
        <v>15.5</v>
      </c>
      <c r="P451" s="43">
        <f t="shared" si="194"/>
        <v>1320.2129032258065</v>
      </c>
      <c r="Q451" s="43">
        <f t="shared" si="194"/>
        <v>1209.4853694068681</v>
      </c>
      <c r="R451" s="43">
        <f t="shared" si="194"/>
        <v>1108.0446610050017</v>
      </c>
      <c r="S451" s="43">
        <f t="shared" si="194"/>
        <v>1015.1118829852272</v>
      </c>
      <c r="T451" s="43">
        <f t="shared" si="194"/>
        <v>964.18653768496495</v>
      </c>
      <c r="V451" s="43">
        <f t="shared" si="196"/>
        <v>112.83870967741937</v>
      </c>
      <c r="W451" s="43">
        <f t="shared" si="197"/>
        <v>112.83870967741937</v>
      </c>
      <c r="X451" s="43">
        <f t="shared" si="198"/>
        <v>112.83870967741937</v>
      </c>
      <c r="Y451" s="43">
        <f t="shared" si="199"/>
        <v>112.83870967741937</v>
      </c>
      <c r="Z451" s="43">
        <f t="shared" si="200"/>
        <v>112.83870967741937</v>
      </c>
      <c r="AB451" s="43">
        <f t="shared" si="201"/>
        <v>1433.0516129032258</v>
      </c>
      <c r="AC451" s="43">
        <f t="shared" si="202"/>
        <v>1322.3240790842874</v>
      </c>
      <c r="AD451" s="43">
        <f t="shared" si="203"/>
        <v>1220.8833706824209</v>
      </c>
      <c r="AE451" s="43">
        <f t="shared" si="204"/>
        <v>1127.9505926626466</v>
      </c>
      <c r="AF451" s="43">
        <f t="shared" si="205"/>
        <v>1077.0252473623843</v>
      </c>
      <c r="AH451" s="43">
        <f t="shared" si="206"/>
        <v>16056.948387096774</v>
      </c>
      <c r="AI451" s="43">
        <f t="shared" si="207"/>
        <v>14734.624308012488</v>
      </c>
      <c r="AJ451" s="43">
        <f t="shared" si="208"/>
        <v>13513.740937330067</v>
      </c>
      <c r="AK451" s="43">
        <f t="shared" si="209"/>
        <v>12385.790344667421</v>
      </c>
      <c r="AL451" s="43">
        <f t="shared" si="210"/>
        <v>11308.765097305037</v>
      </c>
      <c r="AN451" s="47">
        <f t="shared" si="211"/>
        <v>2091.3864967741938</v>
      </c>
      <c r="AO451" s="47">
        <f t="shared" si="212"/>
        <v>2073.7899187929243</v>
      </c>
      <c r="AP451" s="47">
        <f t="shared" si="213"/>
        <v>1910.0841584862542</v>
      </c>
      <c r="AQ451" s="47">
        <f t="shared" si="214"/>
        <v>1809.1690616193548</v>
      </c>
      <c r="AR451" s="43">
        <f t="shared" si="215"/>
        <v>1506.7583210599757</v>
      </c>
      <c r="AS451" s="120"/>
      <c r="AT451" s="120"/>
      <c r="AU451" s="120"/>
      <c r="AV451" s="120"/>
      <c r="AW451" s="120"/>
      <c r="AX451" s="120"/>
    </row>
    <row r="452" spans="1:50" s="89" customFormat="1" ht="13">
      <c r="A452" s="3"/>
      <c r="B452" s="37">
        <f>'13. Desinvesteringen'!B735</f>
        <v>716</v>
      </c>
      <c r="C452" s="331"/>
      <c r="D452" s="331"/>
      <c r="E452" s="331"/>
      <c r="F452" s="42">
        <f>'5. Input GAW-waarde desinv.'!D411</f>
        <v>58833</v>
      </c>
      <c r="G452" s="175">
        <f>'13. Desinvesteringen'!D735</f>
        <v>2009</v>
      </c>
      <c r="H452" s="175">
        <f>'13. Desinvesteringen'!G735</f>
        <v>2025</v>
      </c>
      <c r="I452" s="37" t="str">
        <f>'13. Desinvesteringen'!C735</f>
        <v>02 Gasontvangststations</v>
      </c>
      <c r="J452" s="164">
        <f>'13. Desinvesteringen'!F735</f>
        <v>0</v>
      </c>
      <c r="K452" s="38">
        <f>_xlfn.XLOOKUP(I452,'3. Input (des)investeringen '!$B$11:$B$89,'3. Input (des)investeringen '!$E$11:$E$89)</f>
        <v>0</v>
      </c>
      <c r="L452" s="331"/>
      <c r="M452" s="38">
        <f>_xlfn.XLOOKUP(I452,'3. Input (des)investeringen '!$B$11:$B$89,'3. Input (des)investeringen '!$D$11:$D$89,0)</f>
        <v>30</v>
      </c>
      <c r="N452" s="38">
        <f t="shared" si="195"/>
        <v>17.5</v>
      </c>
      <c r="P452" s="43">
        <f t="shared" si="194"/>
        <v>3933.4062857142858</v>
      </c>
      <c r="Q452" s="43">
        <f t="shared" si="194"/>
        <v>3641.2103902040822</v>
      </c>
      <c r="R452" s="43">
        <f t="shared" si="194"/>
        <v>3370.7204755032071</v>
      </c>
      <c r="S452" s="43">
        <f t="shared" si="194"/>
        <v>3120.324097322969</v>
      </c>
      <c r="T452" s="43">
        <f t="shared" si="194"/>
        <v>2888.5285929504053</v>
      </c>
      <c r="V452" s="43">
        <f t="shared" si="196"/>
        <v>336.18857142857144</v>
      </c>
      <c r="W452" s="43">
        <f t="shared" si="197"/>
        <v>336.18857142857144</v>
      </c>
      <c r="X452" s="43">
        <f t="shared" si="198"/>
        <v>336.18857142857144</v>
      </c>
      <c r="Y452" s="43">
        <f t="shared" si="199"/>
        <v>336.18857142857144</v>
      </c>
      <c r="Z452" s="43">
        <f t="shared" si="200"/>
        <v>336.18857142857144</v>
      </c>
      <c r="AB452" s="43">
        <f t="shared" si="201"/>
        <v>4269.5948571428571</v>
      </c>
      <c r="AC452" s="43">
        <f t="shared" si="202"/>
        <v>3977.3989616326535</v>
      </c>
      <c r="AD452" s="43">
        <f t="shared" si="203"/>
        <v>3706.9090469317784</v>
      </c>
      <c r="AE452" s="43">
        <f t="shared" si="204"/>
        <v>3456.5126687515403</v>
      </c>
      <c r="AF452" s="43">
        <f t="shared" si="205"/>
        <v>3224.7171643789766</v>
      </c>
      <c r="AH452" s="43">
        <f t="shared" si="206"/>
        <v>54563.40514285714</v>
      </c>
      <c r="AI452" s="43">
        <f t="shared" si="207"/>
        <v>50586.006181224489</v>
      </c>
      <c r="AJ452" s="43">
        <f t="shared" si="208"/>
        <v>46879.097134292708</v>
      </c>
      <c r="AK452" s="43">
        <f t="shared" si="209"/>
        <v>43422.584465541164</v>
      </c>
      <c r="AL452" s="43">
        <f t="shared" si="210"/>
        <v>40197.867301162187</v>
      </c>
      <c r="AN452" s="47">
        <f t="shared" si="211"/>
        <v>6506.6944679999997</v>
      </c>
      <c r="AO452" s="47">
        <f t="shared" si="212"/>
        <v>6557.2852768751018</v>
      </c>
      <c r="AP452" s="47">
        <f t="shared" si="213"/>
        <v>6097.743000780707</v>
      </c>
      <c r="AQ452" s="47">
        <f t="shared" si="214"/>
        <v>5844.7548143563045</v>
      </c>
      <c r="AR452" s="43">
        <f t="shared" si="215"/>
        <v>4752.2361218231399</v>
      </c>
      <c r="AS452" s="120"/>
      <c r="AT452" s="120"/>
      <c r="AU452" s="120"/>
      <c r="AV452" s="120"/>
      <c r="AW452" s="120"/>
      <c r="AX452" s="120"/>
    </row>
    <row r="453" spans="1:50" s="89" customFormat="1" ht="13">
      <c r="A453" s="3"/>
      <c r="B453" s="37">
        <f>'13. Desinvesteringen'!B736</f>
        <v>717</v>
      </c>
      <c r="C453" s="331"/>
      <c r="D453" s="331"/>
      <c r="E453" s="331"/>
      <c r="F453" s="42">
        <f>'5. Input GAW-waarde desinv.'!D412</f>
        <v>24808</v>
      </c>
      <c r="G453" s="175">
        <f>'13. Desinvesteringen'!D736</f>
        <v>2011</v>
      </c>
      <c r="H453" s="175">
        <f>'13. Desinvesteringen'!G736</f>
        <v>2025</v>
      </c>
      <c r="I453" s="37" t="str">
        <f>'13. Desinvesteringen'!C736</f>
        <v>02 Gasontvangststations</v>
      </c>
      <c r="J453" s="164">
        <f>'13. Desinvesteringen'!F736</f>
        <v>0</v>
      </c>
      <c r="K453" s="38">
        <f>_xlfn.XLOOKUP(I453,'3. Input (des)investeringen '!$B$11:$B$89,'3. Input (des)investeringen '!$E$11:$E$89)</f>
        <v>0</v>
      </c>
      <c r="L453" s="331"/>
      <c r="M453" s="38">
        <f>_xlfn.XLOOKUP(I453,'3. Input (des)investeringen '!$B$11:$B$89,'3. Input (des)investeringen '!$D$11:$D$89,0)</f>
        <v>30</v>
      </c>
      <c r="N453" s="38">
        <f t="shared" si="195"/>
        <v>19.5</v>
      </c>
      <c r="P453" s="43">
        <f t="shared" si="194"/>
        <v>1488.48</v>
      </c>
      <c r="Q453" s="43">
        <f t="shared" si="194"/>
        <v>1389.248</v>
      </c>
      <c r="R453" s="43">
        <f t="shared" si="194"/>
        <v>1296.6314666666667</v>
      </c>
      <c r="S453" s="43">
        <f t="shared" si="194"/>
        <v>1210.189368888889</v>
      </c>
      <c r="T453" s="43">
        <f t="shared" si="194"/>
        <v>1129.5100776296301</v>
      </c>
      <c r="V453" s="43">
        <f t="shared" si="196"/>
        <v>127.22051282051282</v>
      </c>
      <c r="W453" s="43">
        <f t="shared" si="197"/>
        <v>127.22051282051282</v>
      </c>
      <c r="X453" s="43">
        <f t="shared" si="198"/>
        <v>127.22051282051282</v>
      </c>
      <c r="Y453" s="43">
        <f t="shared" si="199"/>
        <v>127.22051282051282</v>
      </c>
      <c r="Z453" s="43">
        <f t="shared" si="200"/>
        <v>127.22051282051282</v>
      </c>
      <c r="AB453" s="43">
        <f t="shared" si="201"/>
        <v>1615.7005128205128</v>
      </c>
      <c r="AC453" s="43">
        <f t="shared" si="202"/>
        <v>1516.4685128205128</v>
      </c>
      <c r="AD453" s="43">
        <f t="shared" si="203"/>
        <v>1423.8519794871795</v>
      </c>
      <c r="AE453" s="43">
        <f t="shared" si="204"/>
        <v>1337.4098817094018</v>
      </c>
      <c r="AF453" s="43">
        <f t="shared" si="205"/>
        <v>1256.7305904501429</v>
      </c>
      <c r="AH453" s="43">
        <f t="shared" si="206"/>
        <v>23192.299487179487</v>
      </c>
      <c r="AI453" s="43">
        <f t="shared" si="207"/>
        <v>21675.830974358974</v>
      </c>
      <c r="AJ453" s="43">
        <f t="shared" si="208"/>
        <v>20251.978994871795</v>
      </c>
      <c r="AK453" s="43">
        <f t="shared" si="209"/>
        <v>18914.569113162393</v>
      </c>
      <c r="AL453" s="43">
        <f t="shared" si="210"/>
        <v>17657.838522712249</v>
      </c>
      <c r="AN453" s="47">
        <f t="shared" si="211"/>
        <v>2566.5847917948718</v>
      </c>
      <c r="AO453" s="47">
        <f t="shared" si="212"/>
        <v>2621.9358925128204</v>
      </c>
      <c r="AP453" s="47">
        <f t="shared" si="213"/>
        <v>2456.7029082256413</v>
      </c>
      <c r="AQ453" s="47">
        <f t="shared" si="214"/>
        <v>2377.7111829333335</v>
      </c>
      <c r="AR453" s="43">
        <f t="shared" si="215"/>
        <v>1927.7284543132082</v>
      </c>
      <c r="AS453" s="120"/>
      <c r="AT453" s="120"/>
      <c r="AU453" s="120"/>
      <c r="AV453" s="120"/>
      <c r="AW453" s="120"/>
      <c r="AX453" s="120"/>
    </row>
    <row r="454" spans="1:50" s="89" customFormat="1" ht="13">
      <c r="A454" s="3"/>
      <c r="B454" s="37">
        <f>'13. Desinvesteringen'!B737</f>
        <v>718</v>
      </c>
      <c r="C454" s="331"/>
      <c r="D454" s="331"/>
      <c r="E454" s="331"/>
      <c r="F454" s="42">
        <f>'5. Input GAW-waarde desinv.'!D413</f>
        <v>57851</v>
      </c>
      <c r="G454" s="175">
        <f>'13. Desinvesteringen'!D737</f>
        <v>2017</v>
      </c>
      <c r="H454" s="175">
        <f>'13. Desinvesteringen'!G737</f>
        <v>2025</v>
      </c>
      <c r="I454" s="37" t="str">
        <f>'13. Desinvesteringen'!C737</f>
        <v>02 Gasontvangststations</v>
      </c>
      <c r="J454" s="164">
        <f>'13. Desinvesteringen'!F737</f>
        <v>0</v>
      </c>
      <c r="K454" s="38">
        <f>_xlfn.XLOOKUP(I454,'3. Input (des)investeringen '!$B$11:$B$89,'3. Input (des)investeringen '!$E$11:$E$89)</f>
        <v>0</v>
      </c>
      <c r="L454" s="331"/>
      <c r="M454" s="38">
        <f>_xlfn.XLOOKUP(I454,'3. Input (des)investeringen '!$B$11:$B$89,'3. Input (des)investeringen '!$D$11:$D$89,0)</f>
        <v>30</v>
      </c>
      <c r="N454" s="38">
        <f t="shared" si="195"/>
        <v>25.5</v>
      </c>
      <c r="P454" s="43">
        <f t="shared" si="194"/>
        <v>2654.3399999999997</v>
      </c>
      <c r="Q454" s="43">
        <f t="shared" si="194"/>
        <v>2519.0207058823535</v>
      </c>
      <c r="R454" s="43">
        <f t="shared" si="194"/>
        <v>2390.6000424452131</v>
      </c>
      <c r="S454" s="43">
        <f t="shared" si="194"/>
        <v>2268.7263147911435</v>
      </c>
      <c r="T454" s="43">
        <f t="shared" si="194"/>
        <v>2153.0657575664973</v>
      </c>
      <c r="V454" s="43">
        <f t="shared" si="196"/>
        <v>226.86666666666667</v>
      </c>
      <c r="W454" s="43">
        <f t="shared" si="197"/>
        <v>226.8666666666667</v>
      </c>
      <c r="X454" s="43">
        <f t="shared" si="198"/>
        <v>226.8666666666667</v>
      </c>
      <c r="Y454" s="43">
        <f t="shared" si="199"/>
        <v>226.8666666666667</v>
      </c>
      <c r="Z454" s="43">
        <f t="shared" si="200"/>
        <v>226.8666666666667</v>
      </c>
      <c r="AB454" s="43">
        <f t="shared" si="201"/>
        <v>2881.2066666666665</v>
      </c>
      <c r="AC454" s="43">
        <f t="shared" si="202"/>
        <v>2745.8873725490203</v>
      </c>
      <c r="AD454" s="43">
        <f t="shared" si="203"/>
        <v>2617.4667091118799</v>
      </c>
      <c r="AE454" s="43">
        <f t="shared" si="204"/>
        <v>2495.5929814578103</v>
      </c>
      <c r="AF454" s="43">
        <f t="shared" si="205"/>
        <v>2379.9324242331641</v>
      </c>
      <c r="AH454" s="43">
        <f t="shared" si="206"/>
        <v>54969.793333333335</v>
      </c>
      <c r="AI454" s="43">
        <f t="shared" si="207"/>
        <v>52223.905960784316</v>
      </c>
      <c r="AJ454" s="43">
        <f t="shared" si="208"/>
        <v>49606.439251672433</v>
      </c>
      <c r="AK454" s="43">
        <f t="shared" si="209"/>
        <v>47110.846270214621</v>
      </c>
      <c r="AL454" s="43">
        <f t="shared" si="210"/>
        <v>44730.913845981457</v>
      </c>
      <c r="AN454" s="47">
        <f t="shared" si="211"/>
        <v>5134.9681933333331</v>
      </c>
      <c r="AO454" s="47">
        <f t="shared" si="212"/>
        <v>5409.3065765490201</v>
      </c>
      <c r="AP454" s="47">
        <f t="shared" si="213"/>
        <v>5147.3951109471736</v>
      </c>
      <c r="AQ454" s="47">
        <f t="shared" si="214"/>
        <v>5086.6895263196147</v>
      </c>
      <c r="AR454" s="43">
        <f t="shared" si="215"/>
        <v>4079.7071503804591</v>
      </c>
      <c r="AS454" s="120"/>
      <c r="AT454" s="120"/>
      <c r="AU454" s="120"/>
      <c r="AV454" s="120"/>
      <c r="AW454" s="120"/>
      <c r="AX454" s="120"/>
    </row>
    <row r="455" spans="1:50" s="89" customFormat="1" ht="13">
      <c r="A455" s="3"/>
      <c r="B455" s="37">
        <f>'13. Desinvesteringen'!B738</f>
        <v>719</v>
      </c>
      <c r="C455" s="331"/>
      <c r="D455" s="331"/>
      <c r="E455" s="331"/>
      <c r="F455" s="42">
        <f>'5. Input GAW-waarde desinv.'!D414</f>
        <v>-1152</v>
      </c>
      <c r="G455" s="175">
        <f>'13. Desinvesteringen'!D738</f>
        <v>2018</v>
      </c>
      <c r="H455" s="175">
        <f>'13. Desinvesteringen'!G738</f>
        <v>2025</v>
      </c>
      <c r="I455" s="37" t="str">
        <f>'13. Desinvesteringen'!C738</f>
        <v>02 Gasontvangststations</v>
      </c>
      <c r="J455" s="164">
        <f>'13. Desinvesteringen'!F738</f>
        <v>0</v>
      </c>
      <c r="K455" s="38">
        <f>_xlfn.XLOOKUP(I455,'3. Input (des)investeringen '!$B$11:$B$89,'3. Input (des)investeringen '!$E$11:$E$89)</f>
        <v>0</v>
      </c>
      <c r="L455" s="331"/>
      <c r="M455" s="38">
        <f>_xlfn.XLOOKUP(I455,'3. Input (des)investeringen '!$B$11:$B$89,'3. Input (des)investeringen '!$D$11:$D$89,0)</f>
        <v>30</v>
      </c>
      <c r="N455" s="38">
        <f t="shared" si="195"/>
        <v>26.5</v>
      </c>
      <c r="P455" s="338">
        <v>-50.861886792452836</v>
      </c>
      <c r="Q455" s="338">
        <v>-48.366775364898551</v>
      </c>
      <c r="R455" s="338">
        <v>-45.994065630016735</v>
      </c>
      <c r="S455" s="338">
        <v>-43.737752976468748</v>
      </c>
      <c r="T455" s="338">
        <v>-41.592127358755185</v>
      </c>
      <c r="V455" s="338">
        <v>-4.3471698113207546</v>
      </c>
      <c r="W455" s="338">
        <v>-4.3471698113207546</v>
      </c>
      <c r="X455" s="338">
        <v>-4.3471698113207546</v>
      </c>
      <c r="Y455" s="338">
        <v>-4.3471698113207546</v>
      </c>
      <c r="Z455" s="338">
        <v>-4.3471698113207546</v>
      </c>
      <c r="AB455" s="43">
        <f t="shared" si="201"/>
        <v>-55.20905660377359</v>
      </c>
      <c r="AC455" s="43">
        <f t="shared" si="202"/>
        <v>-52.713945176219305</v>
      </c>
      <c r="AD455" s="43">
        <f t="shared" si="203"/>
        <v>-50.341235441337489</v>
      </c>
      <c r="AE455" s="43">
        <f t="shared" si="204"/>
        <v>-48.084922787789502</v>
      </c>
      <c r="AF455" s="43">
        <f t="shared" si="205"/>
        <v>-45.939297170075939</v>
      </c>
      <c r="AH455" s="43">
        <f t="shared" si="206"/>
        <v>-1096.7909433962263</v>
      </c>
      <c r="AI455" s="43">
        <f t="shared" si="207"/>
        <v>-1044.076998220007</v>
      </c>
      <c r="AJ455" s="43">
        <f t="shared" si="208"/>
        <v>-993.73576277866948</v>
      </c>
      <c r="AK455" s="43">
        <f t="shared" si="209"/>
        <v>-945.65083999087994</v>
      </c>
      <c r="AL455" s="43">
        <f t="shared" si="210"/>
        <v>-899.71154282080397</v>
      </c>
      <c r="AN455" s="47">
        <f t="shared" si="211"/>
        <v>-100.17748528301888</v>
      </c>
      <c r="AO455" s="47">
        <f t="shared" si="212"/>
        <v>-105.96187208543967</v>
      </c>
      <c r="AP455" s="47">
        <f t="shared" si="213"/>
        <v>-101.02175934304964</v>
      </c>
      <c r="AQ455" s="47">
        <f t="shared" si="214"/>
        <v>-100.0957189872879</v>
      </c>
      <c r="AR455" s="43">
        <f t="shared" si="215"/>
        <v>-80.128335797266487</v>
      </c>
      <c r="AS455" s="120"/>
      <c r="AT455" s="120"/>
      <c r="AU455" s="120"/>
      <c r="AV455" s="120"/>
      <c r="AW455" s="120"/>
      <c r="AX455" s="120"/>
    </row>
    <row r="456" spans="1:50" s="89" customFormat="1" ht="13">
      <c r="A456" s="3"/>
      <c r="B456" s="37">
        <f>'13. Desinvesteringen'!B739</f>
        <v>720</v>
      </c>
      <c r="C456" s="331"/>
      <c r="D456" s="331"/>
      <c r="E456" s="331"/>
      <c r="F456" s="42">
        <f>'5. Input GAW-waarde desinv.'!D415</f>
        <v>20375</v>
      </c>
      <c r="G456" s="175">
        <f>'13. Desinvesteringen'!D739</f>
        <v>2019</v>
      </c>
      <c r="H456" s="175">
        <f>'13. Desinvesteringen'!G739</f>
        <v>2025</v>
      </c>
      <c r="I456" s="37" t="str">
        <f>'13. Desinvesteringen'!C739</f>
        <v>02 Gasontvangststations</v>
      </c>
      <c r="J456" s="164">
        <f>'13. Desinvesteringen'!F739</f>
        <v>0</v>
      </c>
      <c r="K456" s="38">
        <f>_xlfn.XLOOKUP(I456,'3. Input (des)investeringen '!$B$11:$B$89,'3. Input (des)investeringen '!$E$11:$E$89)</f>
        <v>0</v>
      </c>
      <c r="L456" s="331"/>
      <c r="M456" s="38">
        <f>_xlfn.XLOOKUP(I456,'3. Input (des)investeringen '!$B$11:$B$89,'3. Input (des)investeringen '!$D$11:$D$89,0)</f>
        <v>30</v>
      </c>
      <c r="N456" s="38">
        <f t="shared" si="195"/>
        <v>27.5</v>
      </c>
      <c r="P456" s="43">
        <f t="shared" si="194"/>
        <v>866.86363636363637</v>
      </c>
      <c r="Q456" s="43">
        <f t="shared" si="194"/>
        <v>825.88462809917348</v>
      </c>
      <c r="R456" s="43">
        <f t="shared" si="194"/>
        <v>786.84280931630337</v>
      </c>
      <c r="S456" s="43">
        <f t="shared" si="194"/>
        <v>749.64660378498718</v>
      </c>
      <c r="T456" s="43">
        <f t="shared" si="194"/>
        <v>714.20876433333319</v>
      </c>
      <c r="V456" s="43">
        <f t="shared" si="196"/>
        <v>74.090909090909093</v>
      </c>
      <c r="W456" s="43">
        <f t="shared" si="197"/>
        <v>74.090909090909093</v>
      </c>
      <c r="X456" s="43">
        <f t="shared" si="198"/>
        <v>74.090909090909093</v>
      </c>
      <c r="Y456" s="43">
        <f t="shared" si="199"/>
        <v>74.090909090909093</v>
      </c>
      <c r="Z456" s="43">
        <f t="shared" si="200"/>
        <v>74.090909090909093</v>
      </c>
      <c r="AB456" s="43">
        <f t="shared" si="201"/>
        <v>940.9545454545455</v>
      </c>
      <c r="AC456" s="43">
        <f t="shared" si="202"/>
        <v>899.9755371900826</v>
      </c>
      <c r="AD456" s="43">
        <f t="shared" si="203"/>
        <v>860.9337184072125</v>
      </c>
      <c r="AE456" s="43">
        <f t="shared" si="204"/>
        <v>823.7375128758963</v>
      </c>
      <c r="AF456" s="43">
        <f t="shared" si="205"/>
        <v>788.29967342424231</v>
      </c>
      <c r="AH456" s="43">
        <f t="shared" si="206"/>
        <v>19434.045454545456</v>
      </c>
      <c r="AI456" s="43">
        <f t="shared" si="207"/>
        <v>18534.069917355373</v>
      </c>
      <c r="AJ456" s="43">
        <f t="shared" si="208"/>
        <v>17673.136198948159</v>
      </c>
      <c r="AK456" s="43">
        <f t="shared" si="209"/>
        <v>16849.398686072262</v>
      </c>
      <c r="AL456" s="43">
        <f t="shared" si="210"/>
        <v>16061.099012648019</v>
      </c>
      <c r="AN456" s="47">
        <f t="shared" si="211"/>
        <v>1737.7504090909092</v>
      </c>
      <c r="AO456" s="47">
        <f t="shared" si="212"/>
        <v>1845.2131029752065</v>
      </c>
      <c r="AP456" s="47">
        <f t="shared" si="213"/>
        <v>1762.2636645535686</v>
      </c>
      <c r="AQ456" s="47">
        <f t="shared" si="214"/>
        <v>1750.4544406098707</v>
      </c>
      <c r="AR456" s="43">
        <f t="shared" si="215"/>
        <v>1398.621435904867</v>
      </c>
      <c r="AS456" s="120"/>
      <c r="AT456" s="120"/>
      <c r="AU456" s="120"/>
      <c r="AV456" s="120"/>
      <c r="AW456" s="120"/>
      <c r="AX456" s="120"/>
    </row>
    <row r="457" spans="1:50" s="89" customFormat="1" ht="13">
      <c r="A457" s="3"/>
      <c r="B457" s="37">
        <f>'13. Desinvesteringen'!B740</f>
        <v>721</v>
      </c>
      <c r="C457" s="331"/>
      <c r="D457" s="331"/>
      <c r="E457" s="331"/>
      <c r="F457" s="42">
        <f>'5. Input GAW-waarde desinv.'!D416</f>
        <v>55782</v>
      </c>
      <c r="G457" s="175">
        <f>'13. Desinvesteringen'!D740</f>
        <v>2020</v>
      </c>
      <c r="H457" s="175">
        <f>'13. Desinvesteringen'!G740</f>
        <v>2025</v>
      </c>
      <c r="I457" s="37" t="str">
        <f>'13. Desinvesteringen'!C740</f>
        <v>02 Gasontvangststations</v>
      </c>
      <c r="J457" s="164">
        <f>'13. Desinvesteringen'!F740</f>
        <v>0</v>
      </c>
      <c r="K457" s="38">
        <f>_xlfn.XLOOKUP(I457,'3. Input (des)investeringen '!$B$11:$B$89,'3. Input (des)investeringen '!$E$11:$E$89)</f>
        <v>0</v>
      </c>
      <c r="L457" s="331"/>
      <c r="M457" s="38">
        <f>_xlfn.XLOOKUP(I457,'3. Input (des)investeringen '!$B$11:$B$89,'3. Input (des)investeringen '!$D$11:$D$89,0)</f>
        <v>30</v>
      </c>
      <c r="N457" s="38">
        <f t="shared" si="195"/>
        <v>28.5</v>
      </c>
      <c r="P457" s="43">
        <f t="shared" si="194"/>
        <v>2289.9978947368427</v>
      </c>
      <c r="Q457" s="43">
        <f t="shared" si="194"/>
        <v>2185.5418504155127</v>
      </c>
      <c r="R457" s="43">
        <f t="shared" si="194"/>
        <v>2085.8504677649803</v>
      </c>
      <c r="S457" s="43">
        <f t="shared" si="194"/>
        <v>1990.7064113406129</v>
      </c>
      <c r="T457" s="43">
        <f t="shared" si="194"/>
        <v>1899.9022592443746</v>
      </c>
      <c r="V457" s="43">
        <f t="shared" si="196"/>
        <v>195.72631578947369</v>
      </c>
      <c r="W457" s="43">
        <f t="shared" si="197"/>
        <v>195.72631578947369</v>
      </c>
      <c r="X457" s="43">
        <f t="shared" si="198"/>
        <v>195.72631578947369</v>
      </c>
      <c r="Y457" s="43">
        <f t="shared" si="199"/>
        <v>195.72631578947369</v>
      </c>
      <c r="Z457" s="43">
        <f t="shared" si="200"/>
        <v>195.72631578947369</v>
      </c>
      <c r="AB457" s="43">
        <f t="shared" si="201"/>
        <v>2485.7242105263163</v>
      </c>
      <c r="AC457" s="43">
        <f t="shared" si="202"/>
        <v>2381.2681662049863</v>
      </c>
      <c r="AD457" s="43">
        <f t="shared" si="203"/>
        <v>2281.5767835544539</v>
      </c>
      <c r="AE457" s="43">
        <f t="shared" si="204"/>
        <v>2186.4327271300867</v>
      </c>
      <c r="AF457" s="43">
        <f t="shared" si="205"/>
        <v>2095.6285750338484</v>
      </c>
      <c r="AH457" s="43">
        <f t="shared" si="206"/>
        <v>53296.275789473686</v>
      </c>
      <c r="AI457" s="43">
        <f t="shared" si="207"/>
        <v>50915.007623268699</v>
      </c>
      <c r="AJ457" s="43">
        <f t="shared" si="208"/>
        <v>48633.430839714245</v>
      </c>
      <c r="AK457" s="43">
        <f t="shared" si="209"/>
        <v>46446.998112584159</v>
      </c>
      <c r="AL457" s="43">
        <f t="shared" si="210"/>
        <v>44351.369537550308</v>
      </c>
      <c r="AN457" s="47">
        <f t="shared" si="211"/>
        <v>4670.8715178947368</v>
      </c>
      <c r="AO457" s="47">
        <f t="shared" si="212"/>
        <v>4977.9335549916896</v>
      </c>
      <c r="AP457" s="47">
        <f t="shared" si="213"/>
        <v>4761.8817563798802</v>
      </c>
      <c r="AQ457" s="47">
        <f t="shared" si="214"/>
        <v>4741.0176233222155</v>
      </c>
      <c r="AR457" s="43">
        <f t="shared" si="215"/>
        <v>3780.9806174607602</v>
      </c>
      <c r="AS457" s="120"/>
      <c r="AT457" s="120"/>
      <c r="AU457" s="120"/>
      <c r="AV457" s="120"/>
      <c r="AW457" s="120"/>
      <c r="AX457" s="120"/>
    </row>
    <row r="458" spans="1:50" s="89" customFormat="1" ht="13">
      <c r="A458" s="3"/>
      <c r="B458" s="37">
        <f>'13. Desinvesteringen'!B741</f>
        <v>722</v>
      </c>
      <c r="C458" s="331"/>
      <c r="D458" s="331"/>
      <c r="E458" s="331"/>
      <c r="F458" s="42">
        <f>'5. Input GAW-waarde desinv.'!D417</f>
        <v>0</v>
      </c>
      <c r="G458" s="175">
        <f>'13. Desinvesteringen'!D741</f>
        <v>1996</v>
      </c>
      <c r="H458" s="175">
        <f>'13. Desinvesteringen'!G741</f>
        <v>2025</v>
      </c>
      <c r="I458" s="37" t="str">
        <f>'13. Desinvesteringen'!C741</f>
        <v>04 Terreinen</v>
      </c>
      <c r="J458" s="164">
        <f>'13. Desinvesteringen'!F741</f>
        <v>12665</v>
      </c>
      <c r="K458" s="38">
        <f>_xlfn.XLOOKUP(I458,'3. Input (des)investeringen '!$B$11:$B$89,'3. Input (des)investeringen '!$E$11:$E$89)</f>
        <v>0</v>
      </c>
      <c r="L458" s="331"/>
      <c r="M458" s="38">
        <f>_xlfn.XLOOKUP(I458,'3. Input (des)investeringen '!$B$11:$B$89,'3. Input (des)investeringen '!$D$11:$D$89,0)</f>
        <v>0</v>
      </c>
      <c r="N458" s="38">
        <f t="shared" si="195"/>
        <v>0</v>
      </c>
      <c r="P458" s="43">
        <f t="shared" si="194"/>
        <v>0</v>
      </c>
      <c r="Q458" s="43">
        <f t="shared" si="194"/>
        <v>0</v>
      </c>
      <c r="R458" s="43">
        <f t="shared" si="194"/>
        <v>0</v>
      </c>
      <c r="S458" s="43">
        <f t="shared" si="194"/>
        <v>0</v>
      </c>
      <c r="T458" s="43">
        <f t="shared" si="194"/>
        <v>0</v>
      </c>
      <c r="V458" s="43">
        <f t="shared" si="196"/>
        <v>0</v>
      </c>
      <c r="W458" s="43">
        <f t="shared" si="197"/>
        <v>0</v>
      </c>
      <c r="X458" s="43">
        <f t="shared" si="198"/>
        <v>0</v>
      </c>
      <c r="Y458" s="43">
        <f t="shared" si="199"/>
        <v>0</v>
      </c>
      <c r="Z458" s="43">
        <f t="shared" si="200"/>
        <v>0</v>
      </c>
      <c r="AB458" s="43">
        <f t="shared" si="201"/>
        <v>0</v>
      </c>
      <c r="AC458" s="43">
        <f t="shared" si="202"/>
        <v>0</v>
      </c>
      <c r="AD458" s="43">
        <f t="shared" si="203"/>
        <v>0</v>
      </c>
      <c r="AE458" s="43">
        <f t="shared" si="204"/>
        <v>0</v>
      </c>
      <c r="AF458" s="43">
        <f t="shared" si="205"/>
        <v>0</v>
      </c>
      <c r="AH458" s="43">
        <f t="shared" si="206"/>
        <v>0</v>
      </c>
      <c r="AI458" s="43">
        <f t="shared" si="207"/>
        <v>0</v>
      </c>
      <c r="AJ458" s="43">
        <f t="shared" si="208"/>
        <v>0</v>
      </c>
      <c r="AK458" s="43">
        <f t="shared" si="209"/>
        <v>0</v>
      </c>
      <c r="AL458" s="43">
        <f t="shared" si="210"/>
        <v>0</v>
      </c>
      <c r="AN458" s="47">
        <f t="shared" si="211"/>
        <v>0</v>
      </c>
      <c r="AO458" s="47">
        <f t="shared" si="212"/>
        <v>0</v>
      </c>
      <c r="AP458" s="47">
        <f t="shared" si="213"/>
        <v>0</v>
      </c>
      <c r="AQ458" s="47">
        <f t="shared" si="214"/>
        <v>0</v>
      </c>
      <c r="AR458" s="43">
        <f t="shared" si="215"/>
        <v>0</v>
      </c>
      <c r="AS458" s="120"/>
      <c r="AT458" s="120"/>
      <c r="AU458" s="120"/>
      <c r="AV458" s="120"/>
      <c r="AW458" s="120"/>
      <c r="AX458" s="120"/>
    </row>
    <row r="459" spans="1:50" s="89" customFormat="1" ht="13">
      <c r="A459" s="3"/>
      <c r="B459" s="37">
        <f>'13. Desinvesteringen'!B742</f>
        <v>723</v>
      </c>
      <c r="C459" s="331"/>
      <c r="D459" s="331"/>
      <c r="E459" s="331"/>
      <c r="F459" s="42">
        <f>'5. Input GAW-waarde desinv.'!D418</f>
        <v>9194</v>
      </c>
      <c r="G459" s="175">
        <f>'13. Desinvesteringen'!D742</f>
        <v>2007</v>
      </c>
      <c r="H459" s="175">
        <f>'13. Desinvesteringen'!G742</f>
        <v>2025</v>
      </c>
      <c r="I459" s="37" t="str">
        <f>'13. Desinvesteringen'!C742</f>
        <v>04 Terreinen</v>
      </c>
      <c r="J459" s="164">
        <f>'13. Desinvesteringen'!F742</f>
        <v>0</v>
      </c>
      <c r="K459" s="38">
        <f>_xlfn.XLOOKUP(I459,'3. Input (des)investeringen '!$B$11:$B$89,'3. Input (des)investeringen '!$E$11:$E$89)</f>
        <v>0</v>
      </c>
      <c r="L459" s="331"/>
      <c r="M459" s="38">
        <f>_xlfn.XLOOKUP(I459,'3. Input (des)investeringen '!$B$11:$B$89,'3. Input (des)investeringen '!$D$11:$D$89,0)</f>
        <v>0</v>
      </c>
      <c r="N459" s="38">
        <f t="shared" si="195"/>
        <v>0</v>
      </c>
      <c r="P459" s="43">
        <f t="shared" si="194"/>
        <v>0</v>
      </c>
      <c r="Q459" s="43">
        <f t="shared" si="194"/>
        <v>0</v>
      </c>
      <c r="R459" s="43">
        <f t="shared" si="194"/>
        <v>0</v>
      </c>
      <c r="S459" s="43">
        <f t="shared" si="194"/>
        <v>0</v>
      </c>
      <c r="T459" s="43">
        <f t="shared" si="194"/>
        <v>0</v>
      </c>
      <c r="V459" s="43">
        <f t="shared" si="196"/>
        <v>0</v>
      </c>
      <c r="W459" s="43">
        <f t="shared" si="197"/>
        <v>0</v>
      </c>
      <c r="X459" s="43">
        <f t="shared" si="198"/>
        <v>0</v>
      </c>
      <c r="Y459" s="43">
        <f t="shared" si="199"/>
        <v>0</v>
      </c>
      <c r="Z459" s="43">
        <f t="shared" si="200"/>
        <v>0</v>
      </c>
      <c r="AB459" s="43">
        <f t="shared" si="201"/>
        <v>0</v>
      </c>
      <c r="AC459" s="43">
        <f t="shared" si="202"/>
        <v>0</v>
      </c>
      <c r="AD459" s="43">
        <f t="shared" si="203"/>
        <v>0</v>
      </c>
      <c r="AE459" s="43">
        <f t="shared" si="204"/>
        <v>0</v>
      </c>
      <c r="AF459" s="43">
        <f t="shared" si="205"/>
        <v>0</v>
      </c>
      <c r="AH459" s="43">
        <f t="shared" si="206"/>
        <v>9194</v>
      </c>
      <c r="AI459" s="43">
        <f t="shared" si="207"/>
        <v>9194</v>
      </c>
      <c r="AJ459" s="43">
        <f t="shared" si="208"/>
        <v>9194</v>
      </c>
      <c r="AK459" s="43">
        <f t="shared" si="209"/>
        <v>9194</v>
      </c>
      <c r="AL459" s="43">
        <f t="shared" si="210"/>
        <v>9194</v>
      </c>
      <c r="AN459" s="47">
        <f t="shared" si="211"/>
        <v>376.95400000000001</v>
      </c>
      <c r="AO459" s="47">
        <f t="shared" si="212"/>
        <v>468.89399999999995</v>
      </c>
      <c r="AP459" s="47">
        <f t="shared" si="213"/>
        <v>468.89399999999995</v>
      </c>
      <c r="AQ459" s="47">
        <f t="shared" si="214"/>
        <v>505.67</v>
      </c>
      <c r="AR459" s="43">
        <f t="shared" si="215"/>
        <v>349.37200000000001</v>
      </c>
      <c r="AS459" s="120"/>
      <c r="AT459" s="120"/>
      <c r="AU459" s="120"/>
      <c r="AV459" s="120"/>
      <c r="AW459" s="120"/>
      <c r="AX459" s="120"/>
    </row>
    <row r="460" spans="1:50" s="89" customFormat="1" ht="13">
      <c r="A460" s="3"/>
      <c r="B460" s="37">
        <f>'13. Desinvesteringen'!B743</f>
        <v>724</v>
      </c>
      <c r="C460" s="331"/>
      <c r="D460" s="331"/>
      <c r="E460" s="331"/>
      <c r="F460" s="42">
        <f>'5. Input GAW-waarde desinv.'!D419</f>
        <v>42726.282584850291</v>
      </c>
      <c r="G460" s="175">
        <f>'13. Desinvesteringen'!D743</f>
        <v>2005</v>
      </c>
      <c r="H460" s="175">
        <f>'13. Desinvesteringen'!G743</f>
        <v>2025</v>
      </c>
      <c r="I460" s="37" t="str">
        <f>'13. Desinvesteringen'!C743</f>
        <v>06 Utiliteitsgebouwen</v>
      </c>
      <c r="J460" s="164">
        <f>'13. Desinvesteringen'!F743</f>
        <v>0</v>
      </c>
      <c r="K460" s="38">
        <f>_xlfn.XLOOKUP(I460,'3. Input (des)investeringen '!$B$11:$B$89,'3. Input (des)investeringen '!$E$11:$E$89)</f>
        <v>0</v>
      </c>
      <c r="L460" s="331"/>
      <c r="M460" s="38">
        <f>_xlfn.XLOOKUP(I460,'3. Input (des)investeringen '!$B$11:$B$89,'3. Input (des)investeringen '!$D$11:$D$89,0)</f>
        <v>30</v>
      </c>
      <c r="N460" s="38">
        <f t="shared" si="195"/>
        <v>13.5</v>
      </c>
      <c r="P460" s="43">
        <f t="shared" si="194"/>
        <v>3702.9444906870253</v>
      </c>
      <c r="Q460" s="43">
        <f t="shared" si="194"/>
        <v>3346.3646508430897</v>
      </c>
      <c r="R460" s="43">
        <f t="shared" si="194"/>
        <v>3024.1221289100517</v>
      </c>
      <c r="S460" s="43">
        <f t="shared" si="194"/>
        <v>2732.9103683483427</v>
      </c>
      <c r="T460" s="43">
        <f t="shared" si="194"/>
        <v>2699.7171250080796</v>
      </c>
      <c r="V460" s="43">
        <f t="shared" si="196"/>
        <v>316.49098211000216</v>
      </c>
      <c r="W460" s="43">
        <f t="shared" si="197"/>
        <v>316.49098211000216</v>
      </c>
      <c r="X460" s="43">
        <f t="shared" si="198"/>
        <v>316.49098211000216</v>
      </c>
      <c r="Y460" s="43">
        <f t="shared" si="199"/>
        <v>316.49098211000216</v>
      </c>
      <c r="Z460" s="43">
        <f t="shared" si="200"/>
        <v>316.49098211000216</v>
      </c>
      <c r="AB460" s="43">
        <f t="shared" si="201"/>
        <v>4019.4354727970276</v>
      </c>
      <c r="AC460" s="43">
        <f t="shared" si="202"/>
        <v>3662.855632953092</v>
      </c>
      <c r="AD460" s="43">
        <f t="shared" si="203"/>
        <v>3340.613111020054</v>
      </c>
      <c r="AE460" s="43">
        <f t="shared" si="204"/>
        <v>3049.401350458345</v>
      </c>
      <c r="AF460" s="43">
        <f t="shared" si="205"/>
        <v>3016.2081071180819</v>
      </c>
      <c r="AH460" s="43">
        <f t="shared" si="206"/>
        <v>38706.847112053263</v>
      </c>
      <c r="AI460" s="43">
        <f t="shared" si="207"/>
        <v>35043.991479100172</v>
      </c>
      <c r="AJ460" s="43">
        <f t="shared" si="208"/>
        <v>31703.378368080117</v>
      </c>
      <c r="AK460" s="43">
        <f t="shared" si="209"/>
        <v>28653.977017621772</v>
      </c>
      <c r="AL460" s="43">
        <f t="shared" si="210"/>
        <v>25637.768910503692</v>
      </c>
      <c r="AN460" s="47">
        <f t="shared" si="211"/>
        <v>5606.4162043912111</v>
      </c>
      <c r="AO460" s="47">
        <f t="shared" si="212"/>
        <v>5450.0991983872009</v>
      </c>
      <c r="AP460" s="47">
        <f t="shared" si="213"/>
        <v>4957.48540779214</v>
      </c>
      <c r="AQ460" s="47">
        <f t="shared" si="214"/>
        <v>4625.3700864275424</v>
      </c>
      <c r="AR460" s="43">
        <f t="shared" si="215"/>
        <v>3990.4433257172223</v>
      </c>
      <c r="AS460" s="120"/>
      <c r="AT460" s="120"/>
      <c r="AU460" s="120"/>
      <c r="AV460" s="120"/>
      <c r="AW460" s="120"/>
      <c r="AX460" s="120"/>
    </row>
    <row r="461" spans="1:50" s="89" customFormat="1" ht="13">
      <c r="A461" s="3"/>
      <c r="B461" s="37">
        <f>'13. Desinvesteringen'!B744</f>
        <v>725</v>
      </c>
      <c r="C461" s="331"/>
      <c r="D461" s="331"/>
      <c r="E461" s="331"/>
      <c r="F461" s="42">
        <f>'5. Input GAW-waarde desinv.'!D420</f>
        <v>0</v>
      </c>
      <c r="G461" s="175">
        <f>'13. Desinvesteringen'!D744</f>
        <v>2008</v>
      </c>
      <c r="H461" s="175">
        <f>'13. Desinvesteringen'!G744</f>
        <v>2025</v>
      </c>
      <c r="I461" s="37" t="str">
        <f>'13. Desinvesteringen'!C744</f>
        <v>06 Utiliteitsgebouwen</v>
      </c>
      <c r="J461" s="164">
        <f>'13. Desinvesteringen'!F744</f>
        <v>7000</v>
      </c>
      <c r="K461" s="38">
        <f>_xlfn.XLOOKUP(I461,'3. Input (des)investeringen '!$B$11:$B$89,'3. Input (des)investeringen '!$E$11:$E$89)</f>
        <v>0</v>
      </c>
      <c r="L461" s="331"/>
      <c r="M461" s="38">
        <f>_xlfn.XLOOKUP(I461,'3. Input (des)investeringen '!$B$11:$B$89,'3. Input (des)investeringen '!$D$11:$D$89,0)</f>
        <v>30</v>
      </c>
      <c r="N461" s="38">
        <f t="shared" si="195"/>
        <v>16.5</v>
      </c>
      <c r="P461" s="43">
        <f t="shared" si="194"/>
        <v>0</v>
      </c>
      <c r="Q461" s="43">
        <f t="shared" si="194"/>
        <v>0</v>
      </c>
      <c r="R461" s="43">
        <f t="shared" si="194"/>
        <v>0</v>
      </c>
      <c r="S461" s="43">
        <f t="shared" si="194"/>
        <v>0</v>
      </c>
      <c r="T461" s="43">
        <f t="shared" si="194"/>
        <v>0</v>
      </c>
      <c r="V461" s="43">
        <f t="shared" si="196"/>
        <v>0</v>
      </c>
      <c r="W461" s="43">
        <f t="shared" si="197"/>
        <v>0</v>
      </c>
      <c r="X461" s="43">
        <f t="shared" si="198"/>
        <v>0</v>
      </c>
      <c r="Y461" s="43">
        <f t="shared" si="199"/>
        <v>0</v>
      </c>
      <c r="Z461" s="43">
        <f t="shared" si="200"/>
        <v>0</v>
      </c>
      <c r="AB461" s="43">
        <f t="shared" si="201"/>
        <v>0</v>
      </c>
      <c r="AC461" s="43">
        <f t="shared" si="202"/>
        <v>0</v>
      </c>
      <c r="AD461" s="43">
        <f t="shared" si="203"/>
        <v>0</v>
      </c>
      <c r="AE461" s="43">
        <f t="shared" si="204"/>
        <v>0</v>
      </c>
      <c r="AF461" s="43">
        <f t="shared" si="205"/>
        <v>0</v>
      </c>
      <c r="AH461" s="43">
        <f t="shared" si="206"/>
        <v>0</v>
      </c>
      <c r="AI461" s="43">
        <f t="shared" si="207"/>
        <v>0</v>
      </c>
      <c r="AJ461" s="43">
        <f t="shared" si="208"/>
        <v>0</v>
      </c>
      <c r="AK461" s="43">
        <f t="shared" si="209"/>
        <v>0</v>
      </c>
      <c r="AL461" s="43">
        <f t="shared" si="210"/>
        <v>0</v>
      </c>
      <c r="AN461" s="47">
        <f t="shared" si="211"/>
        <v>0</v>
      </c>
      <c r="AO461" s="47">
        <f t="shared" si="212"/>
        <v>0</v>
      </c>
      <c r="AP461" s="47">
        <f t="shared" si="213"/>
        <v>0</v>
      </c>
      <c r="AQ461" s="47">
        <f t="shared" si="214"/>
        <v>0</v>
      </c>
      <c r="AR461" s="43">
        <f t="shared" si="215"/>
        <v>0</v>
      </c>
      <c r="AS461" s="120"/>
      <c r="AT461" s="120"/>
      <c r="AU461" s="120"/>
      <c r="AV461" s="120"/>
      <c r="AW461" s="120"/>
      <c r="AX461" s="120"/>
    </row>
    <row r="462" spans="1:50" s="89" customFormat="1" ht="13">
      <c r="A462" s="3"/>
      <c r="B462" s="37">
        <f>'13. Desinvesteringen'!B745</f>
        <v>726</v>
      </c>
      <c r="C462" s="331"/>
      <c r="D462" s="331"/>
      <c r="E462" s="331"/>
      <c r="F462" s="42">
        <f>'5. Input GAW-waarde desinv.'!D421</f>
        <v>24946.696009652533</v>
      </c>
      <c r="G462" s="175">
        <f>'13. Desinvesteringen'!D745</f>
        <v>2010</v>
      </c>
      <c r="H462" s="175">
        <f>'13. Desinvesteringen'!G745</f>
        <v>2025</v>
      </c>
      <c r="I462" s="37" t="str">
        <f>'13. Desinvesteringen'!C745</f>
        <v>06 Utiliteitsgebouwen</v>
      </c>
      <c r="J462" s="164">
        <f>'13. Desinvesteringen'!F745</f>
        <v>0</v>
      </c>
      <c r="K462" s="38">
        <f>_xlfn.XLOOKUP(I462,'3. Input (des)investeringen '!$B$11:$B$89,'3. Input (des)investeringen '!$E$11:$E$89)</f>
        <v>0</v>
      </c>
      <c r="L462" s="331"/>
      <c r="M462" s="38">
        <f>_xlfn.XLOOKUP(I462,'3. Input (des)investeringen '!$B$11:$B$89,'3. Input (des)investeringen '!$D$11:$D$89,0)</f>
        <v>30</v>
      </c>
      <c r="N462" s="38">
        <f t="shared" si="195"/>
        <v>18.5</v>
      </c>
      <c r="P462" s="43">
        <f t="shared" si="194"/>
        <v>1577.7099638537009</v>
      </c>
      <c r="Q462" s="43">
        <f t="shared" si="194"/>
        <v>1466.8438582856029</v>
      </c>
      <c r="R462" s="43">
        <f t="shared" si="194"/>
        <v>1363.7683439195876</v>
      </c>
      <c r="S462" s="43">
        <f t="shared" si="194"/>
        <v>1267.9359738063195</v>
      </c>
      <c r="T462" s="43">
        <f t="shared" si="194"/>
        <v>1178.8377702415507</v>
      </c>
      <c r="V462" s="43">
        <f t="shared" si="196"/>
        <v>134.84700545758128</v>
      </c>
      <c r="W462" s="43">
        <f t="shared" si="197"/>
        <v>134.84700545758128</v>
      </c>
      <c r="X462" s="43">
        <f t="shared" si="198"/>
        <v>134.84700545758128</v>
      </c>
      <c r="Y462" s="43">
        <f t="shared" si="199"/>
        <v>134.84700545758128</v>
      </c>
      <c r="Z462" s="43">
        <f t="shared" si="200"/>
        <v>134.84700545758128</v>
      </c>
      <c r="AB462" s="43">
        <f t="shared" si="201"/>
        <v>1712.556969311282</v>
      </c>
      <c r="AC462" s="43">
        <f t="shared" si="202"/>
        <v>1601.6908637431841</v>
      </c>
      <c r="AD462" s="43">
        <f t="shared" si="203"/>
        <v>1498.6153493771687</v>
      </c>
      <c r="AE462" s="43">
        <f t="shared" si="204"/>
        <v>1402.7829792639006</v>
      </c>
      <c r="AF462" s="43">
        <f t="shared" si="205"/>
        <v>1313.6847756991319</v>
      </c>
      <c r="AH462" s="43">
        <f t="shared" si="206"/>
        <v>23234.139040341252</v>
      </c>
      <c r="AI462" s="43">
        <f t="shared" si="207"/>
        <v>21632.448176598067</v>
      </c>
      <c r="AJ462" s="43">
        <f t="shared" si="208"/>
        <v>20133.8328272209</v>
      </c>
      <c r="AK462" s="43">
        <f t="shared" si="209"/>
        <v>18731.049847956998</v>
      </c>
      <c r="AL462" s="43">
        <f t="shared" si="210"/>
        <v>17417.365072257868</v>
      </c>
      <c r="AN462" s="47">
        <f t="shared" si="211"/>
        <v>2665.1566699652735</v>
      </c>
      <c r="AO462" s="47">
        <f t="shared" si="212"/>
        <v>2704.9457207496853</v>
      </c>
      <c r="AP462" s="47">
        <f t="shared" si="213"/>
        <v>2525.4408235654346</v>
      </c>
      <c r="AQ462" s="47">
        <f t="shared" si="214"/>
        <v>2432.9907209015355</v>
      </c>
      <c r="AR462" s="43">
        <f t="shared" si="215"/>
        <v>1975.5446484449308</v>
      </c>
      <c r="AS462" s="120"/>
      <c r="AT462" s="120"/>
      <c r="AU462" s="120"/>
      <c r="AV462" s="120"/>
      <c r="AW462" s="120"/>
      <c r="AX462" s="120"/>
    </row>
    <row r="463" spans="1:50" s="89" customFormat="1" ht="13">
      <c r="A463" s="3"/>
      <c r="B463" s="37">
        <f>'13. Desinvesteringen'!B746</f>
        <v>727</v>
      </c>
      <c r="C463" s="331"/>
      <c r="D463" s="331"/>
      <c r="E463" s="331"/>
      <c r="F463" s="42">
        <f>'5. Input GAW-waarde desinv.'!D422</f>
        <v>0</v>
      </c>
      <c r="G463" s="175">
        <f>'13. Desinvesteringen'!D746</f>
        <v>1970</v>
      </c>
      <c r="H463" s="175">
        <f>'13. Desinvesteringen'!G746</f>
        <v>2025</v>
      </c>
      <c r="I463" s="37" t="str">
        <f>'13. Desinvesteringen'!C746</f>
        <v>08 Inrichting gebouwen</v>
      </c>
      <c r="J463" s="164">
        <f>'13. Desinvesteringen'!F746</f>
        <v>0</v>
      </c>
      <c r="K463" s="38">
        <f>_xlfn.XLOOKUP(I463,'3. Input (des)investeringen '!$B$11:$B$89,'3. Input (des)investeringen '!$E$11:$E$89)</f>
        <v>0</v>
      </c>
      <c r="L463" s="331"/>
      <c r="M463" s="38">
        <f>_xlfn.XLOOKUP(I463,'3. Input (des)investeringen '!$B$11:$B$89,'3. Input (des)investeringen '!$D$11:$D$89,0)</f>
        <v>10</v>
      </c>
      <c r="N463" s="38">
        <f t="shared" si="195"/>
        <v>0</v>
      </c>
      <c r="P463" s="43">
        <f t="shared" si="194"/>
        <v>0</v>
      </c>
      <c r="Q463" s="43">
        <f t="shared" si="194"/>
        <v>0</v>
      </c>
      <c r="R463" s="43">
        <f t="shared" si="194"/>
        <v>0</v>
      </c>
      <c r="S463" s="43">
        <f t="shared" si="194"/>
        <v>0</v>
      </c>
      <c r="T463" s="43">
        <f t="shared" si="194"/>
        <v>0</v>
      </c>
      <c r="V463" s="43">
        <f t="shared" si="196"/>
        <v>0</v>
      </c>
      <c r="W463" s="43">
        <f t="shared" si="197"/>
        <v>0</v>
      </c>
      <c r="X463" s="43">
        <f t="shared" si="198"/>
        <v>0</v>
      </c>
      <c r="Y463" s="43">
        <f t="shared" si="199"/>
        <v>0</v>
      </c>
      <c r="Z463" s="43">
        <f t="shared" si="200"/>
        <v>0</v>
      </c>
      <c r="AB463" s="43">
        <f t="shared" si="201"/>
        <v>0</v>
      </c>
      <c r="AC463" s="43">
        <f t="shared" si="202"/>
        <v>0</v>
      </c>
      <c r="AD463" s="43">
        <f t="shared" si="203"/>
        <v>0</v>
      </c>
      <c r="AE463" s="43">
        <f t="shared" si="204"/>
        <v>0</v>
      </c>
      <c r="AF463" s="43">
        <f t="shared" si="205"/>
        <v>0</v>
      </c>
      <c r="AH463" s="43">
        <f t="shared" si="206"/>
        <v>0</v>
      </c>
      <c r="AI463" s="43">
        <f t="shared" si="207"/>
        <v>0</v>
      </c>
      <c r="AJ463" s="43">
        <f t="shared" si="208"/>
        <v>0</v>
      </c>
      <c r="AK463" s="43">
        <f t="shared" si="209"/>
        <v>0</v>
      </c>
      <c r="AL463" s="43">
        <f t="shared" si="210"/>
        <v>0</v>
      </c>
      <c r="AN463" s="47">
        <f t="shared" si="211"/>
        <v>0</v>
      </c>
      <c r="AO463" s="47">
        <f t="shared" si="212"/>
        <v>0</v>
      </c>
      <c r="AP463" s="47">
        <f t="shared" si="213"/>
        <v>0</v>
      </c>
      <c r="AQ463" s="47">
        <f t="shared" si="214"/>
        <v>0</v>
      </c>
      <c r="AR463" s="43">
        <f t="shared" si="215"/>
        <v>0</v>
      </c>
      <c r="AS463" s="120"/>
      <c r="AT463" s="120"/>
      <c r="AU463" s="120"/>
      <c r="AV463" s="120"/>
      <c r="AW463" s="120"/>
      <c r="AX463" s="120"/>
    </row>
    <row r="464" spans="1:50" s="89" customFormat="1" ht="13">
      <c r="A464" s="3"/>
      <c r="B464" s="37">
        <f>'13. Desinvesteringen'!B747</f>
        <v>728</v>
      </c>
      <c r="C464" s="331"/>
      <c r="D464" s="331"/>
      <c r="E464" s="331"/>
      <c r="F464" s="42">
        <f>'5. Input GAW-waarde desinv.'!D423</f>
        <v>0</v>
      </c>
      <c r="G464" s="175">
        <f>'13. Desinvesteringen'!D747</f>
        <v>1970</v>
      </c>
      <c r="H464" s="175">
        <f>'13. Desinvesteringen'!G747</f>
        <v>2025</v>
      </c>
      <c r="I464" s="37" t="str">
        <f>'13. Desinvesteringen'!C747</f>
        <v>15 Compressorstations (KC)</v>
      </c>
      <c r="J464" s="164">
        <f>'13. Desinvesteringen'!F747</f>
        <v>0</v>
      </c>
      <c r="K464" s="38">
        <f>_xlfn.XLOOKUP(I464,'3. Input (des)investeringen '!$B$11:$B$89,'3. Input (des)investeringen '!$E$11:$E$89)</f>
        <v>0</v>
      </c>
      <c r="L464" s="331"/>
      <c r="M464" s="38">
        <f>_xlfn.XLOOKUP(I464,'3. Input (des)investeringen '!$B$11:$B$89,'3. Input (des)investeringen '!$D$11:$D$89,0)</f>
        <v>30</v>
      </c>
      <c r="N464" s="38">
        <f t="shared" si="195"/>
        <v>0</v>
      </c>
      <c r="P464" s="43">
        <f t="shared" si="194"/>
        <v>0</v>
      </c>
      <c r="Q464" s="43">
        <f t="shared" si="194"/>
        <v>0</v>
      </c>
      <c r="R464" s="43">
        <f t="shared" si="194"/>
        <v>0</v>
      </c>
      <c r="S464" s="43">
        <f t="shared" si="194"/>
        <v>0</v>
      </c>
      <c r="T464" s="43">
        <f t="shared" si="194"/>
        <v>0</v>
      </c>
      <c r="V464" s="43">
        <f t="shared" si="196"/>
        <v>0</v>
      </c>
      <c r="W464" s="43">
        <f t="shared" si="197"/>
        <v>0</v>
      </c>
      <c r="X464" s="43">
        <f t="shared" si="198"/>
        <v>0</v>
      </c>
      <c r="Y464" s="43">
        <f t="shared" si="199"/>
        <v>0</v>
      </c>
      <c r="Z464" s="43">
        <f t="shared" si="200"/>
        <v>0</v>
      </c>
      <c r="AB464" s="43">
        <f t="shared" si="201"/>
        <v>0</v>
      </c>
      <c r="AC464" s="43">
        <f t="shared" si="202"/>
        <v>0</v>
      </c>
      <c r="AD464" s="43">
        <f t="shared" si="203"/>
        <v>0</v>
      </c>
      <c r="AE464" s="43">
        <f t="shared" si="204"/>
        <v>0</v>
      </c>
      <c r="AF464" s="43">
        <f t="shared" si="205"/>
        <v>0</v>
      </c>
      <c r="AH464" s="43">
        <f t="shared" si="206"/>
        <v>0</v>
      </c>
      <c r="AI464" s="43">
        <f t="shared" si="207"/>
        <v>0</v>
      </c>
      <c r="AJ464" s="43">
        <f t="shared" si="208"/>
        <v>0</v>
      </c>
      <c r="AK464" s="43">
        <f t="shared" si="209"/>
        <v>0</v>
      </c>
      <c r="AL464" s="43">
        <f t="shared" si="210"/>
        <v>0</v>
      </c>
      <c r="AN464" s="47">
        <f t="shared" si="211"/>
        <v>0</v>
      </c>
      <c r="AO464" s="47">
        <f t="shared" si="212"/>
        <v>0</v>
      </c>
      <c r="AP464" s="47">
        <f t="shared" si="213"/>
        <v>0</v>
      </c>
      <c r="AQ464" s="47">
        <f t="shared" si="214"/>
        <v>0</v>
      </c>
      <c r="AR464" s="43">
        <f t="shared" si="215"/>
        <v>0</v>
      </c>
      <c r="AS464" s="120"/>
      <c r="AT464" s="120"/>
      <c r="AU464" s="120"/>
      <c r="AV464" s="120"/>
      <c r="AW464" s="120"/>
      <c r="AX464" s="120"/>
    </row>
    <row r="465" spans="1:50" s="89" customFormat="1" ht="13">
      <c r="A465" s="3"/>
      <c r="B465" s="37">
        <f>'13. Desinvesteringen'!B748</f>
        <v>729</v>
      </c>
      <c r="C465" s="331"/>
      <c r="D465" s="331"/>
      <c r="E465" s="331"/>
      <c r="F465" s="42">
        <f>'5. Input GAW-waarde desinv.'!D424</f>
        <v>0</v>
      </c>
      <c r="G465" s="175">
        <f>'13. Desinvesteringen'!D748</f>
        <v>1971</v>
      </c>
      <c r="H465" s="175">
        <f>'13. Desinvesteringen'!G748</f>
        <v>2025</v>
      </c>
      <c r="I465" s="37" t="str">
        <f>'13. Desinvesteringen'!C748</f>
        <v>15 Compressorstations (KC)</v>
      </c>
      <c r="J465" s="164">
        <f>'13. Desinvesteringen'!F748</f>
        <v>0</v>
      </c>
      <c r="K465" s="38">
        <f>_xlfn.XLOOKUP(I465,'3. Input (des)investeringen '!$B$11:$B$89,'3. Input (des)investeringen '!$E$11:$E$89)</f>
        <v>0</v>
      </c>
      <c r="L465" s="331"/>
      <c r="M465" s="38">
        <f>_xlfn.XLOOKUP(I465,'3. Input (des)investeringen '!$B$11:$B$89,'3. Input (des)investeringen '!$D$11:$D$89,0)</f>
        <v>30</v>
      </c>
      <c r="N465" s="38">
        <f t="shared" si="195"/>
        <v>0</v>
      </c>
      <c r="P465" s="43">
        <f t="shared" si="194"/>
        <v>0</v>
      </c>
      <c r="Q465" s="43">
        <f t="shared" si="194"/>
        <v>0</v>
      </c>
      <c r="R465" s="43">
        <f t="shared" si="194"/>
        <v>0</v>
      </c>
      <c r="S465" s="43">
        <f t="shared" si="194"/>
        <v>0</v>
      </c>
      <c r="T465" s="43">
        <f t="shared" si="194"/>
        <v>0</v>
      </c>
      <c r="V465" s="43">
        <f t="shared" si="196"/>
        <v>0</v>
      </c>
      <c r="W465" s="43">
        <f t="shared" si="197"/>
        <v>0</v>
      </c>
      <c r="X465" s="43">
        <f t="shared" si="198"/>
        <v>0</v>
      </c>
      <c r="Y465" s="43">
        <f t="shared" si="199"/>
        <v>0</v>
      </c>
      <c r="Z465" s="43">
        <f t="shared" si="200"/>
        <v>0</v>
      </c>
      <c r="AB465" s="43">
        <f t="shared" si="201"/>
        <v>0</v>
      </c>
      <c r="AC465" s="43">
        <f t="shared" si="202"/>
        <v>0</v>
      </c>
      <c r="AD465" s="43">
        <f t="shared" si="203"/>
        <v>0</v>
      </c>
      <c r="AE465" s="43">
        <f t="shared" si="204"/>
        <v>0</v>
      </c>
      <c r="AF465" s="43">
        <f t="shared" si="205"/>
        <v>0</v>
      </c>
      <c r="AH465" s="43">
        <f t="shared" si="206"/>
        <v>0</v>
      </c>
      <c r="AI465" s="43">
        <f t="shared" si="207"/>
        <v>0</v>
      </c>
      <c r="AJ465" s="43">
        <f t="shared" si="208"/>
        <v>0</v>
      </c>
      <c r="AK465" s="43">
        <f t="shared" si="209"/>
        <v>0</v>
      </c>
      <c r="AL465" s="43">
        <f t="shared" si="210"/>
        <v>0</v>
      </c>
      <c r="AN465" s="47">
        <f t="shared" si="211"/>
        <v>0</v>
      </c>
      <c r="AO465" s="47">
        <f t="shared" si="212"/>
        <v>0</v>
      </c>
      <c r="AP465" s="47">
        <f t="shared" si="213"/>
        <v>0</v>
      </c>
      <c r="AQ465" s="47">
        <f t="shared" si="214"/>
        <v>0</v>
      </c>
      <c r="AR465" s="43">
        <f t="shared" si="215"/>
        <v>0</v>
      </c>
      <c r="AS465" s="120"/>
      <c r="AT465" s="120"/>
      <c r="AU465" s="120"/>
      <c r="AV465" s="120"/>
      <c r="AW465" s="120"/>
      <c r="AX465" s="120"/>
    </row>
    <row r="466" spans="1:50" s="89" customFormat="1" ht="13">
      <c r="A466" s="3"/>
      <c r="B466" s="37">
        <f>'13. Desinvesteringen'!B749</f>
        <v>730</v>
      </c>
      <c r="C466" s="331"/>
      <c r="D466" s="331"/>
      <c r="E466" s="331"/>
      <c r="F466" s="42">
        <f>'5. Input GAW-waarde desinv.'!D425</f>
        <v>0</v>
      </c>
      <c r="G466" s="175">
        <f>'13. Desinvesteringen'!D749</f>
        <v>1972</v>
      </c>
      <c r="H466" s="175">
        <f>'13. Desinvesteringen'!G749</f>
        <v>2025</v>
      </c>
      <c r="I466" s="37" t="str">
        <f>'13. Desinvesteringen'!C749</f>
        <v>15 Compressorstations (KC)</v>
      </c>
      <c r="J466" s="164">
        <f>'13. Desinvesteringen'!F749</f>
        <v>0</v>
      </c>
      <c r="K466" s="38">
        <f>_xlfn.XLOOKUP(I466,'3. Input (des)investeringen '!$B$11:$B$89,'3. Input (des)investeringen '!$E$11:$E$89)</f>
        <v>0</v>
      </c>
      <c r="L466" s="331"/>
      <c r="M466" s="38">
        <f>_xlfn.XLOOKUP(I466,'3. Input (des)investeringen '!$B$11:$B$89,'3. Input (des)investeringen '!$D$11:$D$89,0)</f>
        <v>30</v>
      </c>
      <c r="N466" s="38">
        <f t="shared" si="195"/>
        <v>0</v>
      </c>
      <c r="P466" s="43">
        <f t="shared" si="194"/>
        <v>0</v>
      </c>
      <c r="Q466" s="43">
        <f t="shared" si="194"/>
        <v>0</v>
      </c>
      <c r="R466" s="43">
        <f t="shared" si="194"/>
        <v>0</v>
      </c>
      <c r="S466" s="43">
        <f t="shared" si="194"/>
        <v>0</v>
      </c>
      <c r="T466" s="43">
        <f t="shared" si="194"/>
        <v>0</v>
      </c>
      <c r="V466" s="43">
        <f t="shared" si="196"/>
        <v>0</v>
      </c>
      <c r="W466" s="43">
        <f t="shared" si="197"/>
        <v>0</v>
      </c>
      <c r="X466" s="43">
        <f t="shared" si="198"/>
        <v>0</v>
      </c>
      <c r="Y466" s="43">
        <f t="shared" si="199"/>
        <v>0</v>
      </c>
      <c r="Z466" s="43">
        <f t="shared" si="200"/>
        <v>0</v>
      </c>
      <c r="AB466" s="43">
        <f t="shared" si="201"/>
        <v>0</v>
      </c>
      <c r="AC466" s="43">
        <f t="shared" si="202"/>
        <v>0</v>
      </c>
      <c r="AD466" s="43">
        <f t="shared" si="203"/>
        <v>0</v>
      </c>
      <c r="AE466" s="43">
        <f t="shared" si="204"/>
        <v>0</v>
      </c>
      <c r="AF466" s="43">
        <f t="shared" si="205"/>
        <v>0</v>
      </c>
      <c r="AH466" s="43">
        <f t="shared" si="206"/>
        <v>0</v>
      </c>
      <c r="AI466" s="43">
        <f t="shared" si="207"/>
        <v>0</v>
      </c>
      <c r="AJ466" s="43">
        <f t="shared" si="208"/>
        <v>0</v>
      </c>
      <c r="AK466" s="43">
        <f t="shared" si="209"/>
        <v>0</v>
      </c>
      <c r="AL466" s="43">
        <f t="shared" si="210"/>
        <v>0</v>
      </c>
      <c r="AN466" s="47">
        <f t="shared" si="211"/>
        <v>0</v>
      </c>
      <c r="AO466" s="47">
        <f t="shared" si="212"/>
        <v>0</v>
      </c>
      <c r="AP466" s="47">
        <f t="shared" si="213"/>
        <v>0</v>
      </c>
      <c r="AQ466" s="47">
        <f t="shared" si="214"/>
        <v>0</v>
      </c>
      <c r="AR466" s="43">
        <f t="shared" si="215"/>
        <v>0</v>
      </c>
      <c r="AS466" s="120"/>
      <c r="AT466" s="120"/>
      <c r="AU466" s="120"/>
      <c r="AV466" s="120"/>
      <c r="AW466" s="120"/>
      <c r="AX466" s="120"/>
    </row>
    <row r="467" spans="1:50" s="89" customFormat="1" ht="13">
      <c r="A467" s="3"/>
      <c r="B467" s="37">
        <f>'13. Desinvesteringen'!B750</f>
        <v>731</v>
      </c>
      <c r="C467" s="331"/>
      <c r="D467" s="331"/>
      <c r="E467" s="331"/>
      <c r="F467" s="42">
        <f>'5. Input GAW-waarde desinv.'!D426</f>
        <v>23561</v>
      </c>
      <c r="G467" s="175">
        <f>'13. Desinvesteringen'!D750</f>
        <v>2010</v>
      </c>
      <c r="H467" s="175">
        <f>'13. Desinvesteringen'!G750</f>
        <v>2025</v>
      </c>
      <c r="I467" s="37" t="str">
        <f>'13. Desinvesteringen'!C750</f>
        <v>15 Compressorstations (KC)</v>
      </c>
      <c r="J467" s="164">
        <f>'13. Desinvesteringen'!F750</f>
        <v>0</v>
      </c>
      <c r="K467" s="38">
        <f>_xlfn.XLOOKUP(I467,'3. Input (des)investeringen '!$B$11:$B$89,'3. Input (des)investeringen '!$E$11:$E$89)</f>
        <v>0</v>
      </c>
      <c r="L467" s="331"/>
      <c r="M467" s="38">
        <f>_xlfn.XLOOKUP(I467,'3. Input (des)investeringen '!$B$11:$B$89,'3. Input (des)investeringen '!$D$11:$D$89,0)</f>
        <v>30</v>
      </c>
      <c r="N467" s="38">
        <f t="shared" si="195"/>
        <v>18.5</v>
      </c>
      <c r="P467" s="43">
        <f t="shared" si="194"/>
        <v>1490.0740540540542</v>
      </c>
      <c r="Q467" s="43">
        <f t="shared" si="194"/>
        <v>1385.3661475529584</v>
      </c>
      <c r="R467" s="43">
        <f t="shared" si="194"/>
        <v>1288.0160939411289</v>
      </c>
      <c r="S467" s="43">
        <f t="shared" si="194"/>
        <v>1197.5068549074279</v>
      </c>
      <c r="T467" s="43">
        <f t="shared" si="194"/>
        <v>1113.3577245625816</v>
      </c>
      <c r="V467" s="43">
        <f t="shared" si="196"/>
        <v>127.35675675675678</v>
      </c>
      <c r="W467" s="43">
        <f t="shared" si="197"/>
        <v>127.35675675675678</v>
      </c>
      <c r="X467" s="43">
        <f t="shared" si="198"/>
        <v>127.35675675675678</v>
      </c>
      <c r="Y467" s="43">
        <f t="shared" si="199"/>
        <v>127.35675675675678</v>
      </c>
      <c r="Z467" s="43">
        <f t="shared" si="200"/>
        <v>127.35675675675678</v>
      </c>
      <c r="AB467" s="43">
        <f t="shared" si="201"/>
        <v>1617.430810810811</v>
      </c>
      <c r="AC467" s="43">
        <f t="shared" si="202"/>
        <v>1512.7229043097152</v>
      </c>
      <c r="AD467" s="43">
        <f t="shared" si="203"/>
        <v>1415.3728506978857</v>
      </c>
      <c r="AE467" s="43">
        <f t="shared" si="204"/>
        <v>1324.8636116641846</v>
      </c>
      <c r="AF467" s="43">
        <f t="shared" si="205"/>
        <v>1240.7144813193383</v>
      </c>
      <c r="AH467" s="43">
        <f t="shared" si="206"/>
        <v>21943.569189189187</v>
      </c>
      <c r="AI467" s="43">
        <f t="shared" si="207"/>
        <v>20430.846284879473</v>
      </c>
      <c r="AJ467" s="43">
        <f t="shared" si="208"/>
        <v>19015.473434181589</v>
      </c>
      <c r="AK467" s="43">
        <f t="shared" si="209"/>
        <v>17690.609822517406</v>
      </c>
      <c r="AL467" s="43">
        <f t="shared" si="210"/>
        <v>16449.895341198069</v>
      </c>
      <c r="AN467" s="47">
        <f t="shared" si="211"/>
        <v>2517.1171475675678</v>
      </c>
      <c r="AO467" s="47">
        <f t="shared" si="212"/>
        <v>2554.6960648385684</v>
      </c>
      <c r="AP467" s="47">
        <f t="shared" si="213"/>
        <v>2385.1619958411466</v>
      </c>
      <c r="AQ467" s="47">
        <f t="shared" si="214"/>
        <v>2297.8471519026421</v>
      </c>
      <c r="AR467" s="43">
        <f t="shared" si="215"/>
        <v>1865.8105042848649</v>
      </c>
      <c r="AS467" s="120"/>
      <c r="AT467" s="120"/>
      <c r="AU467" s="120"/>
      <c r="AV467" s="120"/>
      <c r="AW467" s="120"/>
      <c r="AX467" s="120"/>
    </row>
    <row r="468" spans="1:50" s="89" customFormat="1" ht="13">
      <c r="A468" s="3"/>
      <c r="B468" s="37">
        <f>'13. Desinvesteringen'!B751</f>
        <v>732</v>
      </c>
      <c r="C468" s="331"/>
      <c r="D468" s="331"/>
      <c r="E468" s="331"/>
      <c r="F468" s="42">
        <f>'5. Input GAW-waarde desinv.'!D427</f>
        <v>0</v>
      </c>
      <c r="G468" s="175">
        <f>'13. Desinvesteringen'!D751</f>
        <v>1970</v>
      </c>
      <c r="H468" s="175">
        <f>'13. Desinvesteringen'!G751</f>
        <v>2025</v>
      </c>
      <c r="I468" s="37" t="str">
        <f>'13. Desinvesteringen'!C751</f>
        <v>15 Compressorstations (TT-BT-AT)</v>
      </c>
      <c r="J468" s="164">
        <f>'13. Desinvesteringen'!F751</f>
        <v>0</v>
      </c>
      <c r="K468" s="38">
        <f>_xlfn.XLOOKUP(I468,'3. Input (des)investeringen '!$B$11:$B$89,'3. Input (des)investeringen '!$E$11:$E$89)</f>
        <v>1</v>
      </c>
      <c r="L468" s="331"/>
      <c r="M468" s="38">
        <f>_xlfn.XLOOKUP(I468,'3. Input (des)investeringen '!$B$11:$B$89,'3. Input (des)investeringen '!$D$11:$D$89,0)</f>
        <v>30</v>
      </c>
      <c r="N468" s="38">
        <f t="shared" si="195"/>
        <v>0</v>
      </c>
      <c r="P468" s="43">
        <f t="shared" si="194"/>
        <v>0</v>
      </c>
      <c r="Q468" s="43">
        <f t="shared" si="194"/>
        <v>0</v>
      </c>
      <c r="R468" s="43">
        <f t="shared" si="194"/>
        <v>0</v>
      </c>
      <c r="S468" s="43">
        <f t="shared" si="194"/>
        <v>0</v>
      </c>
      <c r="T468" s="43">
        <f t="shared" si="194"/>
        <v>0</v>
      </c>
      <c r="V468" s="43">
        <f t="shared" si="196"/>
        <v>0</v>
      </c>
      <c r="W468" s="43">
        <f t="shared" si="197"/>
        <v>0</v>
      </c>
      <c r="X468" s="43">
        <f t="shared" si="198"/>
        <v>0</v>
      </c>
      <c r="Y468" s="43">
        <f t="shared" si="199"/>
        <v>0</v>
      </c>
      <c r="Z468" s="43">
        <f t="shared" si="200"/>
        <v>0</v>
      </c>
      <c r="AB468" s="43">
        <f t="shared" si="201"/>
        <v>0</v>
      </c>
      <c r="AC468" s="43">
        <f t="shared" si="202"/>
        <v>0</v>
      </c>
      <c r="AD468" s="43">
        <f t="shared" si="203"/>
        <v>0</v>
      </c>
      <c r="AE468" s="43">
        <f t="shared" si="204"/>
        <v>0</v>
      </c>
      <c r="AF468" s="43">
        <f t="shared" si="205"/>
        <v>0</v>
      </c>
      <c r="AH468" s="43">
        <f t="shared" si="206"/>
        <v>0</v>
      </c>
      <c r="AI468" s="43">
        <f t="shared" si="207"/>
        <v>0</v>
      </c>
      <c r="AJ468" s="43">
        <f t="shared" si="208"/>
        <v>0</v>
      </c>
      <c r="AK468" s="43">
        <f t="shared" si="209"/>
        <v>0</v>
      </c>
      <c r="AL468" s="43">
        <f t="shared" si="210"/>
        <v>0</v>
      </c>
      <c r="AN468" s="47">
        <f t="shared" si="211"/>
        <v>0</v>
      </c>
      <c r="AO468" s="47">
        <f t="shared" si="212"/>
        <v>0</v>
      </c>
      <c r="AP468" s="47">
        <f t="shared" si="213"/>
        <v>0</v>
      </c>
      <c r="AQ468" s="47">
        <f t="shared" si="214"/>
        <v>0</v>
      </c>
      <c r="AR468" s="43">
        <f t="shared" si="215"/>
        <v>0</v>
      </c>
      <c r="AS468" s="120"/>
      <c r="AT468" s="120"/>
      <c r="AU468" s="120"/>
      <c r="AV468" s="120"/>
      <c r="AW468" s="120"/>
      <c r="AX468" s="120"/>
    </row>
    <row r="469" spans="1:50" s="89" customFormat="1" ht="13">
      <c r="A469" s="3"/>
      <c r="B469" s="37">
        <f>'13. Desinvesteringen'!B752</f>
        <v>733</v>
      </c>
      <c r="C469" s="331"/>
      <c r="D469" s="331"/>
      <c r="E469" s="331"/>
      <c r="F469" s="42">
        <f>'5. Input GAW-waarde desinv.'!D428</f>
        <v>0</v>
      </c>
      <c r="G469" s="175">
        <f>'13. Desinvesteringen'!D752</f>
        <v>1971</v>
      </c>
      <c r="H469" s="175">
        <f>'13. Desinvesteringen'!G752</f>
        <v>2025</v>
      </c>
      <c r="I469" s="37" t="str">
        <f>'13. Desinvesteringen'!C752</f>
        <v>15 Compressorstations (TT-BT-AT)</v>
      </c>
      <c r="J469" s="164">
        <f>'13. Desinvesteringen'!F752</f>
        <v>0</v>
      </c>
      <c r="K469" s="38">
        <f>_xlfn.XLOOKUP(I469,'3. Input (des)investeringen '!$B$11:$B$89,'3. Input (des)investeringen '!$E$11:$E$89)</f>
        <v>1</v>
      </c>
      <c r="L469" s="331"/>
      <c r="M469" s="38">
        <f>_xlfn.XLOOKUP(I469,'3. Input (des)investeringen '!$B$11:$B$89,'3. Input (des)investeringen '!$D$11:$D$89,0)</f>
        <v>30</v>
      </c>
      <c r="N469" s="38">
        <f t="shared" si="195"/>
        <v>0</v>
      </c>
      <c r="P469" s="43">
        <f t="shared" si="194"/>
        <v>0</v>
      </c>
      <c r="Q469" s="43">
        <f t="shared" si="194"/>
        <v>0</v>
      </c>
      <c r="R469" s="43">
        <f t="shared" si="194"/>
        <v>0</v>
      </c>
      <c r="S469" s="43">
        <f t="shared" si="194"/>
        <v>0</v>
      </c>
      <c r="T469" s="43">
        <f t="shared" si="194"/>
        <v>0</v>
      </c>
      <c r="V469" s="43">
        <f t="shared" si="196"/>
        <v>0</v>
      </c>
      <c r="W469" s="43">
        <f t="shared" si="197"/>
        <v>0</v>
      </c>
      <c r="X469" s="43">
        <f t="shared" si="198"/>
        <v>0</v>
      </c>
      <c r="Y469" s="43">
        <f t="shared" si="199"/>
        <v>0</v>
      </c>
      <c r="Z469" s="43">
        <f t="shared" si="200"/>
        <v>0</v>
      </c>
      <c r="AB469" s="43">
        <f t="shared" si="201"/>
        <v>0</v>
      </c>
      <c r="AC469" s="43">
        <f t="shared" si="202"/>
        <v>0</v>
      </c>
      <c r="AD469" s="43">
        <f t="shared" si="203"/>
        <v>0</v>
      </c>
      <c r="AE469" s="43">
        <f t="shared" si="204"/>
        <v>0</v>
      </c>
      <c r="AF469" s="43">
        <f t="shared" si="205"/>
        <v>0</v>
      </c>
      <c r="AH469" s="43">
        <f t="shared" si="206"/>
        <v>0</v>
      </c>
      <c r="AI469" s="43">
        <f t="shared" si="207"/>
        <v>0</v>
      </c>
      <c r="AJ469" s="43">
        <f t="shared" si="208"/>
        <v>0</v>
      </c>
      <c r="AK469" s="43">
        <f t="shared" si="209"/>
        <v>0</v>
      </c>
      <c r="AL469" s="43">
        <f t="shared" si="210"/>
        <v>0</v>
      </c>
      <c r="AN469" s="47">
        <f t="shared" si="211"/>
        <v>0</v>
      </c>
      <c r="AO469" s="47">
        <f t="shared" si="212"/>
        <v>0</v>
      </c>
      <c r="AP469" s="47">
        <f t="shared" si="213"/>
        <v>0</v>
      </c>
      <c r="AQ469" s="47">
        <f t="shared" si="214"/>
        <v>0</v>
      </c>
      <c r="AR469" s="43">
        <f t="shared" si="215"/>
        <v>0</v>
      </c>
      <c r="AS469" s="120"/>
      <c r="AT469" s="120"/>
      <c r="AU469" s="120"/>
      <c r="AV469" s="120"/>
      <c r="AW469" s="120"/>
      <c r="AX469" s="120"/>
    </row>
    <row r="470" spans="1:50" s="89" customFormat="1" ht="13">
      <c r="A470" s="3"/>
      <c r="B470" s="37">
        <f>'13. Desinvesteringen'!B753</f>
        <v>734</v>
      </c>
      <c r="C470" s="331"/>
      <c r="D470" s="331"/>
      <c r="E470" s="331"/>
      <c r="F470" s="42">
        <f>'5. Input GAW-waarde desinv.'!D429</f>
        <v>0</v>
      </c>
      <c r="G470" s="175">
        <f>'13. Desinvesteringen'!D753</f>
        <v>1972</v>
      </c>
      <c r="H470" s="175">
        <f>'13. Desinvesteringen'!G753</f>
        <v>2025</v>
      </c>
      <c r="I470" s="37" t="str">
        <f>'13. Desinvesteringen'!C753</f>
        <v>15 Compressorstations (TT-BT-AT)</v>
      </c>
      <c r="J470" s="164">
        <f>'13. Desinvesteringen'!F753</f>
        <v>0</v>
      </c>
      <c r="K470" s="38">
        <f>_xlfn.XLOOKUP(I470,'3. Input (des)investeringen '!$B$11:$B$89,'3. Input (des)investeringen '!$E$11:$E$89)</f>
        <v>1</v>
      </c>
      <c r="L470" s="331"/>
      <c r="M470" s="38">
        <f>_xlfn.XLOOKUP(I470,'3. Input (des)investeringen '!$B$11:$B$89,'3. Input (des)investeringen '!$D$11:$D$89,0)</f>
        <v>30</v>
      </c>
      <c r="N470" s="38">
        <f t="shared" si="195"/>
        <v>0</v>
      </c>
      <c r="P470" s="43">
        <f t="shared" si="194"/>
        <v>0</v>
      </c>
      <c r="Q470" s="43">
        <f t="shared" si="194"/>
        <v>0</v>
      </c>
      <c r="R470" s="43">
        <f t="shared" si="194"/>
        <v>0</v>
      </c>
      <c r="S470" s="43">
        <f t="shared" si="194"/>
        <v>0</v>
      </c>
      <c r="T470" s="43">
        <f t="shared" si="194"/>
        <v>0</v>
      </c>
      <c r="V470" s="43">
        <f t="shared" si="196"/>
        <v>0</v>
      </c>
      <c r="W470" s="43">
        <f t="shared" si="197"/>
        <v>0</v>
      </c>
      <c r="X470" s="43">
        <f t="shared" si="198"/>
        <v>0</v>
      </c>
      <c r="Y470" s="43">
        <f t="shared" si="199"/>
        <v>0</v>
      </c>
      <c r="Z470" s="43">
        <f t="shared" si="200"/>
        <v>0</v>
      </c>
      <c r="AB470" s="43">
        <f t="shared" si="201"/>
        <v>0</v>
      </c>
      <c r="AC470" s="43">
        <f t="shared" si="202"/>
        <v>0</v>
      </c>
      <c r="AD470" s="43">
        <f t="shared" si="203"/>
        <v>0</v>
      </c>
      <c r="AE470" s="43">
        <f t="shared" si="204"/>
        <v>0</v>
      </c>
      <c r="AF470" s="43">
        <f t="shared" si="205"/>
        <v>0</v>
      </c>
      <c r="AH470" s="43">
        <f t="shared" si="206"/>
        <v>0</v>
      </c>
      <c r="AI470" s="43">
        <f t="shared" si="207"/>
        <v>0</v>
      </c>
      <c r="AJ470" s="43">
        <f t="shared" si="208"/>
        <v>0</v>
      </c>
      <c r="AK470" s="43">
        <f t="shared" si="209"/>
        <v>0</v>
      </c>
      <c r="AL470" s="43">
        <f t="shared" si="210"/>
        <v>0</v>
      </c>
      <c r="AN470" s="47">
        <f t="shared" si="211"/>
        <v>0</v>
      </c>
      <c r="AO470" s="47">
        <f t="shared" si="212"/>
        <v>0</v>
      </c>
      <c r="AP470" s="47">
        <f t="shared" si="213"/>
        <v>0</v>
      </c>
      <c r="AQ470" s="47">
        <f t="shared" si="214"/>
        <v>0</v>
      </c>
      <c r="AR470" s="43">
        <f t="shared" si="215"/>
        <v>0</v>
      </c>
      <c r="AS470" s="120"/>
      <c r="AT470" s="120"/>
      <c r="AU470" s="120"/>
      <c r="AV470" s="120"/>
      <c r="AW470" s="120"/>
      <c r="AX470" s="120"/>
    </row>
    <row r="471" spans="1:50" s="89" customFormat="1" ht="13">
      <c r="A471" s="3"/>
      <c r="B471" s="37">
        <f>'13. Desinvesteringen'!B754</f>
        <v>735</v>
      </c>
      <c r="C471" s="331"/>
      <c r="D471" s="331"/>
      <c r="E471" s="331"/>
      <c r="F471" s="42">
        <f>'5. Input GAW-waarde desinv.'!D430</f>
        <v>323324</v>
      </c>
      <c r="G471" s="175">
        <f>'13. Desinvesteringen'!D754</f>
        <v>2007</v>
      </c>
      <c r="H471" s="175">
        <f>'13. Desinvesteringen'!G754</f>
        <v>2025</v>
      </c>
      <c r="I471" s="37" t="str">
        <f>'13. Desinvesteringen'!C754</f>
        <v>15 Compressorstations (TT-BT-AT)</v>
      </c>
      <c r="J471" s="164">
        <f>'13. Desinvesteringen'!F754</f>
        <v>0</v>
      </c>
      <c r="K471" s="38">
        <f>_xlfn.XLOOKUP(I471,'3. Input (des)investeringen '!$B$11:$B$89,'3. Input (des)investeringen '!$E$11:$E$89)</f>
        <v>1</v>
      </c>
      <c r="L471" s="331"/>
      <c r="M471" s="38">
        <f>_xlfn.XLOOKUP(I471,'3. Input (des)investeringen '!$B$11:$B$89,'3. Input (des)investeringen '!$D$11:$D$89,0)</f>
        <v>30</v>
      </c>
      <c r="N471" s="38">
        <f t="shared" si="195"/>
        <v>15.5</v>
      </c>
      <c r="P471" s="43">
        <f t="shared" si="194"/>
        <v>24405.747096774197</v>
      </c>
      <c r="Q471" s="43">
        <f t="shared" si="194"/>
        <v>22358.813469302815</v>
      </c>
      <c r="R471" s="43">
        <f t="shared" si="194"/>
        <v>20483.558146070962</v>
      </c>
      <c r="S471" s="43">
        <f t="shared" si="194"/>
        <v>18765.582301561786</v>
      </c>
      <c r="T471" s="43">
        <f t="shared" si="194"/>
        <v>17824.165129242629</v>
      </c>
      <c r="V471" s="43">
        <f t="shared" si="196"/>
        <v>2085.9612903225807</v>
      </c>
      <c r="W471" s="43">
        <f t="shared" si="197"/>
        <v>2085.9612903225807</v>
      </c>
      <c r="X471" s="43">
        <f t="shared" si="198"/>
        <v>2085.9612903225807</v>
      </c>
      <c r="Y471" s="43">
        <f t="shared" si="199"/>
        <v>2085.9612903225807</v>
      </c>
      <c r="Z471" s="43">
        <f t="shared" si="200"/>
        <v>2085.9612903225807</v>
      </c>
      <c r="AB471" s="43">
        <f t="shared" si="201"/>
        <v>26491.708387096776</v>
      </c>
      <c r="AC471" s="43">
        <f t="shared" si="202"/>
        <v>24444.774759625398</v>
      </c>
      <c r="AD471" s="43">
        <f t="shared" si="203"/>
        <v>22569.519436393544</v>
      </c>
      <c r="AE471" s="43">
        <f t="shared" si="204"/>
        <v>20851.543591884365</v>
      </c>
      <c r="AF471" s="43">
        <f t="shared" si="205"/>
        <v>19910.126419565211</v>
      </c>
      <c r="AH471" s="43">
        <f t="shared" si="206"/>
        <v>296832.29161290324</v>
      </c>
      <c r="AI471" s="43">
        <f t="shared" si="207"/>
        <v>272387.51685327786</v>
      </c>
      <c r="AJ471" s="43">
        <f t="shared" si="208"/>
        <v>249817.99741688432</v>
      </c>
      <c r="AK471" s="43">
        <f t="shared" si="209"/>
        <v>228966.45382499995</v>
      </c>
      <c r="AL471" s="43">
        <f t="shared" si="210"/>
        <v>209056.32740543474</v>
      </c>
      <c r="AN471" s="47">
        <f t="shared" si="211"/>
        <v>38661.832343225811</v>
      </c>
      <c r="AO471" s="47">
        <f t="shared" si="212"/>
        <v>38336.538119142569</v>
      </c>
      <c r="AP471" s="47">
        <f t="shared" si="213"/>
        <v>35310.237304654642</v>
      </c>
      <c r="AQ471" s="47">
        <f t="shared" si="214"/>
        <v>33444.69855225936</v>
      </c>
      <c r="AR471" s="43">
        <f t="shared" si="215"/>
        <v>27854.266860971729</v>
      </c>
      <c r="AS471" s="120"/>
      <c r="AT471" s="120"/>
      <c r="AU471" s="120"/>
      <c r="AV471" s="120"/>
      <c r="AW471" s="120"/>
      <c r="AX471" s="120"/>
    </row>
    <row r="472" spans="1:50" s="89" customFormat="1" ht="13">
      <c r="A472" s="3"/>
      <c r="B472" s="37">
        <f>'13. Desinvesteringen'!B755</f>
        <v>736</v>
      </c>
      <c r="C472" s="331"/>
      <c r="D472" s="331"/>
      <c r="E472" s="331"/>
      <c r="F472" s="42">
        <f>'5. Input GAW-waarde desinv.'!D431</f>
        <v>744081</v>
      </c>
      <c r="G472" s="175">
        <f>'13. Desinvesteringen'!D755</f>
        <v>2010</v>
      </c>
      <c r="H472" s="175">
        <f>'13. Desinvesteringen'!G755</f>
        <v>2025</v>
      </c>
      <c r="I472" s="37" t="str">
        <f>'13. Desinvesteringen'!C755</f>
        <v>15 Compressorstations (TT-BT-AT)</v>
      </c>
      <c r="J472" s="164">
        <f>'13. Desinvesteringen'!F755</f>
        <v>0</v>
      </c>
      <c r="K472" s="38">
        <f>_xlfn.XLOOKUP(I472,'3. Input (des)investeringen '!$B$11:$B$89,'3. Input (des)investeringen '!$E$11:$E$89)</f>
        <v>1</v>
      </c>
      <c r="L472" s="331"/>
      <c r="M472" s="38">
        <f>_xlfn.XLOOKUP(I472,'3. Input (des)investeringen '!$B$11:$B$89,'3. Input (des)investeringen '!$D$11:$D$89,0)</f>
        <v>30</v>
      </c>
      <c r="N472" s="38">
        <f t="shared" si="195"/>
        <v>18.5</v>
      </c>
      <c r="P472" s="43">
        <f t="shared" si="194"/>
        <v>47058.095675675679</v>
      </c>
      <c r="Q472" s="43">
        <f t="shared" si="194"/>
        <v>43751.310574141709</v>
      </c>
      <c r="R472" s="43">
        <f t="shared" si="194"/>
        <v>40676.894155418246</v>
      </c>
      <c r="S472" s="43">
        <f t="shared" si="194"/>
        <v>37818.517809361831</v>
      </c>
      <c r="T472" s="43">
        <f t="shared" si="194"/>
        <v>35161.00034167694</v>
      </c>
      <c r="V472" s="43">
        <f t="shared" si="196"/>
        <v>4022.0594594594595</v>
      </c>
      <c r="W472" s="43">
        <f t="shared" si="197"/>
        <v>4022.0594594594595</v>
      </c>
      <c r="X472" s="43">
        <f t="shared" si="198"/>
        <v>4022.0594594594595</v>
      </c>
      <c r="Y472" s="43">
        <f t="shared" si="199"/>
        <v>4022.0594594594595</v>
      </c>
      <c r="Z472" s="43">
        <f t="shared" si="200"/>
        <v>4022.0594594594595</v>
      </c>
      <c r="AB472" s="43">
        <f t="shared" si="201"/>
        <v>51080.155135135137</v>
      </c>
      <c r="AC472" s="43">
        <f t="shared" si="202"/>
        <v>47773.370033601168</v>
      </c>
      <c r="AD472" s="43">
        <f t="shared" si="203"/>
        <v>44698.953614877704</v>
      </c>
      <c r="AE472" s="43">
        <f t="shared" si="204"/>
        <v>41840.577268821289</v>
      </c>
      <c r="AF472" s="43">
        <f t="shared" si="205"/>
        <v>39183.059801136398</v>
      </c>
      <c r="AH472" s="43">
        <f t="shared" si="206"/>
        <v>693000.84486486483</v>
      </c>
      <c r="AI472" s="43">
        <f t="shared" si="207"/>
        <v>645227.47483126365</v>
      </c>
      <c r="AJ472" s="43">
        <f t="shared" si="208"/>
        <v>600528.521216386</v>
      </c>
      <c r="AK472" s="43">
        <f t="shared" si="209"/>
        <v>558687.94394756469</v>
      </c>
      <c r="AL472" s="43">
        <f t="shared" si="210"/>
        <v>519504.88414642832</v>
      </c>
      <c r="AN472" s="47">
        <f t="shared" si="211"/>
        <v>79493.18977459459</v>
      </c>
      <c r="AO472" s="47">
        <f t="shared" si="212"/>
        <v>80679.971249995608</v>
      </c>
      <c r="AP472" s="47">
        <f t="shared" si="213"/>
        <v>75325.908196913384</v>
      </c>
      <c r="AQ472" s="47">
        <f t="shared" si="214"/>
        <v>72568.414185937349</v>
      </c>
      <c r="AR472" s="43">
        <f t="shared" si="215"/>
        <v>58924.245398700674</v>
      </c>
      <c r="AS472" s="120"/>
      <c r="AT472" s="120"/>
      <c r="AU472" s="120"/>
      <c r="AV472" s="120"/>
      <c r="AW472" s="120"/>
      <c r="AX472" s="120"/>
    </row>
    <row r="473" spans="1:50" s="89" customFormat="1" ht="13">
      <c r="A473" s="3"/>
      <c r="B473" s="37">
        <f>'13. Desinvesteringen'!B756</f>
        <v>737</v>
      </c>
      <c r="C473" s="331"/>
      <c r="D473" s="331"/>
      <c r="E473" s="331"/>
      <c r="F473" s="42">
        <f>'5. Input GAW-waarde desinv.'!D432</f>
        <v>153272</v>
      </c>
      <c r="G473" s="175">
        <f>'13. Desinvesteringen'!D756</f>
        <v>2011</v>
      </c>
      <c r="H473" s="175">
        <f>'13. Desinvesteringen'!G756</f>
        <v>2025</v>
      </c>
      <c r="I473" s="37" t="str">
        <f>'13. Desinvesteringen'!C756</f>
        <v>15 Compressorstations (TT-BT-AT)</v>
      </c>
      <c r="J473" s="164">
        <f>'13. Desinvesteringen'!F756</f>
        <v>0</v>
      </c>
      <c r="K473" s="38">
        <f>_xlfn.XLOOKUP(I473,'3. Input (des)investeringen '!$B$11:$B$89,'3. Input (des)investeringen '!$E$11:$E$89)</f>
        <v>1</v>
      </c>
      <c r="L473" s="331"/>
      <c r="M473" s="38">
        <f>_xlfn.XLOOKUP(I473,'3. Input (des)investeringen '!$B$11:$B$89,'3. Input (des)investeringen '!$D$11:$D$89,0)</f>
        <v>30</v>
      </c>
      <c r="N473" s="38">
        <f t="shared" si="195"/>
        <v>19.5</v>
      </c>
      <c r="P473" s="43">
        <f t="shared" si="194"/>
        <v>9196.32</v>
      </c>
      <c r="Q473" s="43">
        <f t="shared" si="194"/>
        <v>8583.232</v>
      </c>
      <c r="R473" s="43">
        <f t="shared" si="194"/>
        <v>8011.0165333333334</v>
      </c>
      <c r="S473" s="43">
        <f t="shared" si="194"/>
        <v>7476.9487644444453</v>
      </c>
      <c r="T473" s="43">
        <f t="shared" si="194"/>
        <v>6978.4855134814816</v>
      </c>
      <c r="V473" s="43">
        <f t="shared" si="196"/>
        <v>786.01025641025649</v>
      </c>
      <c r="W473" s="43">
        <f t="shared" si="197"/>
        <v>786.01025641025649</v>
      </c>
      <c r="X473" s="43">
        <f t="shared" si="198"/>
        <v>786.01025641025649</v>
      </c>
      <c r="Y473" s="43">
        <f t="shared" si="199"/>
        <v>786.01025641025649</v>
      </c>
      <c r="Z473" s="43">
        <f t="shared" si="200"/>
        <v>786.01025641025649</v>
      </c>
      <c r="AB473" s="43">
        <f t="shared" si="201"/>
        <v>9982.330256410256</v>
      </c>
      <c r="AC473" s="43">
        <f t="shared" si="202"/>
        <v>9369.2422564102562</v>
      </c>
      <c r="AD473" s="43">
        <f t="shared" si="203"/>
        <v>8797.0267897435897</v>
      </c>
      <c r="AE473" s="43">
        <f t="shared" si="204"/>
        <v>8262.9590208547015</v>
      </c>
      <c r="AF473" s="43">
        <f t="shared" si="205"/>
        <v>7764.4957698917378</v>
      </c>
      <c r="AH473" s="43">
        <f t="shared" si="206"/>
        <v>143289.66974358974</v>
      </c>
      <c r="AI473" s="43">
        <f t="shared" si="207"/>
        <v>133920.42748717949</v>
      </c>
      <c r="AJ473" s="43">
        <f t="shared" si="208"/>
        <v>125123.40069743591</v>
      </c>
      <c r="AK473" s="43">
        <f t="shared" si="209"/>
        <v>116860.44167658121</v>
      </c>
      <c r="AL473" s="43">
        <f t="shared" si="210"/>
        <v>109095.94590668946</v>
      </c>
      <c r="AN473" s="47">
        <f t="shared" si="211"/>
        <v>15857.206715897435</v>
      </c>
      <c r="AO473" s="47">
        <f t="shared" si="212"/>
        <v>16199.184058256411</v>
      </c>
      <c r="AP473" s="47">
        <f t="shared" si="213"/>
        <v>15178.32022531282</v>
      </c>
      <c r="AQ473" s="47">
        <f t="shared" si="214"/>
        <v>14690.283313066668</v>
      </c>
      <c r="AR473" s="43">
        <f t="shared" si="215"/>
        <v>11910.141714345937</v>
      </c>
      <c r="AS473" s="120"/>
      <c r="AT473" s="120"/>
      <c r="AU473" s="120"/>
      <c r="AV473" s="120"/>
      <c r="AW473" s="120"/>
      <c r="AX473" s="120"/>
    </row>
    <row r="474" spans="1:50" s="89" customFormat="1" ht="13">
      <c r="A474" s="3"/>
      <c r="B474" s="37">
        <f>'13. Desinvesteringen'!B757</f>
        <v>738</v>
      </c>
      <c r="C474" s="331"/>
      <c r="D474" s="331"/>
      <c r="E474" s="331"/>
      <c r="F474" s="42">
        <f>'5. Input GAW-waarde desinv.'!D433</f>
        <v>0</v>
      </c>
      <c r="G474" s="175">
        <f>'13. Desinvesteringen'!D757</f>
        <v>1977</v>
      </c>
      <c r="H474" s="175">
        <f>'13. Desinvesteringen'!G757</f>
        <v>2025</v>
      </c>
      <c r="I474" s="37" t="str">
        <f>'13. Desinvesteringen'!C757</f>
        <v>16 LNG installaties</v>
      </c>
      <c r="J474" s="164">
        <f>'13. Desinvesteringen'!F757</f>
        <v>0</v>
      </c>
      <c r="K474" s="38">
        <f>_xlfn.XLOOKUP(I474,'3. Input (des)investeringen '!$B$11:$B$89,'3. Input (des)investeringen '!$E$11:$E$89)</f>
        <v>0</v>
      </c>
      <c r="L474" s="331"/>
      <c r="M474" s="38">
        <f>_xlfn.XLOOKUP(I474,'3. Input (des)investeringen '!$B$11:$B$89,'3. Input (des)investeringen '!$D$11:$D$89,0)</f>
        <v>30</v>
      </c>
      <c r="N474" s="38">
        <f t="shared" si="195"/>
        <v>0</v>
      </c>
      <c r="P474" s="43">
        <f t="shared" si="194"/>
        <v>0</v>
      </c>
      <c r="Q474" s="43">
        <f t="shared" si="194"/>
        <v>0</v>
      </c>
      <c r="R474" s="43">
        <f t="shared" si="194"/>
        <v>0</v>
      </c>
      <c r="S474" s="43">
        <f t="shared" si="194"/>
        <v>0</v>
      </c>
      <c r="T474" s="43">
        <f t="shared" si="194"/>
        <v>0</v>
      </c>
      <c r="V474" s="43">
        <f t="shared" si="196"/>
        <v>0</v>
      </c>
      <c r="W474" s="43">
        <f t="shared" si="197"/>
        <v>0</v>
      </c>
      <c r="X474" s="43">
        <f t="shared" si="198"/>
        <v>0</v>
      </c>
      <c r="Y474" s="43">
        <f t="shared" si="199"/>
        <v>0</v>
      </c>
      <c r="Z474" s="43">
        <f t="shared" si="200"/>
        <v>0</v>
      </c>
      <c r="AB474" s="43">
        <f t="shared" si="201"/>
        <v>0</v>
      </c>
      <c r="AC474" s="43">
        <f t="shared" si="202"/>
        <v>0</v>
      </c>
      <c r="AD474" s="43">
        <f t="shared" si="203"/>
        <v>0</v>
      </c>
      <c r="AE474" s="43">
        <f t="shared" si="204"/>
        <v>0</v>
      </c>
      <c r="AF474" s="43">
        <f t="shared" si="205"/>
        <v>0</v>
      </c>
      <c r="AH474" s="43">
        <f t="shared" si="206"/>
        <v>0</v>
      </c>
      <c r="AI474" s="43">
        <f t="shared" si="207"/>
        <v>0</v>
      </c>
      <c r="AJ474" s="43">
        <f t="shared" si="208"/>
        <v>0</v>
      </c>
      <c r="AK474" s="43">
        <f t="shared" si="209"/>
        <v>0</v>
      </c>
      <c r="AL474" s="43">
        <f t="shared" si="210"/>
        <v>0</v>
      </c>
      <c r="AN474" s="47">
        <f t="shared" si="211"/>
        <v>0</v>
      </c>
      <c r="AO474" s="47">
        <f t="shared" si="212"/>
        <v>0</v>
      </c>
      <c r="AP474" s="47">
        <f t="shared" si="213"/>
        <v>0</v>
      </c>
      <c r="AQ474" s="47">
        <f t="shared" si="214"/>
        <v>0</v>
      </c>
      <c r="AR474" s="43">
        <f t="shared" si="215"/>
        <v>0</v>
      </c>
      <c r="AS474" s="120"/>
      <c r="AT474" s="120"/>
      <c r="AU474" s="120"/>
      <c r="AV474" s="120"/>
      <c r="AW474" s="120"/>
      <c r="AX474" s="120"/>
    </row>
    <row r="475" spans="1:50" s="89" customFormat="1" ht="13">
      <c r="A475" s="3"/>
      <c r="B475" s="37">
        <f>'13. Desinvesteringen'!B758</f>
        <v>739</v>
      </c>
      <c r="C475" s="331"/>
      <c r="D475" s="331"/>
      <c r="E475" s="331"/>
      <c r="F475" s="42">
        <f>'5. Input GAW-waarde desinv.'!D434</f>
        <v>0</v>
      </c>
      <c r="G475" s="175">
        <f>'13. Desinvesteringen'!D758</f>
        <v>1978</v>
      </c>
      <c r="H475" s="175">
        <f>'13. Desinvesteringen'!G758</f>
        <v>2025</v>
      </c>
      <c r="I475" s="37" t="str">
        <f>'13. Desinvesteringen'!C758</f>
        <v>17 Mengstations</v>
      </c>
      <c r="J475" s="164">
        <f>'13. Desinvesteringen'!F758</f>
        <v>0</v>
      </c>
      <c r="K475" s="38">
        <f>_xlfn.XLOOKUP(I475,'3. Input (des)investeringen '!$B$11:$B$89,'3. Input (des)investeringen '!$E$11:$E$89)</f>
        <v>0</v>
      </c>
      <c r="L475" s="331"/>
      <c r="M475" s="38">
        <f>_xlfn.XLOOKUP(I475,'3. Input (des)investeringen '!$B$11:$B$89,'3. Input (des)investeringen '!$D$11:$D$89,0)</f>
        <v>30</v>
      </c>
      <c r="N475" s="38">
        <f t="shared" si="195"/>
        <v>0</v>
      </c>
      <c r="P475" s="43">
        <f t="shared" si="194"/>
        <v>0</v>
      </c>
      <c r="Q475" s="43">
        <f t="shared" si="194"/>
        <v>0</v>
      </c>
      <c r="R475" s="43">
        <f t="shared" si="194"/>
        <v>0</v>
      </c>
      <c r="S475" s="43">
        <f t="shared" si="194"/>
        <v>0</v>
      </c>
      <c r="T475" s="43">
        <f t="shared" si="194"/>
        <v>0</v>
      </c>
      <c r="V475" s="43">
        <f t="shared" si="196"/>
        <v>0</v>
      </c>
      <c r="W475" s="43">
        <f t="shared" si="197"/>
        <v>0</v>
      </c>
      <c r="X475" s="43">
        <f t="shared" si="198"/>
        <v>0</v>
      </c>
      <c r="Y475" s="43">
        <f t="shared" si="199"/>
        <v>0</v>
      </c>
      <c r="Z475" s="43">
        <f t="shared" si="200"/>
        <v>0</v>
      </c>
      <c r="AB475" s="43">
        <f t="shared" si="201"/>
        <v>0</v>
      </c>
      <c r="AC475" s="43">
        <f t="shared" si="202"/>
        <v>0</v>
      </c>
      <c r="AD475" s="43">
        <f t="shared" si="203"/>
        <v>0</v>
      </c>
      <c r="AE475" s="43">
        <f t="shared" si="204"/>
        <v>0</v>
      </c>
      <c r="AF475" s="43">
        <f t="shared" si="205"/>
        <v>0</v>
      </c>
      <c r="AH475" s="43">
        <f t="shared" si="206"/>
        <v>0</v>
      </c>
      <c r="AI475" s="43">
        <f t="shared" si="207"/>
        <v>0</v>
      </c>
      <c r="AJ475" s="43">
        <f t="shared" si="208"/>
        <v>0</v>
      </c>
      <c r="AK475" s="43">
        <f t="shared" si="209"/>
        <v>0</v>
      </c>
      <c r="AL475" s="43">
        <f t="shared" si="210"/>
        <v>0</v>
      </c>
      <c r="AN475" s="47">
        <f t="shared" si="211"/>
        <v>0</v>
      </c>
      <c r="AO475" s="47">
        <f t="shared" si="212"/>
        <v>0</v>
      </c>
      <c r="AP475" s="47">
        <f t="shared" si="213"/>
        <v>0</v>
      </c>
      <c r="AQ475" s="47">
        <f t="shared" si="214"/>
        <v>0</v>
      </c>
      <c r="AR475" s="43">
        <f t="shared" si="215"/>
        <v>0</v>
      </c>
      <c r="AS475" s="120"/>
      <c r="AT475" s="120"/>
      <c r="AU475" s="120"/>
      <c r="AV475" s="120"/>
      <c r="AW475" s="120"/>
      <c r="AX475" s="120"/>
    </row>
    <row r="476" spans="1:50" s="89" customFormat="1" ht="13">
      <c r="A476" s="3"/>
      <c r="B476" s="37">
        <f>'13. Desinvesteringen'!B759</f>
        <v>740</v>
      </c>
      <c r="C476" s="331"/>
      <c r="D476" s="331"/>
      <c r="E476" s="331"/>
      <c r="F476" s="42">
        <f>'5. Input GAW-waarde desinv.'!D435</f>
        <v>0</v>
      </c>
      <c r="G476" s="175">
        <f>'13. Desinvesteringen'!D759</f>
        <v>1979</v>
      </c>
      <c r="H476" s="175">
        <f>'13. Desinvesteringen'!G759</f>
        <v>2025</v>
      </c>
      <c r="I476" s="37" t="str">
        <f>'13. Desinvesteringen'!C759</f>
        <v>17 Mengstations</v>
      </c>
      <c r="J476" s="164">
        <f>'13. Desinvesteringen'!F759</f>
        <v>0</v>
      </c>
      <c r="K476" s="38">
        <f>_xlfn.XLOOKUP(I476,'3. Input (des)investeringen '!$B$11:$B$89,'3. Input (des)investeringen '!$E$11:$E$89)</f>
        <v>0</v>
      </c>
      <c r="L476" s="331"/>
      <c r="M476" s="38">
        <f>_xlfn.XLOOKUP(I476,'3. Input (des)investeringen '!$B$11:$B$89,'3. Input (des)investeringen '!$D$11:$D$89,0)</f>
        <v>30</v>
      </c>
      <c r="N476" s="38">
        <f t="shared" si="195"/>
        <v>0</v>
      </c>
      <c r="P476" s="43">
        <f t="shared" si="194"/>
        <v>0</v>
      </c>
      <c r="Q476" s="43">
        <f t="shared" si="194"/>
        <v>0</v>
      </c>
      <c r="R476" s="43">
        <f t="shared" si="194"/>
        <v>0</v>
      </c>
      <c r="S476" s="43">
        <f t="shared" si="194"/>
        <v>0</v>
      </c>
      <c r="T476" s="43">
        <f t="shared" si="194"/>
        <v>0</v>
      </c>
      <c r="V476" s="43">
        <f t="shared" si="196"/>
        <v>0</v>
      </c>
      <c r="W476" s="43">
        <f t="shared" si="197"/>
        <v>0</v>
      </c>
      <c r="X476" s="43">
        <f t="shared" si="198"/>
        <v>0</v>
      </c>
      <c r="Y476" s="43">
        <f t="shared" si="199"/>
        <v>0</v>
      </c>
      <c r="Z476" s="43">
        <f t="shared" si="200"/>
        <v>0</v>
      </c>
      <c r="AB476" s="43">
        <f t="shared" si="201"/>
        <v>0</v>
      </c>
      <c r="AC476" s="43">
        <f t="shared" si="202"/>
        <v>0</v>
      </c>
      <c r="AD476" s="43">
        <f t="shared" si="203"/>
        <v>0</v>
      </c>
      <c r="AE476" s="43">
        <f t="shared" si="204"/>
        <v>0</v>
      </c>
      <c r="AF476" s="43">
        <f t="shared" si="205"/>
        <v>0</v>
      </c>
      <c r="AH476" s="43">
        <f t="shared" si="206"/>
        <v>0</v>
      </c>
      <c r="AI476" s="43">
        <f t="shared" si="207"/>
        <v>0</v>
      </c>
      <c r="AJ476" s="43">
        <f t="shared" si="208"/>
        <v>0</v>
      </c>
      <c r="AK476" s="43">
        <f t="shared" si="209"/>
        <v>0</v>
      </c>
      <c r="AL476" s="43">
        <f t="shared" si="210"/>
        <v>0</v>
      </c>
      <c r="AN476" s="47">
        <f t="shared" si="211"/>
        <v>0</v>
      </c>
      <c r="AO476" s="47">
        <f t="shared" si="212"/>
        <v>0</v>
      </c>
      <c r="AP476" s="47">
        <f t="shared" si="213"/>
        <v>0</v>
      </c>
      <c r="AQ476" s="47">
        <f t="shared" si="214"/>
        <v>0</v>
      </c>
      <c r="AR476" s="43">
        <f t="shared" si="215"/>
        <v>0</v>
      </c>
      <c r="AS476" s="120"/>
      <c r="AT476" s="120"/>
      <c r="AU476" s="120"/>
      <c r="AV476" s="120"/>
      <c r="AW476" s="120"/>
      <c r="AX476" s="120"/>
    </row>
    <row r="477" spans="1:50" s="89" customFormat="1" ht="13">
      <c r="A477" s="3"/>
      <c r="B477" s="37">
        <f>'13. Desinvesteringen'!B760</f>
        <v>741</v>
      </c>
      <c r="C477" s="331"/>
      <c r="D477" s="331"/>
      <c r="E477" s="331"/>
      <c r="F477" s="42">
        <f>'5. Input GAW-waarde desinv.'!D436</f>
        <v>0</v>
      </c>
      <c r="G477" s="175">
        <f>'13. Desinvesteringen'!D760</f>
        <v>1985</v>
      </c>
      <c r="H477" s="175">
        <f>'13. Desinvesteringen'!G760</f>
        <v>2025</v>
      </c>
      <c r="I477" s="37" t="str">
        <f>'13. Desinvesteringen'!C760</f>
        <v>17 Mengstations</v>
      </c>
      <c r="J477" s="164">
        <f>'13. Desinvesteringen'!F760</f>
        <v>5000</v>
      </c>
      <c r="K477" s="38">
        <f>_xlfn.XLOOKUP(I477,'3. Input (des)investeringen '!$B$11:$B$89,'3. Input (des)investeringen '!$E$11:$E$89)</f>
        <v>0</v>
      </c>
      <c r="L477" s="331"/>
      <c r="M477" s="38">
        <f>_xlfn.XLOOKUP(I477,'3. Input (des)investeringen '!$B$11:$B$89,'3. Input (des)investeringen '!$D$11:$D$89,0)</f>
        <v>30</v>
      </c>
      <c r="N477" s="38">
        <f t="shared" si="195"/>
        <v>0</v>
      </c>
      <c r="P477" s="43">
        <f t="shared" si="194"/>
        <v>0</v>
      </c>
      <c r="Q477" s="43">
        <f t="shared" si="194"/>
        <v>0</v>
      </c>
      <c r="R477" s="43">
        <f t="shared" si="194"/>
        <v>0</v>
      </c>
      <c r="S477" s="43">
        <f t="shared" si="194"/>
        <v>0</v>
      </c>
      <c r="T477" s="43">
        <f t="shared" si="194"/>
        <v>0</v>
      </c>
      <c r="V477" s="43">
        <f t="shared" si="196"/>
        <v>0</v>
      </c>
      <c r="W477" s="43">
        <f t="shared" si="197"/>
        <v>0</v>
      </c>
      <c r="X477" s="43">
        <f t="shared" si="198"/>
        <v>0</v>
      </c>
      <c r="Y477" s="43">
        <f t="shared" si="199"/>
        <v>0</v>
      </c>
      <c r="Z477" s="43">
        <f t="shared" si="200"/>
        <v>0</v>
      </c>
      <c r="AB477" s="43">
        <f t="shared" si="201"/>
        <v>0</v>
      </c>
      <c r="AC477" s="43">
        <f t="shared" si="202"/>
        <v>0</v>
      </c>
      <c r="AD477" s="43">
        <f t="shared" si="203"/>
        <v>0</v>
      </c>
      <c r="AE477" s="43">
        <f t="shared" si="204"/>
        <v>0</v>
      </c>
      <c r="AF477" s="43">
        <f t="shared" si="205"/>
        <v>0</v>
      </c>
      <c r="AH477" s="43">
        <f t="shared" si="206"/>
        <v>0</v>
      </c>
      <c r="AI477" s="43">
        <f t="shared" si="207"/>
        <v>0</v>
      </c>
      <c r="AJ477" s="43">
        <f t="shared" si="208"/>
        <v>0</v>
      </c>
      <c r="AK477" s="43">
        <f t="shared" si="209"/>
        <v>0</v>
      </c>
      <c r="AL477" s="43">
        <f t="shared" si="210"/>
        <v>0</v>
      </c>
      <c r="AN477" s="47">
        <f t="shared" si="211"/>
        <v>0</v>
      </c>
      <c r="AO477" s="47">
        <f t="shared" si="212"/>
        <v>0</v>
      </c>
      <c r="AP477" s="47">
        <f t="shared" si="213"/>
        <v>0</v>
      </c>
      <c r="AQ477" s="47">
        <f t="shared" si="214"/>
        <v>0</v>
      </c>
      <c r="AR477" s="43">
        <f t="shared" si="215"/>
        <v>0</v>
      </c>
      <c r="AS477" s="120"/>
      <c r="AT477" s="120"/>
      <c r="AU477" s="120"/>
      <c r="AV477" s="120"/>
      <c r="AW477" s="120"/>
      <c r="AX477" s="120"/>
    </row>
    <row r="478" spans="1:50" s="89" customFormat="1" ht="13">
      <c r="A478" s="3"/>
      <c r="B478" s="37">
        <f>'13. Desinvesteringen'!B761</f>
        <v>742</v>
      </c>
      <c r="C478" s="331"/>
      <c r="D478" s="331"/>
      <c r="E478" s="331"/>
      <c r="F478" s="42">
        <f>'5. Input GAW-waarde desinv.'!D437</f>
        <v>0</v>
      </c>
      <c r="G478" s="175">
        <f>'13. Desinvesteringen'!D761</f>
        <v>1990</v>
      </c>
      <c r="H478" s="175">
        <f>'13. Desinvesteringen'!G761</f>
        <v>2025</v>
      </c>
      <c r="I478" s="37" t="str">
        <f>'13. Desinvesteringen'!C761</f>
        <v>17 Mengstations</v>
      </c>
      <c r="J478" s="164">
        <f>'13. Desinvesteringen'!F761</f>
        <v>0</v>
      </c>
      <c r="K478" s="38">
        <f>_xlfn.XLOOKUP(I478,'3. Input (des)investeringen '!$B$11:$B$89,'3. Input (des)investeringen '!$E$11:$E$89)</f>
        <v>0</v>
      </c>
      <c r="L478" s="331"/>
      <c r="M478" s="38">
        <f>_xlfn.XLOOKUP(I478,'3. Input (des)investeringen '!$B$11:$B$89,'3. Input (des)investeringen '!$D$11:$D$89,0)</f>
        <v>30</v>
      </c>
      <c r="N478" s="38">
        <f t="shared" si="195"/>
        <v>0</v>
      </c>
      <c r="P478" s="43">
        <f t="shared" si="194"/>
        <v>0</v>
      </c>
      <c r="Q478" s="43">
        <f t="shared" si="194"/>
        <v>0</v>
      </c>
      <c r="R478" s="43">
        <f t="shared" si="194"/>
        <v>0</v>
      </c>
      <c r="S478" s="43">
        <f t="shared" si="194"/>
        <v>0</v>
      </c>
      <c r="T478" s="43">
        <f t="shared" si="194"/>
        <v>0</v>
      </c>
      <c r="V478" s="43">
        <f t="shared" si="196"/>
        <v>0</v>
      </c>
      <c r="W478" s="43">
        <f t="shared" si="197"/>
        <v>0</v>
      </c>
      <c r="X478" s="43">
        <f t="shared" si="198"/>
        <v>0</v>
      </c>
      <c r="Y478" s="43">
        <f t="shared" si="199"/>
        <v>0</v>
      </c>
      <c r="Z478" s="43">
        <f t="shared" si="200"/>
        <v>0</v>
      </c>
      <c r="AB478" s="43">
        <f t="shared" si="201"/>
        <v>0</v>
      </c>
      <c r="AC478" s="43">
        <f t="shared" si="202"/>
        <v>0</v>
      </c>
      <c r="AD478" s="43">
        <f t="shared" si="203"/>
        <v>0</v>
      </c>
      <c r="AE478" s="43">
        <f t="shared" si="204"/>
        <v>0</v>
      </c>
      <c r="AF478" s="43">
        <f t="shared" si="205"/>
        <v>0</v>
      </c>
      <c r="AH478" s="43">
        <f t="shared" si="206"/>
        <v>0</v>
      </c>
      <c r="AI478" s="43">
        <f t="shared" si="207"/>
        <v>0</v>
      </c>
      <c r="AJ478" s="43">
        <f t="shared" si="208"/>
        <v>0</v>
      </c>
      <c r="AK478" s="43">
        <f t="shared" si="209"/>
        <v>0</v>
      </c>
      <c r="AL478" s="43">
        <f t="shared" si="210"/>
        <v>0</v>
      </c>
      <c r="AN478" s="47">
        <f t="shared" si="211"/>
        <v>0</v>
      </c>
      <c r="AO478" s="47">
        <f t="shared" si="212"/>
        <v>0</v>
      </c>
      <c r="AP478" s="47">
        <f t="shared" si="213"/>
        <v>0</v>
      </c>
      <c r="AQ478" s="47">
        <f t="shared" si="214"/>
        <v>0</v>
      </c>
      <c r="AR478" s="43">
        <f t="shared" si="215"/>
        <v>0</v>
      </c>
      <c r="AS478" s="120"/>
      <c r="AT478" s="120"/>
      <c r="AU478" s="120"/>
      <c r="AV478" s="120"/>
      <c r="AW478" s="120"/>
      <c r="AX478" s="120"/>
    </row>
    <row r="479" spans="1:50" s="89" customFormat="1" ht="13">
      <c r="A479" s="3"/>
      <c r="B479" s="37">
        <f>'13. Desinvesteringen'!B762</f>
        <v>743</v>
      </c>
      <c r="C479" s="331"/>
      <c r="D479" s="331"/>
      <c r="E479" s="331"/>
      <c r="F479" s="42">
        <f>'5. Input GAW-waarde desinv.'!D438</f>
        <v>14109</v>
      </c>
      <c r="G479" s="175">
        <f>'13. Desinvesteringen'!D762</f>
        <v>1992</v>
      </c>
      <c r="H479" s="175">
        <f>'13. Desinvesteringen'!G762</f>
        <v>2025</v>
      </c>
      <c r="I479" s="37" t="str">
        <f>'13. Desinvesteringen'!C762</f>
        <v>17 Mengstations</v>
      </c>
      <c r="J479" s="164">
        <f>'13. Desinvesteringen'!F762</f>
        <v>0</v>
      </c>
      <c r="K479" s="38">
        <f>_xlfn.XLOOKUP(I479,'3. Input (des)investeringen '!$B$11:$B$89,'3. Input (des)investeringen '!$E$11:$E$89)</f>
        <v>0</v>
      </c>
      <c r="L479" s="331"/>
      <c r="M479" s="38">
        <f>_xlfn.XLOOKUP(I479,'3. Input (des)investeringen '!$B$11:$B$89,'3. Input (des)investeringen '!$D$11:$D$89,0)</f>
        <v>30</v>
      </c>
      <c r="N479" s="38">
        <f t="shared" si="195"/>
        <v>0.5</v>
      </c>
      <c r="P479" s="43">
        <f t="shared" si="194"/>
        <v>12698.1</v>
      </c>
      <c r="Q479" s="43">
        <f t="shared" si="194"/>
        <v>0</v>
      </c>
      <c r="R479" s="43">
        <f t="shared" si="194"/>
        <v>0</v>
      </c>
      <c r="S479" s="43">
        <f t="shared" si="194"/>
        <v>0</v>
      </c>
      <c r="T479" s="43">
        <f t="shared" si="194"/>
        <v>0</v>
      </c>
      <c r="V479" s="43">
        <f t="shared" si="196"/>
        <v>1410.9</v>
      </c>
      <c r="W479" s="43">
        <f t="shared" si="197"/>
        <v>0</v>
      </c>
      <c r="X479" s="43">
        <f t="shared" si="198"/>
        <v>0</v>
      </c>
      <c r="Y479" s="43">
        <f t="shared" si="199"/>
        <v>0</v>
      </c>
      <c r="Z479" s="43">
        <f t="shared" si="200"/>
        <v>0</v>
      </c>
      <c r="AB479" s="43">
        <f t="shared" si="201"/>
        <v>14109</v>
      </c>
      <c r="AC479" s="43">
        <f t="shared" si="202"/>
        <v>0</v>
      </c>
      <c r="AD479" s="43">
        <f t="shared" si="203"/>
        <v>0</v>
      </c>
      <c r="AE479" s="43">
        <f t="shared" si="204"/>
        <v>0</v>
      </c>
      <c r="AF479" s="43">
        <f t="shared" si="205"/>
        <v>0</v>
      </c>
      <c r="AH479" s="43">
        <f t="shared" si="206"/>
        <v>0</v>
      </c>
      <c r="AI479" s="43">
        <f t="shared" si="207"/>
        <v>0</v>
      </c>
      <c r="AJ479" s="43">
        <f t="shared" si="208"/>
        <v>0</v>
      </c>
      <c r="AK479" s="43">
        <f t="shared" si="209"/>
        <v>0</v>
      </c>
      <c r="AL479" s="43">
        <f t="shared" si="210"/>
        <v>0</v>
      </c>
      <c r="AN479" s="47">
        <f t="shared" si="211"/>
        <v>14109</v>
      </c>
      <c r="AO479" s="47">
        <f t="shared" si="212"/>
        <v>0</v>
      </c>
      <c r="AP479" s="47">
        <f t="shared" si="213"/>
        <v>0</v>
      </c>
      <c r="AQ479" s="47">
        <f t="shared" si="214"/>
        <v>0</v>
      </c>
      <c r="AR479" s="43">
        <f t="shared" si="215"/>
        <v>0</v>
      </c>
      <c r="AS479" s="120"/>
      <c r="AT479" s="120"/>
      <c r="AU479" s="120"/>
      <c r="AV479" s="120"/>
      <c r="AW479" s="120"/>
      <c r="AX479" s="120"/>
    </row>
    <row r="480" spans="1:50" s="89" customFormat="1" ht="13">
      <c r="A480" s="3"/>
      <c r="B480" s="37">
        <f>'13. Desinvesteringen'!B763</f>
        <v>744</v>
      </c>
      <c r="C480" s="331"/>
      <c r="D480" s="331"/>
      <c r="E480" s="331"/>
      <c r="F480" s="42">
        <f>'5. Input GAW-waarde desinv.'!D439</f>
        <v>410</v>
      </c>
      <c r="G480" s="175">
        <f>'13. Desinvesteringen'!D763</f>
        <v>2003</v>
      </c>
      <c r="H480" s="175">
        <f>'13. Desinvesteringen'!G763</f>
        <v>2025</v>
      </c>
      <c r="I480" s="37" t="str">
        <f>'13. Desinvesteringen'!C763</f>
        <v>17 Mengstations</v>
      </c>
      <c r="J480" s="164">
        <f>'13. Desinvesteringen'!F763</f>
        <v>0</v>
      </c>
      <c r="K480" s="38">
        <f>_xlfn.XLOOKUP(I480,'3. Input (des)investeringen '!$B$11:$B$89,'3. Input (des)investeringen '!$E$11:$E$89)</f>
        <v>0</v>
      </c>
      <c r="L480" s="331"/>
      <c r="M480" s="38">
        <f>_xlfn.XLOOKUP(I480,'3. Input (des)investeringen '!$B$11:$B$89,'3. Input (des)investeringen '!$D$11:$D$89,0)</f>
        <v>30</v>
      </c>
      <c r="N480" s="38">
        <f t="shared" si="195"/>
        <v>11.5</v>
      </c>
      <c r="P480" s="43">
        <f t="shared" si="194"/>
        <v>41.713043478260872</v>
      </c>
      <c r="Q480" s="43">
        <f t="shared" si="194"/>
        <v>36.997655954631384</v>
      </c>
      <c r="R480" s="43">
        <f t="shared" si="194"/>
        <v>32.81531223802088</v>
      </c>
      <c r="S480" s="43">
        <f t="shared" si="194"/>
        <v>30.291057450480814</v>
      </c>
      <c r="T480" s="43">
        <f t="shared" si="194"/>
        <v>30.291057450480814</v>
      </c>
      <c r="V480" s="43">
        <f t="shared" si="196"/>
        <v>3.5652173913043477</v>
      </c>
      <c r="W480" s="43">
        <f t="shared" si="197"/>
        <v>3.5652173913043477</v>
      </c>
      <c r="X480" s="43">
        <f t="shared" si="198"/>
        <v>3.5652173913043477</v>
      </c>
      <c r="Y480" s="43">
        <f t="shared" si="199"/>
        <v>3.5652173913043477</v>
      </c>
      <c r="Z480" s="43">
        <f t="shared" si="200"/>
        <v>3.5652173913043477</v>
      </c>
      <c r="AB480" s="43">
        <f t="shared" si="201"/>
        <v>45.278260869565216</v>
      </c>
      <c r="AC480" s="43">
        <f t="shared" si="202"/>
        <v>40.562873345935728</v>
      </c>
      <c r="AD480" s="43">
        <f t="shared" si="203"/>
        <v>36.380529629325224</v>
      </c>
      <c r="AE480" s="43">
        <f t="shared" si="204"/>
        <v>33.856274841785165</v>
      </c>
      <c r="AF480" s="43">
        <f t="shared" si="205"/>
        <v>33.856274841785165</v>
      </c>
      <c r="AH480" s="43">
        <f t="shared" si="206"/>
        <v>364.7217391304348</v>
      </c>
      <c r="AI480" s="43">
        <f t="shared" si="207"/>
        <v>324.15886578449908</v>
      </c>
      <c r="AJ480" s="43">
        <f t="shared" si="208"/>
        <v>287.77833615517386</v>
      </c>
      <c r="AK480" s="43">
        <f t="shared" si="209"/>
        <v>253.9220613133887</v>
      </c>
      <c r="AL480" s="43">
        <f t="shared" si="210"/>
        <v>220.06578647160353</v>
      </c>
      <c r="AN480" s="47">
        <f t="shared" si="211"/>
        <v>60.23185217391304</v>
      </c>
      <c r="AO480" s="47">
        <f t="shared" si="212"/>
        <v>57.094975500945182</v>
      </c>
      <c r="AP480" s="47">
        <f t="shared" si="213"/>
        <v>51.057224773239092</v>
      </c>
      <c r="AQ480" s="47">
        <f t="shared" si="214"/>
        <v>47.821988214021545</v>
      </c>
      <c r="AR480" s="43">
        <f t="shared" si="215"/>
        <v>42.218774727706098</v>
      </c>
      <c r="AS480" s="120"/>
      <c r="AT480" s="120"/>
      <c r="AU480" s="120"/>
      <c r="AV480" s="120"/>
      <c r="AW480" s="120"/>
      <c r="AX480" s="120"/>
    </row>
    <row r="481" spans="1:50" s="89" customFormat="1" ht="13">
      <c r="A481" s="3"/>
      <c r="B481" s="37">
        <f>'13. Desinvesteringen'!B764</f>
        <v>745</v>
      </c>
      <c r="C481" s="331"/>
      <c r="D481" s="331"/>
      <c r="E481" s="331"/>
      <c r="F481" s="42">
        <f>'5. Input GAW-waarde desinv.'!D440</f>
        <v>298590</v>
      </c>
      <c r="G481" s="175">
        <f>'13. Desinvesteringen'!D764</f>
        <v>2011</v>
      </c>
      <c r="H481" s="175">
        <f>'13. Desinvesteringen'!G764</f>
        <v>2025</v>
      </c>
      <c r="I481" s="37" t="str">
        <f>'13. Desinvesteringen'!C764</f>
        <v>17 Mengstations</v>
      </c>
      <c r="J481" s="164">
        <f>'13. Desinvesteringen'!F764</f>
        <v>0</v>
      </c>
      <c r="K481" s="38">
        <f>_xlfn.XLOOKUP(I481,'3. Input (des)investeringen '!$B$11:$B$89,'3. Input (des)investeringen '!$E$11:$E$89)</f>
        <v>0</v>
      </c>
      <c r="L481" s="331"/>
      <c r="M481" s="38">
        <f>_xlfn.XLOOKUP(I481,'3. Input (des)investeringen '!$B$11:$B$89,'3. Input (des)investeringen '!$D$11:$D$89,0)</f>
        <v>30</v>
      </c>
      <c r="N481" s="38">
        <f t="shared" si="195"/>
        <v>19.5</v>
      </c>
      <c r="P481" s="43">
        <f t="shared" si="194"/>
        <v>17915.400000000001</v>
      </c>
      <c r="Q481" s="43">
        <f t="shared" si="194"/>
        <v>16721.04</v>
      </c>
      <c r="R481" s="43">
        <f t="shared" si="194"/>
        <v>15606.303999999998</v>
      </c>
      <c r="S481" s="43">
        <f t="shared" si="194"/>
        <v>14565.883733333332</v>
      </c>
      <c r="T481" s="43">
        <f t="shared" si="194"/>
        <v>13594.824817777777</v>
      </c>
      <c r="V481" s="43">
        <f t="shared" si="196"/>
        <v>1531.2307692307693</v>
      </c>
      <c r="W481" s="43">
        <f t="shared" si="197"/>
        <v>1531.2307692307695</v>
      </c>
      <c r="X481" s="43">
        <f t="shared" si="198"/>
        <v>1531.2307692307695</v>
      </c>
      <c r="Y481" s="43">
        <f t="shared" si="199"/>
        <v>1531.2307692307695</v>
      </c>
      <c r="Z481" s="43">
        <f t="shared" si="200"/>
        <v>1531.2307692307695</v>
      </c>
      <c r="AB481" s="43">
        <f t="shared" si="201"/>
        <v>19446.630769230771</v>
      </c>
      <c r="AC481" s="43">
        <f t="shared" si="202"/>
        <v>18252.27076923077</v>
      </c>
      <c r="AD481" s="43">
        <f t="shared" si="203"/>
        <v>17137.53476923077</v>
      </c>
      <c r="AE481" s="43">
        <f t="shared" si="204"/>
        <v>16097.114502564102</v>
      </c>
      <c r="AF481" s="43">
        <f t="shared" si="205"/>
        <v>15126.055587008546</v>
      </c>
      <c r="AH481" s="43">
        <f t="shared" si="206"/>
        <v>279143.36923076923</v>
      </c>
      <c r="AI481" s="43">
        <f t="shared" si="207"/>
        <v>260891.09846153847</v>
      </c>
      <c r="AJ481" s="43">
        <f t="shared" si="208"/>
        <v>243753.56369230768</v>
      </c>
      <c r="AK481" s="43">
        <f t="shared" si="209"/>
        <v>227656.44918974358</v>
      </c>
      <c r="AL481" s="43">
        <f t="shared" si="210"/>
        <v>212530.39360273504</v>
      </c>
      <c r="AN481" s="47">
        <f t="shared" si="211"/>
        <v>30891.50890769231</v>
      </c>
      <c r="AO481" s="47">
        <f t="shared" si="212"/>
        <v>31557.716790769231</v>
      </c>
      <c r="AP481" s="47">
        <f t="shared" si="213"/>
        <v>29568.966517538458</v>
      </c>
      <c r="AQ481" s="47">
        <f t="shared" si="214"/>
        <v>28618.219207999999</v>
      </c>
      <c r="AR481" s="43">
        <f t="shared" si="215"/>
        <v>23202.210543912479</v>
      </c>
      <c r="AS481" s="120"/>
      <c r="AT481" s="120"/>
      <c r="AU481" s="120"/>
      <c r="AV481" s="120"/>
      <c r="AW481" s="120"/>
      <c r="AX481" s="120"/>
    </row>
    <row r="482" spans="1:50" s="89" customFormat="1" ht="13">
      <c r="A482" s="3"/>
      <c r="B482" s="37">
        <f>'13. Desinvesteringen'!B765</f>
        <v>746</v>
      </c>
      <c r="C482" s="331"/>
      <c r="D482" s="331"/>
      <c r="E482" s="331"/>
      <c r="F482" s="42">
        <f>'5. Input GAW-waarde desinv.'!D441</f>
        <v>936661</v>
      </c>
      <c r="G482" s="175">
        <f>'13. Desinvesteringen'!D765</f>
        <v>2013</v>
      </c>
      <c r="H482" s="175">
        <f>'13. Desinvesteringen'!G765</f>
        <v>2025</v>
      </c>
      <c r="I482" s="37" t="str">
        <f>'13. Desinvesteringen'!C765</f>
        <v>17 Mengstations</v>
      </c>
      <c r="J482" s="164">
        <f>'13. Desinvesteringen'!F765</f>
        <v>0</v>
      </c>
      <c r="K482" s="38">
        <f>_xlfn.XLOOKUP(I482,'3. Input (des)investeringen '!$B$11:$B$89,'3. Input (des)investeringen '!$E$11:$E$89)</f>
        <v>0</v>
      </c>
      <c r="L482" s="331"/>
      <c r="M482" s="38">
        <f>_xlfn.XLOOKUP(I482,'3. Input (des)investeringen '!$B$11:$B$89,'3. Input (des)investeringen '!$D$11:$D$89,0)</f>
        <v>30</v>
      </c>
      <c r="N482" s="38">
        <f t="shared" si="195"/>
        <v>21.5</v>
      </c>
      <c r="P482" s="43">
        <f t="shared" si="194"/>
        <v>50971.784651162794</v>
      </c>
      <c r="Q482" s="43">
        <f t="shared" si="194"/>
        <v>47889.769765278528</v>
      </c>
      <c r="R482" s="43">
        <f t="shared" si="194"/>
        <v>44994.109267843087</v>
      </c>
      <c r="S482" s="43">
        <f t="shared" si="194"/>
        <v>42273.535219089783</v>
      </c>
      <c r="T482" s="43">
        <f t="shared" si="194"/>
        <v>39717.460996540169</v>
      </c>
      <c r="V482" s="43">
        <f t="shared" si="196"/>
        <v>4356.5627906976742</v>
      </c>
      <c r="W482" s="43">
        <f t="shared" si="197"/>
        <v>4356.5627906976752</v>
      </c>
      <c r="X482" s="43">
        <f t="shared" si="198"/>
        <v>4356.5627906976752</v>
      </c>
      <c r="Y482" s="43">
        <f t="shared" si="199"/>
        <v>4356.5627906976752</v>
      </c>
      <c r="Z482" s="43">
        <f t="shared" si="200"/>
        <v>4356.5627906976752</v>
      </c>
      <c r="AB482" s="43">
        <f t="shared" si="201"/>
        <v>55328.347441860467</v>
      </c>
      <c r="AC482" s="43">
        <f t="shared" si="202"/>
        <v>52246.332555976202</v>
      </c>
      <c r="AD482" s="43">
        <f t="shared" si="203"/>
        <v>49350.67205854076</v>
      </c>
      <c r="AE482" s="43">
        <f t="shared" si="204"/>
        <v>46630.098009787456</v>
      </c>
      <c r="AF482" s="43">
        <f t="shared" si="205"/>
        <v>44074.023787237842</v>
      </c>
      <c r="AH482" s="43">
        <f t="shared" si="206"/>
        <v>881332.65255813953</v>
      </c>
      <c r="AI482" s="43">
        <f t="shared" si="207"/>
        <v>829086.32000216329</v>
      </c>
      <c r="AJ482" s="43">
        <f t="shared" si="208"/>
        <v>779735.64794362255</v>
      </c>
      <c r="AK482" s="43">
        <f t="shared" si="209"/>
        <v>733105.54993383505</v>
      </c>
      <c r="AL482" s="43">
        <f t="shared" si="210"/>
        <v>689031.52614659723</v>
      </c>
      <c r="AN482" s="47">
        <f t="shared" si="211"/>
        <v>91462.986196744198</v>
      </c>
      <c r="AO482" s="47">
        <f t="shared" si="212"/>
        <v>94529.734876086528</v>
      </c>
      <c r="AP482" s="47">
        <f t="shared" si="213"/>
        <v>89117.190103665518</v>
      </c>
      <c r="AQ482" s="47">
        <f t="shared" si="214"/>
        <v>86950.903256148391</v>
      </c>
      <c r="AR482" s="43">
        <f t="shared" si="215"/>
        <v>70257.221780808541</v>
      </c>
      <c r="AS482" s="120"/>
      <c r="AT482" s="120"/>
      <c r="AU482" s="120"/>
      <c r="AV482" s="120"/>
      <c r="AW482" s="120"/>
      <c r="AX482" s="120"/>
    </row>
    <row r="483" spans="1:50" s="89" customFormat="1" ht="13">
      <c r="A483" s="3"/>
      <c r="B483" s="37">
        <f>'13. Desinvesteringen'!B766</f>
        <v>747</v>
      </c>
      <c r="C483" s="331"/>
      <c r="D483" s="331"/>
      <c r="E483" s="331"/>
      <c r="F483" s="42">
        <f>'5. Input GAW-waarde desinv.'!D442</f>
        <v>104558</v>
      </c>
      <c r="G483" s="175">
        <f>'13. Desinvesteringen'!D766</f>
        <v>2016</v>
      </c>
      <c r="H483" s="175">
        <f>'13. Desinvesteringen'!G766</f>
        <v>2025</v>
      </c>
      <c r="I483" s="37" t="str">
        <f>'13. Desinvesteringen'!C766</f>
        <v>17 Mengstations</v>
      </c>
      <c r="J483" s="164">
        <f>'13. Desinvesteringen'!F766</f>
        <v>0</v>
      </c>
      <c r="K483" s="38">
        <f>_xlfn.XLOOKUP(I483,'3. Input (des)investeringen '!$B$11:$B$89,'3. Input (des)investeringen '!$E$11:$E$89)</f>
        <v>0</v>
      </c>
      <c r="L483" s="331"/>
      <c r="M483" s="38">
        <f>_xlfn.XLOOKUP(I483,'3. Input (des)investeringen '!$B$11:$B$89,'3. Input (des)investeringen '!$D$11:$D$89,0)</f>
        <v>30</v>
      </c>
      <c r="N483" s="38">
        <f t="shared" si="195"/>
        <v>24.5</v>
      </c>
      <c r="P483" s="43">
        <f t="shared" si="194"/>
        <v>4993.1779591836739</v>
      </c>
      <c r="Q483" s="43">
        <f t="shared" si="194"/>
        <v>4728.2338225739286</v>
      </c>
      <c r="R483" s="43">
        <f t="shared" si="194"/>
        <v>4477.347946274087</v>
      </c>
      <c r="S483" s="43">
        <f t="shared" si="194"/>
        <v>4239.774381777911</v>
      </c>
      <c r="T483" s="43">
        <f t="shared" si="194"/>
        <v>4014.8067615203076</v>
      </c>
      <c r="V483" s="43">
        <f t="shared" si="196"/>
        <v>426.76734693877552</v>
      </c>
      <c r="W483" s="43">
        <f t="shared" si="197"/>
        <v>426.76734693877552</v>
      </c>
      <c r="X483" s="43">
        <f t="shared" si="198"/>
        <v>426.76734693877552</v>
      </c>
      <c r="Y483" s="43">
        <f t="shared" si="199"/>
        <v>426.76734693877552</v>
      </c>
      <c r="Z483" s="43">
        <f t="shared" si="200"/>
        <v>426.76734693877552</v>
      </c>
      <c r="AB483" s="43">
        <f t="shared" si="201"/>
        <v>5419.9453061224494</v>
      </c>
      <c r="AC483" s="43">
        <f t="shared" si="202"/>
        <v>5155.0011695127041</v>
      </c>
      <c r="AD483" s="43">
        <f t="shared" si="203"/>
        <v>4904.1152932128625</v>
      </c>
      <c r="AE483" s="43">
        <f t="shared" si="204"/>
        <v>4666.5417287166865</v>
      </c>
      <c r="AF483" s="43">
        <f t="shared" si="205"/>
        <v>4441.5741084590827</v>
      </c>
      <c r="AH483" s="43">
        <f t="shared" si="206"/>
        <v>99138.054693877551</v>
      </c>
      <c r="AI483" s="43">
        <f t="shared" si="207"/>
        <v>93983.053524364848</v>
      </c>
      <c r="AJ483" s="43">
        <f t="shared" si="208"/>
        <v>89078.938231151988</v>
      </c>
      <c r="AK483" s="43">
        <f t="shared" si="209"/>
        <v>84412.396502435295</v>
      </c>
      <c r="AL483" s="43">
        <f t="shared" si="210"/>
        <v>79970.82239397621</v>
      </c>
      <c r="AN483" s="47">
        <f t="shared" si="211"/>
        <v>9484.6055485714296</v>
      </c>
      <c r="AO483" s="47">
        <f t="shared" si="212"/>
        <v>9948.1368992553107</v>
      </c>
      <c r="AP483" s="47">
        <f t="shared" si="213"/>
        <v>9447.1411430016124</v>
      </c>
      <c r="AQ483" s="47">
        <f t="shared" si="214"/>
        <v>9309.2235363506279</v>
      </c>
      <c r="AR483" s="43">
        <f t="shared" si="215"/>
        <v>7480.4653594301781</v>
      </c>
      <c r="AS483" s="120"/>
      <c r="AT483" s="120"/>
      <c r="AU483" s="120"/>
      <c r="AV483" s="120"/>
      <c r="AW483" s="120"/>
      <c r="AX483" s="120"/>
    </row>
    <row r="484" spans="1:50" s="89" customFormat="1" ht="13">
      <c r="A484" s="3"/>
      <c r="B484" s="37">
        <f>'13. Desinvesteringen'!B767</f>
        <v>748</v>
      </c>
      <c r="C484" s="331"/>
      <c r="D484" s="331"/>
      <c r="E484" s="331"/>
      <c r="F484" s="42">
        <f>'5. Input GAW-waarde desinv.'!D443</f>
        <v>88806</v>
      </c>
      <c r="G484" s="175">
        <f>'13. Desinvesteringen'!D767</f>
        <v>2018</v>
      </c>
      <c r="H484" s="175">
        <f>'13. Desinvesteringen'!G767</f>
        <v>2025</v>
      </c>
      <c r="I484" s="37" t="str">
        <f>'13. Desinvesteringen'!C767</f>
        <v>17 Mengstations</v>
      </c>
      <c r="J484" s="164">
        <f>'13. Desinvesteringen'!F767</f>
        <v>0</v>
      </c>
      <c r="K484" s="38">
        <f>_xlfn.XLOOKUP(I484,'3. Input (des)investeringen '!$B$11:$B$89,'3. Input (des)investeringen '!$E$11:$E$89)</f>
        <v>0</v>
      </c>
      <c r="L484" s="331"/>
      <c r="M484" s="38">
        <f>_xlfn.XLOOKUP(I484,'3. Input (des)investeringen '!$B$11:$B$89,'3. Input (des)investeringen '!$D$11:$D$89,0)</f>
        <v>30</v>
      </c>
      <c r="N484" s="38">
        <f t="shared" si="195"/>
        <v>26.5</v>
      </c>
      <c r="P484" s="43">
        <f t="shared" si="194"/>
        <v>3920.8686792452831</v>
      </c>
      <c r="Q484" s="43">
        <f t="shared" si="194"/>
        <v>3728.524177999288</v>
      </c>
      <c r="R484" s="43">
        <f t="shared" si="194"/>
        <v>3545.6154447389458</v>
      </c>
      <c r="S484" s="43">
        <f t="shared" si="194"/>
        <v>3371.6795927328844</v>
      </c>
      <c r="T484" s="43">
        <f t="shared" si="194"/>
        <v>3206.2764429007052</v>
      </c>
      <c r="V484" s="43">
        <f t="shared" si="196"/>
        <v>335.11698113207552</v>
      </c>
      <c r="W484" s="43">
        <f t="shared" si="197"/>
        <v>335.11698113207552</v>
      </c>
      <c r="X484" s="43">
        <f t="shared" si="198"/>
        <v>335.11698113207552</v>
      </c>
      <c r="Y484" s="43">
        <f t="shared" si="199"/>
        <v>335.11698113207552</v>
      </c>
      <c r="Z484" s="43">
        <f t="shared" si="200"/>
        <v>335.11698113207552</v>
      </c>
      <c r="AB484" s="43">
        <f t="shared" si="201"/>
        <v>4255.9856603773587</v>
      </c>
      <c r="AC484" s="43">
        <f t="shared" si="202"/>
        <v>4063.6411591313636</v>
      </c>
      <c r="AD484" s="43">
        <f t="shared" si="203"/>
        <v>3880.7324258710214</v>
      </c>
      <c r="AE484" s="43">
        <f t="shared" si="204"/>
        <v>3706.79657386496</v>
      </c>
      <c r="AF484" s="43">
        <f t="shared" si="205"/>
        <v>3541.3934240327808</v>
      </c>
      <c r="AH484" s="43">
        <f t="shared" si="206"/>
        <v>84550.014339622634</v>
      </c>
      <c r="AI484" s="43">
        <f t="shared" si="207"/>
        <v>80486.373180491268</v>
      </c>
      <c r="AJ484" s="43">
        <f t="shared" si="208"/>
        <v>76605.640754620254</v>
      </c>
      <c r="AK484" s="43">
        <f t="shared" si="209"/>
        <v>72898.844180755288</v>
      </c>
      <c r="AL484" s="43">
        <f t="shared" si="210"/>
        <v>69357.450756722508</v>
      </c>
      <c r="AN484" s="47">
        <f t="shared" si="211"/>
        <v>7722.5362483018871</v>
      </c>
      <c r="AO484" s="47">
        <f t="shared" si="212"/>
        <v>8168.4461913364175</v>
      </c>
      <c r="AP484" s="47">
        <f t="shared" si="213"/>
        <v>7787.6201043566543</v>
      </c>
      <c r="AQ484" s="47">
        <f t="shared" si="214"/>
        <v>7716.2330038065011</v>
      </c>
      <c r="AR484" s="43">
        <f t="shared" si="215"/>
        <v>6176.9765527882355</v>
      </c>
      <c r="AS484" s="120"/>
      <c r="AT484" s="120"/>
      <c r="AU484" s="120"/>
      <c r="AV484" s="120"/>
      <c r="AW484" s="120"/>
      <c r="AX484" s="120"/>
    </row>
    <row r="485" spans="1:50" s="89" customFormat="1" ht="13">
      <c r="A485" s="3"/>
      <c r="B485" s="37">
        <f>'13. Desinvesteringen'!B768</f>
        <v>749</v>
      </c>
      <c r="C485" s="331"/>
      <c r="D485" s="331"/>
      <c r="E485" s="331"/>
      <c r="F485" s="42">
        <f>'5. Input GAW-waarde desinv.'!D444</f>
        <v>0</v>
      </c>
      <c r="G485" s="175">
        <f>'13. Desinvesteringen'!D768</f>
        <v>1964</v>
      </c>
      <c r="H485" s="175">
        <f>'13. Desinvesteringen'!G768</f>
        <v>2025</v>
      </c>
      <c r="I485" s="37" t="str">
        <f>'13. Desinvesteringen'!C768</f>
        <v>21 Hoofdtransportleiding</v>
      </c>
      <c r="J485" s="164">
        <f>'13. Desinvesteringen'!F768</f>
        <v>0</v>
      </c>
      <c r="K485" s="38">
        <f>_xlfn.XLOOKUP(I485,'3. Input (des)investeringen '!$B$11:$B$89,'3. Input (des)investeringen '!$E$11:$E$89)</f>
        <v>1</v>
      </c>
      <c r="L485" s="331"/>
      <c r="M485" s="38">
        <f>_xlfn.XLOOKUP(I485,'3. Input (des)investeringen '!$B$11:$B$89,'3. Input (des)investeringen '!$D$11:$D$89,0)</f>
        <v>55</v>
      </c>
      <c r="N485" s="38">
        <f t="shared" si="195"/>
        <v>0</v>
      </c>
      <c r="P485" s="43">
        <f t="shared" si="194"/>
        <v>0</v>
      </c>
      <c r="Q485" s="43">
        <f t="shared" si="194"/>
        <v>0</v>
      </c>
      <c r="R485" s="43">
        <f t="shared" si="194"/>
        <v>0</v>
      </c>
      <c r="S485" s="43">
        <f t="shared" si="194"/>
        <v>0</v>
      </c>
      <c r="T485" s="43">
        <f t="shared" si="194"/>
        <v>0</v>
      </c>
      <c r="V485" s="43">
        <f t="shared" si="196"/>
        <v>0</v>
      </c>
      <c r="W485" s="43">
        <f t="shared" si="197"/>
        <v>0</v>
      </c>
      <c r="X485" s="43">
        <f t="shared" si="198"/>
        <v>0</v>
      </c>
      <c r="Y485" s="43">
        <f t="shared" si="199"/>
        <v>0</v>
      </c>
      <c r="Z485" s="43">
        <f t="shared" si="200"/>
        <v>0</v>
      </c>
      <c r="AB485" s="43">
        <f t="shared" si="201"/>
        <v>0</v>
      </c>
      <c r="AC485" s="43">
        <f t="shared" si="202"/>
        <v>0</v>
      </c>
      <c r="AD485" s="43">
        <f t="shared" si="203"/>
        <v>0</v>
      </c>
      <c r="AE485" s="43">
        <f t="shared" si="204"/>
        <v>0</v>
      </c>
      <c r="AF485" s="43">
        <f t="shared" si="205"/>
        <v>0</v>
      </c>
      <c r="AH485" s="43">
        <f t="shared" si="206"/>
        <v>0</v>
      </c>
      <c r="AI485" s="43">
        <f t="shared" si="207"/>
        <v>0</v>
      </c>
      <c r="AJ485" s="43">
        <f t="shared" si="208"/>
        <v>0</v>
      </c>
      <c r="AK485" s="43">
        <f t="shared" si="209"/>
        <v>0</v>
      </c>
      <c r="AL485" s="43">
        <f t="shared" si="210"/>
        <v>0</v>
      </c>
      <c r="AN485" s="47">
        <f t="shared" si="211"/>
        <v>0</v>
      </c>
      <c r="AO485" s="47">
        <f t="shared" si="212"/>
        <v>0</v>
      </c>
      <c r="AP485" s="47">
        <f t="shared" si="213"/>
        <v>0</v>
      </c>
      <c r="AQ485" s="47">
        <f t="shared" si="214"/>
        <v>0</v>
      </c>
      <c r="AR485" s="43">
        <f t="shared" si="215"/>
        <v>0</v>
      </c>
      <c r="AS485" s="120"/>
      <c r="AT485" s="120"/>
      <c r="AU485" s="120"/>
      <c r="AV485" s="120"/>
      <c r="AW485" s="120"/>
      <c r="AX485" s="120"/>
    </row>
    <row r="486" spans="1:50" s="89" customFormat="1" ht="13">
      <c r="A486" s="3"/>
      <c r="B486" s="37">
        <f>'13. Desinvesteringen'!B769</f>
        <v>750</v>
      </c>
      <c r="C486" s="331"/>
      <c r="D486" s="331"/>
      <c r="E486" s="331"/>
      <c r="F486" s="42">
        <f>'5. Input GAW-waarde desinv.'!D445</f>
        <v>0</v>
      </c>
      <c r="G486" s="175">
        <f>'13. Desinvesteringen'!D769</f>
        <v>1966</v>
      </c>
      <c r="H486" s="175">
        <f>'13. Desinvesteringen'!G769</f>
        <v>2025</v>
      </c>
      <c r="I486" s="37" t="str">
        <f>'13. Desinvesteringen'!C769</f>
        <v>21 Hoofdtransportleiding</v>
      </c>
      <c r="J486" s="164">
        <f>'13. Desinvesteringen'!F769</f>
        <v>0</v>
      </c>
      <c r="K486" s="38">
        <f>_xlfn.XLOOKUP(I486,'3. Input (des)investeringen '!$B$11:$B$89,'3. Input (des)investeringen '!$E$11:$E$89)</f>
        <v>1</v>
      </c>
      <c r="L486" s="331"/>
      <c r="M486" s="38">
        <f>_xlfn.XLOOKUP(I486,'3. Input (des)investeringen '!$B$11:$B$89,'3. Input (des)investeringen '!$D$11:$D$89,0)</f>
        <v>55</v>
      </c>
      <c r="N486" s="38">
        <f t="shared" si="195"/>
        <v>0</v>
      </c>
      <c r="P486" s="43">
        <f t="shared" si="194"/>
        <v>0</v>
      </c>
      <c r="Q486" s="43">
        <f t="shared" si="194"/>
        <v>0</v>
      </c>
      <c r="R486" s="43">
        <f t="shared" si="194"/>
        <v>0</v>
      </c>
      <c r="S486" s="43">
        <f t="shared" si="194"/>
        <v>0</v>
      </c>
      <c r="T486" s="43">
        <f t="shared" si="194"/>
        <v>0</v>
      </c>
      <c r="V486" s="43">
        <f t="shared" si="196"/>
        <v>0</v>
      </c>
      <c r="W486" s="43">
        <f t="shared" si="197"/>
        <v>0</v>
      </c>
      <c r="X486" s="43">
        <f t="shared" si="198"/>
        <v>0</v>
      </c>
      <c r="Y486" s="43">
        <f t="shared" si="199"/>
        <v>0</v>
      </c>
      <c r="Z486" s="43">
        <f t="shared" si="200"/>
        <v>0</v>
      </c>
      <c r="AB486" s="43">
        <f t="shared" si="201"/>
        <v>0</v>
      </c>
      <c r="AC486" s="43">
        <f t="shared" si="202"/>
        <v>0</v>
      </c>
      <c r="AD486" s="43">
        <f t="shared" si="203"/>
        <v>0</v>
      </c>
      <c r="AE486" s="43">
        <f t="shared" si="204"/>
        <v>0</v>
      </c>
      <c r="AF486" s="43">
        <f t="shared" si="205"/>
        <v>0</v>
      </c>
      <c r="AH486" s="43">
        <f t="shared" si="206"/>
        <v>0</v>
      </c>
      <c r="AI486" s="43">
        <f t="shared" si="207"/>
        <v>0</v>
      </c>
      <c r="AJ486" s="43">
        <f t="shared" si="208"/>
        <v>0</v>
      </c>
      <c r="AK486" s="43">
        <f t="shared" si="209"/>
        <v>0</v>
      </c>
      <c r="AL486" s="43">
        <f t="shared" si="210"/>
        <v>0</v>
      </c>
      <c r="AN486" s="47">
        <f t="shared" si="211"/>
        <v>0</v>
      </c>
      <c r="AO486" s="47">
        <f t="shared" si="212"/>
        <v>0</v>
      </c>
      <c r="AP486" s="47">
        <f t="shared" si="213"/>
        <v>0</v>
      </c>
      <c r="AQ486" s="47">
        <f t="shared" si="214"/>
        <v>0</v>
      </c>
      <c r="AR486" s="43">
        <f t="shared" si="215"/>
        <v>0</v>
      </c>
      <c r="AS486" s="120"/>
      <c r="AT486" s="120"/>
      <c r="AU486" s="120"/>
      <c r="AV486" s="120"/>
      <c r="AW486" s="120"/>
      <c r="AX486" s="120"/>
    </row>
    <row r="487" spans="1:50" s="89" customFormat="1" ht="13">
      <c r="A487" s="3"/>
      <c r="B487" s="37">
        <f>'13. Desinvesteringen'!B770</f>
        <v>751</v>
      </c>
      <c r="C487" s="331"/>
      <c r="D487" s="331"/>
      <c r="E487" s="331"/>
      <c r="F487" s="42">
        <f>'5. Input GAW-waarde desinv.'!D446</f>
        <v>1187</v>
      </c>
      <c r="G487" s="175">
        <f>'13. Desinvesteringen'!D770</f>
        <v>1968</v>
      </c>
      <c r="H487" s="175">
        <f>'13. Desinvesteringen'!G770</f>
        <v>2025</v>
      </c>
      <c r="I487" s="37" t="str">
        <f>'13. Desinvesteringen'!C770</f>
        <v>21 Hoofdtransportleiding</v>
      </c>
      <c r="J487" s="164">
        <f>'13. Desinvesteringen'!F770</f>
        <v>0</v>
      </c>
      <c r="K487" s="38">
        <f>_xlfn.XLOOKUP(I487,'3. Input (des)investeringen '!$B$11:$B$89,'3. Input (des)investeringen '!$E$11:$E$89)</f>
        <v>1</v>
      </c>
      <c r="L487" s="331"/>
      <c r="M487" s="38">
        <f>_xlfn.XLOOKUP(I487,'3. Input (des)investeringen '!$B$11:$B$89,'3. Input (des)investeringen '!$D$11:$D$89,0)</f>
        <v>55</v>
      </c>
      <c r="N487" s="38">
        <f t="shared" si="195"/>
        <v>1.5</v>
      </c>
      <c r="P487" s="43">
        <f t="shared" si="194"/>
        <v>925.86</v>
      </c>
      <c r="Q487" s="43">
        <f t="shared" si="194"/>
        <v>142.44</v>
      </c>
      <c r="R487" s="43">
        <f t="shared" si="194"/>
        <v>0</v>
      </c>
      <c r="S487" s="43">
        <f t="shared" si="194"/>
        <v>0</v>
      </c>
      <c r="T487" s="43">
        <f t="shared" si="194"/>
        <v>0</v>
      </c>
      <c r="V487" s="43">
        <f t="shared" si="196"/>
        <v>79.13333333333334</v>
      </c>
      <c r="W487" s="43">
        <f t="shared" si="197"/>
        <v>39.56666666666667</v>
      </c>
      <c r="X487" s="43">
        <f t="shared" si="198"/>
        <v>0</v>
      </c>
      <c r="Y487" s="43">
        <f t="shared" si="199"/>
        <v>0</v>
      </c>
      <c r="Z487" s="43">
        <f t="shared" si="200"/>
        <v>0</v>
      </c>
      <c r="AB487" s="43">
        <f t="shared" si="201"/>
        <v>1004.9933333333333</v>
      </c>
      <c r="AC487" s="43">
        <f t="shared" si="202"/>
        <v>182.00666666666666</v>
      </c>
      <c r="AD487" s="43">
        <f t="shared" si="203"/>
        <v>0</v>
      </c>
      <c r="AE487" s="43">
        <f t="shared" si="204"/>
        <v>0</v>
      </c>
      <c r="AF487" s="43">
        <f t="shared" si="205"/>
        <v>0</v>
      </c>
      <c r="AH487" s="43">
        <f t="shared" si="206"/>
        <v>182.00666666666666</v>
      </c>
      <c r="AI487" s="43">
        <f t="shared" si="207"/>
        <v>0</v>
      </c>
      <c r="AJ487" s="43">
        <f t="shared" si="208"/>
        <v>0</v>
      </c>
      <c r="AK487" s="43">
        <f t="shared" si="209"/>
        <v>0</v>
      </c>
      <c r="AL487" s="43">
        <f t="shared" si="210"/>
        <v>0</v>
      </c>
      <c r="AN487" s="47">
        <f t="shared" si="211"/>
        <v>1012.4556066666667</v>
      </c>
      <c r="AO487" s="47">
        <f t="shared" si="212"/>
        <v>182.00666666666666</v>
      </c>
      <c r="AP487" s="47">
        <f t="shared" si="213"/>
        <v>0</v>
      </c>
      <c r="AQ487" s="47">
        <f t="shared" si="214"/>
        <v>0</v>
      </c>
      <c r="AR487" s="43">
        <f t="shared" si="215"/>
        <v>0</v>
      </c>
      <c r="AS487" s="120"/>
      <c r="AT487" s="120"/>
      <c r="AU487" s="120"/>
      <c r="AV487" s="120"/>
      <c r="AW487" s="120"/>
      <c r="AX487" s="120"/>
    </row>
    <row r="488" spans="1:50" s="89" customFormat="1" ht="13">
      <c r="A488" s="3"/>
      <c r="B488" s="37">
        <f>'13. Desinvesteringen'!B771</f>
        <v>752</v>
      </c>
      <c r="C488" s="331"/>
      <c r="D488" s="331"/>
      <c r="E488" s="331"/>
      <c r="F488" s="42">
        <f>'5. Input GAW-waarde desinv.'!D447</f>
        <v>22413</v>
      </c>
      <c r="G488" s="175">
        <f>'13. Desinvesteringen'!D771</f>
        <v>1970</v>
      </c>
      <c r="H488" s="175">
        <f>'13. Desinvesteringen'!G771</f>
        <v>2025</v>
      </c>
      <c r="I488" s="37" t="str">
        <f>'13. Desinvesteringen'!C771</f>
        <v>21 Hoofdtransportleiding</v>
      </c>
      <c r="J488" s="164">
        <f>'13. Desinvesteringen'!F771</f>
        <v>0</v>
      </c>
      <c r="K488" s="38">
        <f>_xlfn.XLOOKUP(I488,'3. Input (des)investeringen '!$B$11:$B$89,'3. Input (des)investeringen '!$E$11:$E$89)</f>
        <v>1</v>
      </c>
      <c r="L488" s="331"/>
      <c r="M488" s="38">
        <f>_xlfn.XLOOKUP(I488,'3. Input (des)investeringen '!$B$11:$B$89,'3. Input (des)investeringen '!$D$11:$D$89,0)</f>
        <v>55</v>
      </c>
      <c r="N488" s="38">
        <f t="shared" si="195"/>
        <v>3.5</v>
      </c>
      <c r="P488" s="43">
        <f t="shared" si="194"/>
        <v>7492.3457142857151</v>
      </c>
      <c r="Q488" s="43">
        <f t="shared" si="194"/>
        <v>5071.7417142857139</v>
      </c>
      <c r="R488" s="43">
        <f t="shared" si="194"/>
        <v>5071.7417142857139</v>
      </c>
      <c r="S488" s="43">
        <f t="shared" si="194"/>
        <v>2535.8708571428569</v>
      </c>
      <c r="T488" s="43">
        <f t="shared" si="194"/>
        <v>0</v>
      </c>
      <c r="V488" s="43">
        <f t="shared" si="196"/>
        <v>640.37142857142862</v>
      </c>
      <c r="W488" s="43">
        <f t="shared" si="197"/>
        <v>640.37142857142862</v>
      </c>
      <c r="X488" s="43">
        <f t="shared" si="198"/>
        <v>640.37142857142862</v>
      </c>
      <c r="Y488" s="43">
        <f t="shared" si="199"/>
        <v>320.18571428571431</v>
      </c>
      <c r="Z488" s="43">
        <f t="shared" si="200"/>
        <v>0</v>
      </c>
      <c r="AB488" s="43">
        <f t="shared" si="201"/>
        <v>8132.7171428571437</v>
      </c>
      <c r="AC488" s="43">
        <f t="shared" si="202"/>
        <v>5712.1131428571425</v>
      </c>
      <c r="AD488" s="43">
        <f t="shared" si="203"/>
        <v>5712.1131428571425</v>
      </c>
      <c r="AE488" s="43">
        <f t="shared" si="204"/>
        <v>2856.0565714285713</v>
      </c>
      <c r="AF488" s="43">
        <f t="shared" si="205"/>
        <v>0</v>
      </c>
      <c r="AH488" s="43">
        <f t="shared" si="206"/>
        <v>14280.282857142856</v>
      </c>
      <c r="AI488" s="43">
        <f t="shared" si="207"/>
        <v>8568.1697142857138</v>
      </c>
      <c r="AJ488" s="43">
        <f t="shared" si="208"/>
        <v>2856.0565714285713</v>
      </c>
      <c r="AK488" s="43">
        <f t="shared" si="209"/>
        <v>0</v>
      </c>
      <c r="AL488" s="43">
        <f t="shared" si="210"/>
        <v>0</v>
      </c>
      <c r="AN488" s="47">
        <f t="shared" si="211"/>
        <v>8718.20874</v>
      </c>
      <c r="AO488" s="47">
        <f t="shared" si="212"/>
        <v>6149.0897982857141</v>
      </c>
      <c r="AP488" s="47">
        <f t="shared" si="213"/>
        <v>5857.7720279999994</v>
      </c>
      <c r="AQ488" s="47">
        <f t="shared" si="214"/>
        <v>2856.0565714285713</v>
      </c>
      <c r="AR488" s="43">
        <f t="shared" si="215"/>
        <v>0</v>
      </c>
      <c r="AS488" s="120"/>
      <c r="AT488" s="120"/>
      <c r="AU488" s="120"/>
      <c r="AV488" s="120"/>
      <c r="AW488" s="120"/>
      <c r="AX488" s="120"/>
    </row>
    <row r="489" spans="1:50" s="89" customFormat="1" ht="13">
      <c r="A489" s="3"/>
      <c r="B489" s="37">
        <f>'13. Desinvesteringen'!B772</f>
        <v>753</v>
      </c>
      <c r="C489" s="331"/>
      <c r="D489" s="331"/>
      <c r="E489" s="331"/>
      <c r="F489" s="42">
        <f>'5. Input GAW-waarde desinv.'!D448</f>
        <v>1097</v>
      </c>
      <c r="G489" s="175">
        <f>'13. Desinvesteringen'!D772</f>
        <v>1971</v>
      </c>
      <c r="H489" s="175">
        <f>'13. Desinvesteringen'!G772</f>
        <v>2025</v>
      </c>
      <c r="I489" s="37" t="str">
        <f>'13. Desinvesteringen'!C772</f>
        <v>21 Hoofdtransportleiding</v>
      </c>
      <c r="J489" s="164">
        <f>'13. Desinvesteringen'!F772</f>
        <v>0</v>
      </c>
      <c r="K489" s="38">
        <f>_xlfn.XLOOKUP(I489,'3. Input (des)investeringen '!$B$11:$B$89,'3. Input (des)investeringen '!$E$11:$E$89)</f>
        <v>1</v>
      </c>
      <c r="L489" s="331"/>
      <c r="M489" s="38">
        <f>_xlfn.XLOOKUP(I489,'3. Input (des)investeringen '!$B$11:$B$89,'3. Input (des)investeringen '!$D$11:$D$89,0)</f>
        <v>55</v>
      </c>
      <c r="N489" s="38">
        <f t="shared" si="195"/>
        <v>4.5</v>
      </c>
      <c r="P489" s="43">
        <f t="shared" si="194"/>
        <v>285.22000000000003</v>
      </c>
      <c r="Q489" s="43">
        <f t="shared" si="194"/>
        <v>202.82311111111113</v>
      </c>
      <c r="R489" s="43">
        <f t="shared" si="194"/>
        <v>199.70275555555554</v>
      </c>
      <c r="S489" s="43">
        <f t="shared" si="194"/>
        <v>199.70275555555554</v>
      </c>
      <c r="T489" s="43">
        <f t="shared" si="194"/>
        <v>99.85137777777777</v>
      </c>
      <c r="V489" s="43">
        <f t="shared" si="196"/>
        <v>24.37777777777778</v>
      </c>
      <c r="W489" s="43">
        <f t="shared" si="197"/>
        <v>24.37777777777778</v>
      </c>
      <c r="X489" s="43">
        <f t="shared" si="198"/>
        <v>24.37777777777778</v>
      </c>
      <c r="Y489" s="43">
        <f t="shared" si="199"/>
        <v>24.37777777777778</v>
      </c>
      <c r="Z489" s="43">
        <f t="shared" si="200"/>
        <v>12.18888888888889</v>
      </c>
      <c r="AB489" s="43">
        <f t="shared" si="201"/>
        <v>309.59777777777782</v>
      </c>
      <c r="AC489" s="43">
        <f t="shared" si="202"/>
        <v>227.20088888888893</v>
      </c>
      <c r="AD489" s="43">
        <f t="shared" si="203"/>
        <v>224.08053333333334</v>
      </c>
      <c r="AE489" s="43">
        <f t="shared" si="204"/>
        <v>224.08053333333334</v>
      </c>
      <c r="AF489" s="43">
        <f t="shared" si="205"/>
        <v>112.04026666666667</v>
      </c>
      <c r="AH489" s="43">
        <f t="shared" si="206"/>
        <v>787.40222222222224</v>
      </c>
      <c r="AI489" s="43">
        <f t="shared" si="207"/>
        <v>560.20133333333331</v>
      </c>
      <c r="AJ489" s="43">
        <f t="shared" si="208"/>
        <v>336.12079999999997</v>
      </c>
      <c r="AK489" s="43">
        <f t="shared" si="209"/>
        <v>112.04026666666664</v>
      </c>
      <c r="AL489" s="43">
        <f t="shared" si="210"/>
        <v>0</v>
      </c>
      <c r="AN489" s="47">
        <f t="shared" si="211"/>
        <v>341.88126888888894</v>
      </c>
      <c r="AO489" s="47">
        <f t="shared" si="212"/>
        <v>255.77115688888892</v>
      </c>
      <c r="AP489" s="47">
        <f t="shared" si="213"/>
        <v>241.22269413333333</v>
      </c>
      <c r="AQ489" s="47">
        <f t="shared" si="214"/>
        <v>230.24274800000001</v>
      </c>
      <c r="AR489" s="43">
        <f t="shared" si="215"/>
        <v>112.04026666666667</v>
      </c>
      <c r="AS489" s="120"/>
      <c r="AT489" s="120"/>
      <c r="AU489" s="120"/>
      <c r="AV489" s="120"/>
      <c r="AW489" s="120"/>
      <c r="AX489" s="120"/>
    </row>
    <row r="490" spans="1:50" s="89" customFormat="1" ht="13">
      <c r="A490" s="3"/>
      <c r="B490" s="37">
        <f>'13. Desinvesteringen'!B773</f>
        <v>754</v>
      </c>
      <c r="C490" s="331"/>
      <c r="D490" s="331"/>
      <c r="E490" s="331"/>
      <c r="F490" s="42">
        <f>'5. Input GAW-waarde desinv.'!D449</f>
        <v>75827</v>
      </c>
      <c r="G490" s="175">
        <f>'13. Desinvesteringen'!D773</f>
        <v>1972</v>
      </c>
      <c r="H490" s="175">
        <f>'13. Desinvesteringen'!G773</f>
        <v>2025</v>
      </c>
      <c r="I490" s="37" t="str">
        <f>'13. Desinvesteringen'!C773</f>
        <v>21 Hoofdtransportleiding</v>
      </c>
      <c r="J490" s="164">
        <f>'13. Desinvesteringen'!F773</f>
        <v>0</v>
      </c>
      <c r="K490" s="38">
        <f>_xlfn.XLOOKUP(I490,'3. Input (des)investeringen '!$B$11:$B$89,'3. Input (des)investeringen '!$E$11:$E$89)</f>
        <v>1</v>
      </c>
      <c r="L490" s="331"/>
      <c r="M490" s="38">
        <f>_xlfn.XLOOKUP(I490,'3. Input (des)investeringen '!$B$11:$B$89,'3. Input (des)investeringen '!$D$11:$D$89,0)</f>
        <v>55</v>
      </c>
      <c r="N490" s="38">
        <f t="shared" si="195"/>
        <v>5.5</v>
      </c>
      <c r="P490" s="43">
        <f t="shared" si="194"/>
        <v>16130.470909090907</v>
      </c>
      <c r="Q490" s="43">
        <f t="shared" si="194"/>
        <v>12317.814148760332</v>
      </c>
      <c r="R490" s="43">
        <f t="shared" si="194"/>
        <v>11370.289983471073</v>
      </c>
      <c r="S490" s="43">
        <f t="shared" si="194"/>
        <v>11370.289983471073</v>
      </c>
      <c r="T490" s="43">
        <f t="shared" si="194"/>
        <v>11370.289983471073</v>
      </c>
      <c r="V490" s="43">
        <f t="shared" si="196"/>
        <v>1378.6727272727276</v>
      </c>
      <c r="W490" s="43">
        <f t="shared" si="197"/>
        <v>1378.6727272727273</v>
      </c>
      <c r="X490" s="43">
        <f t="shared" si="198"/>
        <v>1378.6727272727273</v>
      </c>
      <c r="Y490" s="43">
        <f t="shared" si="199"/>
        <v>1378.6727272727273</v>
      </c>
      <c r="Z490" s="43">
        <f t="shared" si="200"/>
        <v>1378.6727272727273</v>
      </c>
      <c r="AB490" s="43">
        <f t="shared" si="201"/>
        <v>17509.143636363635</v>
      </c>
      <c r="AC490" s="43">
        <f t="shared" si="202"/>
        <v>13696.486876033059</v>
      </c>
      <c r="AD490" s="43">
        <f t="shared" si="203"/>
        <v>12748.962710743801</v>
      </c>
      <c r="AE490" s="43">
        <f t="shared" si="204"/>
        <v>12748.962710743801</v>
      </c>
      <c r="AF490" s="43">
        <f t="shared" si="205"/>
        <v>12748.962710743801</v>
      </c>
      <c r="AH490" s="43">
        <f t="shared" si="206"/>
        <v>58317.856363636369</v>
      </c>
      <c r="AI490" s="43">
        <f t="shared" si="207"/>
        <v>44621.369487603311</v>
      </c>
      <c r="AJ490" s="43">
        <f t="shared" si="208"/>
        <v>31872.406776859512</v>
      </c>
      <c r="AK490" s="43">
        <f t="shared" si="209"/>
        <v>19123.444066115713</v>
      </c>
      <c r="AL490" s="43">
        <f t="shared" si="210"/>
        <v>6374.4813553719123</v>
      </c>
      <c r="AN490" s="47">
        <f t="shared" si="211"/>
        <v>19900.175747272726</v>
      </c>
      <c r="AO490" s="47">
        <f t="shared" si="212"/>
        <v>15972.176719900828</v>
      </c>
      <c r="AP490" s="47">
        <f t="shared" si="213"/>
        <v>14374.455456363636</v>
      </c>
      <c r="AQ490" s="47">
        <f t="shared" si="214"/>
        <v>13800.752134380165</v>
      </c>
      <c r="AR490" s="43">
        <f t="shared" si="215"/>
        <v>12991.193002247934</v>
      </c>
      <c r="AS490" s="120"/>
      <c r="AT490" s="120"/>
      <c r="AU490" s="120"/>
      <c r="AV490" s="120"/>
      <c r="AW490" s="120"/>
      <c r="AX490" s="120"/>
    </row>
    <row r="491" spans="1:50" s="89" customFormat="1" ht="13">
      <c r="A491" s="3"/>
      <c r="B491" s="37">
        <f>'13. Desinvesteringen'!B774</f>
        <v>755</v>
      </c>
      <c r="C491" s="331"/>
      <c r="D491" s="331"/>
      <c r="E491" s="331"/>
      <c r="F491" s="42">
        <f>'5. Input GAW-waarde desinv.'!D450</f>
        <v>72643</v>
      </c>
      <c r="G491" s="175">
        <f>'13. Desinvesteringen'!D774</f>
        <v>1973</v>
      </c>
      <c r="H491" s="175">
        <f>'13. Desinvesteringen'!G774</f>
        <v>2025</v>
      </c>
      <c r="I491" s="37" t="str">
        <f>'13. Desinvesteringen'!C774</f>
        <v>21 Hoofdtransportleiding</v>
      </c>
      <c r="J491" s="164">
        <f>'13. Desinvesteringen'!F774</f>
        <v>0</v>
      </c>
      <c r="K491" s="38">
        <f>_xlfn.XLOOKUP(I491,'3. Input (des)investeringen '!$B$11:$B$89,'3. Input (des)investeringen '!$E$11:$E$89)</f>
        <v>1</v>
      </c>
      <c r="L491" s="331"/>
      <c r="M491" s="38">
        <f>_xlfn.XLOOKUP(I491,'3. Input (des)investeringen '!$B$11:$B$89,'3. Input (des)investeringen '!$D$11:$D$89,0)</f>
        <v>55</v>
      </c>
      <c r="N491" s="38">
        <f t="shared" si="195"/>
        <v>6.5</v>
      </c>
      <c r="P491" s="43">
        <f t="shared" ref="P491:T506" si="216">IF($M491&gt;0, IF(OR($G491&gt;P$50,$G491+$M491&lt;P$50),0,
VDB($F491,0,$N491,MAX(0,P$50-2022),MIN($N491,P$50-2021),$F$23,FALSE))*(1-$F$26), 0)</f>
        <v>13075.74</v>
      </c>
      <c r="Q491" s="43">
        <f t="shared" si="216"/>
        <v>10460.592000000001</v>
      </c>
      <c r="R491" s="43">
        <f t="shared" si="216"/>
        <v>9298.3040000000019</v>
      </c>
      <c r="S491" s="43">
        <f t="shared" si="216"/>
        <v>9298.3040000000019</v>
      </c>
      <c r="T491" s="43">
        <f t="shared" si="216"/>
        <v>9298.3040000000019</v>
      </c>
      <c r="V491" s="43">
        <f t="shared" si="196"/>
        <v>1117.5846153846155</v>
      </c>
      <c r="W491" s="43">
        <f t="shared" si="197"/>
        <v>1117.5846153846155</v>
      </c>
      <c r="X491" s="43">
        <f t="shared" si="198"/>
        <v>1117.5846153846155</v>
      </c>
      <c r="Y491" s="43">
        <f t="shared" si="199"/>
        <v>1117.5846153846155</v>
      </c>
      <c r="Z491" s="43">
        <f t="shared" si="200"/>
        <v>1117.5846153846155</v>
      </c>
      <c r="AB491" s="43">
        <f t="shared" si="201"/>
        <v>14193.324615384616</v>
      </c>
      <c r="AC491" s="43">
        <f t="shared" si="202"/>
        <v>11578.176615384617</v>
      </c>
      <c r="AD491" s="43">
        <f t="shared" si="203"/>
        <v>10415.888615384618</v>
      </c>
      <c r="AE491" s="43">
        <f t="shared" si="204"/>
        <v>10415.888615384618</v>
      </c>
      <c r="AF491" s="43">
        <f t="shared" si="205"/>
        <v>10415.888615384618</v>
      </c>
      <c r="AH491" s="43">
        <f t="shared" si="206"/>
        <v>58449.675384615388</v>
      </c>
      <c r="AI491" s="43">
        <f t="shared" si="207"/>
        <v>46871.49876923077</v>
      </c>
      <c r="AJ491" s="43">
        <f t="shared" si="208"/>
        <v>36455.610153846152</v>
      </c>
      <c r="AK491" s="43">
        <f t="shared" si="209"/>
        <v>26039.721538461534</v>
      </c>
      <c r="AL491" s="43">
        <f t="shared" si="210"/>
        <v>15623.832923076916</v>
      </c>
      <c r="AN491" s="47">
        <f t="shared" si="211"/>
        <v>16589.761306153847</v>
      </c>
      <c r="AO491" s="47">
        <f t="shared" si="212"/>
        <v>13968.623052615385</v>
      </c>
      <c r="AP491" s="47">
        <f t="shared" si="213"/>
        <v>12275.124733230772</v>
      </c>
      <c r="AQ491" s="47">
        <f t="shared" si="214"/>
        <v>11848.073300000002</v>
      </c>
      <c r="AR491" s="43">
        <f t="shared" si="215"/>
        <v>11009.594266461541</v>
      </c>
      <c r="AS491" s="120"/>
      <c r="AT491" s="120"/>
      <c r="AU491" s="120"/>
      <c r="AV491" s="120"/>
      <c r="AW491" s="120"/>
      <c r="AX491" s="120"/>
    </row>
    <row r="492" spans="1:50" s="89" customFormat="1" ht="13">
      <c r="A492" s="3"/>
      <c r="B492" s="37">
        <f>'13. Desinvesteringen'!B775</f>
        <v>756</v>
      </c>
      <c r="C492" s="331"/>
      <c r="D492" s="331"/>
      <c r="E492" s="331"/>
      <c r="F492" s="42">
        <f>'5. Input GAW-waarde desinv.'!D451</f>
        <v>9985</v>
      </c>
      <c r="G492" s="175">
        <f>'13. Desinvesteringen'!D775</f>
        <v>1975</v>
      </c>
      <c r="H492" s="175">
        <f>'13. Desinvesteringen'!G775</f>
        <v>2025</v>
      </c>
      <c r="I492" s="37" t="str">
        <f>'13. Desinvesteringen'!C775</f>
        <v>21 Hoofdtransportleiding</v>
      </c>
      <c r="J492" s="164">
        <f>'13. Desinvesteringen'!F775</f>
        <v>0</v>
      </c>
      <c r="K492" s="38">
        <f>_xlfn.XLOOKUP(I492,'3. Input (des)investeringen '!$B$11:$B$89,'3. Input (des)investeringen '!$E$11:$E$89)</f>
        <v>1</v>
      </c>
      <c r="L492" s="331"/>
      <c r="M492" s="38">
        <f>_xlfn.XLOOKUP(I492,'3. Input (des)investeringen '!$B$11:$B$89,'3. Input (des)investeringen '!$D$11:$D$89,0)</f>
        <v>55</v>
      </c>
      <c r="N492" s="38">
        <f t="shared" si="195"/>
        <v>8.5</v>
      </c>
      <c r="P492" s="43">
        <f t="shared" si="216"/>
        <v>1374.4058823529413</v>
      </c>
      <c r="Q492" s="43">
        <f t="shared" si="216"/>
        <v>1164.2026297577856</v>
      </c>
      <c r="R492" s="43">
        <f t="shared" si="216"/>
        <v>991.98330582911899</v>
      </c>
      <c r="S492" s="43">
        <f t="shared" si="216"/>
        <v>991.98330582911899</v>
      </c>
      <c r="T492" s="43">
        <f t="shared" si="216"/>
        <v>991.98330582911899</v>
      </c>
      <c r="V492" s="43">
        <f t="shared" si="196"/>
        <v>117.47058823529413</v>
      </c>
      <c r="W492" s="43">
        <f t="shared" si="197"/>
        <v>117.47058823529413</v>
      </c>
      <c r="X492" s="43">
        <f t="shared" si="198"/>
        <v>117.47058823529413</v>
      </c>
      <c r="Y492" s="43">
        <f t="shared" si="199"/>
        <v>117.47058823529413</v>
      </c>
      <c r="Z492" s="43">
        <f t="shared" si="200"/>
        <v>117.47058823529413</v>
      </c>
      <c r="AB492" s="43">
        <f t="shared" si="201"/>
        <v>1491.8764705882354</v>
      </c>
      <c r="AC492" s="43">
        <f t="shared" si="202"/>
        <v>1281.6732179930798</v>
      </c>
      <c r="AD492" s="43">
        <f t="shared" si="203"/>
        <v>1109.4538940644131</v>
      </c>
      <c r="AE492" s="43">
        <f t="shared" si="204"/>
        <v>1109.4538940644131</v>
      </c>
      <c r="AF492" s="43">
        <f t="shared" si="205"/>
        <v>1109.4538940644131</v>
      </c>
      <c r="AH492" s="43">
        <f t="shared" si="206"/>
        <v>8493.123529411765</v>
      </c>
      <c r="AI492" s="43">
        <f t="shared" si="207"/>
        <v>7211.4503114186855</v>
      </c>
      <c r="AJ492" s="43">
        <f t="shared" si="208"/>
        <v>6101.9964173542721</v>
      </c>
      <c r="AK492" s="43">
        <f t="shared" si="209"/>
        <v>4992.5425232898588</v>
      </c>
      <c r="AL492" s="43">
        <f t="shared" si="210"/>
        <v>3883.0886292254454</v>
      </c>
      <c r="AN492" s="47">
        <f t="shared" si="211"/>
        <v>1840.0945352941178</v>
      </c>
      <c r="AO492" s="47">
        <f t="shared" si="212"/>
        <v>1649.4571838754327</v>
      </c>
      <c r="AP492" s="47">
        <f t="shared" si="213"/>
        <v>1420.655711349481</v>
      </c>
      <c r="AQ492" s="47">
        <f t="shared" si="214"/>
        <v>1384.0437328453554</v>
      </c>
      <c r="AR492" s="43">
        <f t="shared" si="215"/>
        <v>1257.01126197498</v>
      </c>
      <c r="AS492" s="120"/>
      <c r="AT492" s="120"/>
      <c r="AU492" s="120"/>
      <c r="AV492" s="120"/>
      <c r="AW492" s="120"/>
      <c r="AX492" s="120"/>
    </row>
    <row r="493" spans="1:50" s="89" customFormat="1" ht="13">
      <c r="A493" s="3"/>
      <c r="B493" s="37">
        <f>'13. Desinvesteringen'!B776</f>
        <v>757</v>
      </c>
      <c r="C493" s="331"/>
      <c r="D493" s="331"/>
      <c r="E493" s="331"/>
      <c r="F493" s="42">
        <f>'5. Input GAW-waarde desinv.'!D452</f>
        <v>50722</v>
      </c>
      <c r="G493" s="175">
        <f>'13. Desinvesteringen'!D776</f>
        <v>1978</v>
      </c>
      <c r="H493" s="175">
        <f>'13. Desinvesteringen'!G776</f>
        <v>2025</v>
      </c>
      <c r="I493" s="37" t="str">
        <f>'13. Desinvesteringen'!C776</f>
        <v>21 Hoofdtransportleiding</v>
      </c>
      <c r="J493" s="164">
        <f>'13. Desinvesteringen'!F776</f>
        <v>0</v>
      </c>
      <c r="K493" s="38">
        <f>_xlfn.XLOOKUP(I493,'3. Input (des)investeringen '!$B$11:$B$89,'3. Input (des)investeringen '!$E$11:$E$89)</f>
        <v>1</v>
      </c>
      <c r="L493" s="331"/>
      <c r="M493" s="38">
        <f>_xlfn.XLOOKUP(I493,'3. Input (des)investeringen '!$B$11:$B$89,'3. Input (des)investeringen '!$D$11:$D$89,0)</f>
        <v>55</v>
      </c>
      <c r="N493" s="38">
        <f t="shared" si="195"/>
        <v>11.5</v>
      </c>
      <c r="P493" s="43">
        <f t="shared" si="216"/>
        <v>5160.4121739130433</v>
      </c>
      <c r="Q493" s="43">
        <f t="shared" si="216"/>
        <v>4577.0612325141783</v>
      </c>
      <c r="R493" s="43">
        <f t="shared" si="216"/>
        <v>4059.6543105777923</v>
      </c>
      <c r="S493" s="43">
        <f t="shared" si="216"/>
        <v>3747.3732097641164</v>
      </c>
      <c r="T493" s="43">
        <f t="shared" si="216"/>
        <v>3747.3732097641164</v>
      </c>
      <c r="V493" s="43">
        <f t="shared" si="196"/>
        <v>441.06086956521744</v>
      </c>
      <c r="W493" s="43">
        <f t="shared" si="197"/>
        <v>441.06086956521744</v>
      </c>
      <c r="X493" s="43">
        <f t="shared" si="198"/>
        <v>441.06086956521744</v>
      </c>
      <c r="Y493" s="43">
        <f t="shared" si="199"/>
        <v>441.06086956521744</v>
      </c>
      <c r="Z493" s="43">
        <f t="shared" si="200"/>
        <v>441.06086956521744</v>
      </c>
      <c r="AB493" s="43">
        <f t="shared" si="201"/>
        <v>5601.4730434782605</v>
      </c>
      <c r="AC493" s="43">
        <f t="shared" si="202"/>
        <v>5018.1221020793955</v>
      </c>
      <c r="AD493" s="43">
        <f t="shared" si="203"/>
        <v>4500.71518014301</v>
      </c>
      <c r="AE493" s="43">
        <f t="shared" si="204"/>
        <v>4188.4340793293341</v>
      </c>
      <c r="AF493" s="43">
        <f t="shared" si="205"/>
        <v>4188.4340793293341</v>
      </c>
      <c r="AH493" s="43">
        <f t="shared" si="206"/>
        <v>45120.526956521739</v>
      </c>
      <c r="AI493" s="43">
        <f t="shared" si="207"/>
        <v>40102.404854442342</v>
      </c>
      <c r="AJ493" s="43">
        <f t="shared" si="208"/>
        <v>35601.689674299334</v>
      </c>
      <c r="AK493" s="43">
        <f t="shared" si="209"/>
        <v>31413.25559497</v>
      </c>
      <c r="AL493" s="43">
        <f t="shared" si="210"/>
        <v>27224.821515640666</v>
      </c>
      <c r="AN493" s="47">
        <f t="shared" si="211"/>
        <v>7451.4146486956515</v>
      </c>
      <c r="AO493" s="47">
        <f t="shared" si="212"/>
        <v>7063.3447496559547</v>
      </c>
      <c r="AP493" s="47">
        <f t="shared" si="213"/>
        <v>6316.4013535322756</v>
      </c>
      <c r="AQ493" s="47">
        <f t="shared" si="214"/>
        <v>5916.1631370526839</v>
      </c>
      <c r="AR493" s="43">
        <f t="shared" si="215"/>
        <v>5222.9772969236792</v>
      </c>
      <c r="AS493" s="120"/>
      <c r="AT493" s="120"/>
      <c r="AU493" s="120"/>
      <c r="AV493" s="120"/>
      <c r="AW493" s="120"/>
      <c r="AX493" s="120"/>
    </row>
    <row r="494" spans="1:50" s="89" customFormat="1" ht="13">
      <c r="A494" s="3"/>
      <c r="B494" s="37">
        <f>'13. Desinvesteringen'!B777</f>
        <v>758</v>
      </c>
      <c r="C494" s="331"/>
      <c r="D494" s="331"/>
      <c r="E494" s="331"/>
      <c r="F494" s="42">
        <f>'5. Input GAW-waarde desinv.'!D453</f>
        <v>54089</v>
      </c>
      <c r="G494" s="175">
        <f>'13. Desinvesteringen'!D777</f>
        <v>1979</v>
      </c>
      <c r="H494" s="175">
        <f>'13. Desinvesteringen'!G777</f>
        <v>2025</v>
      </c>
      <c r="I494" s="37" t="str">
        <f>'13. Desinvesteringen'!C777</f>
        <v>21 Hoofdtransportleiding</v>
      </c>
      <c r="J494" s="164">
        <f>'13. Desinvesteringen'!F777</f>
        <v>0</v>
      </c>
      <c r="K494" s="38">
        <f>_xlfn.XLOOKUP(I494,'3. Input (des)investeringen '!$B$11:$B$89,'3. Input (des)investeringen '!$E$11:$E$89)</f>
        <v>1</v>
      </c>
      <c r="L494" s="331"/>
      <c r="M494" s="38">
        <f>_xlfn.XLOOKUP(I494,'3. Input (des)investeringen '!$B$11:$B$89,'3. Input (des)investeringen '!$D$11:$D$89,0)</f>
        <v>55</v>
      </c>
      <c r="N494" s="38">
        <f t="shared" si="195"/>
        <v>12.5</v>
      </c>
      <c r="P494" s="43">
        <f t="shared" si="216"/>
        <v>5062.7304000000004</v>
      </c>
      <c r="Q494" s="43">
        <f t="shared" si="216"/>
        <v>4536.2064384000005</v>
      </c>
      <c r="R494" s="43">
        <f t="shared" si="216"/>
        <v>4064.4409688064002</v>
      </c>
      <c r="S494" s="43">
        <f t="shared" si="216"/>
        <v>3685.9707571361687</v>
      </c>
      <c r="T494" s="43">
        <f t="shared" si="216"/>
        <v>3685.9707571361687</v>
      </c>
      <c r="V494" s="43">
        <f t="shared" si="196"/>
        <v>432.71199999999999</v>
      </c>
      <c r="W494" s="43">
        <f t="shared" si="197"/>
        <v>432.71199999999999</v>
      </c>
      <c r="X494" s="43">
        <f t="shared" si="198"/>
        <v>432.71199999999999</v>
      </c>
      <c r="Y494" s="43">
        <f t="shared" si="199"/>
        <v>432.71199999999999</v>
      </c>
      <c r="Z494" s="43">
        <f t="shared" si="200"/>
        <v>432.71199999999999</v>
      </c>
      <c r="AB494" s="43">
        <f t="shared" si="201"/>
        <v>5495.4423999999999</v>
      </c>
      <c r="AC494" s="43">
        <f t="shared" si="202"/>
        <v>4968.9184384</v>
      </c>
      <c r="AD494" s="43">
        <f t="shared" si="203"/>
        <v>4497.1529688064002</v>
      </c>
      <c r="AE494" s="43">
        <f t="shared" si="204"/>
        <v>4118.6827571361682</v>
      </c>
      <c r="AF494" s="43">
        <f t="shared" si="205"/>
        <v>4118.6827571361682</v>
      </c>
      <c r="AH494" s="43">
        <f t="shared" si="206"/>
        <v>48593.5576</v>
      </c>
      <c r="AI494" s="43">
        <f t="shared" si="207"/>
        <v>43624.639161600004</v>
      </c>
      <c r="AJ494" s="43">
        <f t="shared" si="208"/>
        <v>39127.4861927936</v>
      </c>
      <c r="AK494" s="43">
        <f t="shared" si="209"/>
        <v>35008.803435657435</v>
      </c>
      <c r="AL494" s="43">
        <f t="shared" si="210"/>
        <v>30890.120678521267</v>
      </c>
      <c r="AN494" s="47">
        <f t="shared" si="211"/>
        <v>7487.7782616000004</v>
      </c>
      <c r="AO494" s="47">
        <f t="shared" si="212"/>
        <v>7193.7750356416</v>
      </c>
      <c r="AP494" s="47">
        <f t="shared" si="213"/>
        <v>6492.6547646388735</v>
      </c>
      <c r="AQ494" s="47">
        <f t="shared" si="214"/>
        <v>6044.1669460973271</v>
      </c>
      <c r="AR494" s="43">
        <f t="shared" si="215"/>
        <v>5292.5073429199765</v>
      </c>
      <c r="AS494" s="120"/>
      <c r="AT494" s="120"/>
      <c r="AU494" s="120"/>
      <c r="AV494" s="120"/>
      <c r="AW494" s="120"/>
      <c r="AX494" s="120"/>
    </row>
    <row r="495" spans="1:50" s="89" customFormat="1" ht="13">
      <c r="A495" s="3"/>
      <c r="B495" s="37">
        <f>'13. Desinvesteringen'!B778</f>
        <v>759</v>
      </c>
      <c r="C495" s="331"/>
      <c r="D495" s="331"/>
      <c r="E495" s="331"/>
      <c r="F495" s="42">
        <f>'5. Input GAW-waarde desinv.'!D454</f>
        <v>143516</v>
      </c>
      <c r="G495" s="175">
        <f>'13. Desinvesteringen'!D778</f>
        <v>1980</v>
      </c>
      <c r="H495" s="175">
        <f>'13. Desinvesteringen'!G778</f>
        <v>2025</v>
      </c>
      <c r="I495" s="37" t="str">
        <f>'13. Desinvesteringen'!C778</f>
        <v>21 Hoofdtransportleiding</v>
      </c>
      <c r="J495" s="164">
        <f>'13. Desinvesteringen'!F778</f>
        <v>0</v>
      </c>
      <c r="K495" s="38">
        <f>_xlfn.XLOOKUP(I495,'3. Input (des)investeringen '!$B$11:$B$89,'3. Input (des)investeringen '!$E$11:$E$89)</f>
        <v>1</v>
      </c>
      <c r="L495" s="331"/>
      <c r="M495" s="38">
        <f>_xlfn.XLOOKUP(I495,'3. Input (des)investeringen '!$B$11:$B$89,'3. Input (des)investeringen '!$D$11:$D$89,0)</f>
        <v>55</v>
      </c>
      <c r="N495" s="38">
        <f t="shared" si="195"/>
        <v>13.5</v>
      </c>
      <c r="P495" s="43">
        <f t="shared" si="216"/>
        <v>12438.053333333333</v>
      </c>
      <c r="Q495" s="43">
        <f t="shared" si="216"/>
        <v>11240.314864197531</v>
      </c>
      <c r="R495" s="43">
        <f t="shared" si="216"/>
        <v>10157.914173571104</v>
      </c>
      <c r="S495" s="43">
        <f t="shared" si="216"/>
        <v>9179.744660560551</v>
      </c>
      <c r="T495" s="43">
        <f t="shared" si="216"/>
        <v>9068.2497861407883</v>
      </c>
      <c r="V495" s="43">
        <f t="shared" si="196"/>
        <v>1063.0814814814817</v>
      </c>
      <c r="W495" s="43">
        <f t="shared" si="197"/>
        <v>1063.0814814814817</v>
      </c>
      <c r="X495" s="43">
        <f t="shared" si="198"/>
        <v>1063.0814814814817</v>
      </c>
      <c r="Y495" s="43">
        <f t="shared" si="199"/>
        <v>1063.0814814814817</v>
      </c>
      <c r="Z495" s="43">
        <f t="shared" si="200"/>
        <v>1063.0814814814817</v>
      </c>
      <c r="AB495" s="43">
        <f t="shared" si="201"/>
        <v>13501.134814814815</v>
      </c>
      <c r="AC495" s="43">
        <f t="shared" si="202"/>
        <v>12303.396345679013</v>
      </c>
      <c r="AD495" s="43">
        <f t="shared" si="203"/>
        <v>11220.995655052586</v>
      </c>
      <c r="AE495" s="43">
        <f t="shared" si="204"/>
        <v>10242.826142042033</v>
      </c>
      <c r="AF495" s="43">
        <f t="shared" si="205"/>
        <v>10131.33126762227</v>
      </c>
      <c r="AH495" s="43">
        <f t="shared" si="206"/>
        <v>130014.86518518519</v>
      </c>
      <c r="AI495" s="43">
        <f t="shared" si="207"/>
        <v>117711.46883950618</v>
      </c>
      <c r="AJ495" s="43">
        <f t="shared" si="208"/>
        <v>106490.4731844536</v>
      </c>
      <c r="AK495" s="43">
        <f t="shared" si="209"/>
        <v>96247.647042411569</v>
      </c>
      <c r="AL495" s="43">
        <f t="shared" si="210"/>
        <v>86116.315774789298</v>
      </c>
      <c r="AN495" s="47">
        <f t="shared" si="211"/>
        <v>18831.744287407408</v>
      </c>
      <c r="AO495" s="47">
        <f t="shared" si="212"/>
        <v>18306.68125649383</v>
      </c>
      <c r="AP495" s="47">
        <f t="shared" si="213"/>
        <v>16652.00978745972</v>
      </c>
      <c r="AQ495" s="47">
        <f t="shared" si="214"/>
        <v>15536.446729374669</v>
      </c>
      <c r="AR495" s="43">
        <f t="shared" si="215"/>
        <v>13403.751267064265</v>
      </c>
      <c r="AS495" s="120"/>
      <c r="AT495" s="120"/>
      <c r="AU495" s="120"/>
      <c r="AV495" s="120"/>
      <c r="AW495" s="120"/>
      <c r="AX495" s="120"/>
    </row>
    <row r="496" spans="1:50" s="89" customFormat="1" ht="13">
      <c r="A496" s="3"/>
      <c r="B496" s="37">
        <f>'13. Desinvesteringen'!B779</f>
        <v>760</v>
      </c>
      <c r="C496" s="331"/>
      <c r="D496" s="331"/>
      <c r="E496" s="331"/>
      <c r="F496" s="42">
        <f>'5. Input GAW-waarde desinv.'!D455</f>
        <v>168982</v>
      </c>
      <c r="G496" s="175">
        <f>'13. Desinvesteringen'!D779</f>
        <v>1984</v>
      </c>
      <c r="H496" s="175">
        <f>'13. Desinvesteringen'!G779</f>
        <v>2025</v>
      </c>
      <c r="I496" s="37" t="str">
        <f>'13. Desinvesteringen'!C779</f>
        <v>21 Hoofdtransportleiding</v>
      </c>
      <c r="J496" s="164">
        <f>'13. Desinvesteringen'!F779</f>
        <v>0</v>
      </c>
      <c r="K496" s="38">
        <f>_xlfn.XLOOKUP(I496,'3. Input (des)investeringen '!$B$11:$B$89,'3. Input (des)investeringen '!$E$11:$E$89)</f>
        <v>1</v>
      </c>
      <c r="L496" s="331"/>
      <c r="M496" s="38">
        <f>_xlfn.XLOOKUP(I496,'3. Input (des)investeringen '!$B$11:$B$89,'3. Input (des)investeringen '!$D$11:$D$89,0)</f>
        <v>55</v>
      </c>
      <c r="N496" s="38">
        <f t="shared" si="195"/>
        <v>17.5</v>
      </c>
      <c r="P496" s="43">
        <f t="shared" si="216"/>
        <v>11297.653714285714</v>
      </c>
      <c r="Q496" s="43">
        <f t="shared" si="216"/>
        <v>10458.399438367347</v>
      </c>
      <c r="R496" s="43">
        <f t="shared" si="216"/>
        <v>9681.4897658029149</v>
      </c>
      <c r="S496" s="43">
        <f t="shared" si="216"/>
        <v>8962.2933832004146</v>
      </c>
      <c r="T496" s="43">
        <f t="shared" si="216"/>
        <v>8296.5230175912402</v>
      </c>
      <c r="V496" s="43">
        <f t="shared" si="196"/>
        <v>965.61142857142863</v>
      </c>
      <c r="W496" s="43">
        <f t="shared" si="197"/>
        <v>965.61142857142863</v>
      </c>
      <c r="X496" s="43">
        <f t="shared" si="198"/>
        <v>965.61142857142863</v>
      </c>
      <c r="Y496" s="43">
        <f t="shared" si="199"/>
        <v>965.61142857142863</v>
      </c>
      <c r="Z496" s="43">
        <f t="shared" si="200"/>
        <v>965.61142857142863</v>
      </c>
      <c r="AB496" s="43">
        <f t="shared" si="201"/>
        <v>12263.265142857143</v>
      </c>
      <c r="AC496" s="43">
        <f t="shared" si="202"/>
        <v>11424.010866938776</v>
      </c>
      <c r="AD496" s="43">
        <f t="shared" si="203"/>
        <v>10647.101194374343</v>
      </c>
      <c r="AE496" s="43">
        <f t="shared" si="204"/>
        <v>9927.904811771843</v>
      </c>
      <c r="AF496" s="43">
        <f t="shared" si="205"/>
        <v>9262.1344461626686</v>
      </c>
      <c r="AH496" s="43">
        <f t="shared" si="206"/>
        <v>156718.73485714284</v>
      </c>
      <c r="AI496" s="43">
        <f t="shared" si="207"/>
        <v>145294.72399020407</v>
      </c>
      <c r="AJ496" s="43">
        <f t="shared" si="208"/>
        <v>134647.62279582972</v>
      </c>
      <c r="AK496" s="43">
        <f t="shared" si="209"/>
        <v>124719.71798405788</v>
      </c>
      <c r="AL496" s="43">
        <f t="shared" si="210"/>
        <v>115457.5835378952</v>
      </c>
      <c r="AN496" s="47">
        <f t="shared" si="211"/>
        <v>18688.733271999998</v>
      </c>
      <c r="AO496" s="47">
        <f t="shared" si="212"/>
        <v>18834.041790439183</v>
      </c>
      <c r="AP496" s="47">
        <f t="shared" si="213"/>
        <v>17514.12995696166</v>
      </c>
      <c r="AQ496" s="47">
        <f t="shared" si="214"/>
        <v>16787.489300895028</v>
      </c>
      <c r="AR496" s="43">
        <f t="shared" si="215"/>
        <v>13649.522620602685</v>
      </c>
      <c r="AS496" s="120"/>
      <c r="AT496" s="120"/>
      <c r="AU496" s="120"/>
      <c r="AV496" s="120"/>
      <c r="AW496" s="120"/>
      <c r="AX496" s="120"/>
    </row>
    <row r="497" spans="1:50" s="89" customFormat="1" ht="13">
      <c r="A497" s="3"/>
      <c r="B497" s="37">
        <f>'13. Desinvesteringen'!B780</f>
        <v>761</v>
      </c>
      <c r="C497" s="331"/>
      <c r="D497" s="331"/>
      <c r="E497" s="331"/>
      <c r="F497" s="42">
        <f>'5. Input GAW-waarde desinv.'!D456</f>
        <v>18167</v>
      </c>
      <c r="G497" s="175">
        <f>'13. Desinvesteringen'!D780</f>
        <v>1985</v>
      </c>
      <c r="H497" s="175">
        <f>'13. Desinvesteringen'!G780</f>
        <v>2025</v>
      </c>
      <c r="I497" s="37" t="str">
        <f>'13. Desinvesteringen'!C780</f>
        <v>21 Hoofdtransportleiding</v>
      </c>
      <c r="J497" s="164">
        <f>'13. Desinvesteringen'!F780</f>
        <v>0</v>
      </c>
      <c r="K497" s="38">
        <f>_xlfn.XLOOKUP(I497,'3. Input (des)investeringen '!$B$11:$B$89,'3. Input (des)investeringen '!$E$11:$E$89)</f>
        <v>1</v>
      </c>
      <c r="L497" s="331"/>
      <c r="M497" s="38">
        <f>_xlfn.XLOOKUP(I497,'3. Input (des)investeringen '!$B$11:$B$89,'3. Input (des)investeringen '!$D$11:$D$89,0)</f>
        <v>55</v>
      </c>
      <c r="N497" s="38">
        <f t="shared" si="195"/>
        <v>18.5</v>
      </c>
      <c r="P497" s="43">
        <f t="shared" si="216"/>
        <v>1148.94</v>
      </c>
      <c r="Q497" s="43">
        <f t="shared" si="216"/>
        <v>1068.2036756756759</v>
      </c>
      <c r="R497" s="43">
        <f t="shared" si="216"/>
        <v>993.14071468224984</v>
      </c>
      <c r="S497" s="43">
        <f t="shared" si="216"/>
        <v>923.35244824511881</v>
      </c>
      <c r="T497" s="43">
        <f t="shared" si="216"/>
        <v>858.46822215221846</v>
      </c>
      <c r="V497" s="43">
        <f t="shared" si="196"/>
        <v>98.2</v>
      </c>
      <c r="W497" s="43">
        <f t="shared" si="197"/>
        <v>98.2</v>
      </c>
      <c r="X497" s="43">
        <f t="shared" si="198"/>
        <v>98.2</v>
      </c>
      <c r="Y497" s="43">
        <f t="shared" si="199"/>
        <v>98.2</v>
      </c>
      <c r="Z497" s="43">
        <f t="shared" si="200"/>
        <v>98.2</v>
      </c>
      <c r="AB497" s="43">
        <f t="shared" si="201"/>
        <v>1247.1400000000001</v>
      </c>
      <c r="AC497" s="43">
        <f t="shared" si="202"/>
        <v>1166.4036756756759</v>
      </c>
      <c r="AD497" s="43">
        <f t="shared" si="203"/>
        <v>1091.3407146822499</v>
      </c>
      <c r="AE497" s="43">
        <f t="shared" si="204"/>
        <v>1021.5524482451189</v>
      </c>
      <c r="AF497" s="43">
        <f t="shared" si="205"/>
        <v>956.6682221522185</v>
      </c>
      <c r="AH497" s="43">
        <f t="shared" si="206"/>
        <v>16919.86</v>
      </c>
      <c r="AI497" s="43">
        <f t="shared" si="207"/>
        <v>15753.456324324325</v>
      </c>
      <c r="AJ497" s="43">
        <f t="shared" si="208"/>
        <v>14662.115609642075</v>
      </c>
      <c r="AK497" s="43">
        <f t="shared" si="209"/>
        <v>13640.563161396956</v>
      </c>
      <c r="AL497" s="43">
        <f t="shared" si="210"/>
        <v>12683.894939244738</v>
      </c>
      <c r="AN497" s="47">
        <f t="shared" si="211"/>
        <v>1940.8542600000001</v>
      </c>
      <c r="AO497" s="47">
        <f t="shared" si="212"/>
        <v>1969.8299482162165</v>
      </c>
      <c r="AP497" s="47">
        <f t="shared" si="213"/>
        <v>1839.1086107739957</v>
      </c>
      <c r="AQ497" s="47">
        <f t="shared" si="214"/>
        <v>1771.7834221219514</v>
      </c>
      <c r="AR497" s="43">
        <f t="shared" si="215"/>
        <v>1438.6562298435185</v>
      </c>
      <c r="AS497" s="120"/>
      <c r="AT497" s="120"/>
      <c r="AU497" s="120"/>
      <c r="AV497" s="120"/>
      <c r="AW497" s="120"/>
      <c r="AX497" s="120"/>
    </row>
    <row r="498" spans="1:50" s="89" customFormat="1" ht="13">
      <c r="A498" s="3"/>
      <c r="B498" s="37">
        <f>'13. Desinvesteringen'!B781</f>
        <v>762</v>
      </c>
      <c r="C498" s="331"/>
      <c r="D498" s="331"/>
      <c r="E498" s="331"/>
      <c r="F498" s="42">
        <f>'5. Input GAW-waarde desinv.'!D457</f>
        <v>7986</v>
      </c>
      <c r="G498" s="175">
        <f>'13. Desinvesteringen'!D781</f>
        <v>1996</v>
      </c>
      <c r="H498" s="175">
        <f>'13. Desinvesteringen'!G781</f>
        <v>2025</v>
      </c>
      <c r="I498" s="37" t="str">
        <f>'13. Desinvesteringen'!C781</f>
        <v>21 Hoofdtransportleiding</v>
      </c>
      <c r="J498" s="164">
        <f>'13. Desinvesteringen'!F781</f>
        <v>0</v>
      </c>
      <c r="K498" s="38">
        <f>_xlfn.XLOOKUP(I498,'3. Input (des)investeringen '!$B$11:$B$89,'3. Input (des)investeringen '!$E$11:$E$89)</f>
        <v>1</v>
      </c>
      <c r="L498" s="331"/>
      <c r="M498" s="38">
        <f>_xlfn.XLOOKUP(I498,'3. Input (des)investeringen '!$B$11:$B$89,'3. Input (des)investeringen '!$D$11:$D$89,0)</f>
        <v>55</v>
      </c>
      <c r="N498" s="38">
        <f t="shared" si="195"/>
        <v>29.5</v>
      </c>
      <c r="P498" s="43">
        <f t="shared" si="216"/>
        <v>316.73288135593219</v>
      </c>
      <c r="Q498" s="43">
        <f t="shared" si="216"/>
        <v>302.77516116058604</v>
      </c>
      <c r="R498" s="43">
        <f t="shared" si="216"/>
        <v>289.43252693995004</v>
      </c>
      <c r="S498" s="43">
        <f t="shared" si="216"/>
        <v>276.67787321039293</v>
      </c>
      <c r="T498" s="43">
        <f t="shared" si="216"/>
        <v>264.48528896722308</v>
      </c>
      <c r="V498" s="43">
        <f t="shared" si="196"/>
        <v>27.07118644067797</v>
      </c>
      <c r="W498" s="43">
        <f t="shared" si="197"/>
        <v>27.07118644067797</v>
      </c>
      <c r="X498" s="43">
        <f t="shared" si="198"/>
        <v>27.07118644067797</v>
      </c>
      <c r="Y498" s="43">
        <f t="shared" si="199"/>
        <v>27.07118644067797</v>
      </c>
      <c r="Z498" s="43">
        <f t="shared" si="200"/>
        <v>27.07118644067797</v>
      </c>
      <c r="AB498" s="43">
        <f t="shared" si="201"/>
        <v>343.80406779661018</v>
      </c>
      <c r="AC498" s="43">
        <f t="shared" si="202"/>
        <v>329.84634760126403</v>
      </c>
      <c r="AD498" s="43">
        <f t="shared" si="203"/>
        <v>316.50371338062803</v>
      </c>
      <c r="AE498" s="43">
        <f t="shared" si="204"/>
        <v>303.74905965107092</v>
      </c>
      <c r="AF498" s="43">
        <f t="shared" si="205"/>
        <v>291.55647540790108</v>
      </c>
      <c r="AH498" s="43">
        <f t="shared" si="206"/>
        <v>7642.1959322033899</v>
      </c>
      <c r="AI498" s="43">
        <f t="shared" si="207"/>
        <v>7312.349584602126</v>
      </c>
      <c r="AJ498" s="43">
        <f t="shared" si="208"/>
        <v>6995.8458712214979</v>
      </c>
      <c r="AK498" s="43">
        <f t="shared" si="209"/>
        <v>6692.0968115704272</v>
      </c>
      <c r="AL498" s="43">
        <f t="shared" si="210"/>
        <v>6400.5403361625258</v>
      </c>
      <c r="AN498" s="47">
        <f t="shared" si="211"/>
        <v>657.13410101694922</v>
      </c>
      <c r="AO498" s="47">
        <f t="shared" si="212"/>
        <v>702.77617641597249</v>
      </c>
      <c r="AP498" s="47">
        <f t="shared" si="213"/>
        <v>673.29185281292439</v>
      </c>
      <c r="AQ498" s="47">
        <f t="shared" si="214"/>
        <v>671.81438428744445</v>
      </c>
      <c r="AR498" s="43">
        <f t="shared" si="215"/>
        <v>534.777008182077</v>
      </c>
      <c r="AS498" s="120"/>
      <c r="AT498" s="120"/>
      <c r="AU498" s="120"/>
      <c r="AV498" s="120"/>
      <c r="AW498" s="120"/>
      <c r="AX498" s="120"/>
    </row>
    <row r="499" spans="1:50" s="89" customFormat="1" ht="13">
      <c r="A499" s="3"/>
      <c r="B499" s="37">
        <f>'13. Desinvesteringen'!B782</f>
        <v>763</v>
      </c>
      <c r="C499" s="331"/>
      <c r="D499" s="331"/>
      <c r="E499" s="331"/>
      <c r="F499" s="42">
        <f>'5. Input GAW-waarde desinv.'!D458</f>
        <v>11808</v>
      </c>
      <c r="G499" s="175">
        <f>'13. Desinvesteringen'!D782</f>
        <v>2005</v>
      </c>
      <c r="H499" s="175">
        <f>'13. Desinvesteringen'!G782</f>
        <v>2025</v>
      </c>
      <c r="I499" s="37" t="str">
        <f>'13. Desinvesteringen'!C782</f>
        <v>21 Hoofdtransportleiding</v>
      </c>
      <c r="J499" s="164">
        <f>'13. Desinvesteringen'!F782</f>
        <v>0</v>
      </c>
      <c r="K499" s="38">
        <f>_xlfn.XLOOKUP(I499,'3. Input (des)investeringen '!$B$11:$B$89,'3. Input (des)investeringen '!$E$11:$E$89)</f>
        <v>1</v>
      </c>
      <c r="L499" s="331"/>
      <c r="M499" s="38">
        <f>_xlfn.XLOOKUP(I499,'3. Input (des)investeringen '!$B$11:$B$89,'3. Input (des)investeringen '!$D$11:$D$89,0)</f>
        <v>55</v>
      </c>
      <c r="N499" s="38">
        <f t="shared" si="195"/>
        <v>38.5</v>
      </c>
      <c r="P499" s="43">
        <f t="shared" si="216"/>
        <v>358.84051948051956</v>
      </c>
      <c r="Q499" s="43">
        <f t="shared" si="216"/>
        <v>346.72382661494356</v>
      </c>
      <c r="R499" s="43">
        <f t="shared" si="216"/>
        <v>335.01626883314026</v>
      </c>
      <c r="S499" s="43">
        <f t="shared" si="216"/>
        <v>323.704031184229</v>
      </c>
      <c r="T499" s="43">
        <f t="shared" si="216"/>
        <v>312.77376519619014</v>
      </c>
      <c r="V499" s="43">
        <f t="shared" si="196"/>
        <v>30.67012987012987</v>
      </c>
      <c r="W499" s="43">
        <f t="shared" si="197"/>
        <v>30.67012987012987</v>
      </c>
      <c r="X499" s="43">
        <f t="shared" si="198"/>
        <v>30.67012987012987</v>
      </c>
      <c r="Y499" s="43">
        <f t="shared" si="199"/>
        <v>30.67012987012987</v>
      </c>
      <c r="Z499" s="43">
        <f t="shared" si="200"/>
        <v>30.67012987012987</v>
      </c>
      <c r="AB499" s="43">
        <f t="shared" si="201"/>
        <v>389.51064935064943</v>
      </c>
      <c r="AC499" s="43">
        <f t="shared" si="202"/>
        <v>377.39395648507343</v>
      </c>
      <c r="AD499" s="43">
        <f t="shared" si="203"/>
        <v>365.68639870327013</v>
      </c>
      <c r="AE499" s="43">
        <f t="shared" si="204"/>
        <v>354.37416105435886</v>
      </c>
      <c r="AF499" s="43">
        <f t="shared" si="205"/>
        <v>343.44389506632001</v>
      </c>
      <c r="AH499" s="43">
        <f t="shared" si="206"/>
        <v>11418.48935064935</v>
      </c>
      <c r="AI499" s="43">
        <f t="shared" si="207"/>
        <v>11041.095394164277</v>
      </c>
      <c r="AJ499" s="43">
        <f t="shared" si="208"/>
        <v>10675.408995461006</v>
      </c>
      <c r="AK499" s="43">
        <f t="shared" si="209"/>
        <v>10321.034834406648</v>
      </c>
      <c r="AL499" s="43">
        <f t="shared" si="210"/>
        <v>9977.5909393403272</v>
      </c>
      <c r="AN499" s="47">
        <f t="shared" si="211"/>
        <v>857.6687127272728</v>
      </c>
      <c r="AO499" s="47">
        <f t="shared" si="212"/>
        <v>940.4898215874515</v>
      </c>
      <c r="AP499" s="47">
        <f t="shared" si="213"/>
        <v>910.13225747178137</v>
      </c>
      <c r="AQ499" s="47">
        <f t="shared" si="214"/>
        <v>922.03107694672451</v>
      </c>
      <c r="AR499" s="43">
        <f t="shared" si="215"/>
        <v>722.59235076125242</v>
      </c>
      <c r="AS499" s="120"/>
      <c r="AT499" s="120"/>
      <c r="AU499" s="120"/>
      <c r="AV499" s="120"/>
      <c r="AW499" s="120"/>
      <c r="AX499" s="120"/>
    </row>
    <row r="500" spans="1:50" s="89" customFormat="1" ht="13">
      <c r="A500" s="3"/>
      <c r="B500" s="37">
        <f>'13. Desinvesteringen'!B783</f>
        <v>764</v>
      </c>
      <c r="C500" s="331"/>
      <c r="D500" s="331"/>
      <c r="E500" s="331"/>
      <c r="F500" s="42">
        <f>'5. Input GAW-waarde desinv.'!D459</f>
        <v>89571</v>
      </c>
      <c r="G500" s="175">
        <f>'13. Desinvesteringen'!D783</f>
        <v>2010</v>
      </c>
      <c r="H500" s="175">
        <f>'13. Desinvesteringen'!G783</f>
        <v>2025</v>
      </c>
      <c r="I500" s="37" t="str">
        <f>'13. Desinvesteringen'!C783</f>
        <v>21 Hoofdtransportleiding</v>
      </c>
      <c r="J500" s="164">
        <f>'13. Desinvesteringen'!F783</f>
        <v>0</v>
      </c>
      <c r="K500" s="38">
        <f>_xlfn.XLOOKUP(I500,'3. Input (des)investeringen '!$B$11:$B$89,'3. Input (des)investeringen '!$E$11:$E$89)</f>
        <v>1</v>
      </c>
      <c r="L500" s="331"/>
      <c r="M500" s="38">
        <f>_xlfn.XLOOKUP(I500,'3. Input (des)investeringen '!$B$11:$B$89,'3. Input (des)investeringen '!$D$11:$D$89,0)</f>
        <v>55</v>
      </c>
      <c r="N500" s="38">
        <f t="shared" si="195"/>
        <v>43.5</v>
      </c>
      <c r="P500" s="43">
        <f t="shared" si="216"/>
        <v>2409.1510344827589</v>
      </c>
      <c r="Q500" s="43">
        <f t="shared" si="216"/>
        <v>2337.1534173602849</v>
      </c>
      <c r="R500" s="43">
        <f t="shared" si="216"/>
        <v>2267.307453163311</v>
      </c>
      <c r="S500" s="43">
        <f t="shared" si="216"/>
        <v>2199.5488396204996</v>
      </c>
      <c r="T500" s="43">
        <f t="shared" si="216"/>
        <v>2133.8151961375879</v>
      </c>
      <c r="V500" s="43">
        <f t="shared" si="196"/>
        <v>205.91034482758619</v>
      </c>
      <c r="W500" s="43">
        <f t="shared" si="197"/>
        <v>205.91034482758624</v>
      </c>
      <c r="X500" s="43">
        <f t="shared" si="198"/>
        <v>205.91034482758624</v>
      </c>
      <c r="Y500" s="43">
        <f t="shared" si="199"/>
        <v>205.91034482758624</v>
      </c>
      <c r="Z500" s="43">
        <f t="shared" si="200"/>
        <v>205.91034482758624</v>
      </c>
      <c r="AB500" s="43">
        <f t="shared" si="201"/>
        <v>2615.0613793103448</v>
      </c>
      <c r="AC500" s="43">
        <f t="shared" si="202"/>
        <v>2543.0637621878714</v>
      </c>
      <c r="AD500" s="43">
        <f t="shared" si="203"/>
        <v>2473.2177979908975</v>
      </c>
      <c r="AE500" s="43">
        <f t="shared" si="204"/>
        <v>2405.459184448086</v>
      </c>
      <c r="AF500" s="43">
        <f t="shared" si="205"/>
        <v>2339.7255409651743</v>
      </c>
      <c r="AH500" s="43">
        <f t="shared" si="206"/>
        <v>86955.93862068966</v>
      </c>
      <c r="AI500" s="43">
        <f t="shared" si="207"/>
        <v>84412.874858501789</v>
      </c>
      <c r="AJ500" s="43">
        <f t="shared" si="208"/>
        <v>81939.657060510886</v>
      </c>
      <c r="AK500" s="43">
        <f t="shared" si="209"/>
        <v>79534.197876062797</v>
      </c>
      <c r="AL500" s="43">
        <f t="shared" si="210"/>
        <v>77194.472335097627</v>
      </c>
      <c r="AN500" s="47">
        <f t="shared" si="211"/>
        <v>6180.2548627586211</v>
      </c>
      <c r="AO500" s="47">
        <f t="shared" si="212"/>
        <v>6848.1203799714622</v>
      </c>
      <c r="AP500" s="47">
        <f t="shared" si="213"/>
        <v>6652.1403080769524</v>
      </c>
      <c r="AQ500" s="47">
        <f t="shared" si="214"/>
        <v>6779.8400676315396</v>
      </c>
      <c r="AR500" s="43">
        <f t="shared" si="215"/>
        <v>5273.1154896988846</v>
      </c>
      <c r="AS500" s="120"/>
      <c r="AT500" s="120"/>
      <c r="AU500" s="120"/>
      <c r="AV500" s="120"/>
      <c r="AW500" s="120"/>
      <c r="AX500" s="120"/>
    </row>
    <row r="501" spans="1:50" s="89" customFormat="1" ht="13">
      <c r="A501" s="3"/>
      <c r="B501" s="37">
        <f>'13. Desinvesteringen'!B784</f>
        <v>765</v>
      </c>
      <c r="C501" s="331"/>
      <c r="D501" s="331"/>
      <c r="E501" s="331"/>
      <c r="F501" s="42">
        <f>'5. Input GAW-waarde desinv.'!D460</f>
        <v>5680</v>
      </c>
      <c r="G501" s="175">
        <f>'13. Desinvesteringen'!D784</f>
        <v>2015</v>
      </c>
      <c r="H501" s="175">
        <f>'13. Desinvesteringen'!G784</f>
        <v>2025</v>
      </c>
      <c r="I501" s="37" t="str">
        <f>'13. Desinvesteringen'!C784</f>
        <v>21 Hoofdtransportleiding</v>
      </c>
      <c r="J501" s="164">
        <f>'13. Desinvesteringen'!F784</f>
        <v>0</v>
      </c>
      <c r="K501" s="38">
        <f>_xlfn.XLOOKUP(I501,'3. Input (des)investeringen '!$B$11:$B$89,'3. Input (des)investeringen '!$E$11:$E$89)</f>
        <v>1</v>
      </c>
      <c r="L501" s="331"/>
      <c r="M501" s="38">
        <f>_xlfn.XLOOKUP(I501,'3. Input (des)investeringen '!$B$11:$B$89,'3. Input (des)investeringen '!$D$11:$D$89,0)</f>
        <v>55</v>
      </c>
      <c r="N501" s="38">
        <f t="shared" si="195"/>
        <v>48.5</v>
      </c>
      <c r="P501" s="43">
        <f t="shared" si="216"/>
        <v>137.02268041237113</v>
      </c>
      <c r="Q501" s="43">
        <f t="shared" si="216"/>
        <v>133.3499075353385</v>
      </c>
      <c r="R501" s="43">
        <f t="shared" si="216"/>
        <v>129.77558011686554</v>
      </c>
      <c r="S501" s="43">
        <f t="shared" si="216"/>
        <v>126.29705941270213</v>
      </c>
      <c r="T501" s="43">
        <f t="shared" si="216"/>
        <v>122.91177740782561</v>
      </c>
      <c r="V501" s="43">
        <f t="shared" si="196"/>
        <v>11.711340206185568</v>
      </c>
      <c r="W501" s="43">
        <f t="shared" si="197"/>
        <v>11.711340206185568</v>
      </c>
      <c r="X501" s="43">
        <f t="shared" si="198"/>
        <v>11.711340206185568</v>
      </c>
      <c r="Y501" s="43">
        <f t="shared" si="199"/>
        <v>11.711340206185568</v>
      </c>
      <c r="Z501" s="43">
        <f t="shared" si="200"/>
        <v>11.711340206185568</v>
      </c>
      <c r="AB501" s="43">
        <f t="shared" si="201"/>
        <v>148.73402061855671</v>
      </c>
      <c r="AC501" s="43">
        <f t="shared" si="202"/>
        <v>145.06124774152408</v>
      </c>
      <c r="AD501" s="43">
        <f t="shared" si="203"/>
        <v>141.48692032305109</v>
      </c>
      <c r="AE501" s="43">
        <f t="shared" si="204"/>
        <v>138.00839961888769</v>
      </c>
      <c r="AF501" s="43">
        <f t="shared" si="205"/>
        <v>134.62311761401116</v>
      </c>
      <c r="AH501" s="43">
        <f t="shared" si="206"/>
        <v>5531.2659793814437</v>
      </c>
      <c r="AI501" s="43">
        <f t="shared" si="207"/>
        <v>5386.2047316399194</v>
      </c>
      <c r="AJ501" s="43">
        <f t="shared" si="208"/>
        <v>5244.7178113168684</v>
      </c>
      <c r="AK501" s="43">
        <f t="shared" si="209"/>
        <v>5106.7094116979806</v>
      </c>
      <c r="AL501" s="43">
        <f t="shared" si="210"/>
        <v>4972.0862940839697</v>
      </c>
      <c r="AN501" s="47">
        <f t="shared" si="211"/>
        <v>375.51592577319593</v>
      </c>
      <c r="AO501" s="47">
        <f t="shared" si="212"/>
        <v>419.75768905515997</v>
      </c>
      <c r="AP501" s="47">
        <f t="shared" si="213"/>
        <v>408.96752870021135</v>
      </c>
      <c r="AQ501" s="47">
        <f t="shared" si="214"/>
        <v>418.87741726227659</v>
      </c>
      <c r="AR501" s="43">
        <f t="shared" si="215"/>
        <v>323.56239678920201</v>
      </c>
      <c r="AS501" s="120"/>
      <c r="AT501" s="120"/>
      <c r="AU501" s="120"/>
      <c r="AV501" s="120"/>
      <c r="AW501" s="120"/>
      <c r="AX501" s="120"/>
    </row>
    <row r="502" spans="1:50" s="89" customFormat="1" ht="13">
      <c r="A502" s="3"/>
      <c r="B502" s="37">
        <f>'13. Desinvesteringen'!B785</f>
        <v>766</v>
      </c>
      <c r="C502" s="331"/>
      <c r="D502" s="331"/>
      <c r="E502" s="331"/>
      <c r="F502" s="42">
        <f>'5. Input GAW-waarde desinv.'!D461</f>
        <v>101239</v>
      </c>
      <c r="G502" s="175">
        <f>'13. Desinvesteringen'!D785</f>
        <v>2016</v>
      </c>
      <c r="H502" s="175">
        <f>'13. Desinvesteringen'!G785</f>
        <v>2025</v>
      </c>
      <c r="I502" s="37" t="str">
        <f>'13. Desinvesteringen'!C785</f>
        <v>21 Hoofdtransportleiding</v>
      </c>
      <c r="J502" s="164">
        <f>'13. Desinvesteringen'!F785</f>
        <v>0</v>
      </c>
      <c r="K502" s="38">
        <f>_xlfn.XLOOKUP(I502,'3. Input (des)investeringen '!$B$11:$B$89,'3. Input (des)investeringen '!$E$11:$E$89)</f>
        <v>1</v>
      </c>
      <c r="L502" s="331"/>
      <c r="M502" s="38">
        <f>_xlfn.XLOOKUP(I502,'3. Input (des)investeringen '!$B$11:$B$89,'3. Input (des)investeringen '!$D$11:$D$89,0)</f>
        <v>55</v>
      </c>
      <c r="N502" s="38">
        <f t="shared" si="195"/>
        <v>49.5</v>
      </c>
      <c r="P502" s="43">
        <f t="shared" si="216"/>
        <v>2392.9218181818187</v>
      </c>
      <c r="Q502" s="43">
        <f t="shared" si="216"/>
        <v>2330.0774067952248</v>
      </c>
      <c r="R502" s="43">
        <f t="shared" si="216"/>
        <v>2268.8834546975727</v>
      </c>
      <c r="S502" s="43">
        <f t="shared" si="216"/>
        <v>2209.2966164933941</v>
      </c>
      <c r="T502" s="43">
        <f t="shared" si="216"/>
        <v>2151.2746851511433</v>
      </c>
      <c r="V502" s="43">
        <f t="shared" ref="V502" si="217">IF($M502&gt;0, IF(OR($G502&gt;V$50,$G502+$M502&lt;V$50),0,
VDB($F502,0,$N502,MAX(0,P$50-2022),MIN($N502,P$50-2021),1,FALSE))*$F$26, 0)</f>
        <v>204.52323232323235</v>
      </c>
      <c r="W502" s="43">
        <f t="shared" ref="W502" si="218">IF($M502&gt;0, IF(OR($G502&gt;W$50,$G502+$M502&lt;W$50),0,
VDB($F502,0,$N502,MAX(0,Q$50-2022),MIN($N502,Q$50-2021),1,FALSE))*$F$26, 0)</f>
        <v>204.52323232323232</v>
      </c>
      <c r="X502" s="43">
        <f t="shared" ref="X502" si="219">IF($M502&gt;0, IF(OR($G502&gt;X$50,$G502+$M502&lt;X$50),0,
VDB($F502,0,$N502,MAX(0,R$50-2022),MIN($N502,R$50-2021),1,FALSE))*$F$26, 0)</f>
        <v>204.52323232323232</v>
      </c>
      <c r="Y502" s="43">
        <f t="shared" ref="Y502" si="220">IF($M502&gt;0, IF(OR($G502&gt;Y$50,$G502+$M502&lt;Y$50),0,
VDB($F502,0,$N502,MAX(0,S$50-2022),MIN($N502,S$50-2021),1,FALSE))*$F$26, 0)</f>
        <v>204.52323232323232</v>
      </c>
      <c r="Z502" s="43">
        <f t="shared" ref="Z502" si="221">IF($M502&gt;0, IF(OR($G502&gt;Z$50,$G502+$M502&lt;Z$50),0,
VDB($F502,0,$N502,MAX(0,T$50-2022),MIN($N502,T$50-2021),1,FALSE))*$F$26, 0)</f>
        <v>204.52323232323232</v>
      </c>
      <c r="AB502" s="43">
        <f t="shared" ref="AB502" si="222">P502+V502</f>
        <v>2597.4450505050509</v>
      </c>
      <c r="AC502" s="43">
        <f t="shared" ref="AC502" si="223">Q502+W502</f>
        <v>2534.6006391184569</v>
      </c>
      <c r="AD502" s="43">
        <f t="shared" ref="AD502" si="224">R502+X502</f>
        <v>2473.4066870208048</v>
      </c>
      <c r="AE502" s="43">
        <f t="shared" ref="AE502" si="225">S502+Y502</f>
        <v>2413.8198488166263</v>
      </c>
      <c r="AF502" s="43">
        <f t="shared" ref="AF502" si="226">T502+Z502</f>
        <v>2355.7979174743755</v>
      </c>
      <c r="AH502" s="43">
        <f t="shared" ref="AH502" si="227">IF($M502&gt;0, IF($M502&gt;0,IF(OR($G502&gt;AH$50,$G502+$M502&lt;=AH$50),0,IF(AH$50=2022,$F502-AB502,AG502-AB502))), $F502)</f>
        <v>98641.554949494952</v>
      </c>
      <c r="AI502" s="43">
        <f t="shared" ref="AI502" si="228">IF($M502&gt;0, IF(OR($G502&gt;AI$50,$G502+$M502&lt;=AI$50),0,IF(AI$50=2022,$F502-AC502,AH502-AC502)), AH502)</f>
        <v>96106.954310376488</v>
      </c>
      <c r="AJ502" s="43">
        <f t="shared" ref="AJ502" si="229">IF($M502&gt;0, IF(OR($G502&gt;AJ$50,$G502+$M502&lt;=AJ$50),0,IF(AJ$50=2022,$F502-AD502,AI502-AD502)), AI502)</f>
        <v>93633.547623355684</v>
      </c>
      <c r="AK502" s="43">
        <f t="shared" ref="AK502" si="230">IF($M502&gt;0, IF(OR($G502&gt;AK$50,$G502+$M502&lt;=AK$50),0,IF(AK$50=2022,$F502-AE502,AJ502-AE502)), AJ502)</f>
        <v>91219.72777453906</v>
      </c>
      <c r="AL502" s="43">
        <f t="shared" ref="AL502" si="231">IF($M502&gt;0, IF(OR($G502&gt;AL$50,$G502+$M502&lt;=AL$50),0,IF(AL$50=2022,$F502-AF502,AK502-AF502)), AK502)</f>
        <v>88863.929857064679</v>
      </c>
      <c r="AN502" s="47">
        <f t="shared" si="211"/>
        <v>6641.7488034343442</v>
      </c>
      <c r="AO502" s="47">
        <f t="shared" si="212"/>
        <v>7436.055308947658</v>
      </c>
      <c r="AP502" s="47">
        <f t="shared" si="213"/>
        <v>7248.7176158119437</v>
      </c>
      <c r="AQ502" s="47">
        <f t="shared" si="214"/>
        <v>7430.9048764162744</v>
      </c>
      <c r="AR502" s="43">
        <f t="shared" si="215"/>
        <v>5732.6272520428338</v>
      </c>
      <c r="AS502" s="120"/>
      <c r="AT502" s="120"/>
      <c r="AU502" s="120"/>
      <c r="AV502" s="120"/>
      <c r="AW502" s="120"/>
      <c r="AX502" s="120"/>
    </row>
    <row r="503" spans="1:50" s="89" customFormat="1" ht="13">
      <c r="A503" s="3"/>
      <c r="B503" s="37">
        <f>'13. Desinvesteringen'!B786</f>
        <v>767</v>
      </c>
      <c r="C503" s="331"/>
      <c r="D503" s="331"/>
      <c r="E503" s="331"/>
      <c r="F503" s="42">
        <f>'5. Input GAW-waarde desinv.'!D462</f>
        <v>53910</v>
      </c>
      <c r="G503" s="175">
        <f>'13. Desinvesteringen'!D786</f>
        <v>2018</v>
      </c>
      <c r="H503" s="175">
        <f>'13. Desinvesteringen'!G786</f>
        <v>2025</v>
      </c>
      <c r="I503" s="37" t="str">
        <f>'13. Desinvesteringen'!C786</f>
        <v>21 Hoofdtransportleiding</v>
      </c>
      <c r="J503" s="164">
        <f>'13. Desinvesteringen'!F786</f>
        <v>0</v>
      </c>
      <c r="K503" s="38">
        <f>_xlfn.XLOOKUP(I503,'3. Input (des)investeringen '!$B$11:$B$89,'3. Input (des)investeringen '!$E$11:$E$89)</f>
        <v>1</v>
      </c>
      <c r="L503" s="331"/>
      <c r="M503" s="38">
        <f>_xlfn.XLOOKUP(I503,'3. Input (des)investeringen '!$B$11:$B$89,'3. Input (des)investeringen '!$D$11:$D$89,0)</f>
        <v>55</v>
      </c>
      <c r="N503" s="38">
        <f t="shared" si="195"/>
        <v>51.5</v>
      </c>
      <c r="P503" s="43">
        <f t="shared" si="216"/>
        <v>1224.7514563106797</v>
      </c>
      <c r="Q503" s="43">
        <f t="shared" si="216"/>
        <v>1193.8354001319635</v>
      </c>
      <c r="R503" s="43">
        <f t="shared" si="216"/>
        <v>1163.699749254846</v>
      </c>
      <c r="S503" s="43">
        <f t="shared" si="216"/>
        <v>1134.3248041280247</v>
      </c>
      <c r="T503" s="43">
        <f t="shared" si="216"/>
        <v>1105.6913624704241</v>
      </c>
      <c r="V503" s="43">
        <f t="shared" si="196"/>
        <v>104.67961165048544</v>
      </c>
      <c r="W503" s="43">
        <f t="shared" si="197"/>
        <v>104.67961165048544</v>
      </c>
      <c r="X503" s="43">
        <f t="shared" si="198"/>
        <v>104.67961165048544</v>
      </c>
      <c r="Y503" s="43">
        <f t="shared" si="199"/>
        <v>104.67961165048544</v>
      </c>
      <c r="Z503" s="43">
        <f t="shared" si="200"/>
        <v>104.67961165048544</v>
      </c>
      <c r="AB503" s="43">
        <f t="shared" si="201"/>
        <v>1329.4310679611651</v>
      </c>
      <c r="AC503" s="43">
        <f t="shared" si="202"/>
        <v>1298.5150117824489</v>
      </c>
      <c r="AD503" s="43">
        <f t="shared" si="203"/>
        <v>1268.3793609053314</v>
      </c>
      <c r="AE503" s="43">
        <f t="shared" si="204"/>
        <v>1239.0044157785101</v>
      </c>
      <c r="AF503" s="43">
        <f t="shared" si="205"/>
        <v>1210.3709741209095</v>
      </c>
      <c r="AH503" s="43">
        <f t="shared" si="206"/>
        <v>52580.568932038834</v>
      </c>
      <c r="AI503" s="43">
        <f t="shared" si="207"/>
        <v>51282.053920256381</v>
      </c>
      <c r="AJ503" s="43">
        <f t="shared" si="208"/>
        <v>50013.67455935105</v>
      </c>
      <c r="AK503" s="43">
        <f t="shared" si="209"/>
        <v>48774.670143572541</v>
      </c>
      <c r="AL503" s="43">
        <f t="shared" si="210"/>
        <v>47564.299169451631</v>
      </c>
      <c r="AN503" s="47">
        <f t="shared" si="211"/>
        <v>3485.2343941747577</v>
      </c>
      <c r="AO503" s="47">
        <f t="shared" si="212"/>
        <v>3913.8997617155246</v>
      </c>
      <c r="AP503" s="47">
        <f t="shared" si="213"/>
        <v>3819.0767634322347</v>
      </c>
      <c r="AQ503" s="47">
        <f t="shared" si="214"/>
        <v>3921.6112736749997</v>
      </c>
      <c r="AR503" s="43">
        <f t="shared" si="215"/>
        <v>3017.8143425600715</v>
      </c>
      <c r="AS503" s="120"/>
      <c r="AT503" s="120"/>
      <c r="AU503" s="120"/>
      <c r="AV503" s="120"/>
      <c r="AW503" s="120"/>
      <c r="AX503" s="120"/>
    </row>
    <row r="504" spans="1:50" s="89" customFormat="1" ht="13">
      <c r="A504" s="3"/>
      <c r="B504" s="37">
        <f>'13. Desinvesteringen'!B787</f>
        <v>768</v>
      </c>
      <c r="C504" s="331"/>
      <c r="D504" s="331"/>
      <c r="E504" s="331"/>
      <c r="F504" s="42">
        <f>'5. Input GAW-waarde desinv.'!D463</f>
        <v>45</v>
      </c>
      <c r="G504" s="175">
        <f>'13. Desinvesteringen'!D787</f>
        <v>2021</v>
      </c>
      <c r="H504" s="175">
        <f>'13. Desinvesteringen'!G787</f>
        <v>2025</v>
      </c>
      <c r="I504" s="37" t="str">
        <f>'13. Desinvesteringen'!C787</f>
        <v>21 Hoofdtransportleiding</v>
      </c>
      <c r="J504" s="164">
        <f>'13. Desinvesteringen'!F787</f>
        <v>0</v>
      </c>
      <c r="K504" s="38">
        <f>_xlfn.XLOOKUP(I504,'3. Input (des)investeringen '!$B$11:$B$89,'3. Input (des)investeringen '!$E$11:$E$89)</f>
        <v>1</v>
      </c>
      <c r="L504" s="331"/>
      <c r="M504" s="38">
        <f>_xlfn.XLOOKUP(I504,'3. Input (des)investeringen '!$B$11:$B$89,'3. Input (des)investeringen '!$D$11:$D$89,0)</f>
        <v>55</v>
      </c>
      <c r="N504" s="38">
        <f t="shared" si="195"/>
        <v>54.5</v>
      </c>
      <c r="P504" s="43">
        <f t="shared" si="216"/>
        <v>0.96605504587155966</v>
      </c>
      <c r="Q504" s="43">
        <f t="shared" si="216"/>
        <v>0.94301153101590784</v>
      </c>
      <c r="R504" s="43">
        <f t="shared" si="216"/>
        <v>0.92051767798250084</v>
      </c>
      <c r="S504" s="43">
        <f t="shared" si="216"/>
        <v>0.89856037557190915</v>
      </c>
      <c r="T504" s="43">
        <f t="shared" si="216"/>
        <v>0.87712682532890951</v>
      </c>
      <c r="V504" s="43">
        <f t="shared" si="196"/>
        <v>8.2568807339449546E-2</v>
      </c>
      <c r="W504" s="43">
        <f t="shared" si="197"/>
        <v>8.2568807339449546E-2</v>
      </c>
      <c r="X504" s="43">
        <f t="shared" si="198"/>
        <v>8.2568807339449546E-2</v>
      </c>
      <c r="Y504" s="43">
        <f t="shared" si="199"/>
        <v>8.2568807339449546E-2</v>
      </c>
      <c r="Z504" s="43">
        <f t="shared" si="200"/>
        <v>8.2568807339449546E-2</v>
      </c>
      <c r="AB504" s="43">
        <f t="shared" si="201"/>
        <v>1.0486238532110093</v>
      </c>
      <c r="AC504" s="43">
        <f t="shared" si="202"/>
        <v>1.0255803383553574</v>
      </c>
      <c r="AD504" s="43">
        <f t="shared" si="203"/>
        <v>1.0030864853219503</v>
      </c>
      <c r="AE504" s="43">
        <f t="shared" si="204"/>
        <v>0.98112918291135864</v>
      </c>
      <c r="AF504" s="43">
        <f t="shared" si="205"/>
        <v>0.959695632668359</v>
      </c>
      <c r="AH504" s="43">
        <f t="shared" si="206"/>
        <v>43.951376146788988</v>
      </c>
      <c r="AI504" s="43">
        <f t="shared" si="207"/>
        <v>42.925795808433634</v>
      </c>
      <c r="AJ504" s="43">
        <f t="shared" si="208"/>
        <v>41.922709323111683</v>
      </c>
      <c r="AK504" s="43">
        <f t="shared" si="209"/>
        <v>40.941580140200323</v>
      </c>
      <c r="AL504" s="43">
        <f t="shared" si="210"/>
        <v>39.981884507531966</v>
      </c>
      <c r="AN504" s="47">
        <f t="shared" si="211"/>
        <v>2.8506302752293577</v>
      </c>
      <c r="AO504" s="47">
        <f t="shared" si="212"/>
        <v>3.2147959245854727</v>
      </c>
      <c r="AP504" s="47">
        <f t="shared" si="213"/>
        <v>3.1411446608006459</v>
      </c>
      <c r="AQ504" s="47">
        <f t="shared" si="214"/>
        <v>3.2329160906223766</v>
      </c>
      <c r="AR504" s="43">
        <f t="shared" si="215"/>
        <v>2.4790072439545736</v>
      </c>
      <c r="AS504" s="120"/>
      <c r="AT504" s="120"/>
      <c r="AU504" s="120"/>
      <c r="AV504" s="120"/>
      <c r="AW504" s="120"/>
      <c r="AX504" s="120"/>
    </row>
    <row r="505" spans="1:50" s="89" customFormat="1" ht="13">
      <c r="A505" s="3"/>
      <c r="B505" s="37">
        <f>'13. Desinvesteringen'!B788</f>
        <v>769</v>
      </c>
      <c r="C505" s="331"/>
      <c r="D505" s="331"/>
      <c r="E505" s="331"/>
      <c r="F505" s="42">
        <f>'5. Input GAW-waarde desinv.'!D464</f>
        <v>0</v>
      </c>
      <c r="G505" s="175">
        <f>'13. Desinvesteringen'!D788</f>
        <v>2022</v>
      </c>
      <c r="H505" s="175">
        <f>'13. Desinvesteringen'!G788</f>
        <v>2025</v>
      </c>
      <c r="I505" s="37" t="str">
        <f>'13. Desinvesteringen'!C788</f>
        <v>21 Hoofdtransportleiding</v>
      </c>
      <c r="J505" s="164">
        <f>'13. Desinvesteringen'!F788</f>
        <v>0</v>
      </c>
      <c r="K505" s="38">
        <f>_xlfn.XLOOKUP(I505,'3. Input (des)investeringen '!$B$11:$B$89,'3. Input (des)investeringen '!$E$11:$E$89)</f>
        <v>1</v>
      </c>
      <c r="L505" s="331"/>
      <c r="M505" s="38">
        <f>_xlfn.XLOOKUP(I505,'3. Input (des)investeringen '!$B$11:$B$89,'3. Input (des)investeringen '!$D$11:$D$89,0)</f>
        <v>55</v>
      </c>
      <c r="N505" s="38">
        <f t="shared" si="195"/>
        <v>55</v>
      </c>
      <c r="P505" s="338">
        <v>2312.907267</v>
      </c>
      <c r="Q505" s="338">
        <v>4571.1458169999996</v>
      </c>
      <c r="R505" s="338">
        <v>4463.1005530000002</v>
      </c>
      <c r="S505" s="338">
        <v>4357.6090850000001</v>
      </c>
      <c r="T505" s="338">
        <v>4254.6110520000002</v>
      </c>
      <c r="V505" s="338">
        <v>197.68438180000001</v>
      </c>
      <c r="W505" s="338">
        <v>395.36876360000002</v>
      </c>
      <c r="X505" s="338">
        <v>395.36876360000002</v>
      </c>
      <c r="Y505" s="338">
        <v>395.36876360000002</v>
      </c>
      <c r="Z505" s="338">
        <v>395.36876360000002</v>
      </c>
      <c r="AB505" s="43">
        <f t="shared" ref="AB505" si="232">P505+V505</f>
        <v>2510.5916488000003</v>
      </c>
      <c r="AC505" s="43">
        <f t="shared" ref="AC505" si="233">Q505+W505</f>
        <v>4966.5145806</v>
      </c>
      <c r="AD505" s="43">
        <f t="shared" ref="AD505" si="234">R505+X505</f>
        <v>4858.4693166000006</v>
      </c>
      <c r="AE505" s="43">
        <f t="shared" ref="AE505" si="235">S505+Y505</f>
        <v>4752.9778486000005</v>
      </c>
      <c r="AF505" s="43">
        <f t="shared" ref="AF505" si="236">T505+Z505</f>
        <v>4649.9798156000006</v>
      </c>
      <c r="AH505" s="174">
        <v>214942.2283509</v>
      </c>
      <c r="AI505" s="174">
        <v>209975.71377</v>
      </c>
      <c r="AJ505" s="174">
        <v>205117.2444538</v>
      </c>
      <c r="AK505" s="174">
        <v>200364.26660520001</v>
      </c>
      <c r="AL505" s="174">
        <v>195714.28678950001</v>
      </c>
      <c r="AN505" s="47">
        <f t="shared" si="211"/>
        <v>11323.223011186901</v>
      </c>
      <c r="AO505" s="47">
        <f t="shared" si="212"/>
        <v>15675.27598287</v>
      </c>
      <c r="AP505" s="47">
        <f t="shared" si="213"/>
        <v>15319.448783743799</v>
      </c>
      <c r="AQ505" s="47">
        <f t="shared" si="214"/>
        <v>15773.012511886001</v>
      </c>
      <c r="AR505" s="43">
        <f t="shared" si="215"/>
        <v>12087.122713601002</v>
      </c>
      <c r="AS505" s="120"/>
      <c r="AT505" s="120"/>
      <c r="AU505" s="120"/>
      <c r="AV505" s="120"/>
      <c r="AW505" s="120"/>
      <c r="AX505" s="120"/>
    </row>
    <row r="506" spans="1:50" s="89" customFormat="1" ht="13">
      <c r="A506" s="3"/>
      <c r="B506" s="37">
        <f>'13. Desinvesteringen'!B789</f>
        <v>770</v>
      </c>
      <c r="C506" s="331"/>
      <c r="D506" s="331"/>
      <c r="E506" s="331"/>
      <c r="F506" s="42">
        <f>'5. Input GAW-waarde desinv.'!D465</f>
        <v>0</v>
      </c>
      <c r="G506" s="175">
        <f>'13. Desinvesteringen'!D789</f>
        <v>1966</v>
      </c>
      <c r="H506" s="175">
        <f>'13. Desinvesteringen'!G789</f>
        <v>2025</v>
      </c>
      <c r="I506" s="37" t="str">
        <f>'13. Desinvesteringen'!C789</f>
        <v>32 M&amp;R stations</v>
      </c>
      <c r="J506" s="164">
        <f>'13. Desinvesteringen'!F789</f>
        <v>0</v>
      </c>
      <c r="K506" s="38">
        <f>_xlfn.XLOOKUP(I506,'3. Input (des)investeringen '!$B$11:$B$89,'3. Input (des)investeringen '!$E$11:$E$89)</f>
        <v>1</v>
      </c>
      <c r="L506" s="331"/>
      <c r="M506" s="38">
        <f>_xlfn.XLOOKUP(I506,'3. Input (des)investeringen '!$B$11:$B$89,'3. Input (des)investeringen '!$D$11:$D$89,0)</f>
        <v>30</v>
      </c>
      <c r="N506" s="38">
        <f t="shared" ref="N506:N521" si="237">IF($M506&gt;0, MAX(0,IF(G506&lt;2022,M506-2021+G506-0.5,M506)), 0)</f>
        <v>0</v>
      </c>
      <c r="P506" s="43">
        <f t="shared" si="216"/>
        <v>0</v>
      </c>
      <c r="Q506" s="43">
        <f t="shared" si="216"/>
        <v>0</v>
      </c>
      <c r="R506" s="43">
        <f t="shared" si="216"/>
        <v>0</v>
      </c>
      <c r="S506" s="43">
        <f t="shared" si="216"/>
        <v>0</v>
      </c>
      <c r="T506" s="43">
        <f t="shared" si="216"/>
        <v>0</v>
      </c>
      <c r="V506" s="43">
        <f t="shared" ref="V506:V521" si="238">IF($M506&gt;0, IF(OR($G506&gt;V$50,$G506+$M506&lt;V$50),0,
VDB($F506,0,$N506,MAX(0,P$50-2022),MIN($N506,P$50-2021),1,FALSE))*$F$26, 0)</f>
        <v>0</v>
      </c>
      <c r="W506" s="43">
        <f t="shared" ref="W506:W521" si="239">IF($M506&gt;0, IF(OR($G506&gt;W$50,$G506+$M506&lt;W$50),0,
VDB($F506,0,$N506,MAX(0,Q$50-2022),MIN($N506,Q$50-2021),1,FALSE))*$F$26, 0)</f>
        <v>0</v>
      </c>
      <c r="X506" s="43">
        <f t="shared" ref="X506:X521" si="240">IF($M506&gt;0, IF(OR($G506&gt;X$50,$G506+$M506&lt;X$50),0,
VDB($F506,0,$N506,MAX(0,R$50-2022),MIN($N506,R$50-2021),1,FALSE))*$F$26, 0)</f>
        <v>0</v>
      </c>
      <c r="Y506" s="43">
        <f t="shared" ref="Y506:Y521" si="241">IF($M506&gt;0, IF(OR($G506&gt;Y$50,$G506+$M506&lt;Y$50),0,
VDB($F506,0,$N506,MAX(0,S$50-2022),MIN($N506,S$50-2021),1,FALSE))*$F$26, 0)</f>
        <v>0</v>
      </c>
      <c r="Z506" s="43">
        <f t="shared" ref="Z506:Z521" si="242">IF($M506&gt;0, IF(OR($G506&gt;Z$50,$G506+$M506&lt;Z$50),0,
VDB($F506,0,$N506,MAX(0,T$50-2022),MIN($N506,T$50-2021),1,FALSE))*$F$26, 0)</f>
        <v>0</v>
      </c>
      <c r="AB506" s="43">
        <f t="shared" ref="AB506:AB521" si="243">P506+V506</f>
        <v>0</v>
      </c>
      <c r="AC506" s="43">
        <f t="shared" ref="AC506:AC521" si="244">Q506+W506</f>
        <v>0</v>
      </c>
      <c r="AD506" s="43">
        <f t="shared" ref="AD506:AD521" si="245">R506+X506</f>
        <v>0</v>
      </c>
      <c r="AE506" s="43">
        <f t="shared" ref="AE506:AE521" si="246">S506+Y506</f>
        <v>0</v>
      </c>
      <c r="AF506" s="43">
        <f t="shared" ref="AF506:AF521" si="247">T506+Z506</f>
        <v>0</v>
      </c>
      <c r="AH506" s="43">
        <f t="shared" ref="AH506:AH521" si="248">IF($M506&gt;0, IF($M506&gt;0,IF(OR($G506&gt;AH$50,$G506+$M506&lt;=AH$50),0,IF(AH$50=2022,$F506-AB506,AG506-AB506))), $F506)</f>
        <v>0</v>
      </c>
      <c r="AI506" s="43">
        <f t="shared" ref="AI506:AI521" si="249">IF($M506&gt;0, IF(OR($G506&gt;AI$50,$G506+$M506&lt;=AI$50),0,IF(AI$50=2022,$F506-AC506,AH506-AC506)), AH506)</f>
        <v>0</v>
      </c>
      <c r="AJ506" s="43">
        <f t="shared" ref="AJ506:AJ521" si="250">IF($M506&gt;0, IF(OR($G506&gt;AJ$50,$G506+$M506&lt;=AJ$50),0,IF(AJ$50=2022,$F506-AD506,AI506-AD506)), AI506)</f>
        <v>0</v>
      </c>
      <c r="AK506" s="43">
        <f t="shared" ref="AK506:AK521" si="251">IF($M506&gt;0, IF(OR($G506&gt;AK$50,$G506+$M506&lt;=AK$50),0,IF(AK$50=2022,$F506-AE506,AJ506-AE506)), AJ506)</f>
        <v>0</v>
      </c>
      <c r="AL506" s="43">
        <f t="shared" ref="AL506:AL521" si="252">IF($M506&gt;0, IF(OR($G506&gt;AL$50,$G506+$M506&lt;=AL$50),0,IF(AL$50=2022,$F506-AF506,AK506-AF506)), AK506)</f>
        <v>0</v>
      </c>
      <c r="AN506" s="47">
        <f t="shared" ref="AN506:AN521" si="253">(AB506+AH506*H$17)*IF($K506=1,$F$32,1)</f>
        <v>0</v>
      </c>
      <c r="AO506" s="47">
        <f t="shared" ref="AO506:AO521" si="254">(AC506+AI506*I$17)*IF($K506=1,$F$32,1)</f>
        <v>0</v>
      </c>
      <c r="AP506" s="47">
        <f t="shared" ref="AP506:AP521" si="255">(AD506+AJ506*J$17)*IF($K506=1,$F$32,1)</f>
        <v>0</v>
      </c>
      <c r="AQ506" s="47">
        <f t="shared" ref="AQ506:AQ521" si="256">(AE506+AK506*K$17)*IF($K506=1,$F$32,1)</f>
        <v>0</v>
      </c>
      <c r="AR506" s="43">
        <f t="shared" ref="AR506:AR521" si="257">(AF506+AL506*L$17)*IF($K506=1,$F$32,1)</f>
        <v>0</v>
      </c>
      <c r="AS506" s="120"/>
      <c r="AT506" s="120"/>
      <c r="AU506" s="120"/>
      <c r="AV506" s="120"/>
      <c r="AW506" s="120"/>
      <c r="AX506" s="120"/>
    </row>
    <row r="507" spans="1:50" s="89" customFormat="1" ht="13">
      <c r="A507" s="3"/>
      <c r="B507" s="37">
        <f>'13. Desinvesteringen'!B790</f>
        <v>771</v>
      </c>
      <c r="C507" s="331"/>
      <c r="D507" s="331"/>
      <c r="E507" s="331"/>
      <c r="F507" s="42">
        <f>'5. Input GAW-waarde desinv.'!D466</f>
        <v>17208</v>
      </c>
      <c r="G507" s="175">
        <f>'13. Desinvesteringen'!D790</f>
        <v>2006</v>
      </c>
      <c r="H507" s="175">
        <f>'13. Desinvesteringen'!G790</f>
        <v>2025</v>
      </c>
      <c r="I507" s="37" t="str">
        <f>'13. Desinvesteringen'!C790</f>
        <v>32 M&amp;R stations</v>
      </c>
      <c r="J507" s="164">
        <f>'13. Desinvesteringen'!F790</f>
        <v>0</v>
      </c>
      <c r="K507" s="38">
        <f>_xlfn.XLOOKUP(I507,'3. Input (des)investeringen '!$B$11:$B$89,'3. Input (des)investeringen '!$E$11:$E$89)</f>
        <v>1</v>
      </c>
      <c r="L507" s="331"/>
      <c r="M507" s="38">
        <f>_xlfn.XLOOKUP(I507,'3. Input (des)investeringen '!$B$11:$B$89,'3. Input (des)investeringen '!$D$11:$D$89,0)</f>
        <v>30</v>
      </c>
      <c r="N507" s="38">
        <f t="shared" si="237"/>
        <v>14.5</v>
      </c>
      <c r="P507" s="43">
        <f t="shared" ref="P507:T521" si="258">IF($M507&gt;0, IF(OR($G507&gt;P$50,$G507+$M507&lt;P$50),0,
VDB($F507,0,$N507,MAX(0,P$50-2022),MIN($N507,P$50-2021),$F$23,FALSE))*(1-$F$26), 0)</f>
        <v>1388.5075862068966</v>
      </c>
      <c r="Q507" s="43">
        <f t="shared" si="258"/>
        <v>1264.0206991676575</v>
      </c>
      <c r="R507" s="43">
        <f t="shared" si="258"/>
        <v>1150.6947054491779</v>
      </c>
      <c r="S507" s="43">
        <f t="shared" si="258"/>
        <v>1047.5289732364931</v>
      </c>
      <c r="T507" s="43">
        <f t="shared" si="258"/>
        <v>1012.9950510418834</v>
      </c>
      <c r="V507" s="43">
        <f t="shared" si="238"/>
        <v>118.67586206896551</v>
      </c>
      <c r="W507" s="43">
        <f t="shared" si="239"/>
        <v>118.67586206896551</v>
      </c>
      <c r="X507" s="43">
        <f t="shared" si="240"/>
        <v>118.67586206896551</v>
      </c>
      <c r="Y507" s="43">
        <f t="shared" si="241"/>
        <v>118.67586206896551</v>
      </c>
      <c r="Z507" s="43">
        <f t="shared" si="242"/>
        <v>118.67586206896551</v>
      </c>
      <c r="AB507" s="43">
        <f t="shared" si="243"/>
        <v>1507.183448275862</v>
      </c>
      <c r="AC507" s="43">
        <f t="shared" si="244"/>
        <v>1382.696561236623</v>
      </c>
      <c r="AD507" s="43">
        <f t="shared" si="245"/>
        <v>1269.3705675181434</v>
      </c>
      <c r="AE507" s="43">
        <f t="shared" si="246"/>
        <v>1166.2048353054586</v>
      </c>
      <c r="AF507" s="43">
        <f t="shared" si="247"/>
        <v>1131.6709131108489</v>
      </c>
      <c r="AH507" s="43">
        <f t="shared" si="248"/>
        <v>15700.816551724138</v>
      </c>
      <c r="AI507" s="43">
        <f t="shared" si="249"/>
        <v>14318.119990487514</v>
      </c>
      <c r="AJ507" s="43">
        <f t="shared" si="250"/>
        <v>13048.749422969371</v>
      </c>
      <c r="AK507" s="43">
        <f t="shared" si="251"/>
        <v>11882.544587663913</v>
      </c>
      <c r="AL507" s="43">
        <f t="shared" si="252"/>
        <v>10750.873674553064</v>
      </c>
      <c r="AN507" s="47">
        <f t="shared" si="253"/>
        <v>2150.9169268965516</v>
      </c>
      <c r="AO507" s="47">
        <f t="shared" si="254"/>
        <v>2112.9206807514861</v>
      </c>
      <c r="AP507" s="47">
        <f t="shared" si="255"/>
        <v>1934.8567880895812</v>
      </c>
      <c r="AQ507" s="47">
        <f t="shared" si="256"/>
        <v>1819.7447876269739</v>
      </c>
      <c r="AR507" s="43">
        <f t="shared" si="257"/>
        <v>1540.2041127438654</v>
      </c>
      <c r="AS507" s="120"/>
      <c r="AT507" s="120"/>
      <c r="AU507" s="120"/>
      <c r="AV507" s="120"/>
      <c r="AW507" s="120"/>
      <c r="AX507" s="120"/>
    </row>
    <row r="508" spans="1:50" s="89" customFormat="1" ht="13">
      <c r="A508" s="3"/>
      <c r="B508" s="37">
        <f>'13. Desinvesteringen'!B791</f>
        <v>772</v>
      </c>
      <c r="C508" s="331"/>
      <c r="D508" s="331"/>
      <c r="E508" s="331"/>
      <c r="F508" s="42">
        <f>'5. Input GAW-waarde desinv.'!D467</f>
        <v>0</v>
      </c>
      <c r="G508" s="175">
        <f>'13. Desinvesteringen'!D791</f>
        <v>1966</v>
      </c>
      <c r="H508" s="175">
        <f>'13. Desinvesteringen'!G791</f>
        <v>2025</v>
      </c>
      <c r="I508" s="37" t="str">
        <f>'13. Desinvesteringen'!C791</f>
        <v>33 Exportstations</v>
      </c>
      <c r="J508" s="164">
        <f>'13. Desinvesteringen'!F791</f>
        <v>0</v>
      </c>
      <c r="K508" s="38">
        <f>_xlfn.XLOOKUP(I508,'3. Input (des)investeringen '!$B$11:$B$89,'3. Input (des)investeringen '!$E$11:$E$89)</f>
        <v>1</v>
      </c>
      <c r="L508" s="331"/>
      <c r="M508" s="38">
        <f>_xlfn.XLOOKUP(I508,'3. Input (des)investeringen '!$B$11:$B$89,'3. Input (des)investeringen '!$D$11:$D$89,0)</f>
        <v>30</v>
      </c>
      <c r="N508" s="38">
        <f t="shared" si="237"/>
        <v>0</v>
      </c>
      <c r="P508" s="43">
        <f t="shared" si="258"/>
        <v>0</v>
      </c>
      <c r="Q508" s="43">
        <f t="shared" si="258"/>
        <v>0</v>
      </c>
      <c r="R508" s="43">
        <f t="shared" si="258"/>
        <v>0</v>
      </c>
      <c r="S508" s="43">
        <f t="shared" si="258"/>
        <v>0</v>
      </c>
      <c r="T508" s="43">
        <f t="shared" si="258"/>
        <v>0</v>
      </c>
      <c r="V508" s="43">
        <f t="shared" si="238"/>
        <v>0</v>
      </c>
      <c r="W508" s="43">
        <f t="shared" si="239"/>
        <v>0</v>
      </c>
      <c r="X508" s="43">
        <f t="shared" si="240"/>
        <v>0</v>
      </c>
      <c r="Y508" s="43">
        <f t="shared" si="241"/>
        <v>0</v>
      </c>
      <c r="Z508" s="43">
        <f t="shared" si="242"/>
        <v>0</v>
      </c>
      <c r="AB508" s="43">
        <f t="shared" si="243"/>
        <v>0</v>
      </c>
      <c r="AC508" s="43">
        <f t="shared" si="244"/>
        <v>0</v>
      </c>
      <c r="AD508" s="43">
        <f t="shared" si="245"/>
        <v>0</v>
      </c>
      <c r="AE508" s="43">
        <f t="shared" si="246"/>
        <v>0</v>
      </c>
      <c r="AF508" s="43">
        <f t="shared" si="247"/>
        <v>0</v>
      </c>
      <c r="AH508" s="43">
        <f t="shared" si="248"/>
        <v>0</v>
      </c>
      <c r="AI508" s="43">
        <f t="shared" si="249"/>
        <v>0</v>
      </c>
      <c r="AJ508" s="43">
        <f t="shared" si="250"/>
        <v>0</v>
      </c>
      <c r="AK508" s="43">
        <f t="shared" si="251"/>
        <v>0</v>
      </c>
      <c r="AL508" s="43">
        <f t="shared" si="252"/>
        <v>0</v>
      </c>
      <c r="AN508" s="47">
        <f t="shared" si="253"/>
        <v>0</v>
      </c>
      <c r="AO508" s="47">
        <f t="shared" si="254"/>
        <v>0</v>
      </c>
      <c r="AP508" s="47">
        <f t="shared" si="255"/>
        <v>0</v>
      </c>
      <c r="AQ508" s="47">
        <f t="shared" si="256"/>
        <v>0</v>
      </c>
      <c r="AR508" s="43">
        <f t="shared" si="257"/>
        <v>0</v>
      </c>
      <c r="AS508" s="120"/>
      <c r="AT508" s="120"/>
      <c r="AU508" s="120"/>
      <c r="AV508" s="120"/>
      <c r="AW508" s="120"/>
      <c r="AX508" s="120"/>
    </row>
    <row r="509" spans="1:50" s="89" customFormat="1" ht="13">
      <c r="A509" s="3"/>
      <c r="B509" s="37">
        <f>'13. Desinvesteringen'!B792</f>
        <v>773</v>
      </c>
      <c r="C509" s="331"/>
      <c r="D509" s="331"/>
      <c r="E509" s="331"/>
      <c r="F509" s="42">
        <f>'5. Input GAW-waarde desinv.'!D468</f>
        <v>0</v>
      </c>
      <c r="G509" s="175">
        <f>'13. Desinvesteringen'!D792</f>
        <v>1980</v>
      </c>
      <c r="H509" s="175">
        <f>'13. Desinvesteringen'!G792</f>
        <v>2025</v>
      </c>
      <c r="I509" s="37" t="str">
        <f>'13. Desinvesteringen'!C792</f>
        <v>33 Exportstations</v>
      </c>
      <c r="J509" s="164">
        <f>'13. Desinvesteringen'!F792</f>
        <v>0</v>
      </c>
      <c r="K509" s="38">
        <f>_xlfn.XLOOKUP(I509,'3. Input (des)investeringen '!$B$11:$B$89,'3. Input (des)investeringen '!$E$11:$E$89)</f>
        <v>1</v>
      </c>
      <c r="L509" s="331"/>
      <c r="M509" s="38">
        <f>_xlfn.XLOOKUP(I509,'3. Input (des)investeringen '!$B$11:$B$89,'3. Input (des)investeringen '!$D$11:$D$89,0)</f>
        <v>30</v>
      </c>
      <c r="N509" s="38">
        <f t="shared" si="237"/>
        <v>0</v>
      </c>
      <c r="P509" s="43">
        <f t="shared" si="258"/>
        <v>0</v>
      </c>
      <c r="Q509" s="43">
        <f t="shared" si="258"/>
        <v>0</v>
      </c>
      <c r="R509" s="43">
        <f t="shared" si="258"/>
        <v>0</v>
      </c>
      <c r="S509" s="43">
        <f t="shared" si="258"/>
        <v>0</v>
      </c>
      <c r="T509" s="43">
        <f t="shared" si="258"/>
        <v>0</v>
      </c>
      <c r="V509" s="43">
        <f t="shared" si="238"/>
        <v>0</v>
      </c>
      <c r="W509" s="43">
        <f t="shared" si="239"/>
        <v>0</v>
      </c>
      <c r="X509" s="43">
        <f t="shared" si="240"/>
        <v>0</v>
      </c>
      <c r="Y509" s="43">
        <f t="shared" si="241"/>
        <v>0</v>
      </c>
      <c r="Z509" s="43">
        <f t="shared" si="242"/>
        <v>0</v>
      </c>
      <c r="AB509" s="43">
        <f t="shared" si="243"/>
        <v>0</v>
      </c>
      <c r="AC509" s="43">
        <f t="shared" si="244"/>
        <v>0</v>
      </c>
      <c r="AD509" s="43">
        <f t="shared" si="245"/>
        <v>0</v>
      </c>
      <c r="AE509" s="43">
        <f t="shared" si="246"/>
        <v>0</v>
      </c>
      <c r="AF509" s="43">
        <f t="shared" si="247"/>
        <v>0</v>
      </c>
      <c r="AH509" s="43">
        <f t="shared" si="248"/>
        <v>0</v>
      </c>
      <c r="AI509" s="43">
        <f t="shared" si="249"/>
        <v>0</v>
      </c>
      <c r="AJ509" s="43">
        <f t="shared" si="250"/>
        <v>0</v>
      </c>
      <c r="AK509" s="43">
        <f t="shared" si="251"/>
        <v>0</v>
      </c>
      <c r="AL509" s="43">
        <f t="shared" si="252"/>
        <v>0</v>
      </c>
      <c r="AN509" s="47">
        <f t="shared" si="253"/>
        <v>0</v>
      </c>
      <c r="AO509" s="47">
        <f t="shared" si="254"/>
        <v>0</v>
      </c>
      <c r="AP509" s="47">
        <f t="shared" si="255"/>
        <v>0</v>
      </c>
      <c r="AQ509" s="47">
        <f t="shared" si="256"/>
        <v>0</v>
      </c>
      <c r="AR509" s="43">
        <f t="shared" si="257"/>
        <v>0</v>
      </c>
      <c r="AS509" s="120"/>
      <c r="AT509" s="120"/>
      <c r="AU509" s="120"/>
      <c r="AV509" s="120"/>
      <c r="AW509" s="120"/>
      <c r="AX509" s="120"/>
    </row>
    <row r="510" spans="1:50" s="89" customFormat="1" ht="13">
      <c r="A510" s="3"/>
      <c r="B510" s="37">
        <f>'13. Desinvesteringen'!B793</f>
        <v>774</v>
      </c>
      <c r="C510" s="331"/>
      <c r="D510" s="331"/>
      <c r="E510" s="331"/>
      <c r="F510" s="42">
        <f>'5. Input GAW-waarde desinv.'!D469</f>
        <v>0</v>
      </c>
      <c r="G510" s="175">
        <f>'13. Desinvesteringen'!D793</f>
        <v>1982</v>
      </c>
      <c r="H510" s="175">
        <f>'13. Desinvesteringen'!G793</f>
        <v>2025</v>
      </c>
      <c r="I510" s="37" t="str">
        <f>'13. Desinvesteringen'!C793</f>
        <v>33 Exportstations</v>
      </c>
      <c r="J510" s="164">
        <f>'13. Desinvesteringen'!F793</f>
        <v>0</v>
      </c>
      <c r="K510" s="38">
        <f>_xlfn.XLOOKUP(I510,'3. Input (des)investeringen '!$B$11:$B$89,'3. Input (des)investeringen '!$E$11:$E$89)</f>
        <v>1</v>
      </c>
      <c r="L510" s="331"/>
      <c r="M510" s="38">
        <f>_xlfn.XLOOKUP(I510,'3. Input (des)investeringen '!$B$11:$B$89,'3. Input (des)investeringen '!$D$11:$D$89,0)</f>
        <v>30</v>
      </c>
      <c r="N510" s="38">
        <f t="shared" si="237"/>
        <v>0</v>
      </c>
      <c r="P510" s="43">
        <f t="shared" si="258"/>
        <v>0</v>
      </c>
      <c r="Q510" s="43">
        <f t="shared" si="258"/>
        <v>0</v>
      </c>
      <c r="R510" s="43">
        <f t="shared" si="258"/>
        <v>0</v>
      </c>
      <c r="S510" s="43">
        <f t="shared" si="258"/>
        <v>0</v>
      </c>
      <c r="T510" s="43">
        <f t="shared" si="258"/>
        <v>0</v>
      </c>
      <c r="V510" s="43">
        <f t="shared" si="238"/>
        <v>0</v>
      </c>
      <c r="W510" s="43">
        <f t="shared" si="239"/>
        <v>0</v>
      </c>
      <c r="X510" s="43">
        <f t="shared" si="240"/>
        <v>0</v>
      </c>
      <c r="Y510" s="43">
        <f t="shared" si="241"/>
        <v>0</v>
      </c>
      <c r="Z510" s="43">
        <f t="shared" si="242"/>
        <v>0</v>
      </c>
      <c r="AB510" s="43">
        <f t="shared" si="243"/>
        <v>0</v>
      </c>
      <c r="AC510" s="43">
        <f t="shared" si="244"/>
        <v>0</v>
      </c>
      <c r="AD510" s="43">
        <f t="shared" si="245"/>
        <v>0</v>
      </c>
      <c r="AE510" s="43">
        <f t="shared" si="246"/>
        <v>0</v>
      </c>
      <c r="AF510" s="43">
        <f t="shared" si="247"/>
        <v>0</v>
      </c>
      <c r="AH510" s="43">
        <f t="shared" si="248"/>
        <v>0</v>
      </c>
      <c r="AI510" s="43">
        <f t="shared" si="249"/>
        <v>0</v>
      </c>
      <c r="AJ510" s="43">
        <f t="shared" si="250"/>
        <v>0</v>
      </c>
      <c r="AK510" s="43">
        <f t="shared" si="251"/>
        <v>0</v>
      </c>
      <c r="AL510" s="43">
        <f t="shared" si="252"/>
        <v>0</v>
      </c>
      <c r="AN510" s="47">
        <f t="shared" si="253"/>
        <v>0</v>
      </c>
      <c r="AO510" s="47">
        <f t="shared" si="254"/>
        <v>0</v>
      </c>
      <c r="AP510" s="47">
        <f t="shared" si="255"/>
        <v>0</v>
      </c>
      <c r="AQ510" s="47">
        <f t="shared" si="256"/>
        <v>0</v>
      </c>
      <c r="AR510" s="43">
        <f t="shared" si="257"/>
        <v>0</v>
      </c>
      <c r="AS510" s="120"/>
      <c r="AT510" s="120"/>
      <c r="AU510" s="120"/>
      <c r="AV510" s="120"/>
      <c r="AW510" s="120"/>
      <c r="AX510" s="120"/>
    </row>
    <row r="511" spans="1:50" s="89" customFormat="1" ht="13">
      <c r="A511" s="3"/>
      <c r="B511" s="37">
        <f>'13. Desinvesteringen'!B794</f>
        <v>775</v>
      </c>
      <c r="C511" s="331"/>
      <c r="D511" s="331"/>
      <c r="E511" s="331"/>
      <c r="F511" s="42">
        <f>'5. Input GAW-waarde desinv.'!D470</f>
        <v>14374</v>
      </c>
      <c r="G511" s="175">
        <f>'13. Desinvesteringen'!D794</f>
        <v>1998</v>
      </c>
      <c r="H511" s="175">
        <f>'13. Desinvesteringen'!G794</f>
        <v>2025</v>
      </c>
      <c r="I511" s="37" t="str">
        <f>'13. Desinvesteringen'!C794</f>
        <v>33 Exportstations</v>
      </c>
      <c r="J511" s="164">
        <f>'13. Desinvesteringen'!F794</f>
        <v>0</v>
      </c>
      <c r="K511" s="38">
        <f>_xlfn.XLOOKUP(I511,'3. Input (des)investeringen '!$B$11:$B$89,'3. Input (des)investeringen '!$E$11:$E$89)</f>
        <v>1</v>
      </c>
      <c r="L511" s="331"/>
      <c r="M511" s="38">
        <f>_xlfn.XLOOKUP(I511,'3. Input (des)investeringen '!$B$11:$B$89,'3. Input (des)investeringen '!$D$11:$D$89,0)</f>
        <v>30</v>
      </c>
      <c r="N511" s="38">
        <f t="shared" si="237"/>
        <v>6.5</v>
      </c>
      <c r="P511" s="43">
        <f t="shared" si="258"/>
        <v>2587.3200000000002</v>
      </c>
      <c r="Q511" s="43">
        <f t="shared" si="258"/>
        <v>2069.8560000000002</v>
      </c>
      <c r="R511" s="43">
        <f t="shared" si="258"/>
        <v>1839.8720000000001</v>
      </c>
      <c r="S511" s="43">
        <f t="shared" si="258"/>
        <v>1839.8720000000001</v>
      </c>
      <c r="T511" s="43">
        <f t="shared" si="258"/>
        <v>1839.8720000000001</v>
      </c>
      <c r="V511" s="43">
        <f t="shared" si="238"/>
        <v>221.13846153846157</v>
      </c>
      <c r="W511" s="43">
        <f t="shared" si="239"/>
        <v>221.13846153846154</v>
      </c>
      <c r="X511" s="43">
        <f t="shared" si="240"/>
        <v>221.13846153846154</v>
      </c>
      <c r="Y511" s="43">
        <f t="shared" si="241"/>
        <v>221.13846153846154</v>
      </c>
      <c r="Z511" s="43">
        <f t="shared" si="242"/>
        <v>221.13846153846154</v>
      </c>
      <c r="AB511" s="43">
        <f t="shared" si="243"/>
        <v>2808.458461538462</v>
      </c>
      <c r="AC511" s="43">
        <f t="shared" si="244"/>
        <v>2290.9944615384616</v>
      </c>
      <c r="AD511" s="43">
        <f t="shared" si="245"/>
        <v>2061.0104615384616</v>
      </c>
      <c r="AE511" s="43">
        <f t="shared" si="246"/>
        <v>2061.0104615384616</v>
      </c>
      <c r="AF511" s="43">
        <f t="shared" si="247"/>
        <v>2061.0104615384616</v>
      </c>
      <c r="AH511" s="43">
        <f t="shared" si="248"/>
        <v>11565.541538461537</v>
      </c>
      <c r="AI511" s="43">
        <f t="shared" si="249"/>
        <v>9274.547076923076</v>
      </c>
      <c r="AJ511" s="43">
        <f t="shared" si="250"/>
        <v>7213.5366153846144</v>
      </c>
      <c r="AK511" s="43">
        <f t="shared" si="251"/>
        <v>5152.5261538461527</v>
      </c>
      <c r="AL511" s="43">
        <f t="shared" si="252"/>
        <v>3091.5156923076911</v>
      </c>
      <c r="AN511" s="47">
        <f t="shared" si="253"/>
        <v>3282.6456646153852</v>
      </c>
      <c r="AO511" s="47">
        <f t="shared" si="254"/>
        <v>2763.9963624615384</v>
      </c>
      <c r="AP511" s="47">
        <f t="shared" si="255"/>
        <v>2428.9008289230769</v>
      </c>
      <c r="AQ511" s="47">
        <f t="shared" si="256"/>
        <v>2344.3994000000002</v>
      </c>
      <c r="AR511" s="43">
        <f t="shared" si="257"/>
        <v>2178.4880578461539</v>
      </c>
      <c r="AS511" s="120"/>
      <c r="AT511" s="120"/>
      <c r="AU511" s="120"/>
      <c r="AV511" s="120"/>
      <c r="AW511" s="120"/>
      <c r="AX511" s="120"/>
    </row>
    <row r="512" spans="1:50" s="89" customFormat="1" ht="13">
      <c r="A512" s="3"/>
      <c r="B512" s="37">
        <f>'13. Desinvesteringen'!B795</f>
        <v>776</v>
      </c>
      <c r="C512" s="331"/>
      <c r="D512" s="331"/>
      <c r="E512" s="331"/>
      <c r="F512" s="42">
        <f>'5. Input GAW-waarde desinv.'!D471</f>
        <v>100816</v>
      </c>
      <c r="G512" s="175">
        <f>'13. Desinvesteringen'!D795</f>
        <v>2005</v>
      </c>
      <c r="H512" s="175">
        <f>'13. Desinvesteringen'!G795</f>
        <v>2025</v>
      </c>
      <c r="I512" s="37" t="str">
        <f>'13. Desinvesteringen'!C795</f>
        <v>33 Exportstations</v>
      </c>
      <c r="J512" s="164">
        <f>'13. Desinvesteringen'!F795</f>
        <v>0</v>
      </c>
      <c r="K512" s="38">
        <f>_xlfn.XLOOKUP(I512,'3. Input (des)investeringen '!$B$11:$B$89,'3. Input (des)investeringen '!$E$11:$E$89)</f>
        <v>1</v>
      </c>
      <c r="L512" s="331"/>
      <c r="M512" s="38">
        <f>_xlfn.XLOOKUP(I512,'3. Input (des)investeringen '!$B$11:$B$89,'3. Input (des)investeringen '!$D$11:$D$89,0)</f>
        <v>30</v>
      </c>
      <c r="N512" s="38">
        <f t="shared" si="237"/>
        <v>13.5</v>
      </c>
      <c r="P512" s="43">
        <f t="shared" si="258"/>
        <v>8737.3866666666672</v>
      </c>
      <c r="Q512" s="43">
        <f t="shared" si="258"/>
        <v>7896.0086913580244</v>
      </c>
      <c r="R512" s="43">
        <f t="shared" si="258"/>
        <v>7135.6522988568813</v>
      </c>
      <c r="S512" s="43">
        <f t="shared" si="258"/>
        <v>6448.5154108188108</v>
      </c>
      <c r="T512" s="43">
        <f t="shared" si="258"/>
        <v>6370.1933612946959</v>
      </c>
      <c r="V512" s="43">
        <f t="shared" si="238"/>
        <v>746.78518518518524</v>
      </c>
      <c r="W512" s="43">
        <f t="shared" si="239"/>
        <v>746.78518518518524</v>
      </c>
      <c r="X512" s="43">
        <f t="shared" si="240"/>
        <v>746.78518518518524</v>
      </c>
      <c r="Y512" s="43">
        <f t="shared" si="241"/>
        <v>746.78518518518524</v>
      </c>
      <c r="Z512" s="43">
        <f t="shared" si="242"/>
        <v>746.78518518518524</v>
      </c>
      <c r="AB512" s="43">
        <f t="shared" si="243"/>
        <v>9484.1718518518519</v>
      </c>
      <c r="AC512" s="43">
        <f t="shared" si="244"/>
        <v>8642.79387654321</v>
      </c>
      <c r="AD512" s="43">
        <f t="shared" si="245"/>
        <v>7882.4374840420669</v>
      </c>
      <c r="AE512" s="43">
        <f t="shared" si="246"/>
        <v>7195.3005960039964</v>
      </c>
      <c r="AF512" s="43">
        <f t="shared" si="247"/>
        <v>7116.9785464798815</v>
      </c>
      <c r="AH512" s="43">
        <f t="shared" si="248"/>
        <v>91331.828148148154</v>
      </c>
      <c r="AI512" s="43">
        <f t="shared" si="249"/>
        <v>82689.034271604949</v>
      </c>
      <c r="AJ512" s="43">
        <f t="shared" si="250"/>
        <v>74806.596787562885</v>
      </c>
      <c r="AK512" s="43">
        <f t="shared" si="251"/>
        <v>67611.296191558882</v>
      </c>
      <c r="AL512" s="43">
        <f t="shared" si="252"/>
        <v>60494.317645078998</v>
      </c>
      <c r="AN512" s="47">
        <f t="shared" si="253"/>
        <v>13228.776805925927</v>
      </c>
      <c r="AO512" s="47">
        <f t="shared" si="254"/>
        <v>12859.934624395062</v>
      </c>
      <c r="AP512" s="47">
        <f t="shared" si="255"/>
        <v>11697.573920207775</v>
      </c>
      <c r="AQ512" s="47">
        <f t="shared" si="256"/>
        <v>10913.921886539734</v>
      </c>
      <c r="AR512" s="43">
        <f t="shared" si="257"/>
        <v>9415.7626169928844</v>
      </c>
      <c r="AS512" s="120"/>
      <c r="AT512" s="120"/>
      <c r="AU512" s="120"/>
      <c r="AV512" s="120"/>
      <c r="AW512" s="120"/>
      <c r="AX512" s="120"/>
    </row>
    <row r="513" spans="1:50" s="89" customFormat="1" ht="13">
      <c r="A513" s="3"/>
      <c r="B513" s="37">
        <f>'13. Desinvesteringen'!B796</f>
        <v>777</v>
      </c>
      <c r="C513" s="331"/>
      <c r="D513" s="331"/>
      <c r="E513" s="331"/>
      <c r="F513" s="42">
        <f>'5. Input GAW-waarde desinv.'!D472</f>
        <v>8539</v>
      </c>
      <c r="G513" s="175">
        <f>'13. Desinvesteringen'!D796</f>
        <v>2006</v>
      </c>
      <c r="H513" s="175">
        <f>'13. Desinvesteringen'!G796</f>
        <v>2025</v>
      </c>
      <c r="I513" s="37" t="str">
        <f>'13. Desinvesteringen'!C796</f>
        <v>33 Exportstations</v>
      </c>
      <c r="J513" s="164">
        <f>'13. Desinvesteringen'!F796</f>
        <v>0</v>
      </c>
      <c r="K513" s="38">
        <f>_xlfn.XLOOKUP(I513,'3. Input (des)investeringen '!$B$11:$B$89,'3. Input (des)investeringen '!$E$11:$E$89)</f>
        <v>1</v>
      </c>
      <c r="L513" s="331"/>
      <c r="M513" s="38">
        <f>_xlfn.XLOOKUP(I513,'3. Input (des)investeringen '!$B$11:$B$89,'3. Input (des)investeringen '!$D$11:$D$89,0)</f>
        <v>30</v>
      </c>
      <c r="N513" s="38">
        <f t="shared" si="237"/>
        <v>14.5</v>
      </c>
      <c r="P513" s="43">
        <f t="shared" si="258"/>
        <v>689.00896551724145</v>
      </c>
      <c r="Q513" s="43">
        <f t="shared" si="258"/>
        <v>627.23574791914393</v>
      </c>
      <c r="R513" s="43">
        <f t="shared" si="258"/>
        <v>571.00081879535855</v>
      </c>
      <c r="S513" s="43">
        <f t="shared" si="258"/>
        <v>519.80764193784375</v>
      </c>
      <c r="T513" s="43">
        <f t="shared" si="258"/>
        <v>502.67112626956322</v>
      </c>
      <c r="V513" s="43">
        <f t="shared" si="238"/>
        <v>58.889655172413796</v>
      </c>
      <c r="W513" s="43">
        <f t="shared" si="239"/>
        <v>58.889655172413796</v>
      </c>
      <c r="X513" s="43">
        <f t="shared" si="240"/>
        <v>58.889655172413796</v>
      </c>
      <c r="Y513" s="43">
        <f t="shared" si="241"/>
        <v>58.889655172413796</v>
      </c>
      <c r="Z513" s="43">
        <f t="shared" si="242"/>
        <v>58.889655172413796</v>
      </c>
      <c r="AB513" s="43">
        <f t="shared" si="243"/>
        <v>747.89862068965522</v>
      </c>
      <c r="AC513" s="43">
        <f t="shared" si="244"/>
        <v>686.1254030915577</v>
      </c>
      <c r="AD513" s="43">
        <f t="shared" si="245"/>
        <v>629.89047396777232</v>
      </c>
      <c r="AE513" s="43">
        <f t="shared" si="246"/>
        <v>578.69729711025752</v>
      </c>
      <c r="AF513" s="43">
        <f t="shared" si="247"/>
        <v>561.56078144197704</v>
      </c>
      <c r="AH513" s="43">
        <f t="shared" si="248"/>
        <v>7791.1013793103448</v>
      </c>
      <c r="AI513" s="43">
        <f t="shared" si="249"/>
        <v>7104.9759762187869</v>
      </c>
      <c r="AJ513" s="43">
        <f t="shared" si="250"/>
        <v>6475.085502251015</v>
      </c>
      <c r="AK513" s="43">
        <f t="shared" si="251"/>
        <v>5896.3882051407572</v>
      </c>
      <c r="AL513" s="43">
        <f t="shared" si="252"/>
        <v>5334.82742369878</v>
      </c>
      <c r="AN513" s="47">
        <f t="shared" si="253"/>
        <v>1067.3337772413793</v>
      </c>
      <c r="AO513" s="47">
        <f t="shared" si="254"/>
        <v>1048.4791778787157</v>
      </c>
      <c r="AP513" s="47">
        <f t="shared" si="255"/>
        <v>960.11983458257407</v>
      </c>
      <c r="AQ513" s="47">
        <f t="shared" si="256"/>
        <v>902.99864839299926</v>
      </c>
      <c r="AR513" s="43">
        <f t="shared" si="257"/>
        <v>764.28422354253064</v>
      </c>
      <c r="AS513" s="120"/>
      <c r="AT513" s="120"/>
      <c r="AU513" s="120"/>
      <c r="AV513" s="120"/>
      <c r="AW513" s="120"/>
      <c r="AX513" s="120"/>
    </row>
    <row r="514" spans="1:50" s="89" customFormat="1" ht="13">
      <c r="A514" s="3"/>
      <c r="B514" s="37">
        <f>'13. Desinvesteringen'!B797</f>
        <v>778</v>
      </c>
      <c r="C514" s="331"/>
      <c r="D514" s="331"/>
      <c r="E514" s="331"/>
      <c r="F514" s="42">
        <f>'5. Input GAW-waarde desinv.'!D473</f>
        <v>14644</v>
      </c>
      <c r="G514" s="175">
        <f>'13. Desinvesteringen'!D797</f>
        <v>2009</v>
      </c>
      <c r="H514" s="175">
        <f>'13. Desinvesteringen'!G797</f>
        <v>2025</v>
      </c>
      <c r="I514" s="37" t="str">
        <f>'13. Desinvesteringen'!C797</f>
        <v>33 Exportstations</v>
      </c>
      <c r="J514" s="164">
        <f>'13. Desinvesteringen'!F797</f>
        <v>0</v>
      </c>
      <c r="K514" s="38">
        <f>_xlfn.XLOOKUP(I514,'3. Input (des)investeringen '!$B$11:$B$89,'3. Input (des)investeringen '!$E$11:$E$89)</f>
        <v>1</v>
      </c>
      <c r="L514" s="331"/>
      <c r="M514" s="38">
        <f>_xlfn.XLOOKUP(I514,'3. Input (des)investeringen '!$B$11:$B$89,'3. Input (des)investeringen '!$D$11:$D$89,0)</f>
        <v>30</v>
      </c>
      <c r="N514" s="38">
        <f t="shared" si="237"/>
        <v>17.5</v>
      </c>
      <c r="P514" s="43">
        <f t="shared" si="258"/>
        <v>979.05600000000015</v>
      </c>
      <c r="Q514" s="43">
        <f t="shared" si="258"/>
        <v>906.32612571428581</v>
      </c>
      <c r="R514" s="43">
        <f t="shared" si="258"/>
        <v>838.99904208979592</v>
      </c>
      <c r="S514" s="43">
        <f t="shared" si="258"/>
        <v>776.67339896312535</v>
      </c>
      <c r="T514" s="43">
        <f t="shared" si="258"/>
        <v>718.9776607544361</v>
      </c>
      <c r="V514" s="43">
        <f t="shared" ref="V514" si="259">IF($M514&gt;0, IF(OR($G514&gt;V$50,$G514+$M514&lt;V$50),0,
VDB($F514,0,$N514,MAX(0,P$50-2022),MIN($N514,P$50-2021),1,FALSE))*$F$26, 0)</f>
        <v>83.68</v>
      </c>
      <c r="W514" s="43">
        <f t="shared" ref="W514" si="260">IF($M514&gt;0, IF(OR($G514&gt;W$50,$G514+$M514&lt;W$50),0,
VDB($F514,0,$N514,MAX(0,Q$50-2022),MIN($N514,Q$50-2021),1,FALSE))*$F$26, 0)</f>
        <v>83.68</v>
      </c>
      <c r="X514" s="43">
        <f t="shared" ref="X514" si="261">IF($M514&gt;0, IF(OR($G514&gt;X$50,$G514+$M514&lt;X$50),0,
VDB($F514,0,$N514,MAX(0,R$50-2022),MIN($N514,R$50-2021),1,FALSE))*$F$26, 0)</f>
        <v>83.68</v>
      </c>
      <c r="Y514" s="43">
        <f t="shared" ref="Y514" si="262">IF($M514&gt;0, IF(OR($G514&gt;Y$50,$G514+$M514&lt;Y$50),0,
VDB($F514,0,$N514,MAX(0,S$50-2022),MIN($N514,S$50-2021),1,FALSE))*$F$26, 0)</f>
        <v>83.68</v>
      </c>
      <c r="Z514" s="43">
        <f t="shared" ref="Z514" si="263">IF($M514&gt;0, IF(OR($G514&gt;Z$50,$G514+$M514&lt;Z$50),0,
VDB($F514,0,$N514,MAX(0,T$50-2022),MIN($N514,T$50-2021),1,FALSE))*$F$26, 0)</f>
        <v>83.68</v>
      </c>
      <c r="AB514" s="43">
        <f t="shared" ref="AB514" si="264">P514+V514</f>
        <v>1062.7360000000001</v>
      </c>
      <c r="AC514" s="43">
        <f t="shared" ref="AC514" si="265">Q514+W514</f>
        <v>990.00612571428587</v>
      </c>
      <c r="AD514" s="43">
        <f t="shared" ref="AD514" si="266">R514+X514</f>
        <v>922.67904208979598</v>
      </c>
      <c r="AE514" s="43">
        <f t="shared" ref="AE514" si="267">S514+Y514</f>
        <v>860.3533989631253</v>
      </c>
      <c r="AF514" s="43">
        <f t="shared" ref="AF514" si="268">T514+Z514</f>
        <v>802.65766075443617</v>
      </c>
      <c r="AH514" s="43">
        <f t="shared" ref="AH514" si="269">IF($M514&gt;0, IF($M514&gt;0,IF(OR($G514&gt;AH$50,$G514+$M514&lt;=AH$50),0,IF(AH$50=2022,$F514-AB514,AG514-AB514))), $F514)</f>
        <v>13581.263999999999</v>
      </c>
      <c r="AI514" s="43">
        <f t="shared" ref="AI514" si="270">IF($M514&gt;0, IF(OR($G514&gt;AI$50,$G514+$M514&lt;=AI$50),0,IF(AI$50=2022,$F514-AC514,AH514-AC514)), AH514)</f>
        <v>12591.257874285713</v>
      </c>
      <c r="AJ514" s="43">
        <f t="shared" ref="AJ514" si="271">IF($M514&gt;0, IF(OR($G514&gt;AJ$50,$G514+$M514&lt;=AJ$50),0,IF(AJ$50=2022,$F514-AD514,AI514-AD514)), AI514)</f>
        <v>11668.578832195917</v>
      </c>
      <c r="AK514" s="43">
        <f t="shared" ref="AK514" si="272">IF($M514&gt;0, IF(OR($G514&gt;AK$50,$G514+$M514&lt;=AK$50),0,IF(AK$50=2022,$F514-AE514,AJ514-AE514)), AJ514)</f>
        <v>10808.225433232792</v>
      </c>
      <c r="AL514" s="43">
        <f t="shared" ref="AL514" si="273">IF($M514&gt;0, IF(OR($G514&gt;AL$50,$G514+$M514&lt;=AL$50),0,IF(AL$50=2022,$F514-AF514,AK514-AF514)), AK514)</f>
        <v>10005.567772478356</v>
      </c>
      <c r="AN514" s="47">
        <f t="shared" ref="AN514" si="274">(AB514+AH514*H$17)*IF($K514=1,$F$32,1)</f>
        <v>1619.5678240000002</v>
      </c>
      <c r="AO514" s="47">
        <f t="shared" ref="AO514" si="275">(AC514+AI514*I$17)*IF($K514=1,$F$32,1)</f>
        <v>1632.1602773028571</v>
      </c>
      <c r="AP514" s="47">
        <f t="shared" ref="AP514" si="276">(AD514+AJ514*J$17)*IF($K514=1,$F$32,1)</f>
        <v>1517.7765625317877</v>
      </c>
      <c r="AQ514" s="47">
        <f t="shared" ref="AQ514" si="277">(AE514+AK514*K$17)*IF($K514=1,$F$32,1)</f>
        <v>1454.8057977909289</v>
      </c>
      <c r="AR514" s="43">
        <f t="shared" ref="AR514" si="278">(AF514+AL514*L$17)*IF($K514=1,$F$32,1)</f>
        <v>1182.8692361086137</v>
      </c>
      <c r="AS514" s="120"/>
      <c r="AT514" s="120"/>
      <c r="AU514" s="120"/>
      <c r="AV514" s="120"/>
      <c r="AW514" s="120"/>
      <c r="AX514" s="120"/>
    </row>
    <row r="515" spans="1:50" s="89" customFormat="1" ht="13">
      <c r="A515" s="3"/>
      <c r="B515" s="37">
        <f>'13. Desinvesteringen'!B798</f>
        <v>779</v>
      </c>
      <c r="C515" s="331"/>
      <c r="D515" s="331"/>
      <c r="E515" s="331"/>
      <c r="F515" s="42">
        <f>'5. Input GAW-waarde desinv.'!D474</f>
        <v>229382</v>
      </c>
      <c r="G515" s="175">
        <f>'13. Desinvesteringen'!D798</f>
        <v>2011</v>
      </c>
      <c r="H515" s="175">
        <f>'13. Desinvesteringen'!G798</f>
        <v>2025</v>
      </c>
      <c r="I515" s="37" t="str">
        <f>'13. Desinvesteringen'!C798</f>
        <v>33 Exportstations</v>
      </c>
      <c r="J515" s="164">
        <f>'13. Desinvesteringen'!F798</f>
        <v>0</v>
      </c>
      <c r="K515" s="38">
        <f>_xlfn.XLOOKUP(I515,'3. Input (des)investeringen '!$B$11:$B$89,'3. Input (des)investeringen '!$E$11:$E$89)</f>
        <v>1</v>
      </c>
      <c r="L515" s="331"/>
      <c r="M515" s="38">
        <f>_xlfn.XLOOKUP(I515,'3. Input (des)investeringen '!$B$11:$B$89,'3. Input (des)investeringen '!$D$11:$D$89,0)</f>
        <v>30</v>
      </c>
      <c r="N515" s="38">
        <f t="shared" si="237"/>
        <v>19.5</v>
      </c>
      <c r="P515" s="43">
        <f t="shared" si="258"/>
        <v>13762.92</v>
      </c>
      <c r="Q515" s="43">
        <f t="shared" si="258"/>
        <v>12845.392000000002</v>
      </c>
      <c r="R515" s="43">
        <f t="shared" si="258"/>
        <v>11989.032533333333</v>
      </c>
      <c r="S515" s="43">
        <f t="shared" si="258"/>
        <v>11189.763697777778</v>
      </c>
      <c r="T515" s="43">
        <f t="shared" si="258"/>
        <v>10443.779451259259</v>
      </c>
      <c r="V515" s="43">
        <f t="shared" si="238"/>
        <v>1176.3179487179486</v>
      </c>
      <c r="W515" s="43">
        <f t="shared" si="239"/>
        <v>1176.3179487179486</v>
      </c>
      <c r="X515" s="43">
        <f t="shared" si="240"/>
        <v>1176.3179487179486</v>
      </c>
      <c r="Y515" s="43">
        <f t="shared" si="241"/>
        <v>1176.3179487179486</v>
      </c>
      <c r="Z515" s="43">
        <f t="shared" si="242"/>
        <v>1176.3179487179486</v>
      </c>
      <c r="AB515" s="43">
        <f t="shared" si="243"/>
        <v>14939.23794871795</v>
      </c>
      <c r="AC515" s="43">
        <f t="shared" si="244"/>
        <v>14021.709948717951</v>
      </c>
      <c r="AD515" s="43">
        <f t="shared" si="245"/>
        <v>13165.350482051283</v>
      </c>
      <c r="AE515" s="43">
        <f t="shared" si="246"/>
        <v>12366.081646495728</v>
      </c>
      <c r="AF515" s="43">
        <f t="shared" si="247"/>
        <v>11620.097399977207</v>
      </c>
      <c r="AH515" s="43">
        <f t="shared" si="248"/>
        <v>214442.76205128204</v>
      </c>
      <c r="AI515" s="43">
        <f t="shared" si="249"/>
        <v>200421.05210256408</v>
      </c>
      <c r="AJ515" s="43">
        <f t="shared" si="250"/>
        <v>187255.70162051279</v>
      </c>
      <c r="AK515" s="43">
        <f t="shared" si="251"/>
        <v>174889.61997401706</v>
      </c>
      <c r="AL515" s="43">
        <f t="shared" si="252"/>
        <v>163269.52257403985</v>
      </c>
      <c r="AN515" s="47">
        <f t="shared" si="253"/>
        <v>23731.391192820513</v>
      </c>
      <c r="AO515" s="47">
        <f t="shared" si="254"/>
        <v>24243.183605948718</v>
      </c>
      <c r="AP515" s="47">
        <f t="shared" si="255"/>
        <v>22715.391264697435</v>
      </c>
      <c r="AQ515" s="47">
        <f t="shared" si="256"/>
        <v>21985.010745066666</v>
      </c>
      <c r="AR515" s="43">
        <f t="shared" si="257"/>
        <v>17824.339257790722</v>
      </c>
      <c r="AS515" s="120"/>
      <c r="AT515" s="120"/>
      <c r="AU515" s="120"/>
      <c r="AV515" s="120"/>
      <c r="AW515" s="120"/>
      <c r="AX515" s="120"/>
    </row>
    <row r="516" spans="1:50" s="89" customFormat="1" ht="13">
      <c r="A516" s="3"/>
      <c r="B516" s="37">
        <f>'13. Desinvesteringen'!B799</f>
        <v>780</v>
      </c>
      <c r="C516" s="331"/>
      <c r="D516" s="331"/>
      <c r="E516" s="331"/>
      <c r="F516" s="42">
        <f>'5. Input GAW-waarde desinv.'!D475</f>
        <v>122132</v>
      </c>
      <c r="G516" s="175">
        <f>'13. Desinvesteringen'!D799</f>
        <v>2016</v>
      </c>
      <c r="H516" s="175">
        <f>'13. Desinvesteringen'!G799</f>
        <v>2025</v>
      </c>
      <c r="I516" s="37" t="str">
        <f>'13. Desinvesteringen'!C799</f>
        <v>33 Exportstations</v>
      </c>
      <c r="J516" s="164">
        <f>'13. Desinvesteringen'!F799</f>
        <v>0</v>
      </c>
      <c r="K516" s="38">
        <f>_xlfn.XLOOKUP(I516,'3. Input (des)investeringen '!$B$11:$B$89,'3. Input (des)investeringen '!$E$11:$E$89)</f>
        <v>1</v>
      </c>
      <c r="L516" s="331"/>
      <c r="M516" s="38">
        <f>_xlfn.XLOOKUP(I516,'3. Input (des)investeringen '!$B$11:$B$89,'3. Input (des)investeringen '!$D$11:$D$89,0)</f>
        <v>30</v>
      </c>
      <c r="N516" s="38">
        <f t="shared" si="237"/>
        <v>24.5</v>
      </c>
      <c r="P516" s="43">
        <f t="shared" si="258"/>
        <v>5832.4261224489801</v>
      </c>
      <c r="Q516" s="43">
        <f t="shared" si="258"/>
        <v>5522.9504506455651</v>
      </c>
      <c r="R516" s="43">
        <f t="shared" si="258"/>
        <v>5229.8959369378408</v>
      </c>
      <c r="S516" s="43">
        <f t="shared" si="258"/>
        <v>4952.3912545697103</v>
      </c>
      <c r="T516" s="43">
        <f t="shared" si="258"/>
        <v>4689.6113104496853</v>
      </c>
      <c r="V516" s="43">
        <f t="shared" si="238"/>
        <v>498.49795918367346</v>
      </c>
      <c r="W516" s="43">
        <f t="shared" si="239"/>
        <v>498.49795918367346</v>
      </c>
      <c r="X516" s="43">
        <f t="shared" si="240"/>
        <v>498.49795918367346</v>
      </c>
      <c r="Y516" s="43">
        <f t="shared" si="241"/>
        <v>498.49795918367346</v>
      </c>
      <c r="Z516" s="43">
        <f t="shared" si="242"/>
        <v>498.49795918367346</v>
      </c>
      <c r="AB516" s="43">
        <f t="shared" si="243"/>
        <v>6330.9240816326537</v>
      </c>
      <c r="AC516" s="43">
        <f t="shared" si="244"/>
        <v>6021.4484098292387</v>
      </c>
      <c r="AD516" s="43">
        <f t="shared" si="245"/>
        <v>5728.3938961215144</v>
      </c>
      <c r="AE516" s="43">
        <f t="shared" si="246"/>
        <v>5450.889213753384</v>
      </c>
      <c r="AF516" s="43">
        <f t="shared" si="247"/>
        <v>5188.109269633359</v>
      </c>
      <c r="AH516" s="43">
        <f t="shared" si="248"/>
        <v>115801.07591836735</v>
      </c>
      <c r="AI516" s="43">
        <f t="shared" si="249"/>
        <v>109779.62750853811</v>
      </c>
      <c r="AJ516" s="43">
        <f t="shared" si="250"/>
        <v>104051.23361241659</v>
      </c>
      <c r="AK516" s="43">
        <f t="shared" si="251"/>
        <v>98600.344398663205</v>
      </c>
      <c r="AL516" s="43">
        <f t="shared" si="252"/>
        <v>93412.235129029839</v>
      </c>
      <c r="AN516" s="47">
        <f t="shared" si="253"/>
        <v>11078.768194285716</v>
      </c>
      <c r="AO516" s="47">
        <f t="shared" si="254"/>
        <v>11620.209412764681</v>
      </c>
      <c r="AP516" s="47">
        <f t="shared" si="255"/>
        <v>11035.00681035476</v>
      </c>
      <c r="AQ516" s="47">
        <f t="shared" si="256"/>
        <v>10873.908155679859</v>
      </c>
      <c r="AR516" s="43">
        <f t="shared" si="257"/>
        <v>8737.7742045364921</v>
      </c>
      <c r="AS516" s="120"/>
      <c r="AT516" s="120"/>
      <c r="AU516" s="120"/>
      <c r="AV516" s="120"/>
      <c r="AW516" s="120"/>
      <c r="AX516" s="120"/>
    </row>
    <row r="517" spans="1:50" s="89" customFormat="1" ht="13">
      <c r="A517" s="3"/>
      <c r="B517" s="37">
        <f>'13. Desinvesteringen'!B800</f>
        <v>781</v>
      </c>
      <c r="C517" s="331"/>
      <c r="D517" s="331"/>
      <c r="E517" s="331"/>
      <c r="F517" s="42">
        <f>'5. Input GAW-waarde desinv.'!D476</f>
        <v>0</v>
      </c>
      <c r="G517" s="175">
        <f>'13. Desinvesteringen'!D800</f>
        <v>2023</v>
      </c>
      <c r="H517" s="175">
        <f>'13. Desinvesteringen'!G800</f>
        <v>2025</v>
      </c>
      <c r="I517" s="37" t="str">
        <f>'13. Desinvesteringen'!C800</f>
        <v>33 Exportstations</v>
      </c>
      <c r="J517" s="164">
        <f>'13. Desinvesteringen'!F800</f>
        <v>0</v>
      </c>
      <c r="K517" s="38">
        <f>_xlfn.XLOOKUP(I517,'3. Input (des)investeringen '!$B$11:$B$89,'3. Input (des)investeringen '!$E$11:$E$89)</f>
        <v>1</v>
      </c>
      <c r="L517" s="331"/>
      <c r="M517" s="38">
        <f>_xlfn.XLOOKUP(I517,'3. Input (des)investeringen '!$B$11:$B$89,'3. Input (des)investeringen '!$D$11:$D$89,0)</f>
        <v>30</v>
      </c>
      <c r="N517" s="38">
        <f t="shared" si="237"/>
        <v>30</v>
      </c>
      <c r="P517" s="338">
        <v>0</v>
      </c>
      <c r="Q517" s="174">
        <v>643.86328500000002</v>
      </c>
      <c r="R517" s="174">
        <v>1259.825828</v>
      </c>
      <c r="S517" s="174">
        <v>1205.233375</v>
      </c>
      <c r="T517" s="174">
        <v>1153.0065959999999</v>
      </c>
      <c r="V517" s="174">
        <v>0</v>
      </c>
      <c r="W517" s="174">
        <v>55.03105</v>
      </c>
      <c r="X517" s="174">
        <v>110.0621</v>
      </c>
      <c r="Y517" s="174">
        <v>110.0621</v>
      </c>
      <c r="Z517" s="174">
        <v>110.0621</v>
      </c>
      <c r="AB517" s="43">
        <f t="shared" ref="AB517" si="279">P517+V517</f>
        <v>0</v>
      </c>
      <c r="AC517" s="43">
        <f t="shared" ref="AC517" si="280">Q517+W517</f>
        <v>698.89433500000007</v>
      </c>
      <c r="AD517" s="43">
        <f t="shared" ref="AD517" si="281">R517+X517</f>
        <v>1369.8879280000001</v>
      </c>
      <c r="AE517" s="43">
        <f t="shared" ref="AE517" si="282">S517+Y517</f>
        <v>1315.2954750000001</v>
      </c>
      <c r="AF517" s="43">
        <f t="shared" ref="AF517" si="283">T517+Z517</f>
        <v>1263.068696</v>
      </c>
      <c r="AH517" s="43">
        <f t="shared" ref="AH517" si="284">IF($M517&gt;0, IF($M517&gt;0,IF(OR($G517&gt;AH$50,$G517+$M517&lt;=AH$50),0,IF(AH$50=2022,$F517-AB517,AG517-AB517))), $F517)</f>
        <v>0</v>
      </c>
      <c r="AI517" s="174">
        <v>32319.735669999998</v>
      </c>
      <c r="AJ517" s="174">
        <v>30949.847740000001</v>
      </c>
      <c r="AK517" s="174">
        <v>29634.55226</v>
      </c>
      <c r="AL517" s="174">
        <v>28371.48357</v>
      </c>
      <c r="AN517" s="47">
        <f t="shared" ref="AN517" si="285">(AB517+AH517*H$17)*IF($K517=1,$F$32,1)</f>
        <v>0</v>
      </c>
      <c r="AO517" s="47">
        <f t="shared" ref="AO517" si="286">(AC517+AI517*I$17)*IF($K517=1,$F$32,1)</f>
        <v>2347.2008541699997</v>
      </c>
      <c r="AP517" s="47">
        <f t="shared" ref="AP517" si="287">(AD517+AJ517*J$17)*IF($K517=1,$F$32,1)</f>
        <v>2948.3301627400001</v>
      </c>
      <c r="AQ517" s="47">
        <f t="shared" ref="AQ517" si="288">(AE517+AK517*K$17)*IF($K517=1,$F$32,1)</f>
        <v>2945.1958493000002</v>
      </c>
      <c r="AR517" s="43">
        <f t="shared" ref="AR517" si="289">(AF517+AL517*L$17)*IF($K517=1,$F$32,1)</f>
        <v>2341.1850716600002</v>
      </c>
      <c r="AS517" s="120"/>
      <c r="AT517" s="120"/>
      <c r="AU517" s="120"/>
      <c r="AV517" s="120"/>
      <c r="AW517" s="120"/>
      <c r="AX517" s="120"/>
    </row>
    <row r="518" spans="1:50" s="89" customFormat="1" ht="13">
      <c r="A518" s="3"/>
      <c r="B518" s="37">
        <f>'13. Desinvesteringen'!B801</f>
        <v>782</v>
      </c>
      <c r="C518" s="331"/>
      <c r="D518" s="331"/>
      <c r="E518" s="331"/>
      <c r="F518" s="42">
        <f>'5. Input GAW-waarde desinv.'!D477</f>
        <v>0</v>
      </c>
      <c r="G518" s="175">
        <f>'13. Desinvesteringen'!D801</f>
        <v>1979</v>
      </c>
      <c r="H518" s="175">
        <f>'13. Desinvesteringen'!G801</f>
        <v>2025</v>
      </c>
      <c r="I518" s="37" t="str">
        <f>'13. Desinvesteringen'!C801</f>
        <v>34 Reduceerstations</v>
      </c>
      <c r="J518" s="164">
        <f>'13. Desinvesteringen'!F801</f>
        <v>0</v>
      </c>
      <c r="K518" s="38">
        <f>_xlfn.XLOOKUP(I518,'3. Input (des)investeringen '!$B$11:$B$89,'3. Input (des)investeringen '!$E$11:$E$89)</f>
        <v>1</v>
      </c>
      <c r="L518" s="331"/>
      <c r="M518" s="38">
        <f>_xlfn.XLOOKUP(I518,'3. Input (des)investeringen '!$B$11:$B$89,'3. Input (des)investeringen '!$D$11:$D$89,0)</f>
        <v>30</v>
      </c>
      <c r="N518" s="38">
        <f t="shared" si="237"/>
        <v>0</v>
      </c>
      <c r="P518" s="43">
        <f t="shared" si="258"/>
        <v>0</v>
      </c>
      <c r="Q518" s="43">
        <f t="shared" si="258"/>
        <v>0</v>
      </c>
      <c r="R518" s="43">
        <f t="shared" si="258"/>
        <v>0</v>
      </c>
      <c r="S518" s="43">
        <f t="shared" si="258"/>
        <v>0</v>
      </c>
      <c r="T518" s="43">
        <f t="shared" si="258"/>
        <v>0</v>
      </c>
      <c r="V518" s="43">
        <f t="shared" si="238"/>
        <v>0</v>
      </c>
      <c r="W518" s="43">
        <f t="shared" si="239"/>
        <v>0</v>
      </c>
      <c r="X518" s="43">
        <f t="shared" si="240"/>
        <v>0</v>
      </c>
      <c r="Y518" s="43">
        <f t="shared" si="241"/>
        <v>0</v>
      </c>
      <c r="Z518" s="43">
        <f t="shared" si="242"/>
        <v>0</v>
      </c>
      <c r="AB518" s="43">
        <f t="shared" si="243"/>
        <v>0</v>
      </c>
      <c r="AC518" s="43">
        <f t="shared" si="244"/>
        <v>0</v>
      </c>
      <c r="AD518" s="43">
        <f t="shared" si="245"/>
        <v>0</v>
      </c>
      <c r="AE518" s="43">
        <f t="shared" si="246"/>
        <v>0</v>
      </c>
      <c r="AF518" s="43">
        <f t="shared" si="247"/>
        <v>0</v>
      </c>
      <c r="AH518" s="43">
        <f t="shared" si="248"/>
        <v>0</v>
      </c>
      <c r="AI518" s="43">
        <f t="shared" si="249"/>
        <v>0</v>
      </c>
      <c r="AJ518" s="43">
        <f t="shared" si="250"/>
        <v>0</v>
      </c>
      <c r="AK518" s="43">
        <f t="shared" si="251"/>
        <v>0</v>
      </c>
      <c r="AL518" s="43">
        <f t="shared" si="252"/>
        <v>0</v>
      </c>
      <c r="AN518" s="47">
        <f t="shared" si="253"/>
        <v>0</v>
      </c>
      <c r="AO518" s="47">
        <f t="shared" si="254"/>
        <v>0</v>
      </c>
      <c r="AP518" s="47">
        <f t="shared" si="255"/>
        <v>0</v>
      </c>
      <c r="AQ518" s="47">
        <f t="shared" si="256"/>
        <v>0</v>
      </c>
      <c r="AR518" s="43">
        <f t="shared" si="257"/>
        <v>0</v>
      </c>
      <c r="AS518" s="120"/>
      <c r="AT518" s="120"/>
      <c r="AU518" s="120"/>
      <c r="AV518" s="120"/>
      <c r="AW518" s="120"/>
      <c r="AX518" s="120"/>
    </row>
    <row r="519" spans="1:50" s="89" customFormat="1" ht="13">
      <c r="A519" s="3"/>
      <c r="B519" s="37">
        <f>'13. Desinvesteringen'!B802</f>
        <v>783</v>
      </c>
      <c r="C519" s="331"/>
      <c r="D519" s="331"/>
      <c r="E519" s="331"/>
      <c r="F519" s="42">
        <f>'5. Input GAW-waarde desinv.'!D478</f>
        <v>92560</v>
      </c>
      <c r="G519" s="175">
        <f>'13. Desinvesteringen'!D802</f>
        <v>1998</v>
      </c>
      <c r="H519" s="175">
        <f>'13. Desinvesteringen'!G802</f>
        <v>2025</v>
      </c>
      <c r="I519" s="37" t="str">
        <f>'13. Desinvesteringen'!C802</f>
        <v>34 Reduceerstations</v>
      </c>
      <c r="J519" s="164">
        <f>'13. Desinvesteringen'!F802</f>
        <v>0</v>
      </c>
      <c r="K519" s="38">
        <f>_xlfn.XLOOKUP(I519,'3. Input (des)investeringen '!$B$11:$B$89,'3. Input (des)investeringen '!$E$11:$E$89)</f>
        <v>1</v>
      </c>
      <c r="L519" s="331"/>
      <c r="M519" s="38">
        <f>_xlfn.XLOOKUP(I519,'3. Input (des)investeringen '!$B$11:$B$89,'3. Input (des)investeringen '!$D$11:$D$89,0)</f>
        <v>30</v>
      </c>
      <c r="N519" s="38">
        <f t="shared" si="237"/>
        <v>6.5</v>
      </c>
      <c r="P519" s="43">
        <f t="shared" si="258"/>
        <v>16660.8</v>
      </c>
      <c r="Q519" s="43">
        <f t="shared" si="258"/>
        <v>13328.640000000001</v>
      </c>
      <c r="R519" s="43">
        <f t="shared" si="258"/>
        <v>11847.68</v>
      </c>
      <c r="S519" s="43">
        <f t="shared" si="258"/>
        <v>11847.68</v>
      </c>
      <c r="T519" s="43">
        <f t="shared" si="258"/>
        <v>11847.68</v>
      </c>
      <c r="V519" s="43">
        <f t="shared" si="238"/>
        <v>1424</v>
      </c>
      <c r="W519" s="43">
        <f t="shared" si="239"/>
        <v>1424</v>
      </c>
      <c r="X519" s="43">
        <f t="shared" si="240"/>
        <v>1424</v>
      </c>
      <c r="Y519" s="43">
        <f t="shared" si="241"/>
        <v>1424</v>
      </c>
      <c r="Z519" s="43">
        <f t="shared" si="242"/>
        <v>1424</v>
      </c>
      <c r="AB519" s="43">
        <f t="shared" si="243"/>
        <v>18084.8</v>
      </c>
      <c r="AC519" s="43">
        <f t="shared" si="244"/>
        <v>14752.640000000001</v>
      </c>
      <c r="AD519" s="43">
        <f t="shared" si="245"/>
        <v>13271.68</v>
      </c>
      <c r="AE519" s="43">
        <f t="shared" si="246"/>
        <v>13271.68</v>
      </c>
      <c r="AF519" s="43">
        <f t="shared" si="247"/>
        <v>13271.68</v>
      </c>
      <c r="AH519" s="43">
        <f t="shared" si="248"/>
        <v>74475.199999999997</v>
      </c>
      <c r="AI519" s="43">
        <f t="shared" si="249"/>
        <v>59722.559999999998</v>
      </c>
      <c r="AJ519" s="43">
        <f t="shared" si="250"/>
        <v>46450.879999999997</v>
      </c>
      <c r="AK519" s="43">
        <f t="shared" si="251"/>
        <v>33179.199999999997</v>
      </c>
      <c r="AL519" s="43">
        <f t="shared" si="252"/>
        <v>19907.519999999997</v>
      </c>
      <c r="AN519" s="47">
        <f t="shared" si="253"/>
        <v>21138.283199999998</v>
      </c>
      <c r="AO519" s="47">
        <f t="shared" si="254"/>
        <v>17798.490560000002</v>
      </c>
      <c r="AP519" s="47">
        <f t="shared" si="255"/>
        <v>15640.67488</v>
      </c>
      <c r="AQ519" s="47">
        <f t="shared" si="256"/>
        <v>15096.536</v>
      </c>
      <c r="AR519" s="43">
        <f t="shared" si="257"/>
        <v>14028.16576</v>
      </c>
      <c r="AS519" s="120"/>
      <c r="AT519" s="120"/>
      <c r="AU519" s="120"/>
      <c r="AV519" s="120"/>
      <c r="AW519" s="120"/>
      <c r="AX519" s="120"/>
    </row>
    <row r="520" spans="1:50" s="89" customFormat="1" ht="13">
      <c r="A520" s="3"/>
      <c r="B520" s="37">
        <f>'13. Desinvesteringen'!B803</f>
        <v>784</v>
      </c>
      <c r="C520" s="331"/>
      <c r="D520" s="331"/>
      <c r="E520" s="331"/>
      <c r="F520" s="42">
        <f>'5. Input GAW-waarde desinv.'!D479</f>
        <v>135438</v>
      </c>
      <c r="G520" s="175">
        <f>'13. Desinvesteringen'!D803</f>
        <v>2010</v>
      </c>
      <c r="H520" s="175">
        <f>'13. Desinvesteringen'!G803</f>
        <v>2025</v>
      </c>
      <c r="I520" s="37" t="str">
        <f>'13. Desinvesteringen'!C803</f>
        <v>34 Reduceerstations</v>
      </c>
      <c r="J520" s="164">
        <f>'13. Desinvesteringen'!F803</f>
        <v>0</v>
      </c>
      <c r="K520" s="38">
        <f>_xlfn.XLOOKUP(I520,'3. Input (des)investeringen '!$B$11:$B$89,'3. Input (des)investeringen '!$E$11:$E$89)</f>
        <v>1</v>
      </c>
      <c r="L520" s="331"/>
      <c r="M520" s="38">
        <f>_xlfn.XLOOKUP(I520,'3. Input (des)investeringen '!$B$11:$B$89,'3. Input (des)investeringen '!$D$11:$D$89,0)</f>
        <v>30</v>
      </c>
      <c r="N520" s="38">
        <f t="shared" si="237"/>
        <v>18.5</v>
      </c>
      <c r="P520" s="43">
        <f t="shared" si="258"/>
        <v>8565.5383783783782</v>
      </c>
      <c r="Q520" s="43">
        <f t="shared" si="258"/>
        <v>7963.6356815193585</v>
      </c>
      <c r="R520" s="43">
        <f t="shared" si="258"/>
        <v>7404.0288498450245</v>
      </c>
      <c r="S520" s="43">
        <f t="shared" si="258"/>
        <v>6883.7457414775363</v>
      </c>
      <c r="T520" s="43">
        <f t="shared" si="258"/>
        <v>6400.0230677520876</v>
      </c>
      <c r="V520" s="43">
        <f t="shared" si="238"/>
        <v>732.09729729729736</v>
      </c>
      <c r="W520" s="43">
        <f t="shared" si="239"/>
        <v>732.09729729729736</v>
      </c>
      <c r="X520" s="43">
        <f t="shared" si="240"/>
        <v>732.09729729729736</v>
      </c>
      <c r="Y520" s="43">
        <f t="shared" si="241"/>
        <v>732.09729729729736</v>
      </c>
      <c r="Z520" s="43">
        <f t="shared" si="242"/>
        <v>732.09729729729736</v>
      </c>
      <c r="AB520" s="43">
        <f t="shared" si="243"/>
        <v>9297.6356756756759</v>
      </c>
      <c r="AC520" s="43">
        <f t="shared" si="244"/>
        <v>8695.7329788166553</v>
      </c>
      <c r="AD520" s="43">
        <f t="shared" si="245"/>
        <v>8136.1261471423222</v>
      </c>
      <c r="AE520" s="43">
        <f t="shared" si="246"/>
        <v>7615.843038774834</v>
      </c>
      <c r="AF520" s="43">
        <f t="shared" si="247"/>
        <v>7132.1203650493853</v>
      </c>
      <c r="AH520" s="43">
        <f t="shared" si="248"/>
        <v>126140.36432432433</v>
      </c>
      <c r="AI520" s="43">
        <f t="shared" si="249"/>
        <v>117444.63134550767</v>
      </c>
      <c r="AJ520" s="43">
        <f t="shared" si="250"/>
        <v>109308.50519836535</v>
      </c>
      <c r="AK520" s="43">
        <f t="shared" si="251"/>
        <v>101692.66215959052</v>
      </c>
      <c r="AL520" s="43">
        <f t="shared" si="252"/>
        <v>94560.541794541132</v>
      </c>
      <c r="AN520" s="47">
        <f t="shared" si="253"/>
        <v>14469.390612972973</v>
      </c>
      <c r="AO520" s="47">
        <f t="shared" si="254"/>
        <v>14685.409177437547</v>
      </c>
      <c r="AP520" s="47">
        <f t="shared" si="255"/>
        <v>13710.859912258955</v>
      </c>
      <c r="AQ520" s="47">
        <f t="shared" si="256"/>
        <v>13208.939457552311</v>
      </c>
      <c r="AR520" s="43">
        <f t="shared" si="257"/>
        <v>10725.420953241948</v>
      </c>
      <c r="AS520" s="120"/>
      <c r="AT520" s="120"/>
      <c r="AU520" s="120"/>
      <c r="AV520" s="120"/>
      <c r="AW520" s="120"/>
      <c r="AX520" s="120"/>
    </row>
    <row r="521" spans="1:50" s="89" customFormat="1" ht="13">
      <c r="A521" s="3"/>
      <c r="B521" s="37">
        <f>'13. Desinvesteringen'!B804</f>
        <v>785</v>
      </c>
      <c r="C521" s="331"/>
      <c r="D521" s="331"/>
      <c r="E521" s="331"/>
      <c r="F521" s="42">
        <f>'5. Input GAW-waarde desinv.'!D480</f>
        <v>0</v>
      </c>
      <c r="G521" s="175">
        <f>'13. Desinvesteringen'!D804</f>
        <v>1988</v>
      </c>
      <c r="H521" s="175">
        <f>'13. Desinvesteringen'!G804</f>
        <v>2025</v>
      </c>
      <c r="I521" s="37" t="str">
        <f>'13. Desinvesteringen'!C804</f>
        <v>36 Luchtscheidingsunit</v>
      </c>
      <c r="J521" s="164">
        <f>'13. Desinvesteringen'!F804</f>
        <v>0</v>
      </c>
      <c r="K521" s="38">
        <f>_xlfn.XLOOKUP(I521,'3. Input (des)investeringen '!$B$11:$B$89,'3. Input (des)investeringen '!$E$11:$E$89)</f>
        <v>0</v>
      </c>
      <c r="L521" s="331"/>
      <c r="M521" s="38">
        <f>_xlfn.XLOOKUP(I521,'3. Input (des)investeringen '!$B$11:$B$89,'3. Input (des)investeringen '!$D$11:$D$89,0)</f>
        <v>30</v>
      </c>
      <c r="N521" s="38">
        <f t="shared" si="237"/>
        <v>0</v>
      </c>
      <c r="P521" s="43">
        <f t="shared" si="258"/>
        <v>0</v>
      </c>
      <c r="Q521" s="43">
        <f t="shared" si="258"/>
        <v>0</v>
      </c>
      <c r="R521" s="43">
        <f t="shared" si="258"/>
        <v>0</v>
      </c>
      <c r="S521" s="43">
        <f t="shared" si="258"/>
        <v>0</v>
      </c>
      <c r="T521" s="43">
        <f t="shared" si="258"/>
        <v>0</v>
      </c>
      <c r="V521" s="43">
        <f t="shared" si="238"/>
        <v>0</v>
      </c>
      <c r="W521" s="43">
        <f t="shared" si="239"/>
        <v>0</v>
      </c>
      <c r="X521" s="43">
        <f t="shared" si="240"/>
        <v>0</v>
      </c>
      <c r="Y521" s="43">
        <f t="shared" si="241"/>
        <v>0</v>
      </c>
      <c r="Z521" s="43">
        <f t="shared" si="242"/>
        <v>0</v>
      </c>
      <c r="AB521" s="43">
        <f t="shared" si="243"/>
        <v>0</v>
      </c>
      <c r="AC521" s="43">
        <f t="shared" si="244"/>
        <v>0</v>
      </c>
      <c r="AD521" s="43">
        <f t="shared" si="245"/>
        <v>0</v>
      </c>
      <c r="AE521" s="43">
        <f t="shared" si="246"/>
        <v>0</v>
      </c>
      <c r="AF521" s="43">
        <f t="shared" si="247"/>
        <v>0</v>
      </c>
      <c r="AH521" s="43">
        <f t="shared" si="248"/>
        <v>0</v>
      </c>
      <c r="AI521" s="43">
        <f t="shared" si="249"/>
        <v>0</v>
      </c>
      <c r="AJ521" s="43">
        <f t="shared" si="250"/>
        <v>0</v>
      </c>
      <c r="AK521" s="43">
        <f t="shared" si="251"/>
        <v>0</v>
      </c>
      <c r="AL521" s="43">
        <f t="shared" si="252"/>
        <v>0</v>
      </c>
      <c r="AN521" s="47">
        <f t="shared" si="253"/>
        <v>0</v>
      </c>
      <c r="AO521" s="47">
        <f t="shared" si="254"/>
        <v>0</v>
      </c>
      <c r="AP521" s="47">
        <f t="shared" si="255"/>
        <v>0</v>
      </c>
      <c r="AQ521" s="47">
        <f t="shared" si="256"/>
        <v>0</v>
      </c>
      <c r="AR521" s="43">
        <f t="shared" si="257"/>
        <v>0</v>
      </c>
      <c r="AS521" s="120"/>
      <c r="AT521" s="120"/>
      <c r="AU521" s="120"/>
      <c r="AV521" s="120"/>
      <c r="AW521" s="120"/>
      <c r="AX521" s="120"/>
    </row>
    <row r="523" spans="1:50" s="33" customFormat="1" ht="13">
      <c r="A523" s="96"/>
      <c r="B523" s="33" t="s">
        <v>900</v>
      </c>
    </row>
    <row r="524" spans="1:50" s="34" customFormat="1" ht="13">
      <c r="A524" s="97"/>
      <c r="B524" s="34" t="s">
        <v>143</v>
      </c>
      <c r="D524" s="34" t="s">
        <v>184</v>
      </c>
      <c r="H524" s="99">
        <v>2022</v>
      </c>
      <c r="I524" s="99">
        <v>2023</v>
      </c>
      <c r="J524" s="99">
        <v>2024</v>
      </c>
      <c r="K524" s="99">
        <v>2025</v>
      </c>
      <c r="L524" s="99">
        <v>2026</v>
      </c>
      <c r="M524" s="99">
        <v>2027</v>
      </c>
    </row>
    <row r="526" spans="1:50">
      <c r="B526" s="3" t="s">
        <v>901</v>
      </c>
      <c r="D526" s="3" t="s">
        <v>189</v>
      </c>
      <c r="H526" s="10"/>
      <c r="I526" s="47">
        <f>SUMIF($H52:$H515,2022,AO52:AO515)</f>
        <v>408005.86717868451</v>
      </c>
      <c r="J526" s="47">
        <f>SUMIF($H52:$H515,2022,AP52:AP515)</f>
        <v>369237.18762282777</v>
      </c>
      <c r="K526" s="47">
        <f>SUMIF($H52:$H515,2022,AQ52:AQ515)</f>
        <v>349446.46562466322</v>
      </c>
      <c r="L526" s="47">
        <f>SUMIF($H52:$H515,2022,AR52:AR515)</f>
        <v>292409.21892977547</v>
      </c>
      <c r="M526" s="10"/>
    </row>
    <row r="527" spans="1:50">
      <c r="B527" s="3" t="s">
        <v>902</v>
      </c>
      <c r="D527" s="3" t="s">
        <v>189</v>
      </c>
      <c r="H527" s="10"/>
      <c r="I527" s="95"/>
      <c r="J527" s="47">
        <f>SUMIF($H52:$H515,2023,AP52:AP515)</f>
        <v>2131747.5416087345</v>
      </c>
      <c r="K527" s="47">
        <f>SUMIF($H52:$H515,2023,AQ52:AQ515)</f>
        <v>1975002.3147524968</v>
      </c>
      <c r="L527" s="47">
        <f>SUMIF($H52:$H515,2023,AR52:AR515)</f>
        <v>1561981.9729548893</v>
      </c>
      <c r="M527" s="10"/>
    </row>
    <row r="528" spans="1:50">
      <c r="B528" s="3" t="s">
        <v>903</v>
      </c>
      <c r="D528" s="3" t="s">
        <v>189</v>
      </c>
      <c r="H528" s="10"/>
      <c r="I528" s="95"/>
      <c r="J528" s="95"/>
      <c r="K528" s="47">
        <f>SUMIF($H52:$H515,2024,AQ52:AQ515)</f>
        <v>6031281.446131777</v>
      </c>
      <c r="L528" s="47">
        <f>SUMIF($H52:$H515,2024,AR52:AR515)</f>
        <v>5103069.9292933596</v>
      </c>
      <c r="M528" s="10"/>
    </row>
    <row r="529" spans="2:13">
      <c r="B529" s="3" t="s">
        <v>1107</v>
      </c>
      <c r="D529" s="3" t="s">
        <v>189</v>
      </c>
      <c r="H529" s="10"/>
      <c r="I529" s="95"/>
      <c r="J529" s="95"/>
      <c r="K529" s="95"/>
      <c r="L529" s="47">
        <f>SUMIF($H52:$H521,2025,AR52:AR521)</f>
        <v>615344.36496490194</v>
      </c>
      <c r="M529" s="10"/>
    </row>
    <row r="530" spans="2:13">
      <c r="B530" s="3" t="s">
        <v>904</v>
      </c>
      <c r="D530" s="3" t="s">
        <v>189</v>
      </c>
      <c r="H530" s="43">
        <f>SUMIF($H52:$H521,H$524,AH$52:AH521)-SUMIF($H52:$H521,H$524,$J52:$J521)*$F$29</f>
        <v>2854373.1382739237</v>
      </c>
      <c r="I530" s="43">
        <f>SUMIF($H52:$H521,I$524,AI$52:AI521)-SUMIF($H52:$H521,I$524,$J52:$J521)*$F$29</f>
        <v>16950406.364588555</v>
      </c>
      <c r="J530" s="43">
        <f>SUMIF($H52:$H521,J$524,AJ$52:AJ521)-SUMIF($H52:$H521,J$524,$J52:$J521)*$F$29</f>
        <v>41617064.852168538</v>
      </c>
      <c r="K530" s="43">
        <f>SUMIF($H52:$H521,K$524,AK$52:AK521)-SUMIF($H52:$H521,K$524,$J52:$J521)*$F$29</f>
        <v>6327587.0134326583</v>
      </c>
      <c r="L530" s="43">
        <f>SUMIF($H52:$H515,L$524,AL$52:AL515)-SUMIF($H52:$H515,L$524,$J52:$J521)*$F$29</f>
        <v>0</v>
      </c>
      <c r="M530" s="10"/>
    </row>
    <row r="531" spans="2:13">
      <c r="B531" s="3" t="s">
        <v>1125</v>
      </c>
      <c r="D531" s="3" t="s">
        <v>189</v>
      </c>
      <c r="H531" s="10"/>
      <c r="I531" s="10"/>
      <c r="J531" s="10"/>
      <c r="K531" s="95"/>
      <c r="L531" s="95"/>
      <c r="M531" s="94">
        <f xml:space="preserve"> K530 * M38 - L529 * M39</f>
        <v>6269766.8791049654</v>
      </c>
    </row>
    <row r="532" spans="2:13">
      <c r="K532" s="227"/>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684"/>
  <sheetViews>
    <sheetView showGridLines="0" zoomScale="85" zoomScaleNormal="85" workbookViewId="0">
      <pane ySplit="9" topLeftCell="A10" activePane="bottomLeft" state="frozen"/>
      <selection pane="bottomLeft" activeCell="A10" sqref="A10"/>
    </sheetView>
  </sheetViews>
  <sheetFormatPr defaultRowHeight="12.5"/>
  <cols>
    <col min="1" max="1" width="2.54296875" customWidth="1"/>
    <col min="2" max="2" width="30.453125" customWidth="1"/>
    <col min="3" max="3" width="3.81640625" customWidth="1"/>
    <col min="4" max="4" width="52" customWidth="1"/>
    <col min="5" max="5" width="33.54296875" bestFit="1" customWidth="1"/>
    <col min="6" max="6" width="37.1796875" bestFit="1" customWidth="1"/>
    <col min="7" max="7" width="30" customWidth="1"/>
    <col min="8" max="10" width="13.54296875" customWidth="1"/>
    <col min="13" max="13" width="12.4531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905</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ht="13">
      <c r="A4" s="3"/>
      <c r="B4" s="2" t="s">
        <v>837</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52" t="s">
        <v>906</v>
      </c>
      <c r="C5" s="352"/>
      <c r="D5" s="352"/>
      <c r="E5" s="352"/>
      <c r="F5" s="352"/>
      <c r="G5" s="352"/>
      <c r="H5" s="352"/>
      <c r="I5" s="352"/>
      <c r="J5" s="352"/>
      <c r="K5" s="352"/>
      <c r="L5" s="352"/>
      <c r="M5" s="352"/>
      <c r="N5" s="352"/>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ht="13">
      <c r="A6" s="3"/>
      <c r="B6" s="17" t="s">
        <v>140</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52" t="s">
        <v>907</v>
      </c>
      <c r="C7" s="352"/>
      <c r="D7" s="352"/>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ht="13">
      <c r="B9" s="8" t="s">
        <v>143</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ht="13">
      <c r="A11" s="8"/>
      <c r="B11" s="8" t="s">
        <v>908</v>
      </c>
      <c r="C11" s="8"/>
      <c r="D11" s="8" t="s">
        <v>184</v>
      </c>
      <c r="E11" s="110">
        <v>1946</v>
      </c>
      <c r="F11" s="110">
        <v>1947</v>
      </c>
      <c r="G11" s="110">
        <v>1948</v>
      </c>
      <c r="H11" s="110">
        <v>1949</v>
      </c>
      <c r="I11" s="110">
        <v>1950</v>
      </c>
      <c r="J11" s="110">
        <v>1951</v>
      </c>
      <c r="K11" s="110">
        <v>1952</v>
      </c>
      <c r="L11" s="110">
        <v>1953</v>
      </c>
      <c r="M11" s="110">
        <v>1954</v>
      </c>
      <c r="N11" s="110">
        <v>1955</v>
      </c>
      <c r="O11" s="110">
        <v>1956</v>
      </c>
      <c r="P11" s="110">
        <v>1957</v>
      </c>
      <c r="Q11" s="110">
        <v>1958</v>
      </c>
      <c r="R11" s="110">
        <v>1959</v>
      </c>
      <c r="S11" s="110">
        <v>1960</v>
      </c>
      <c r="T11" s="110">
        <v>1961</v>
      </c>
      <c r="U11" s="110">
        <v>1962</v>
      </c>
      <c r="V11" s="110">
        <v>1963</v>
      </c>
      <c r="W11" s="110">
        <v>1964</v>
      </c>
      <c r="X11" s="110">
        <v>1965</v>
      </c>
      <c r="Y11" s="110">
        <v>1966</v>
      </c>
      <c r="Z11" s="110">
        <v>1967</v>
      </c>
      <c r="AA11" s="110">
        <v>1968</v>
      </c>
      <c r="AB11" s="110">
        <v>1969</v>
      </c>
      <c r="AC11" s="110">
        <v>1970</v>
      </c>
      <c r="AD11" s="110">
        <v>1971</v>
      </c>
      <c r="AE11" s="110">
        <v>1972</v>
      </c>
      <c r="AF11" s="110">
        <v>1973</v>
      </c>
      <c r="AG11" s="110">
        <v>1974</v>
      </c>
      <c r="AH11" s="110">
        <v>1975</v>
      </c>
      <c r="AI11" s="110">
        <v>1976</v>
      </c>
      <c r="AJ11" s="110">
        <v>1977</v>
      </c>
      <c r="AK11" s="110">
        <v>1978</v>
      </c>
      <c r="AL11" s="110">
        <v>1979</v>
      </c>
      <c r="AM11" s="110">
        <v>1980</v>
      </c>
      <c r="AN11" s="110">
        <v>1981</v>
      </c>
      <c r="AO11" s="110">
        <v>1982</v>
      </c>
      <c r="AP11" s="110">
        <v>1983</v>
      </c>
      <c r="AQ11" s="110">
        <v>1984</v>
      </c>
      <c r="AR11" s="110">
        <v>1985</v>
      </c>
      <c r="AS11" s="110">
        <v>1986</v>
      </c>
      <c r="AT11" s="110">
        <v>1987</v>
      </c>
      <c r="AU11" s="110">
        <v>1988</v>
      </c>
      <c r="AV11" s="110">
        <v>1989</v>
      </c>
      <c r="AW11" s="110">
        <v>1990</v>
      </c>
      <c r="AX11" s="110">
        <v>1991</v>
      </c>
      <c r="AY11" s="110">
        <v>1992</v>
      </c>
      <c r="AZ11" s="110">
        <v>1993</v>
      </c>
      <c r="BA11" s="110">
        <v>1994</v>
      </c>
      <c r="BB11" s="110">
        <v>1995</v>
      </c>
      <c r="BC11" s="110">
        <v>1996</v>
      </c>
      <c r="BD11" s="110">
        <v>1997</v>
      </c>
      <c r="BE11" s="110">
        <v>1998</v>
      </c>
      <c r="BF11" s="110">
        <v>1999</v>
      </c>
      <c r="BG11" s="110">
        <v>2000</v>
      </c>
      <c r="BH11" s="110">
        <v>2001</v>
      </c>
      <c r="BI11" s="110">
        <v>2002</v>
      </c>
      <c r="BJ11" s="110">
        <v>2003</v>
      </c>
      <c r="BK11" s="110">
        <v>2004</v>
      </c>
      <c r="BL11" s="110">
        <v>2005</v>
      </c>
      <c r="BM11" s="110">
        <v>2006</v>
      </c>
      <c r="BN11" s="110">
        <v>2007</v>
      </c>
      <c r="BO11" s="110">
        <v>2008</v>
      </c>
      <c r="BP11" s="110">
        <v>2009</v>
      </c>
      <c r="BQ11" s="110">
        <v>2010</v>
      </c>
      <c r="BR11" s="110">
        <v>2011</v>
      </c>
      <c r="BS11" s="110">
        <v>2012</v>
      </c>
      <c r="BT11" s="110">
        <v>2013</v>
      </c>
      <c r="BU11" s="110">
        <v>2014</v>
      </c>
      <c r="BV11" s="110">
        <v>2015</v>
      </c>
      <c r="BW11" s="110">
        <v>2016</v>
      </c>
      <c r="BX11" s="110">
        <v>2017</v>
      </c>
      <c r="BY11" s="110">
        <v>2018</v>
      </c>
      <c r="BZ11" s="110">
        <v>2019</v>
      </c>
      <c r="CA11" s="110">
        <v>2020</v>
      </c>
      <c r="CB11" s="110">
        <v>2021</v>
      </c>
      <c r="CC11" s="110">
        <v>2022</v>
      </c>
      <c r="CD11" s="110">
        <v>2023</v>
      </c>
      <c r="CE11" s="110">
        <v>2024</v>
      </c>
      <c r="CF11" s="110">
        <v>2025</v>
      </c>
      <c r="CG11" s="110">
        <v>2026</v>
      </c>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c r="IW11" s="110"/>
      <c r="IX11" s="110"/>
      <c r="IY11" s="110"/>
      <c r="IZ11" s="110"/>
      <c r="JA11" s="110"/>
      <c r="JB11" s="110"/>
      <c r="JC11" s="110"/>
      <c r="JD11" s="110"/>
      <c r="JE11" s="110"/>
      <c r="JF11" s="110"/>
      <c r="JG11" s="110"/>
      <c r="JH11" s="110"/>
      <c r="JI11" s="110"/>
      <c r="JJ11" s="110"/>
      <c r="JK11" s="110"/>
      <c r="JL11" s="110"/>
      <c r="JM11" s="110"/>
      <c r="JN11" s="110"/>
      <c r="JO11" s="110"/>
      <c r="JP11" s="110"/>
      <c r="JQ11" s="110"/>
      <c r="JR11" s="110"/>
      <c r="JS11" s="110"/>
      <c r="JT11" s="110"/>
      <c r="JU11" s="110"/>
      <c r="JV11" s="110"/>
      <c r="JW11" s="110"/>
      <c r="JX11" s="110"/>
      <c r="JY11" s="110"/>
      <c r="JZ11" s="110"/>
      <c r="KA11" s="110"/>
      <c r="KB11" s="110"/>
      <c r="KC11" s="110"/>
      <c r="KD11" s="110"/>
      <c r="KE11" s="110"/>
      <c r="KF11" s="110"/>
      <c r="KG11" s="110"/>
      <c r="KH11" s="110"/>
      <c r="KI11" s="110"/>
      <c r="KJ11" s="110"/>
      <c r="KK11" s="110"/>
      <c r="KL11" s="110"/>
      <c r="KM11" s="110"/>
      <c r="KN11" s="110"/>
      <c r="KO11" s="110"/>
      <c r="KP11" s="110"/>
      <c r="KQ11" s="110"/>
      <c r="KR11" s="110"/>
      <c r="KS11" s="110"/>
      <c r="KT11" s="110"/>
      <c r="KU11" s="110"/>
      <c r="KV11" s="110"/>
      <c r="KW11" s="110"/>
      <c r="KX11" s="110"/>
      <c r="KY11" s="110"/>
      <c r="KZ11" s="110"/>
      <c r="LA11" s="110"/>
      <c r="LB11" s="110"/>
      <c r="LC11" s="110"/>
      <c r="LD11" s="110"/>
      <c r="LE11" s="110"/>
      <c r="LF11" s="110"/>
      <c r="LG11" s="110"/>
      <c r="LH11" s="110"/>
      <c r="LI11" s="110"/>
      <c r="LJ11" s="110"/>
      <c r="LK11" s="110"/>
      <c r="LL11" s="110"/>
      <c r="LM11" s="110"/>
      <c r="LN11" s="110"/>
      <c r="LO11" s="110"/>
      <c r="LP11" s="110"/>
      <c r="LQ11" s="110"/>
      <c r="LR11" s="110"/>
      <c r="LS11" s="110"/>
      <c r="LT11" s="110"/>
      <c r="LU11" s="110"/>
      <c r="LV11" s="110"/>
      <c r="LW11" s="110"/>
      <c r="LX11" s="110"/>
      <c r="LY11" s="110"/>
      <c r="LZ11" s="110"/>
      <c r="MA11" s="110"/>
      <c r="MB11" s="110"/>
      <c r="MC11" s="110"/>
      <c r="MD11" s="110"/>
      <c r="ME11" s="110"/>
      <c r="MF11" s="110"/>
      <c r="MG11" s="110"/>
      <c r="MH11" s="110"/>
      <c r="MI11" s="110"/>
      <c r="MJ11" s="110"/>
      <c r="MK11" s="110"/>
      <c r="ML11" s="110"/>
      <c r="MM11" s="110"/>
      <c r="MN11" s="110"/>
      <c r="MO11" s="110"/>
      <c r="MP11" s="110"/>
      <c r="MQ11" s="110"/>
      <c r="MR11" s="110"/>
      <c r="MS11" s="110"/>
      <c r="MT11" s="110"/>
      <c r="MU11" s="110"/>
      <c r="MV11" s="110"/>
      <c r="MW11" s="110"/>
      <c r="MX11" s="110"/>
      <c r="MY11" s="110"/>
      <c r="MZ11" s="110"/>
      <c r="NA11" s="110"/>
      <c r="NB11" s="110"/>
      <c r="NC11" s="110"/>
      <c r="ND11" s="110"/>
      <c r="NE11" s="110"/>
      <c r="NF11" s="110"/>
      <c r="NG11" s="110"/>
      <c r="NH11" s="110"/>
      <c r="NI11" s="110"/>
      <c r="NJ11" s="110"/>
      <c r="NK11" s="110"/>
      <c r="NL11" s="110"/>
      <c r="NM11" s="110"/>
      <c r="NN11" s="110"/>
      <c r="NO11" s="110"/>
      <c r="NP11" s="110"/>
      <c r="NQ11" s="110"/>
      <c r="NR11" s="110"/>
      <c r="NS11" s="110"/>
      <c r="NT11" s="110"/>
      <c r="NU11" s="110"/>
      <c r="NV11" s="110"/>
      <c r="NW11" s="110"/>
      <c r="NX11" s="110"/>
      <c r="NY11" s="110"/>
      <c r="NZ11" s="110"/>
      <c r="OA11" s="110"/>
      <c r="OB11" s="110"/>
      <c r="OC11" s="110"/>
      <c r="OD11" s="110"/>
      <c r="OE11" s="110"/>
      <c r="OF11" s="110"/>
      <c r="OG11" s="110"/>
      <c r="OH11" s="110"/>
      <c r="OI11" s="110"/>
      <c r="OJ11" s="110"/>
      <c r="OK11" s="110"/>
      <c r="OL11" s="110"/>
      <c r="OM11" s="110"/>
      <c r="ON11" s="110"/>
      <c r="OO11" s="110"/>
      <c r="OP11" s="110"/>
      <c r="OQ11" s="110"/>
      <c r="OR11" s="110"/>
      <c r="OS11" s="110"/>
      <c r="OT11" s="110"/>
      <c r="OU11" s="110"/>
      <c r="OV11" s="110"/>
      <c r="OW11" s="110"/>
      <c r="OX11" s="110"/>
      <c r="OY11" s="110"/>
      <c r="OZ11" s="110"/>
      <c r="PA11" s="110"/>
      <c r="PB11" s="110"/>
      <c r="PC11" s="110"/>
      <c r="PD11" s="110"/>
      <c r="PE11" s="110"/>
      <c r="PF11" s="110"/>
      <c r="PG11" s="110"/>
      <c r="PH11" s="110"/>
      <c r="PI11" s="110"/>
      <c r="PJ11" s="110"/>
      <c r="PK11" s="110"/>
      <c r="PL11" s="110"/>
      <c r="PM11" s="110"/>
      <c r="PN11" s="110"/>
      <c r="PO11" s="110"/>
      <c r="PP11" s="110"/>
      <c r="PQ11" s="110"/>
      <c r="PR11" s="110"/>
      <c r="PS11" s="110"/>
      <c r="PT11" s="110"/>
      <c r="PU11" s="110"/>
      <c r="PV11" s="110"/>
      <c r="PW11" s="110"/>
      <c r="PX11" s="110"/>
      <c r="PY11" s="110"/>
      <c r="PZ11" s="110"/>
      <c r="QA11" s="110"/>
      <c r="QB11" s="110"/>
      <c r="QC11" s="110"/>
      <c r="QD11" s="110"/>
      <c r="QE11" s="110"/>
      <c r="QF11" s="110"/>
      <c r="QG11" s="110"/>
      <c r="QH11" s="110"/>
      <c r="QI11" s="110"/>
      <c r="QJ11" s="110"/>
      <c r="QK11" s="110"/>
      <c r="QL11" s="110"/>
      <c r="QM11" s="110"/>
      <c r="QN11" s="110"/>
      <c r="QO11" s="110"/>
      <c r="QP11" s="110"/>
      <c r="QQ11" s="110"/>
      <c r="QR11" s="110"/>
      <c r="QS11" s="110"/>
      <c r="QT11" s="110"/>
      <c r="QU11" s="110"/>
      <c r="QV11" s="110"/>
      <c r="QW11" s="110"/>
      <c r="QX11" s="110"/>
      <c r="QY11" s="110"/>
      <c r="QZ11" s="110"/>
      <c r="RA11" s="110"/>
      <c r="RB11" s="110"/>
      <c r="RC11" s="110"/>
      <c r="RD11" s="110"/>
      <c r="RE11" s="110"/>
      <c r="RF11" s="110"/>
      <c r="RG11" s="110"/>
      <c r="RH11" s="110"/>
      <c r="RI11" s="110"/>
      <c r="RJ11" s="110"/>
      <c r="RK11" s="110"/>
      <c r="RL11" s="110"/>
      <c r="RM11" s="110"/>
      <c r="RN11" s="110"/>
      <c r="RO11" s="110"/>
      <c r="RP11" s="110"/>
      <c r="RQ11" s="110"/>
      <c r="RR11" s="110"/>
      <c r="RS11" s="110"/>
      <c r="RT11" s="110"/>
      <c r="RU11" s="110"/>
      <c r="RV11" s="110"/>
      <c r="RW11" s="110"/>
      <c r="RX11" s="110"/>
      <c r="RY11" s="110"/>
      <c r="RZ11" s="110"/>
      <c r="SA11" s="110"/>
      <c r="SB11" s="110"/>
      <c r="SC11" s="110"/>
      <c r="SD11" s="110"/>
      <c r="SE11" s="110"/>
      <c r="SF11" s="110"/>
      <c r="SG11" s="110"/>
      <c r="SH11" s="110"/>
      <c r="SI11" s="110"/>
      <c r="SJ11" s="110"/>
      <c r="SK11" s="110"/>
      <c r="SL11" s="110"/>
      <c r="SM11" s="110"/>
      <c r="SN11" s="110"/>
      <c r="SO11" s="110"/>
      <c r="SP11" s="110"/>
      <c r="SQ11" s="110"/>
      <c r="SR11" s="110"/>
      <c r="SS11" s="110"/>
      <c r="ST11" s="110"/>
      <c r="SU11" s="110"/>
      <c r="SV11" s="110"/>
      <c r="SW11" s="110"/>
      <c r="SX11" s="110"/>
      <c r="SY11" s="110"/>
      <c r="SZ11" s="110"/>
      <c r="TA11" s="110"/>
      <c r="TB11" s="110"/>
      <c r="TC11" s="110"/>
      <c r="TD11" s="110"/>
      <c r="TE11" s="110"/>
      <c r="TF11" s="110"/>
      <c r="TG11" s="110"/>
      <c r="TH11" s="110"/>
      <c r="TI11" s="110"/>
      <c r="TJ11" s="110"/>
      <c r="TK11" s="110"/>
      <c r="TL11" s="110"/>
      <c r="TM11" s="110"/>
      <c r="TN11" s="110"/>
      <c r="TO11" s="110"/>
      <c r="TP11" s="110"/>
      <c r="TQ11" s="110"/>
      <c r="TR11" s="110"/>
      <c r="TS11" s="110"/>
      <c r="TT11" s="110"/>
      <c r="TU11" s="110"/>
      <c r="TV11" s="110"/>
      <c r="TW11" s="110"/>
      <c r="TX11" s="110"/>
      <c r="TY11" s="110"/>
      <c r="TZ11" s="110"/>
      <c r="UA11" s="110"/>
      <c r="UB11" s="110"/>
      <c r="UC11" s="110"/>
      <c r="UD11" s="110"/>
      <c r="UE11" s="110"/>
      <c r="UF11" s="110"/>
      <c r="UG11" s="110"/>
      <c r="UH11" s="110"/>
      <c r="UI11" s="110"/>
      <c r="UJ11" s="110"/>
      <c r="UK11" s="110"/>
      <c r="UL11" s="110"/>
      <c r="UM11" s="110"/>
      <c r="UN11" s="110"/>
      <c r="UO11" s="110"/>
      <c r="UP11" s="110"/>
      <c r="UQ11" s="110"/>
      <c r="UR11" s="110"/>
      <c r="US11" s="110"/>
      <c r="UT11" s="110"/>
      <c r="UU11" s="110"/>
      <c r="UV11" s="110"/>
      <c r="UW11" s="110"/>
      <c r="UX11" s="110"/>
      <c r="UY11" s="110"/>
      <c r="UZ11" s="110"/>
      <c r="VA11" s="110"/>
      <c r="VB11" s="110"/>
      <c r="VC11" s="110"/>
      <c r="VD11" s="110"/>
      <c r="VE11" s="110"/>
      <c r="VF11" s="110"/>
      <c r="VG11" s="110"/>
      <c r="VH11" s="110"/>
      <c r="VI11" s="110"/>
      <c r="VJ11" s="110"/>
      <c r="VK11" s="110"/>
      <c r="VL11" s="110"/>
      <c r="VM11" s="110"/>
      <c r="VN11" s="110"/>
      <c r="VO11" s="110"/>
      <c r="VP11" s="110"/>
      <c r="VQ11" s="110"/>
      <c r="VR11" s="110"/>
      <c r="VS11" s="110"/>
      <c r="VT11" s="110"/>
      <c r="VU11" s="110"/>
      <c r="VV11" s="110"/>
      <c r="VW11" s="110"/>
      <c r="VX11" s="110"/>
      <c r="VY11" s="110"/>
      <c r="VZ11" s="110"/>
      <c r="WA11" s="110"/>
      <c r="WB11" s="110"/>
      <c r="WC11" s="110"/>
      <c r="WD11" s="110"/>
      <c r="WE11" s="110"/>
      <c r="WF11" s="110"/>
      <c r="WG11" s="110"/>
      <c r="WH11" s="110"/>
      <c r="WI11" s="110"/>
      <c r="WJ11" s="110"/>
      <c r="WK11" s="110"/>
      <c r="WL11" s="110"/>
      <c r="WM11" s="110"/>
      <c r="WN11" s="110"/>
      <c r="WO11" s="110"/>
      <c r="WP11" s="110"/>
      <c r="WQ11" s="110"/>
      <c r="WR11" s="110"/>
      <c r="WS11" s="110"/>
      <c r="WT11" s="110"/>
      <c r="WU11" s="110"/>
      <c r="WV11" s="110"/>
      <c r="WW11" s="110"/>
      <c r="WX11" s="110"/>
      <c r="WY11" s="110"/>
      <c r="WZ11" s="110"/>
      <c r="XA11" s="110"/>
      <c r="XB11" s="110"/>
      <c r="XC11" s="110"/>
      <c r="XD11" s="110"/>
      <c r="XE11" s="110"/>
      <c r="XF11" s="110"/>
      <c r="XG11" s="110"/>
      <c r="XH11" s="110"/>
      <c r="XI11" s="110"/>
      <c r="XJ11" s="110"/>
      <c r="XK11" s="110"/>
      <c r="XL11" s="110"/>
      <c r="XM11" s="110"/>
      <c r="XN11" s="110"/>
      <c r="XO11" s="110"/>
      <c r="XP11" s="110"/>
      <c r="XQ11" s="110"/>
      <c r="XR11" s="110"/>
      <c r="XS11" s="110"/>
      <c r="XT11" s="110"/>
      <c r="XU11" s="110"/>
      <c r="XV11" s="110"/>
      <c r="XW11" s="110"/>
      <c r="XX11" s="110"/>
      <c r="XY11" s="110"/>
      <c r="XZ11" s="110"/>
      <c r="YA11" s="110"/>
      <c r="YB11" s="110"/>
      <c r="YC11" s="110"/>
      <c r="YD11" s="110"/>
      <c r="YE11" s="110"/>
      <c r="YF11" s="110"/>
      <c r="YG11" s="110"/>
      <c r="YH11" s="110"/>
      <c r="YI11" s="110"/>
      <c r="YJ11" s="110"/>
      <c r="YK11" s="110"/>
      <c r="YL11" s="110"/>
      <c r="YM11" s="110"/>
      <c r="YN11" s="110"/>
      <c r="YO11" s="110"/>
      <c r="YP11" s="110"/>
      <c r="YQ11" s="110"/>
      <c r="YR11" s="110"/>
      <c r="YS11" s="110"/>
      <c r="YT11" s="110"/>
      <c r="YU11" s="110"/>
      <c r="YV11" s="110"/>
      <c r="YW11" s="110"/>
      <c r="YX11" s="110"/>
      <c r="YY11" s="110"/>
      <c r="YZ11" s="110"/>
      <c r="ZA11" s="110"/>
      <c r="ZB11" s="110"/>
      <c r="ZC11" s="110"/>
      <c r="ZD11" s="110"/>
      <c r="ZE11" s="110"/>
      <c r="ZF11" s="110"/>
      <c r="ZG11" s="110"/>
      <c r="ZH11" s="110"/>
      <c r="ZI11" s="110"/>
      <c r="ZJ11" s="110"/>
      <c r="ZK11" s="110"/>
      <c r="ZL11" s="110"/>
      <c r="ZM11" s="110"/>
      <c r="ZN11" s="110"/>
      <c r="ZO11" s="110"/>
      <c r="ZP11" s="110"/>
      <c r="ZQ11" s="110"/>
      <c r="ZR11" s="110"/>
      <c r="ZS11" s="110"/>
      <c r="ZT11" s="110"/>
      <c r="ZU11" s="110"/>
      <c r="ZV11" s="110"/>
      <c r="ZW11" s="110"/>
      <c r="ZX11" s="110"/>
      <c r="ZY11" s="110"/>
      <c r="ZZ11" s="110"/>
      <c r="AAA11" s="110"/>
      <c r="AAB11" s="110"/>
      <c r="AAC11" s="110"/>
      <c r="AAD11" s="110"/>
      <c r="AAE11" s="110"/>
      <c r="AAF11" s="110"/>
      <c r="AAG11" s="110"/>
      <c r="AAH11" s="110"/>
      <c r="AAI11" s="110"/>
      <c r="AAJ11" s="110"/>
      <c r="AAK11" s="110"/>
      <c r="AAL11" s="110"/>
      <c r="AAM11" s="110"/>
      <c r="AAN11" s="110"/>
      <c r="AAO11" s="110"/>
      <c r="AAP11" s="110"/>
      <c r="AAQ11" s="110"/>
      <c r="AAR11" s="110"/>
      <c r="AAS11" s="110"/>
      <c r="AAT11" s="110"/>
      <c r="AAU11" s="110"/>
      <c r="AAV11" s="110"/>
      <c r="AAW11" s="110"/>
      <c r="AAX11" s="110"/>
      <c r="AAY11" s="110"/>
      <c r="AAZ11" s="110"/>
      <c r="ABA11" s="110"/>
      <c r="ABB11" s="110"/>
      <c r="ABC11" s="110"/>
      <c r="ABD11" s="110"/>
      <c r="ABE11" s="110"/>
      <c r="ABF11" s="110"/>
      <c r="ABG11" s="110"/>
      <c r="ABH11" s="110"/>
      <c r="ABI11" s="110"/>
      <c r="ABJ11" s="110"/>
      <c r="ABK11" s="110"/>
      <c r="ABL11" s="110"/>
      <c r="ABM11" s="110"/>
      <c r="ABN11" s="110"/>
      <c r="ABO11" s="110"/>
      <c r="ABP11" s="110"/>
      <c r="ABQ11" s="110"/>
      <c r="ABR11" s="110"/>
      <c r="ABS11" s="110"/>
      <c r="ABT11" s="110"/>
      <c r="ABU11" s="110"/>
      <c r="ABV11" s="110"/>
      <c r="ABW11" s="110"/>
      <c r="ABX11" s="110"/>
      <c r="ABY11" s="110"/>
      <c r="ABZ11" s="110"/>
      <c r="ACA11" s="110"/>
      <c r="ACB11" s="110"/>
      <c r="ACC11" s="110"/>
      <c r="ACD11" s="110"/>
      <c r="ACE11" s="110"/>
      <c r="ACF11" s="110"/>
      <c r="ACG11" s="110"/>
      <c r="ACH11" s="110"/>
      <c r="ACI11" s="110"/>
      <c r="ACJ11" s="110"/>
      <c r="ACK11" s="110"/>
      <c r="ACL11" s="110"/>
      <c r="ACM11" s="110"/>
      <c r="ACN11" s="110"/>
      <c r="ACO11" s="110"/>
      <c r="ACP11" s="110"/>
      <c r="ACQ11" s="110"/>
      <c r="ACR11" s="110"/>
      <c r="ACS11" s="110"/>
      <c r="ACT11" s="110"/>
      <c r="ACU11" s="110"/>
      <c r="ACV11" s="110"/>
      <c r="ACW11" s="110"/>
      <c r="ACX11" s="110"/>
      <c r="ACY11" s="110"/>
      <c r="ACZ11" s="110"/>
      <c r="ADA11" s="110"/>
      <c r="ADB11" s="110"/>
      <c r="ADC11" s="110"/>
      <c r="ADD11" s="110"/>
      <c r="ADE11" s="110"/>
      <c r="ADF11" s="110"/>
      <c r="ADG11" s="110"/>
      <c r="ADH11" s="110"/>
      <c r="ADI11" s="110"/>
      <c r="ADJ11" s="110"/>
      <c r="ADK11" s="110"/>
      <c r="ADL11" s="110"/>
      <c r="ADM11" s="110"/>
      <c r="ADN11" s="110"/>
      <c r="ADO11" s="110"/>
      <c r="ADP11" s="110"/>
      <c r="ADQ11" s="110"/>
      <c r="ADR11" s="110"/>
      <c r="ADS11" s="110"/>
      <c r="ADT11" s="110"/>
      <c r="ADU11" s="110"/>
      <c r="ADV11" s="110"/>
      <c r="ADW11" s="110"/>
      <c r="ADX11" s="110"/>
      <c r="ADY11" s="110"/>
      <c r="ADZ11" s="110"/>
      <c r="AEA11" s="110"/>
      <c r="AEB11" s="110"/>
      <c r="AEC11" s="110"/>
      <c r="AED11" s="110"/>
      <c r="AEE11" s="110"/>
      <c r="AEF11" s="110"/>
      <c r="AEG11" s="110"/>
      <c r="AEH11" s="110"/>
      <c r="AEI11" s="110"/>
      <c r="AEJ11" s="110"/>
      <c r="AEK11" s="110"/>
      <c r="AEL11" s="110"/>
      <c r="AEM11" s="110"/>
      <c r="AEN11" s="110"/>
      <c r="AEO11" s="110"/>
      <c r="AEP11" s="110"/>
      <c r="AEQ11" s="110"/>
      <c r="AER11" s="110"/>
      <c r="AES11" s="110"/>
      <c r="AET11" s="110"/>
      <c r="AEU11" s="110"/>
      <c r="AEV11" s="110"/>
      <c r="AEW11" s="110"/>
      <c r="AEX11" s="110"/>
      <c r="AEY11" s="110"/>
      <c r="AEZ11" s="110"/>
      <c r="AFA11" s="110"/>
      <c r="AFB11" s="110"/>
      <c r="AFC11" s="110"/>
      <c r="AFD11" s="110"/>
      <c r="AFE11" s="110"/>
      <c r="AFF11" s="110"/>
      <c r="AFG11" s="110"/>
      <c r="AFH11" s="110"/>
      <c r="AFI11" s="110"/>
      <c r="AFJ11" s="110"/>
      <c r="AFK11" s="110"/>
      <c r="AFL11" s="110"/>
      <c r="AFM11" s="110"/>
      <c r="AFN11" s="110"/>
      <c r="AFO11" s="110"/>
      <c r="AFP11" s="110"/>
      <c r="AFQ11" s="110"/>
      <c r="AFR11" s="110"/>
      <c r="AFS11" s="110"/>
      <c r="AFT11" s="110"/>
      <c r="AFU11" s="110"/>
      <c r="AFV11" s="110"/>
      <c r="AFW11" s="110"/>
      <c r="AFX11" s="110"/>
      <c r="AFY11" s="110"/>
      <c r="AFZ11" s="110"/>
      <c r="AGA11" s="110"/>
      <c r="AGB11" s="110"/>
      <c r="AGC11" s="110"/>
      <c r="AGD11" s="110"/>
      <c r="AGE11" s="110"/>
      <c r="AGF11" s="110"/>
      <c r="AGG11" s="110"/>
      <c r="AGH11" s="110"/>
      <c r="AGI11" s="110"/>
      <c r="AGJ11" s="110"/>
      <c r="AGK11" s="110"/>
      <c r="AGL11" s="110"/>
      <c r="AGM11" s="110"/>
      <c r="AGN11" s="110"/>
      <c r="AGO11" s="110"/>
      <c r="AGP11" s="110"/>
      <c r="AGQ11" s="110"/>
      <c r="AGR11" s="110"/>
      <c r="AGS11" s="110"/>
      <c r="AGT11" s="110"/>
      <c r="AGU11" s="110"/>
      <c r="AGV11" s="110"/>
      <c r="AGW11" s="110"/>
      <c r="AGX11" s="110"/>
      <c r="AGY11" s="110"/>
      <c r="AGZ11" s="110"/>
      <c r="AHA11" s="110"/>
      <c r="AHB11" s="110"/>
      <c r="AHC11" s="110"/>
      <c r="AHD11" s="110"/>
      <c r="AHE11" s="110"/>
      <c r="AHF11" s="110"/>
      <c r="AHG11" s="110"/>
      <c r="AHH11" s="110"/>
      <c r="AHI11" s="110"/>
      <c r="AHJ11" s="110"/>
      <c r="AHK11" s="110"/>
      <c r="AHL11" s="110"/>
      <c r="AHM11" s="110"/>
      <c r="AHN11" s="110"/>
      <c r="AHO11" s="110"/>
      <c r="AHP11" s="110"/>
      <c r="AHQ11" s="110"/>
      <c r="AHR11" s="110"/>
      <c r="AHS11" s="110"/>
      <c r="AHT11" s="110"/>
      <c r="AHU11" s="110"/>
      <c r="AHV11" s="110"/>
      <c r="AHW11" s="110"/>
      <c r="AHX11" s="110"/>
      <c r="AHY11" s="110"/>
      <c r="AHZ11" s="110"/>
      <c r="AIA11" s="110"/>
      <c r="AIB11" s="110"/>
      <c r="AIC11" s="110"/>
      <c r="AID11" s="110"/>
      <c r="AIE11" s="110"/>
      <c r="AIF11" s="110"/>
      <c r="AIG11" s="110"/>
      <c r="AIH11" s="110"/>
      <c r="AII11" s="110"/>
      <c r="AIJ11" s="110"/>
      <c r="AIK11" s="110"/>
      <c r="AIL11" s="110"/>
      <c r="AIM11" s="110"/>
      <c r="AIN11" s="110"/>
      <c r="AIO11" s="110"/>
      <c r="AIP11" s="110"/>
      <c r="AIQ11" s="110"/>
      <c r="AIR11" s="110"/>
      <c r="AIS11" s="110"/>
      <c r="AIT11" s="110"/>
      <c r="AIU11" s="110"/>
      <c r="AIV11" s="110"/>
      <c r="AIW11" s="110"/>
      <c r="AIX11" s="110"/>
      <c r="AIY11" s="110"/>
      <c r="AIZ11" s="110"/>
      <c r="AJA11" s="110"/>
      <c r="AJB11" s="110"/>
      <c r="AJC11" s="110"/>
      <c r="AJD11" s="110"/>
      <c r="AJE11" s="110"/>
      <c r="AJF11" s="110"/>
      <c r="AJG11" s="110"/>
      <c r="AJH11" s="110"/>
      <c r="AJI11" s="110"/>
      <c r="AJJ11" s="110"/>
      <c r="AJK11" s="110"/>
      <c r="AJL11" s="110"/>
      <c r="AJM11" s="110"/>
      <c r="AJN11" s="110"/>
      <c r="AJO11" s="110"/>
      <c r="AJP11" s="110"/>
      <c r="AJQ11" s="110"/>
      <c r="AJR11" s="110"/>
      <c r="AJS11" s="110"/>
      <c r="AJT11" s="110"/>
      <c r="AJU11" s="110"/>
      <c r="AJV11" s="110"/>
      <c r="AJW11" s="110"/>
      <c r="AJX11" s="110"/>
      <c r="AJY11" s="110"/>
      <c r="AJZ11" s="110"/>
      <c r="AKA11" s="110"/>
      <c r="AKB11" s="110"/>
      <c r="AKC11" s="110"/>
      <c r="AKD11" s="110"/>
      <c r="AKE11" s="110"/>
      <c r="AKF11" s="110"/>
      <c r="AKG11" s="110"/>
      <c r="AKH11" s="110"/>
      <c r="AKI11" s="110"/>
      <c r="AKJ11" s="110"/>
      <c r="AKK11" s="110"/>
      <c r="AKL11" s="110"/>
      <c r="AKM11" s="110"/>
      <c r="AKN11" s="110"/>
      <c r="AKO11" s="110"/>
      <c r="AKP11" s="110"/>
      <c r="AKQ11" s="110"/>
      <c r="AKR11" s="110"/>
      <c r="AKS11" s="110"/>
      <c r="AKT11" s="110"/>
      <c r="AKU11" s="110"/>
      <c r="AKV11" s="110"/>
      <c r="AKW11" s="110"/>
      <c r="AKX11" s="110"/>
      <c r="AKY11" s="110"/>
      <c r="AKZ11" s="110"/>
      <c r="ALA11" s="110"/>
      <c r="ALB11" s="110"/>
      <c r="ALC11" s="110"/>
      <c r="ALD11" s="110"/>
      <c r="ALE11" s="110"/>
      <c r="ALF11" s="110"/>
      <c r="ALG11" s="110"/>
      <c r="ALH11" s="110"/>
      <c r="ALI11" s="110"/>
      <c r="ALJ11" s="110"/>
      <c r="ALK11" s="110"/>
      <c r="ALL11" s="110"/>
      <c r="ALM11" s="110"/>
      <c r="ALN11" s="110"/>
      <c r="ALO11" s="110"/>
      <c r="ALP11" s="110"/>
      <c r="ALQ11" s="110"/>
      <c r="ALR11" s="110"/>
      <c r="ALS11" s="110"/>
      <c r="ALT11" s="110"/>
      <c r="ALU11" s="110"/>
      <c r="ALV11" s="110"/>
      <c r="ALW11" s="110"/>
      <c r="ALX11" s="110"/>
      <c r="ALY11" s="110"/>
      <c r="ALZ11" s="110"/>
      <c r="AMA11" s="110"/>
      <c r="AMB11" s="110"/>
      <c r="AMC11" s="110"/>
      <c r="AMD11" s="110"/>
      <c r="AME11" s="110"/>
      <c r="AMF11" s="110"/>
      <c r="AMG11" s="110"/>
      <c r="AMH11" s="110"/>
      <c r="AMI11" s="110"/>
      <c r="AMJ11" s="110"/>
      <c r="AMK11" s="110"/>
      <c r="AML11" s="110"/>
      <c r="AMM11" s="110"/>
      <c r="AMN11" s="110"/>
      <c r="AMO11" s="110"/>
      <c r="AMP11" s="110"/>
      <c r="AMQ11" s="110"/>
      <c r="AMR11" s="110"/>
      <c r="AMS11" s="110"/>
      <c r="AMT11" s="110"/>
      <c r="AMU11" s="110"/>
      <c r="AMV11" s="110"/>
      <c r="AMW11" s="110"/>
      <c r="AMX11" s="110"/>
      <c r="AMY11" s="110"/>
      <c r="AMZ11" s="110"/>
      <c r="ANA11" s="110"/>
      <c r="ANB11" s="110"/>
      <c r="ANC11" s="110"/>
      <c r="AND11" s="110"/>
      <c r="ANE11" s="110"/>
      <c r="ANF11" s="110"/>
      <c r="ANG11" s="110"/>
      <c r="ANH11" s="110"/>
      <c r="ANI11" s="110"/>
      <c r="ANJ11" s="110"/>
      <c r="ANK11" s="110"/>
      <c r="ANL11" s="110"/>
      <c r="ANM11" s="110"/>
      <c r="ANN11" s="110"/>
      <c r="ANO11" s="110"/>
      <c r="ANP11" s="110"/>
      <c r="ANQ11" s="110"/>
      <c r="ANR11" s="110"/>
      <c r="ANS11" s="110"/>
      <c r="ANT11" s="110"/>
      <c r="ANU11" s="110"/>
      <c r="ANV11" s="110"/>
      <c r="ANW11" s="110"/>
      <c r="ANX11" s="110"/>
      <c r="ANY11" s="110"/>
      <c r="ANZ11" s="110"/>
      <c r="AOA11" s="110"/>
      <c r="AOB11" s="110"/>
      <c r="AOC11" s="110"/>
      <c r="AOD11" s="110"/>
      <c r="AOE11" s="110"/>
      <c r="AOF11" s="110"/>
      <c r="AOG11" s="110"/>
      <c r="AOH11" s="110"/>
      <c r="AOI11" s="110"/>
      <c r="AOJ11" s="110"/>
      <c r="AOK11" s="110"/>
      <c r="AOL11" s="110"/>
      <c r="AOM11" s="110"/>
      <c r="AON11" s="110"/>
      <c r="AOO11" s="110"/>
      <c r="AOP11" s="110"/>
      <c r="AOQ11" s="110"/>
      <c r="AOR11" s="110"/>
      <c r="AOS11" s="110"/>
      <c r="AOT11" s="110"/>
      <c r="AOU11" s="110"/>
      <c r="AOV11" s="110"/>
      <c r="AOW11" s="110"/>
      <c r="AOX11" s="110"/>
      <c r="AOY11" s="110"/>
      <c r="AOZ11" s="110"/>
      <c r="APA11" s="110"/>
      <c r="APB11" s="110"/>
      <c r="APC11" s="110"/>
      <c r="APD11" s="110"/>
      <c r="APE11" s="110"/>
      <c r="APF11" s="110"/>
      <c r="APG11" s="110"/>
      <c r="APH11" s="110"/>
      <c r="API11" s="110"/>
      <c r="APJ11" s="110"/>
      <c r="APK11" s="110"/>
      <c r="APL11" s="110"/>
      <c r="APM11" s="110"/>
      <c r="APN11" s="110"/>
      <c r="APO11" s="110"/>
      <c r="APP11" s="110"/>
      <c r="APQ11" s="110"/>
      <c r="APR11" s="110"/>
      <c r="APS11" s="110"/>
      <c r="APT11" s="110"/>
      <c r="APU11" s="110"/>
      <c r="APV11" s="110"/>
      <c r="APW11" s="110"/>
      <c r="APX11" s="110"/>
      <c r="APY11" s="110"/>
      <c r="APZ11" s="110"/>
      <c r="AQA11" s="110"/>
      <c r="AQB11" s="110"/>
      <c r="AQC11" s="110"/>
      <c r="AQD11" s="110"/>
      <c r="AQE11" s="110"/>
      <c r="AQF11" s="110"/>
      <c r="AQG11" s="110"/>
      <c r="AQH11" s="110"/>
      <c r="AQI11" s="110"/>
      <c r="AQJ11" s="110"/>
      <c r="AQK11" s="110"/>
      <c r="AQL11" s="110"/>
      <c r="AQM11" s="110"/>
      <c r="AQN11" s="110"/>
      <c r="AQO11" s="110"/>
      <c r="AQP11" s="110"/>
      <c r="AQQ11" s="110"/>
      <c r="AQR11" s="110"/>
      <c r="AQS11" s="110"/>
      <c r="AQT11" s="110"/>
      <c r="AQU11" s="110"/>
      <c r="AQV11" s="110"/>
      <c r="AQW11" s="110"/>
      <c r="AQX11" s="110"/>
      <c r="AQY11" s="110"/>
      <c r="AQZ11" s="110"/>
      <c r="ARA11" s="110"/>
      <c r="ARB11" s="110"/>
      <c r="ARC11" s="110"/>
      <c r="ARD11" s="110"/>
      <c r="ARE11" s="110"/>
      <c r="ARF11" s="110"/>
      <c r="ARG11" s="110"/>
      <c r="ARH11" s="110"/>
      <c r="ARI11" s="110"/>
      <c r="ARJ11" s="110"/>
      <c r="ARK11" s="110"/>
      <c r="ARL11" s="110"/>
      <c r="ARM11" s="110"/>
      <c r="ARN11" s="110"/>
      <c r="ARO11" s="110"/>
      <c r="ARP11" s="110"/>
      <c r="ARQ11" s="110"/>
      <c r="ARR11" s="110"/>
      <c r="ARS11" s="110"/>
      <c r="ART11" s="110"/>
      <c r="ARU11" s="110"/>
      <c r="ARV11" s="110"/>
      <c r="ARW11" s="110"/>
      <c r="ARX11" s="110"/>
      <c r="ARY11" s="110"/>
      <c r="ARZ11" s="110"/>
      <c r="ASA11" s="110"/>
      <c r="ASB11" s="110"/>
      <c r="ASC11" s="110"/>
      <c r="ASD11" s="110"/>
      <c r="ASE11" s="110"/>
      <c r="ASF11" s="110"/>
      <c r="ASG11" s="110"/>
      <c r="ASH11" s="110"/>
      <c r="ASI11" s="110"/>
      <c r="ASJ11" s="110"/>
      <c r="ASK11" s="110"/>
      <c r="ASL11" s="110"/>
      <c r="ASM11" s="110"/>
      <c r="ASN11" s="110"/>
      <c r="ASO11" s="110"/>
      <c r="ASP11" s="110"/>
      <c r="ASQ11" s="110"/>
      <c r="ASR11" s="110"/>
      <c r="ASS11" s="110"/>
      <c r="AST11" s="110"/>
      <c r="ASU11" s="110"/>
      <c r="ASV11" s="110"/>
      <c r="ASW11" s="110"/>
      <c r="ASX11" s="110"/>
      <c r="ASY11" s="110"/>
      <c r="ASZ11" s="110"/>
      <c r="ATA11" s="110"/>
      <c r="ATB11" s="110"/>
      <c r="ATC11" s="110"/>
      <c r="ATD11" s="110"/>
      <c r="ATE11" s="110"/>
      <c r="ATF11" s="110"/>
      <c r="ATG11" s="110"/>
      <c r="ATH11" s="110"/>
      <c r="ATI11" s="110"/>
      <c r="ATJ11" s="110"/>
      <c r="ATK11" s="110"/>
      <c r="ATL11" s="110"/>
      <c r="ATM11" s="110"/>
      <c r="ATN11" s="110"/>
      <c r="ATO11" s="110"/>
      <c r="ATP11" s="110"/>
      <c r="ATQ11" s="110"/>
      <c r="ATR11" s="110"/>
      <c r="ATS11" s="110"/>
      <c r="ATT11" s="110"/>
      <c r="ATU11" s="110"/>
      <c r="ATV11" s="110"/>
      <c r="ATW11" s="110"/>
      <c r="ATX11" s="110"/>
      <c r="ATY11" s="110"/>
      <c r="ATZ11" s="110"/>
      <c r="AUA11" s="110"/>
      <c r="AUB11" s="110"/>
      <c r="AUC11" s="110"/>
      <c r="AUD11" s="110"/>
      <c r="AUE11" s="110"/>
      <c r="AUF11" s="110"/>
      <c r="AUG11" s="110"/>
      <c r="AUH11" s="110"/>
      <c r="AUI11" s="110"/>
      <c r="AUJ11" s="110"/>
      <c r="AUK11" s="110"/>
      <c r="AUL11" s="110"/>
      <c r="AUM11" s="110"/>
      <c r="AUN11" s="110"/>
      <c r="AUO11" s="110"/>
      <c r="AUP11" s="110"/>
      <c r="AUQ11" s="110"/>
      <c r="AUR11" s="110"/>
      <c r="AUS11" s="110"/>
      <c r="AUT11" s="110"/>
      <c r="AUU11" s="110"/>
      <c r="AUV11" s="110"/>
      <c r="AUW11" s="110"/>
      <c r="AUX11" s="110"/>
      <c r="AUY11" s="110"/>
      <c r="AUZ11" s="110"/>
      <c r="AVA11" s="110"/>
      <c r="AVB11" s="110"/>
      <c r="AVC11" s="110"/>
      <c r="AVD11" s="110"/>
      <c r="AVE11" s="110"/>
      <c r="AVF11" s="110"/>
      <c r="AVG11" s="110"/>
      <c r="AVH11" s="110"/>
      <c r="AVI11" s="110"/>
      <c r="AVJ11" s="110"/>
      <c r="AVK11" s="110"/>
      <c r="AVL11" s="110"/>
      <c r="AVM11" s="110"/>
      <c r="AVN11" s="110"/>
      <c r="AVO11" s="110"/>
      <c r="AVP11" s="110"/>
      <c r="AVQ11" s="110"/>
      <c r="AVR11" s="110"/>
      <c r="AVS11" s="110"/>
      <c r="AVT11" s="110"/>
      <c r="AVU11" s="110"/>
      <c r="AVV11" s="110"/>
      <c r="AVW11" s="110"/>
      <c r="AVX11" s="110"/>
      <c r="AVY11" s="110"/>
      <c r="AVZ11" s="110"/>
      <c r="AWA11" s="110"/>
      <c r="AWB11" s="110"/>
      <c r="AWC11" s="110"/>
      <c r="AWD11" s="110"/>
      <c r="AWE11" s="110"/>
      <c r="AWF11" s="110"/>
      <c r="AWG11" s="110"/>
      <c r="AWH11" s="110"/>
      <c r="AWI11" s="110"/>
      <c r="AWJ11" s="110"/>
      <c r="AWK11" s="110"/>
      <c r="AWL11" s="110"/>
      <c r="AWM11" s="110"/>
      <c r="AWN11" s="110"/>
      <c r="AWO11" s="110"/>
      <c r="AWP11" s="110"/>
      <c r="AWQ11" s="110"/>
      <c r="AWR11" s="110"/>
      <c r="AWS11" s="110"/>
      <c r="AWT11" s="110"/>
      <c r="AWU11" s="110"/>
      <c r="AWV11" s="110"/>
      <c r="AWW11" s="110"/>
      <c r="AWX11" s="110"/>
      <c r="AWY11" s="110"/>
      <c r="AWZ11" s="110"/>
      <c r="AXA11" s="110"/>
      <c r="AXB11" s="110"/>
      <c r="AXC11" s="110"/>
      <c r="AXD11" s="110"/>
      <c r="AXE11" s="110"/>
      <c r="AXF11" s="110"/>
      <c r="AXG11" s="110"/>
      <c r="AXH11" s="110"/>
      <c r="AXI11" s="110"/>
      <c r="AXJ11" s="110"/>
      <c r="AXK11" s="110"/>
      <c r="AXL11" s="110"/>
      <c r="AXM11" s="110"/>
      <c r="AXN11" s="110"/>
      <c r="AXO11" s="110"/>
      <c r="AXP11" s="110"/>
      <c r="AXQ11" s="110"/>
      <c r="AXR11" s="110"/>
      <c r="AXS11" s="110"/>
      <c r="AXT11" s="110"/>
      <c r="AXU11" s="110"/>
      <c r="AXV11" s="110"/>
      <c r="AXW11" s="110"/>
      <c r="AXX11" s="110"/>
      <c r="AXY11" s="110"/>
      <c r="AXZ11" s="110"/>
      <c r="AYA11" s="110"/>
      <c r="AYB11" s="110"/>
      <c r="AYC11" s="110"/>
      <c r="AYD11" s="110"/>
      <c r="AYE11" s="110"/>
      <c r="AYF11" s="110"/>
      <c r="AYG11" s="110"/>
      <c r="AYH11" s="110"/>
      <c r="AYI11" s="110"/>
      <c r="AYJ11" s="110"/>
      <c r="AYK11" s="110"/>
      <c r="AYL11" s="110"/>
      <c r="AYM11" s="110"/>
      <c r="AYN11" s="110"/>
      <c r="AYO11" s="110"/>
      <c r="AYP11" s="110"/>
      <c r="AYQ11" s="110"/>
      <c r="AYR11" s="110"/>
      <c r="AYS11" s="110"/>
      <c r="AYT11" s="110"/>
      <c r="AYU11" s="110"/>
      <c r="AYV11" s="110"/>
      <c r="AYW11" s="110"/>
      <c r="AYX11" s="110"/>
      <c r="AYY11" s="110"/>
      <c r="AYZ11" s="110"/>
      <c r="AZA11" s="110"/>
      <c r="AZB11" s="110"/>
      <c r="AZC11" s="110"/>
      <c r="AZD11" s="110"/>
      <c r="AZE11" s="110"/>
      <c r="AZF11" s="110"/>
      <c r="AZG11" s="110"/>
      <c r="AZH11" s="110"/>
      <c r="AZI11" s="110"/>
      <c r="AZJ11" s="110"/>
      <c r="AZK11" s="110"/>
      <c r="AZL11" s="110"/>
      <c r="AZM11" s="110"/>
      <c r="AZN11" s="110"/>
      <c r="AZO11" s="110"/>
      <c r="AZP11" s="110"/>
      <c r="AZQ11" s="110"/>
      <c r="AZR11" s="110"/>
      <c r="AZS11" s="110"/>
      <c r="AZT11" s="110"/>
      <c r="AZU11" s="110"/>
      <c r="AZV11" s="110"/>
      <c r="AZW11" s="110"/>
      <c r="AZX11" s="110"/>
      <c r="AZY11" s="110"/>
      <c r="AZZ11" s="110"/>
      <c r="BAA11" s="110"/>
      <c r="BAB11" s="110"/>
      <c r="BAC11" s="110"/>
      <c r="BAD11" s="110"/>
      <c r="BAE11" s="110"/>
      <c r="BAF11" s="110"/>
      <c r="BAG11" s="110"/>
      <c r="BAH11" s="110"/>
      <c r="BAI11" s="110"/>
      <c r="BAJ11" s="110"/>
      <c r="BAK11" s="110"/>
      <c r="BAL11" s="110"/>
      <c r="BAM11" s="110"/>
      <c r="BAN11" s="110"/>
      <c r="BAO11" s="110"/>
      <c r="BAP11" s="110"/>
      <c r="BAQ11" s="110"/>
      <c r="BAR11" s="110"/>
      <c r="BAS11" s="110"/>
      <c r="BAT11" s="110"/>
      <c r="BAU11" s="110"/>
      <c r="BAV11" s="110"/>
      <c r="BAW11" s="110"/>
      <c r="BAX11" s="110"/>
      <c r="BAY11" s="110"/>
      <c r="BAZ11" s="110"/>
      <c r="BBA11" s="110"/>
      <c r="BBB11" s="110"/>
      <c r="BBC11" s="110"/>
      <c r="BBD11" s="110"/>
      <c r="BBE11" s="110"/>
      <c r="BBF11" s="110"/>
      <c r="BBG11" s="110"/>
      <c r="BBH11" s="110"/>
      <c r="BBI11" s="110"/>
      <c r="BBJ11" s="110"/>
      <c r="BBK11" s="110"/>
      <c r="BBL11" s="110"/>
      <c r="BBM11" s="110"/>
      <c r="BBN11" s="110"/>
      <c r="BBO11" s="110"/>
      <c r="BBP11" s="110"/>
      <c r="BBQ11" s="110"/>
      <c r="BBR11" s="110"/>
      <c r="BBS11" s="110"/>
      <c r="BBT11" s="110"/>
      <c r="BBU11" s="110"/>
      <c r="BBV11" s="110"/>
      <c r="BBW11" s="110"/>
      <c r="BBX11" s="110"/>
      <c r="BBY11" s="110"/>
      <c r="BBZ11" s="110"/>
      <c r="BCA11" s="110"/>
      <c r="BCB11" s="110"/>
      <c r="BCC11" s="110"/>
      <c r="BCD11" s="110"/>
      <c r="BCE11" s="110"/>
      <c r="BCF11" s="110"/>
      <c r="BCG11" s="110"/>
      <c r="BCH11" s="110"/>
      <c r="BCI11" s="110"/>
      <c r="BCJ11" s="110"/>
      <c r="BCK11" s="110"/>
      <c r="BCL11" s="110"/>
      <c r="BCM11" s="110"/>
      <c r="BCN11" s="110"/>
      <c r="BCO11" s="110"/>
      <c r="BCP11" s="110"/>
      <c r="BCQ11" s="110"/>
      <c r="BCR11" s="110"/>
      <c r="BCS11" s="110"/>
      <c r="BCT11" s="110"/>
      <c r="BCU11" s="110"/>
      <c r="BCV11" s="110"/>
      <c r="BCW11" s="110"/>
      <c r="BCX11" s="110"/>
      <c r="BCY11" s="110"/>
      <c r="BCZ11" s="110"/>
      <c r="BDA11" s="110"/>
      <c r="BDB11" s="110"/>
      <c r="BDC11" s="110"/>
      <c r="BDD11" s="110"/>
      <c r="BDE11" s="110"/>
      <c r="BDF11" s="110"/>
      <c r="BDG11" s="110"/>
      <c r="BDH11" s="110"/>
      <c r="BDI11" s="110"/>
      <c r="BDJ11" s="110"/>
      <c r="BDK11" s="110"/>
      <c r="BDL11" s="110"/>
      <c r="BDM11" s="110"/>
      <c r="BDN11" s="110"/>
      <c r="BDO11" s="110"/>
      <c r="BDP11" s="110"/>
      <c r="BDQ11" s="110"/>
      <c r="BDR11" s="110"/>
      <c r="BDS11" s="110"/>
      <c r="BDT11" s="110"/>
      <c r="BDU11" s="110"/>
      <c r="BDV11" s="110"/>
      <c r="BDW11" s="110"/>
      <c r="BDX11" s="110"/>
      <c r="BDY11" s="110"/>
      <c r="BDZ11" s="110"/>
      <c r="BEA11" s="110"/>
      <c r="BEB11" s="110"/>
      <c r="BEC11" s="110"/>
      <c r="BED11" s="110"/>
      <c r="BEE11" s="110"/>
      <c r="BEF11" s="110"/>
      <c r="BEG11" s="110"/>
      <c r="BEH11" s="110"/>
      <c r="BEI11" s="110"/>
      <c r="BEJ11" s="110"/>
      <c r="BEK11" s="110"/>
      <c r="BEL11" s="110"/>
      <c r="BEM11" s="110"/>
      <c r="BEN11" s="110"/>
      <c r="BEO11" s="110"/>
      <c r="BEP11" s="110"/>
      <c r="BEQ11" s="110"/>
      <c r="BER11" s="110"/>
      <c r="BES11" s="110"/>
      <c r="BET11" s="110"/>
      <c r="BEU11" s="110"/>
      <c r="BEV11" s="110"/>
      <c r="BEW11" s="110"/>
      <c r="BEX11" s="110"/>
      <c r="BEY11" s="110"/>
      <c r="BEZ11" s="110"/>
      <c r="BFA11" s="110"/>
      <c r="BFB11" s="110"/>
      <c r="BFC11" s="110"/>
      <c r="BFD11" s="110"/>
      <c r="BFE11" s="110"/>
      <c r="BFF11" s="110"/>
      <c r="BFG11" s="110"/>
      <c r="BFH11" s="110"/>
      <c r="BFI11" s="110"/>
      <c r="BFJ11" s="110"/>
      <c r="BFK11" s="110"/>
      <c r="BFL11" s="110"/>
      <c r="BFM11" s="110"/>
      <c r="BFN11" s="110"/>
      <c r="BFO11" s="110"/>
      <c r="BFP11" s="110"/>
      <c r="BFQ11" s="110"/>
      <c r="BFR11" s="110"/>
      <c r="BFS11" s="110"/>
      <c r="BFT11" s="110"/>
      <c r="BFU11" s="110"/>
      <c r="BFV11" s="110"/>
      <c r="BFW11" s="110"/>
      <c r="BFX11" s="110"/>
      <c r="BFY11" s="110"/>
      <c r="BFZ11" s="110"/>
      <c r="BGA11" s="110"/>
      <c r="BGB11" s="110"/>
      <c r="BGC11" s="110"/>
      <c r="BGD11" s="110"/>
      <c r="BGE11" s="110"/>
      <c r="BGF11" s="110"/>
      <c r="BGG11" s="110"/>
      <c r="BGH11" s="110"/>
      <c r="BGI11" s="110"/>
      <c r="BGJ11" s="110"/>
      <c r="BGK11" s="110"/>
      <c r="BGL11" s="110"/>
      <c r="BGM11" s="110"/>
      <c r="BGN11" s="110"/>
      <c r="BGO11" s="110"/>
      <c r="BGP11" s="110"/>
      <c r="BGQ11" s="110"/>
      <c r="BGR11" s="110"/>
      <c r="BGS11" s="110"/>
      <c r="BGT11" s="110"/>
      <c r="BGU11" s="110"/>
      <c r="BGV11" s="110"/>
      <c r="BGW11" s="110"/>
      <c r="BGX11" s="110"/>
      <c r="BGY11" s="110"/>
      <c r="BGZ11" s="110"/>
      <c r="BHA11" s="110"/>
      <c r="BHB11" s="110"/>
      <c r="BHC11" s="110"/>
      <c r="BHD11" s="110"/>
      <c r="BHE11" s="110"/>
      <c r="BHF11" s="110"/>
      <c r="BHG11" s="110"/>
      <c r="BHH11" s="110"/>
      <c r="BHI11" s="110"/>
      <c r="BHJ11" s="110"/>
      <c r="BHK11" s="110"/>
      <c r="BHL11" s="110"/>
      <c r="BHM11" s="110"/>
      <c r="BHN11" s="110"/>
      <c r="BHO11" s="110"/>
      <c r="BHP11" s="110"/>
      <c r="BHQ11" s="110"/>
      <c r="BHR11" s="110"/>
      <c r="BHS11" s="110"/>
      <c r="BHT11" s="110"/>
      <c r="BHU11" s="110"/>
      <c r="BHV11" s="110"/>
      <c r="BHW11" s="110"/>
      <c r="BHX11" s="110"/>
      <c r="BHY11" s="110"/>
      <c r="BHZ11" s="110"/>
      <c r="BIA11" s="110"/>
      <c r="BIB11" s="110"/>
      <c r="BIC11" s="110"/>
      <c r="BID11" s="110"/>
      <c r="BIE11" s="110"/>
      <c r="BIF11" s="110"/>
      <c r="BIG11" s="110"/>
      <c r="BIH11" s="110"/>
      <c r="BII11" s="110"/>
      <c r="BIJ11" s="110"/>
      <c r="BIK11" s="110"/>
      <c r="BIL11" s="110"/>
      <c r="BIM11" s="110"/>
      <c r="BIN11" s="110"/>
      <c r="BIO11" s="110"/>
      <c r="BIP11" s="110"/>
      <c r="BIQ11" s="110"/>
      <c r="BIR11" s="110"/>
      <c r="BIS11" s="110"/>
      <c r="BIT11" s="110"/>
      <c r="BIU11" s="110"/>
      <c r="BIV11" s="110"/>
      <c r="BIW11" s="110"/>
      <c r="BIX11" s="110"/>
      <c r="BIY11" s="110"/>
      <c r="BIZ11" s="110"/>
      <c r="BJA11" s="110"/>
      <c r="BJB11" s="110"/>
      <c r="BJC11" s="110"/>
      <c r="BJD11" s="110"/>
      <c r="BJE11" s="110"/>
      <c r="BJF11" s="110"/>
      <c r="BJG11" s="110"/>
      <c r="BJH11" s="110"/>
      <c r="BJI11" s="110"/>
      <c r="BJJ11" s="110"/>
      <c r="BJK11" s="110"/>
      <c r="BJL11" s="110"/>
      <c r="BJM11" s="110"/>
      <c r="BJN11" s="110"/>
      <c r="BJO11" s="110"/>
      <c r="BJP11" s="110"/>
      <c r="BJQ11" s="110"/>
      <c r="BJR11" s="110"/>
      <c r="BJS11" s="110"/>
      <c r="BJT11" s="110"/>
      <c r="BJU11" s="110"/>
      <c r="BJV11" s="110"/>
      <c r="BJW11" s="110"/>
      <c r="BJX11" s="110"/>
      <c r="BJY11" s="110"/>
      <c r="BJZ11" s="110"/>
      <c r="BKA11" s="110"/>
      <c r="BKB11" s="110"/>
      <c r="BKC11" s="110"/>
      <c r="BKD11" s="110"/>
      <c r="BKE11" s="110"/>
      <c r="BKF11" s="110"/>
      <c r="BKG11" s="110"/>
      <c r="BKH11" s="110"/>
      <c r="BKI11" s="110"/>
      <c r="BKJ11" s="110"/>
      <c r="BKK11" s="110"/>
      <c r="BKL11" s="110"/>
      <c r="BKM11" s="110"/>
      <c r="BKN11" s="110"/>
      <c r="BKO11" s="110"/>
      <c r="BKP11" s="110"/>
      <c r="BKQ11" s="110"/>
      <c r="BKR11" s="110"/>
      <c r="BKS11" s="110"/>
      <c r="BKT11" s="110"/>
      <c r="BKU11" s="110"/>
      <c r="BKV11" s="110"/>
      <c r="BKW11" s="110"/>
      <c r="BKX11" s="110"/>
      <c r="BKY11" s="110"/>
      <c r="BKZ11" s="110"/>
      <c r="BLA11" s="110"/>
      <c r="BLB11" s="110"/>
      <c r="BLC11" s="110"/>
      <c r="BLD11" s="110"/>
      <c r="BLE11" s="110"/>
      <c r="BLF11" s="110"/>
      <c r="BLG11" s="110"/>
      <c r="BLH11" s="110"/>
      <c r="BLI11" s="110"/>
      <c r="BLJ11" s="110"/>
      <c r="BLK11" s="110"/>
      <c r="BLL11" s="110"/>
      <c r="BLM11" s="110"/>
      <c r="BLN11" s="110"/>
      <c r="BLO11" s="110"/>
      <c r="BLP11" s="110"/>
      <c r="BLQ11" s="110"/>
      <c r="BLR11" s="110"/>
      <c r="BLS11" s="110"/>
      <c r="BLT11" s="110"/>
      <c r="BLU11" s="110"/>
      <c r="BLV11" s="110"/>
      <c r="BLW11" s="110"/>
      <c r="BLX11" s="110"/>
      <c r="BLY11" s="110"/>
      <c r="BLZ11" s="110"/>
      <c r="BMA11" s="110"/>
      <c r="BMB11" s="110"/>
      <c r="BMC11" s="110"/>
      <c r="BMD11" s="110"/>
      <c r="BME11" s="110"/>
      <c r="BMF11" s="110"/>
      <c r="BMG11" s="110"/>
      <c r="BMH11" s="110"/>
      <c r="BMI11" s="110"/>
      <c r="BMJ11" s="110"/>
      <c r="BMK11" s="110"/>
      <c r="BML11" s="110"/>
      <c r="BMM11" s="110"/>
      <c r="BMN11" s="110"/>
      <c r="BMO11" s="110"/>
      <c r="BMP11" s="110"/>
      <c r="BMQ11" s="110"/>
      <c r="BMR11" s="110"/>
      <c r="BMS11" s="110"/>
      <c r="BMT11" s="110"/>
      <c r="BMU11" s="110"/>
      <c r="BMV11" s="110"/>
      <c r="BMW11" s="110"/>
      <c r="BMX11" s="110"/>
      <c r="BMY11" s="110"/>
      <c r="BMZ11" s="110"/>
      <c r="BNA11" s="110"/>
      <c r="BNB11" s="110"/>
      <c r="BNC11" s="110"/>
      <c r="BND11" s="110"/>
      <c r="BNE11" s="110"/>
      <c r="BNF11" s="110"/>
      <c r="BNG11" s="110"/>
      <c r="BNH11" s="110"/>
      <c r="BNI11" s="110"/>
      <c r="BNJ11" s="110"/>
      <c r="BNK11" s="110"/>
      <c r="BNL11" s="110"/>
      <c r="BNM11" s="110"/>
      <c r="BNN11" s="110"/>
      <c r="BNO11" s="110"/>
      <c r="BNP11" s="110"/>
      <c r="BNQ11" s="110"/>
      <c r="BNR11" s="110"/>
      <c r="BNS11" s="110"/>
      <c r="BNT11" s="110"/>
      <c r="BNU11" s="110"/>
      <c r="BNV11" s="110"/>
      <c r="BNW11" s="110"/>
      <c r="BNX11" s="110"/>
      <c r="BNY11" s="110"/>
      <c r="BNZ11" s="110"/>
      <c r="BOA11" s="110"/>
      <c r="BOB11" s="110"/>
      <c r="BOC11" s="110"/>
      <c r="BOD11" s="110"/>
      <c r="BOE11" s="110"/>
      <c r="BOF11" s="110"/>
      <c r="BOG11" s="110"/>
      <c r="BOH11" s="110"/>
      <c r="BOI11" s="110"/>
      <c r="BOJ11" s="110"/>
      <c r="BOK11" s="110"/>
      <c r="BOL11" s="110"/>
      <c r="BOM11" s="110"/>
      <c r="BON11" s="110"/>
      <c r="BOO11" s="110"/>
      <c r="BOP11" s="110"/>
      <c r="BOQ11" s="110"/>
      <c r="BOR11" s="110"/>
      <c r="BOS11" s="110"/>
      <c r="BOT11" s="110"/>
      <c r="BOU11" s="110"/>
      <c r="BOV11" s="110"/>
      <c r="BOW11" s="110"/>
      <c r="BOX11" s="110"/>
      <c r="BOY11" s="110"/>
      <c r="BOZ11" s="110"/>
      <c r="BPA11" s="110"/>
      <c r="BPB11" s="110"/>
      <c r="BPC11" s="110"/>
      <c r="BPD11" s="110"/>
      <c r="BPE11" s="110"/>
      <c r="BPF11" s="110"/>
      <c r="BPG11" s="110"/>
      <c r="BPH11" s="110"/>
      <c r="BPI11" s="110"/>
      <c r="BPJ11" s="110"/>
      <c r="BPK11" s="110"/>
      <c r="BPL11" s="110"/>
      <c r="BPM11" s="110"/>
      <c r="BPN11" s="110"/>
      <c r="BPO11" s="110"/>
      <c r="BPP11" s="110"/>
      <c r="BPQ11" s="110"/>
      <c r="BPR11" s="110"/>
      <c r="BPS11" s="110"/>
      <c r="BPT11" s="110"/>
      <c r="BPU11" s="110"/>
      <c r="BPV11" s="110"/>
      <c r="BPW11" s="110"/>
      <c r="BPX11" s="110"/>
      <c r="BPY11" s="110"/>
      <c r="BPZ11" s="110"/>
      <c r="BQA11" s="110"/>
      <c r="BQB11" s="110"/>
      <c r="BQC11" s="110"/>
      <c r="BQD11" s="110"/>
      <c r="BQE11" s="110"/>
      <c r="BQF11" s="110"/>
      <c r="BQG11" s="110"/>
      <c r="BQH11" s="110"/>
      <c r="BQI11" s="110"/>
      <c r="BQJ11" s="110"/>
      <c r="BQK11" s="110"/>
      <c r="BQL11" s="110"/>
      <c r="BQM11" s="110"/>
      <c r="BQN11" s="110"/>
      <c r="BQO11" s="110"/>
      <c r="BQP11" s="110"/>
      <c r="BQQ11" s="110"/>
      <c r="BQR11" s="110"/>
      <c r="BQS11" s="110"/>
      <c r="BQT11" s="110"/>
      <c r="BQU11" s="110"/>
      <c r="BQV11" s="110"/>
      <c r="BQW11" s="110"/>
      <c r="BQX11" s="110"/>
      <c r="BQY11" s="110"/>
      <c r="BQZ11" s="110"/>
      <c r="BRA11" s="110"/>
      <c r="BRB11" s="110"/>
      <c r="BRC11" s="110"/>
      <c r="BRD11" s="110"/>
      <c r="BRE11" s="110"/>
      <c r="BRF11" s="110"/>
      <c r="BRG11" s="110"/>
      <c r="BRH11" s="110"/>
      <c r="BRI11" s="110"/>
      <c r="BRJ11" s="110"/>
      <c r="BRK11" s="110"/>
      <c r="BRL11" s="110"/>
      <c r="BRM11" s="110"/>
      <c r="BRN11" s="110"/>
      <c r="BRO11" s="110"/>
      <c r="BRP11" s="110"/>
      <c r="BRQ11" s="110"/>
      <c r="BRR11" s="110"/>
      <c r="BRS11" s="110"/>
      <c r="BRT11" s="110"/>
      <c r="BRU11" s="110"/>
      <c r="BRV11" s="110"/>
      <c r="BRW11" s="110"/>
      <c r="BRX11" s="110"/>
      <c r="BRY11" s="110"/>
      <c r="BRZ11" s="110"/>
      <c r="BSA11" s="110"/>
      <c r="BSB11" s="110"/>
      <c r="BSC11" s="110"/>
      <c r="BSD11" s="110"/>
      <c r="BSE11" s="110"/>
      <c r="BSF11" s="110"/>
      <c r="BSG11" s="110"/>
      <c r="BSH11" s="110"/>
      <c r="BSI11" s="110"/>
      <c r="BSJ11" s="110"/>
      <c r="BSK11" s="110"/>
      <c r="BSL11" s="110"/>
      <c r="BSM11" s="110"/>
      <c r="BSN11" s="110"/>
      <c r="BSO11" s="110"/>
      <c r="BSP11" s="110"/>
      <c r="BSQ11" s="110"/>
      <c r="BSR11" s="110"/>
      <c r="BSS11" s="110"/>
      <c r="BST11" s="110"/>
      <c r="BSU11" s="110"/>
      <c r="BSV11" s="110"/>
      <c r="BSW11" s="110"/>
      <c r="BSX11" s="110"/>
      <c r="BSY11" s="110"/>
      <c r="BSZ11" s="110"/>
      <c r="BTA11" s="110"/>
      <c r="BTB11" s="110"/>
      <c r="BTC11" s="110"/>
      <c r="BTD11" s="110"/>
      <c r="BTE11" s="110"/>
      <c r="BTF11" s="110"/>
      <c r="BTG11" s="110"/>
      <c r="BTH11" s="110"/>
      <c r="BTI11" s="110"/>
      <c r="BTJ11" s="110"/>
      <c r="BTK11" s="110"/>
      <c r="BTL11" s="110"/>
      <c r="BTM11" s="110"/>
      <c r="BTN11" s="110"/>
      <c r="BTO11" s="110"/>
      <c r="BTP11" s="110"/>
      <c r="BTQ11" s="110"/>
      <c r="BTR11" s="110"/>
      <c r="BTS11" s="110"/>
      <c r="BTT11" s="110"/>
      <c r="BTU11" s="110"/>
      <c r="BTV11" s="110"/>
      <c r="BTW11" s="110"/>
      <c r="BTX11" s="110"/>
      <c r="BTY11" s="110"/>
      <c r="BTZ11" s="110"/>
      <c r="BUA11" s="110"/>
      <c r="BUB11" s="110"/>
      <c r="BUC11" s="110"/>
      <c r="BUD11" s="110"/>
      <c r="BUE11" s="110"/>
      <c r="BUF11" s="110"/>
      <c r="BUG11" s="110"/>
      <c r="BUH11" s="110"/>
      <c r="BUI11" s="110"/>
      <c r="BUJ11" s="110"/>
      <c r="BUK11" s="110"/>
      <c r="BUL11" s="110"/>
      <c r="BUM11" s="110"/>
      <c r="BUN11" s="110"/>
      <c r="BUO11" s="110"/>
      <c r="BUP11" s="110"/>
      <c r="BUQ11" s="110"/>
      <c r="BUR11" s="110"/>
      <c r="BUS11" s="110"/>
      <c r="BUT11" s="110"/>
      <c r="BUU11" s="110"/>
      <c r="BUV11" s="110"/>
      <c r="BUW11" s="110"/>
      <c r="BUX11" s="110"/>
      <c r="BUY11" s="110"/>
      <c r="BUZ11" s="110"/>
      <c r="BVA11" s="110"/>
      <c r="BVB11" s="110"/>
      <c r="BVC11" s="110"/>
      <c r="BVD11" s="110"/>
      <c r="BVE11" s="110"/>
      <c r="BVF11" s="110"/>
      <c r="BVG11" s="110"/>
      <c r="BVH11" s="110"/>
      <c r="BVI11" s="110"/>
      <c r="BVJ11" s="110"/>
      <c r="BVK11" s="110"/>
      <c r="BVL11" s="110"/>
      <c r="BVM11" s="110"/>
      <c r="BVN11" s="110"/>
      <c r="BVO11" s="110"/>
      <c r="BVP11" s="110"/>
      <c r="BVQ11" s="110"/>
      <c r="BVR11" s="110"/>
      <c r="BVS11" s="110"/>
      <c r="BVT11" s="110"/>
      <c r="BVU11" s="110"/>
      <c r="BVV11" s="110"/>
      <c r="BVW11" s="110"/>
      <c r="BVX11" s="110"/>
      <c r="BVY11" s="110"/>
      <c r="BVZ11" s="110"/>
      <c r="BWA11" s="110"/>
      <c r="BWB11" s="110"/>
      <c r="BWC11" s="110"/>
      <c r="BWD11" s="110"/>
      <c r="BWE11" s="110"/>
      <c r="BWF11" s="110"/>
      <c r="BWG11" s="110"/>
      <c r="BWH11" s="110"/>
      <c r="BWI11" s="110"/>
      <c r="BWJ11" s="110"/>
      <c r="BWK11" s="110"/>
      <c r="BWL11" s="110"/>
      <c r="BWM11" s="110"/>
      <c r="BWN11" s="110"/>
      <c r="BWO11" s="110"/>
      <c r="BWP11" s="110"/>
      <c r="BWQ11" s="110"/>
      <c r="BWR11" s="110"/>
      <c r="BWS11" s="110"/>
      <c r="BWT11" s="110"/>
      <c r="BWU11" s="110"/>
      <c r="BWV11" s="110"/>
      <c r="BWW11" s="110"/>
      <c r="BWX11" s="110"/>
      <c r="BWY11" s="110"/>
      <c r="BWZ11" s="110"/>
      <c r="BXA11" s="110"/>
      <c r="BXB11" s="110"/>
      <c r="BXC11" s="110"/>
      <c r="BXD11" s="110"/>
      <c r="BXE11" s="110"/>
      <c r="BXF11" s="110"/>
      <c r="BXG11" s="110"/>
      <c r="BXH11" s="110"/>
      <c r="BXI11" s="110"/>
      <c r="BXJ11" s="110"/>
      <c r="BXK11" s="110"/>
      <c r="BXL11" s="110"/>
      <c r="BXM11" s="110"/>
      <c r="BXN11" s="110"/>
      <c r="BXO11" s="110"/>
      <c r="BXP11" s="110"/>
      <c r="BXQ11" s="110"/>
      <c r="BXR11" s="110"/>
      <c r="BXS11" s="110"/>
      <c r="BXT11" s="110"/>
      <c r="BXU11" s="110"/>
      <c r="BXV11" s="110"/>
      <c r="BXW11" s="110"/>
      <c r="BXX11" s="110"/>
      <c r="BXY11" s="110"/>
      <c r="BXZ11" s="110"/>
      <c r="BYA11" s="110"/>
      <c r="BYB11" s="110"/>
      <c r="BYC11" s="110"/>
      <c r="BYD11" s="110"/>
      <c r="BYE11" s="110"/>
      <c r="BYF11" s="110"/>
      <c r="BYG11" s="110"/>
      <c r="BYH11" s="110"/>
      <c r="BYI11" s="110"/>
      <c r="BYJ11" s="110"/>
      <c r="BYK11" s="110"/>
      <c r="BYL11" s="110"/>
      <c r="BYM11" s="110"/>
      <c r="BYN11" s="110"/>
      <c r="BYO11" s="110"/>
      <c r="BYP11" s="110"/>
      <c r="BYQ11" s="110"/>
      <c r="BYR11" s="110"/>
      <c r="BYS11" s="110"/>
      <c r="BYT11" s="110"/>
      <c r="BYU11" s="110"/>
      <c r="BYV11" s="110"/>
      <c r="BYW11" s="110"/>
      <c r="BYX11" s="110"/>
      <c r="BYY11" s="110"/>
      <c r="BYZ11" s="110"/>
      <c r="BZA11" s="110"/>
      <c r="BZB11" s="110"/>
      <c r="BZC11" s="110"/>
      <c r="BZD11" s="110"/>
      <c r="BZE11" s="110"/>
      <c r="BZF11" s="110"/>
      <c r="BZG11" s="110"/>
      <c r="BZH11" s="110"/>
      <c r="BZI11" s="110"/>
      <c r="BZJ11" s="110"/>
      <c r="BZK11" s="110"/>
      <c r="BZL11" s="110"/>
      <c r="BZM11" s="110"/>
      <c r="BZN11" s="110"/>
      <c r="BZO11" s="110"/>
      <c r="BZP11" s="110"/>
      <c r="BZQ11" s="110"/>
      <c r="BZR11" s="110"/>
      <c r="BZS11" s="110"/>
      <c r="BZT11" s="110"/>
      <c r="BZU11" s="110"/>
      <c r="BZV11" s="110"/>
      <c r="BZW11" s="110"/>
      <c r="BZX11" s="110"/>
      <c r="BZY11" s="110"/>
      <c r="BZZ11" s="110"/>
      <c r="CAA11" s="110"/>
      <c r="CAB11" s="110"/>
      <c r="CAC11" s="110"/>
      <c r="CAD11" s="110"/>
      <c r="CAE11" s="110"/>
      <c r="CAF11" s="110"/>
      <c r="CAG11" s="110"/>
      <c r="CAH11" s="110"/>
      <c r="CAI11" s="110"/>
      <c r="CAJ11" s="110"/>
      <c r="CAK11" s="110"/>
      <c r="CAL11" s="110"/>
      <c r="CAM11" s="110"/>
      <c r="CAN11" s="110"/>
      <c r="CAO11" s="110"/>
      <c r="CAP11" s="110"/>
      <c r="CAQ11" s="110"/>
      <c r="CAR11" s="110"/>
      <c r="CAS11" s="110"/>
      <c r="CAT11" s="110"/>
      <c r="CAU11" s="110"/>
      <c r="CAV11" s="110"/>
      <c r="CAW11" s="110"/>
      <c r="CAX11" s="110"/>
      <c r="CAY11" s="110"/>
      <c r="CAZ11" s="110"/>
      <c r="CBA11" s="110"/>
      <c r="CBB11" s="110"/>
      <c r="CBC11" s="110"/>
      <c r="CBD11" s="110"/>
      <c r="CBE11" s="110"/>
      <c r="CBF11" s="110"/>
      <c r="CBG11" s="110"/>
      <c r="CBH11" s="110"/>
      <c r="CBI11" s="110"/>
      <c r="CBJ11" s="110"/>
      <c r="CBK11" s="110"/>
      <c r="CBL11" s="110"/>
      <c r="CBM11" s="110"/>
      <c r="CBN11" s="110"/>
      <c r="CBO11" s="110"/>
      <c r="CBP11" s="110"/>
      <c r="CBQ11" s="110"/>
      <c r="CBR11" s="110"/>
      <c r="CBS11" s="110"/>
      <c r="CBT11" s="110"/>
      <c r="CBU11" s="110"/>
      <c r="CBV11" s="110"/>
      <c r="CBW11" s="110"/>
      <c r="CBX11" s="110"/>
      <c r="CBY11" s="110"/>
      <c r="CBZ11" s="110"/>
      <c r="CCA11" s="110"/>
      <c r="CCB11" s="110"/>
      <c r="CCC11" s="110"/>
      <c r="CCD11" s="110"/>
      <c r="CCE11" s="110"/>
      <c r="CCF11" s="110"/>
      <c r="CCG11" s="110"/>
      <c r="CCH11" s="110"/>
      <c r="CCI11" s="110"/>
      <c r="CCJ11" s="110"/>
      <c r="CCK11" s="110"/>
      <c r="CCL11" s="110"/>
      <c r="CCM11" s="110"/>
      <c r="CCN11" s="110"/>
      <c r="CCO11" s="110"/>
      <c r="CCP11" s="110"/>
      <c r="CCQ11" s="110"/>
      <c r="CCR11" s="110"/>
      <c r="CCS11" s="110"/>
      <c r="CCT11" s="110"/>
      <c r="CCU11" s="110"/>
      <c r="CCV11" s="110"/>
      <c r="CCW11" s="110"/>
      <c r="CCX11" s="110"/>
      <c r="CCY11" s="110"/>
      <c r="CCZ11" s="110"/>
      <c r="CDA11" s="110"/>
      <c r="CDB11" s="110"/>
      <c r="CDC11" s="110"/>
      <c r="CDD11" s="110"/>
      <c r="CDE11" s="110"/>
      <c r="CDF11" s="110"/>
      <c r="CDG11" s="110"/>
      <c r="CDH11" s="110"/>
      <c r="CDI11" s="110"/>
      <c r="CDJ11" s="110"/>
      <c r="CDK11" s="110"/>
      <c r="CDL11" s="110"/>
      <c r="CDM11" s="110"/>
      <c r="CDN11" s="110"/>
      <c r="CDO11" s="110"/>
      <c r="CDP11" s="110"/>
      <c r="CDQ11" s="110"/>
      <c r="CDR11" s="110"/>
      <c r="CDS11" s="110"/>
      <c r="CDT11" s="110"/>
      <c r="CDU11" s="110"/>
      <c r="CDV11" s="110"/>
      <c r="CDW11" s="110"/>
      <c r="CDX11" s="110"/>
      <c r="CDY11" s="110"/>
      <c r="CDZ11" s="110"/>
      <c r="CEA11" s="110"/>
      <c r="CEB11" s="110"/>
      <c r="CEC11" s="110"/>
      <c r="CED11" s="110"/>
      <c r="CEE11" s="110"/>
      <c r="CEF11" s="110"/>
      <c r="CEG11" s="110"/>
      <c r="CEH11" s="110"/>
      <c r="CEI11" s="110"/>
      <c r="CEJ11" s="110"/>
      <c r="CEK11" s="110"/>
      <c r="CEL11" s="110"/>
      <c r="CEM11" s="110"/>
      <c r="CEN11" s="110"/>
      <c r="CEO11" s="110"/>
      <c r="CEP11" s="110"/>
      <c r="CEQ11" s="110"/>
      <c r="CER11" s="110"/>
      <c r="CES11" s="110"/>
      <c r="CET11" s="110"/>
      <c r="CEU11" s="110"/>
      <c r="CEV11" s="110"/>
      <c r="CEW11" s="110"/>
      <c r="CEX11" s="110"/>
      <c r="CEY11" s="110"/>
      <c r="CEZ11" s="110"/>
      <c r="CFA11" s="110"/>
      <c r="CFB11" s="110"/>
      <c r="CFC11" s="110"/>
      <c r="CFD11" s="110"/>
      <c r="CFE11" s="110"/>
      <c r="CFF11" s="110"/>
      <c r="CFG11" s="110"/>
      <c r="CFH11" s="110"/>
      <c r="CFI11" s="110"/>
      <c r="CFJ11" s="110"/>
      <c r="CFK11" s="110"/>
      <c r="CFL11" s="110"/>
      <c r="CFM11" s="110"/>
      <c r="CFN11" s="110"/>
      <c r="CFO11" s="110"/>
      <c r="CFP11" s="110"/>
      <c r="CFQ11" s="110"/>
      <c r="CFR11" s="110"/>
      <c r="CFS11" s="110"/>
      <c r="CFT11" s="110"/>
      <c r="CFU11" s="110"/>
      <c r="CFV11" s="110"/>
      <c r="CFW11" s="110"/>
      <c r="CFX11" s="110"/>
      <c r="CFY11" s="110"/>
      <c r="CFZ11" s="110"/>
      <c r="CGA11" s="110"/>
      <c r="CGB11" s="110"/>
      <c r="CGC11" s="110"/>
      <c r="CGD11" s="110"/>
      <c r="CGE11" s="110"/>
      <c r="CGF11" s="110"/>
      <c r="CGG11" s="110"/>
      <c r="CGH11" s="110"/>
      <c r="CGI11" s="110"/>
      <c r="CGJ11" s="110"/>
      <c r="CGK11" s="110"/>
      <c r="CGL11" s="110"/>
      <c r="CGM11" s="110"/>
      <c r="CGN11" s="110"/>
      <c r="CGO11" s="110"/>
      <c r="CGP11" s="110"/>
      <c r="CGQ11" s="110"/>
      <c r="CGR11" s="110"/>
      <c r="CGS11" s="110"/>
      <c r="CGT11" s="110"/>
      <c r="CGU11" s="110"/>
      <c r="CGV11" s="110"/>
      <c r="CGW11" s="110"/>
      <c r="CGX11" s="110"/>
      <c r="CGY11" s="110"/>
      <c r="CGZ11" s="110"/>
      <c r="CHA11" s="110"/>
      <c r="CHB11" s="110"/>
      <c r="CHC11" s="110"/>
      <c r="CHD11" s="110"/>
      <c r="CHE11" s="110"/>
      <c r="CHF11" s="110"/>
      <c r="CHG11" s="110"/>
      <c r="CHH11" s="110"/>
      <c r="CHI11" s="110"/>
      <c r="CHJ11" s="110"/>
      <c r="CHK11" s="110"/>
      <c r="CHL11" s="110"/>
      <c r="CHM11" s="110"/>
      <c r="CHN11" s="110"/>
      <c r="CHO11" s="110"/>
      <c r="CHP11" s="110"/>
      <c r="CHQ11" s="110"/>
      <c r="CHR11" s="110"/>
      <c r="CHS11" s="110"/>
      <c r="CHT11" s="110"/>
      <c r="CHU11" s="110"/>
      <c r="CHV11" s="110"/>
      <c r="CHW11" s="110"/>
      <c r="CHX11" s="110"/>
      <c r="CHY11" s="110"/>
      <c r="CHZ11" s="110"/>
      <c r="CIA11" s="110"/>
      <c r="CIB11" s="110"/>
      <c r="CIC11" s="110"/>
      <c r="CID11" s="110"/>
      <c r="CIE11" s="110"/>
      <c r="CIF11" s="110"/>
      <c r="CIG11" s="110"/>
      <c r="CIH11" s="110"/>
      <c r="CII11" s="110"/>
      <c r="CIJ11" s="110"/>
      <c r="CIK11" s="110"/>
      <c r="CIL11" s="110"/>
      <c r="CIM11" s="110"/>
      <c r="CIN11" s="110"/>
      <c r="CIO11" s="110"/>
      <c r="CIP11" s="110"/>
      <c r="CIQ11" s="110"/>
      <c r="CIR11" s="110"/>
      <c r="CIS11" s="110"/>
      <c r="CIT11" s="110"/>
      <c r="CIU11" s="110"/>
      <c r="CIV11" s="110"/>
      <c r="CIW11" s="110"/>
      <c r="CIX11" s="110"/>
      <c r="CIY11" s="110"/>
      <c r="CIZ11" s="110"/>
      <c r="CJA11" s="110"/>
      <c r="CJB11" s="110"/>
      <c r="CJC11" s="110"/>
      <c r="CJD11" s="110"/>
      <c r="CJE11" s="110"/>
      <c r="CJF11" s="110"/>
      <c r="CJG11" s="110"/>
      <c r="CJH11" s="110"/>
      <c r="CJI11" s="110"/>
      <c r="CJJ11" s="110"/>
      <c r="CJK11" s="110"/>
      <c r="CJL11" s="110"/>
      <c r="CJM11" s="110"/>
      <c r="CJN11" s="110"/>
      <c r="CJO11" s="110"/>
      <c r="CJP11" s="110"/>
      <c r="CJQ11" s="110"/>
      <c r="CJR11" s="110"/>
      <c r="CJS11" s="110"/>
      <c r="CJT11" s="110"/>
      <c r="CJU11" s="110"/>
      <c r="CJV11" s="110"/>
      <c r="CJW11" s="110"/>
      <c r="CJX11" s="110"/>
      <c r="CJY11" s="110"/>
      <c r="CJZ11" s="110"/>
      <c r="CKA11" s="110"/>
      <c r="CKB11" s="110"/>
      <c r="CKC11" s="110"/>
      <c r="CKD11" s="110"/>
      <c r="CKE11" s="110"/>
      <c r="CKF11" s="110"/>
      <c r="CKG11" s="110"/>
      <c r="CKH11" s="110"/>
      <c r="CKI11" s="110"/>
      <c r="CKJ11" s="110"/>
      <c r="CKK11" s="110"/>
      <c r="CKL11" s="110"/>
      <c r="CKM11" s="110"/>
      <c r="CKN11" s="110"/>
      <c r="CKO11" s="110"/>
      <c r="CKP11" s="110"/>
      <c r="CKQ11" s="110"/>
      <c r="CKR11" s="110"/>
      <c r="CKS11" s="110"/>
      <c r="CKT11" s="110"/>
      <c r="CKU11" s="110"/>
      <c r="CKV11" s="110"/>
      <c r="CKW11" s="110"/>
      <c r="CKX11" s="110"/>
      <c r="CKY11" s="110"/>
      <c r="CKZ11" s="110"/>
      <c r="CLA11" s="110"/>
      <c r="CLB11" s="110"/>
      <c r="CLC11" s="110"/>
      <c r="CLD11" s="110"/>
      <c r="CLE11" s="110"/>
      <c r="CLF11" s="110"/>
      <c r="CLG11" s="110"/>
      <c r="CLH11" s="110"/>
      <c r="CLI11" s="110"/>
      <c r="CLJ11" s="110"/>
      <c r="CLK11" s="110"/>
      <c r="CLL11" s="110"/>
      <c r="CLM11" s="110"/>
      <c r="CLN11" s="110"/>
      <c r="CLO11" s="110"/>
      <c r="CLP11" s="110"/>
      <c r="CLQ11" s="110"/>
      <c r="CLR11" s="110"/>
      <c r="CLS11" s="110"/>
      <c r="CLT11" s="110"/>
      <c r="CLU11" s="110"/>
      <c r="CLV11" s="110"/>
      <c r="CLW11" s="110"/>
      <c r="CLX11" s="110"/>
      <c r="CLY11" s="110"/>
      <c r="CLZ11" s="110"/>
      <c r="CMA11" s="110"/>
      <c r="CMB11" s="110"/>
      <c r="CMC11" s="110"/>
      <c r="CMD11" s="110"/>
      <c r="CME11" s="110"/>
      <c r="CMF11" s="110"/>
      <c r="CMG11" s="110"/>
      <c r="CMH11" s="110"/>
      <c r="CMI11" s="110"/>
      <c r="CMJ11" s="110"/>
      <c r="CMK11" s="110"/>
      <c r="CML11" s="110"/>
      <c r="CMM11" s="110"/>
      <c r="CMN11" s="110"/>
      <c r="CMO11" s="110"/>
      <c r="CMP11" s="110"/>
      <c r="CMQ11" s="110"/>
      <c r="CMR11" s="110"/>
      <c r="CMS11" s="110"/>
      <c r="CMT11" s="110"/>
      <c r="CMU11" s="110"/>
      <c r="CMV11" s="110"/>
      <c r="CMW11" s="110"/>
      <c r="CMX11" s="110"/>
      <c r="CMY11" s="110"/>
      <c r="CMZ11" s="110"/>
      <c r="CNA11" s="110"/>
      <c r="CNB11" s="110"/>
      <c r="CNC11" s="110"/>
      <c r="CND11" s="110"/>
      <c r="CNE11" s="110"/>
      <c r="CNF11" s="110"/>
      <c r="CNG11" s="110"/>
      <c r="CNH11" s="110"/>
      <c r="CNI11" s="110"/>
      <c r="CNJ11" s="110"/>
      <c r="CNK11" s="110"/>
      <c r="CNL11" s="110"/>
      <c r="CNM11" s="110"/>
      <c r="CNN11" s="110"/>
      <c r="CNO11" s="110"/>
      <c r="CNP11" s="110"/>
      <c r="CNQ11" s="110"/>
      <c r="CNR11" s="110"/>
      <c r="CNS11" s="110"/>
      <c r="CNT11" s="110"/>
      <c r="CNU11" s="110"/>
      <c r="CNV11" s="110"/>
      <c r="CNW11" s="110"/>
      <c r="CNX11" s="110"/>
      <c r="CNY11" s="110"/>
      <c r="CNZ11" s="110"/>
      <c r="COA11" s="110"/>
      <c r="COB11" s="110"/>
      <c r="COC11" s="110"/>
      <c r="COD11" s="110"/>
      <c r="COE11" s="110"/>
      <c r="COF11" s="110"/>
      <c r="COG11" s="110"/>
      <c r="COH11" s="110"/>
      <c r="COI11" s="110"/>
      <c r="COJ11" s="110"/>
      <c r="COK11" s="110"/>
      <c r="COL11" s="110"/>
      <c r="COM11" s="110"/>
      <c r="CON11" s="110"/>
      <c r="COO11" s="110"/>
      <c r="COP11" s="110"/>
      <c r="COQ11" s="110"/>
      <c r="COR11" s="110"/>
      <c r="COS11" s="110"/>
      <c r="COT11" s="110"/>
      <c r="COU11" s="110"/>
      <c r="COV11" s="110"/>
      <c r="COW11" s="110"/>
      <c r="COX11" s="110"/>
      <c r="COY11" s="110"/>
      <c r="COZ11" s="110"/>
      <c r="CPA11" s="110"/>
      <c r="CPB11" s="110"/>
      <c r="CPC11" s="110"/>
      <c r="CPD11" s="110"/>
      <c r="CPE11" s="110"/>
      <c r="CPF11" s="110"/>
      <c r="CPG11" s="110"/>
      <c r="CPH11" s="110"/>
      <c r="CPI11" s="110"/>
      <c r="CPJ11" s="110"/>
      <c r="CPK11" s="110"/>
      <c r="CPL11" s="110"/>
      <c r="CPM11" s="110"/>
      <c r="CPN11" s="110"/>
      <c r="CPO11" s="110"/>
      <c r="CPP11" s="110"/>
      <c r="CPQ11" s="110"/>
      <c r="CPR11" s="110"/>
      <c r="CPS11" s="110"/>
      <c r="CPT11" s="110"/>
      <c r="CPU11" s="110"/>
      <c r="CPV11" s="110"/>
      <c r="CPW11" s="110"/>
      <c r="CPX11" s="110"/>
      <c r="CPY11" s="110"/>
      <c r="CPZ11" s="110"/>
      <c r="CQA11" s="110"/>
      <c r="CQB11" s="110"/>
      <c r="CQC11" s="110"/>
      <c r="CQD11" s="110"/>
      <c r="CQE11" s="110"/>
      <c r="CQF11" s="110"/>
      <c r="CQG11" s="110"/>
      <c r="CQH11" s="110"/>
      <c r="CQI11" s="110"/>
      <c r="CQJ11" s="110"/>
      <c r="CQK11" s="110"/>
      <c r="CQL11" s="110"/>
      <c r="CQM11" s="110"/>
      <c r="CQN11" s="110"/>
      <c r="CQO11" s="110"/>
      <c r="CQP11" s="110"/>
      <c r="CQQ11" s="110"/>
      <c r="CQR11" s="110"/>
      <c r="CQS11" s="110"/>
      <c r="CQT11" s="110"/>
      <c r="CQU11" s="110"/>
      <c r="CQV11" s="110"/>
      <c r="CQW11" s="110"/>
      <c r="CQX11" s="110"/>
      <c r="CQY11" s="110"/>
      <c r="CQZ11" s="110"/>
      <c r="CRA11" s="110"/>
      <c r="CRB11" s="110"/>
      <c r="CRC11" s="110"/>
      <c r="CRD11" s="110"/>
      <c r="CRE11" s="110"/>
      <c r="CRF11" s="110"/>
      <c r="CRG11" s="110"/>
      <c r="CRH11" s="110"/>
      <c r="CRI11" s="110"/>
      <c r="CRJ11" s="110"/>
      <c r="CRK11" s="110"/>
      <c r="CRL11" s="110"/>
      <c r="CRM11" s="110"/>
      <c r="CRN11" s="110"/>
      <c r="CRO11" s="110"/>
      <c r="CRP11" s="110"/>
      <c r="CRQ11" s="110"/>
      <c r="CRR11" s="110"/>
      <c r="CRS11" s="110"/>
      <c r="CRT11" s="110"/>
      <c r="CRU11" s="110"/>
      <c r="CRV11" s="110"/>
      <c r="CRW11" s="110"/>
      <c r="CRX11" s="110"/>
      <c r="CRY11" s="110"/>
      <c r="CRZ11" s="110"/>
      <c r="CSA11" s="110"/>
      <c r="CSB11" s="110"/>
      <c r="CSC11" s="110"/>
      <c r="CSD11" s="110"/>
      <c r="CSE11" s="110"/>
      <c r="CSF11" s="110"/>
      <c r="CSG11" s="110"/>
      <c r="CSH11" s="110"/>
      <c r="CSI11" s="110"/>
      <c r="CSJ11" s="110"/>
      <c r="CSK11" s="110"/>
      <c r="CSL11" s="110"/>
      <c r="CSM11" s="110"/>
      <c r="CSN11" s="110"/>
      <c r="CSO11" s="110"/>
      <c r="CSP11" s="110"/>
      <c r="CSQ11" s="110"/>
      <c r="CSR11" s="110"/>
      <c r="CSS11" s="110"/>
      <c r="CST11" s="110"/>
      <c r="CSU11" s="110"/>
      <c r="CSV11" s="110"/>
      <c r="CSW11" s="110"/>
      <c r="CSX11" s="110"/>
      <c r="CSY11" s="110"/>
      <c r="CSZ11" s="110"/>
      <c r="CTA11" s="110"/>
      <c r="CTB11" s="110"/>
      <c r="CTC11" s="110"/>
      <c r="CTD11" s="110"/>
      <c r="CTE11" s="110"/>
      <c r="CTF11" s="110"/>
      <c r="CTG11" s="110"/>
      <c r="CTH11" s="110"/>
      <c r="CTI11" s="110"/>
      <c r="CTJ11" s="110"/>
      <c r="CTK11" s="110"/>
      <c r="CTL11" s="110"/>
      <c r="CTM11" s="110"/>
      <c r="CTN11" s="110"/>
      <c r="CTO11" s="110"/>
      <c r="CTP11" s="110"/>
      <c r="CTQ11" s="110"/>
      <c r="CTR11" s="110"/>
      <c r="CTS11" s="110"/>
      <c r="CTT11" s="110"/>
      <c r="CTU11" s="110"/>
      <c r="CTV11" s="110"/>
      <c r="CTW11" s="110"/>
      <c r="CTX11" s="110"/>
      <c r="CTY11" s="110"/>
      <c r="CTZ11" s="110"/>
      <c r="CUA11" s="110"/>
      <c r="CUB11" s="110"/>
      <c r="CUC11" s="110"/>
      <c r="CUD11" s="110"/>
      <c r="CUE11" s="110"/>
      <c r="CUF11" s="110"/>
      <c r="CUG11" s="110"/>
      <c r="CUH11" s="110"/>
      <c r="CUI11" s="110"/>
      <c r="CUJ11" s="110"/>
      <c r="CUK11" s="110"/>
      <c r="CUL11" s="110"/>
      <c r="CUM11" s="110"/>
      <c r="CUN11" s="110"/>
      <c r="CUO11" s="110"/>
      <c r="CUP11" s="110"/>
      <c r="CUQ11" s="110"/>
      <c r="CUR11" s="110"/>
      <c r="CUS11" s="110"/>
      <c r="CUT11" s="110"/>
      <c r="CUU11" s="110"/>
      <c r="CUV11" s="110"/>
      <c r="CUW11" s="110"/>
      <c r="CUX11" s="110"/>
      <c r="CUY11" s="110"/>
      <c r="CUZ11" s="110"/>
      <c r="CVA11" s="110"/>
      <c r="CVB11" s="110"/>
      <c r="CVC11" s="110"/>
      <c r="CVD11" s="110"/>
      <c r="CVE11" s="110"/>
      <c r="CVF11" s="110"/>
      <c r="CVG11" s="110"/>
      <c r="CVH11" s="110"/>
      <c r="CVI11" s="110"/>
      <c r="CVJ11" s="110"/>
      <c r="CVK11" s="110"/>
      <c r="CVL11" s="110"/>
      <c r="CVM11" s="110"/>
      <c r="CVN11" s="110"/>
      <c r="CVO11" s="110"/>
      <c r="CVP11" s="110"/>
      <c r="CVQ11" s="110"/>
      <c r="CVR11" s="110"/>
      <c r="CVS11" s="110"/>
      <c r="CVT11" s="110"/>
      <c r="CVU11" s="110"/>
      <c r="CVV11" s="110"/>
      <c r="CVW11" s="110"/>
      <c r="CVX11" s="110"/>
      <c r="CVY11" s="110"/>
      <c r="CVZ11" s="110"/>
      <c r="CWA11" s="110"/>
      <c r="CWB11" s="110"/>
      <c r="CWC11" s="110"/>
      <c r="CWD11" s="110"/>
      <c r="CWE11" s="110"/>
      <c r="CWF11" s="110"/>
      <c r="CWG11" s="110"/>
      <c r="CWH11" s="110"/>
      <c r="CWI11" s="110"/>
      <c r="CWJ11" s="110"/>
      <c r="CWK11" s="110"/>
      <c r="CWL11" s="110"/>
      <c r="CWM11" s="110"/>
      <c r="CWN11" s="110"/>
      <c r="CWO11" s="110"/>
      <c r="CWP11" s="110"/>
      <c r="CWQ11" s="110"/>
      <c r="CWR11" s="110"/>
      <c r="CWS11" s="110"/>
      <c r="CWT11" s="110"/>
      <c r="CWU11" s="110"/>
      <c r="CWV11" s="110"/>
      <c r="CWW11" s="110"/>
      <c r="CWX11" s="110"/>
      <c r="CWY11" s="110"/>
      <c r="CWZ11" s="110"/>
      <c r="CXA11" s="110"/>
      <c r="CXB11" s="110"/>
      <c r="CXC11" s="110"/>
      <c r="CXD11" s="110"/>
      <c r="CXE11" s="110"/>
      <c r="CXF11" s="110"/>
      <c r="CXG11" s="110"/>
      <c r="CXH11" s="110"/>
      <c r="CXI11" s="110"/>
      <c r="CXJ11" s="110"/>
      <c r="CXK11" s="110"/>
      <c r="CXL11" s="110"/>
      <c r="CXM11" s="110"/>
      <c r="CXN11" s="110"/>
      <c r="CXO11" s="110"/>
      <c r="CXP11" s="110"/>
      <c r="CXQ11" s="110"/>
      <c r="CXR11" s="110"/>
      <c r="CXS11" s="110"/>
      <c r="CXT11" s="110"/>
      <c r="CXU11" s="110"/>
      <c r="CXV11" s="110"/>
      <c r="CXW11" s="110"/>
      <c r="CXX11" s="110"/>
      <c r="CXY11" s="110"/>
      <c r="CXZ11" s="110"/>
      <c r="CYA11" s="110"/>
      <c r="CYB11" s="110"/>
      <c r="CYC11" s="110"/>
      <c r="CYD11" s="110"/>
      <c r="CYE11" s="110"/>
      <c r="CYF11" s="110"/>
      <c r="CYG11" s="110"/>
      <c r="CYH11" s="110"/>
      <c r="CYI11" s="110"/>
      <c r="CYJ11" s="110"/>
      <c r="CYK11" s="110"/>
      <c r="CYL11" s="110"/>
      <c r="CYM11" s="110"/>
      <c r="CYN11" s="110"/>
      <c r="CYO11" s="110"/>
      <c r="CYP11" s="110"/>
      <c r="CYQ11" s="110"/>
      <c r="CYR11" s="110"/>
      <c r="CYS11" s="110"/>
      <c r="CYT11" s="110"/>
      <c r="CYU11" s="110"/>
      <c r="CYV11" s="110"/>
      <c r="CYW11" s="110"/>
      <c r="CYX11" s="110"/>
      <c r="CYY11" s="110"/>
      <c r="CYZ11" s="110"/>
      <c r="CZA11" s="110"/>
      <c r="CZB11" s="110"/>
      <c r="CZC11" s="110"/>
      <c r="CZD11" s="110"/>
      <c r="CZE11" s="110"/>
      <c r="CZF11" s="110"/>
      <c r="CZG11" s="110"/>
      <c r="CZH11" s="110"/>
      <c r="CZI11" s="110"/>
      <c r="CZJ11" s="110"/>
      <c r="CZK11" s="110"/>
      <c r="CZL11" s="110"/>
      <c r="CZM11" s="110"/>
      <c r="CZN11" s="110"/>
      <c r="CZO11" s="110"/>
      <c r="CZP11" s="110"/>
      <c r="CZQ11" s="110"/>
      <c r="CZR11" s="110"/>
      <c r="CZS11" s="110"/>
      <c r="CZT11" s="110"/>
      <c r="CZU11" s="110"/>
      <c r="CZV11" s="110"/>
      <c r="CZW11" s="110"/>
      <c r="CZX11" s="110"/>
      <c r="CZY11" s="110"/>
      <c r="CZZ11" s="110"/>
      <c r="DAA11" s="110"/>
      <c r="DAB11" s="110"/>
      <c r="DAC11" s="110"/>
      <c r="DAD11" s="110"/>
      <c r="DAE11" s="110"/>
      <c r="DAF11" s="110"/>
      <c r="DAG11" s="110"/>
      <c r="DAH11" s="110"/>
      <c r="DAI11" s="110"/>
      <c r="DAJ11" s="110"/>
      <c r="DAK11" s="110"/>
      <c r="DAL11" s="110"/>
      <c r="DAM11" s="110"/>
      <c r="DAN11" s="110"/>
      <c r="DAO11" s="110"/>
      <c r="DAP11" s="110"/>
      <c r="DAQ11" s="110"/>
      <c r="DAR11" s="110"/>
      <c r="DAS11" s="110"/>
      <c r="DAT11" s="110"/>
      <c r="DAU11" s="110"/>
      <c r="DAV11" s="110"/>
      <c r="DAW11" s="110"/>
      <c r="DAX11" s="110"/>
      <c r="DAY11" s="110"/>
      <c r="DAZ11" s="110"/>
      <c r="DBA11" s="110"/>
      <c r="DBB11" s="110"/>
      <c r="DBC11" s="110"/>
      <c r="DBD11" s="110"/>
      <c r="DBE11" s="110"/>
      <c r="DBF11" s="110"/>
      <c r="DBG11" s="110"/>
      <c r="DBH11" s="110"/>
      <c r="DBI11" s="110"/>
      <c r="DBJ11" s="110"/>
      <c r="DBK11" s="110"/>
      <c r="DBL11" s="110"/>
      <c r="DBM11" s="110"/>
      <c r="DBN11" s="110"/>
      <c r="DBO11" s="110"/>
      <c r="DBP11" s="110"/>
      <c r="DBQ11" s="110"/>
      <c r="DBR11" s="110"/>
      <c r="DBS11" s="110"/>
      <c r="DBT11" s="110"/>
      <c r="DBU11" s="110"/>
      <c r="DBV11" s="110"/>
      <c r="DBW11" s="110"/>
      <c r="DBX11" s="110"/>
      <c r="DBY11" s="110"/>
      <c r="DBZ11" s="110"/>
      <c r="DCA11" s="110"/>
      <c r="DCB11" s="110"/>
      <c r="DCC11" s="110"/>
      <c r="DCD11" s="110"/>
      <c r="DCE11" s="110"/>
      <c r="DCF11" s="110"/>
      <c r="DCG11" s="110"/>
      <c r="DCH11" s="110"/>
      <c r="DCI11" s="110"/>
      <c r="DCJ11" s="110"/>
      <c r="DCK11" s="110"/>
      <c r="DCL11" s="110"/>
      <c r="DCM11" s="110"/>
      <c r="DCN11" s="110"/>
      <c r="DCO11" s="110"/>
      <c r="DCP11" s="110"/>
      <c r="DCQ11" s="110"/>
      <c r="DCR11" s="110"/>
      <c r="DCS11" s="110"/>
      <c r="DCT11" s="110"/>
      <c r="DCU11" s="110"/>
      <c r="DCV11" s="110"/>
      <c r="DCW11" s="110"/>
      <c r="DCX11" s="110"/>
      <c r="DCY11" s="110"/>
      <c r="DCZ11" s="110"/>
      <c r="DDA11" s="110"/>
      <c r="DDB11" s="110"/>
      <c r="DDC11" s="110"/>
      <c r="DDD11" s="110"/>
      <c r="DDE11" s="110"/>
      <c r="DDF11" s="110"/>
      <c r="DDG11" s="110"/>
      <c r="DDH11" s="110"/>
      <c r="DDI11" s="110"/>
      <c r="DDJ11" s="110"/>
      <c r="DDK11" s="110"/>
      <c r="DDL11" s="110"/>
      <c r="DDM11" s="110"/>
      <c r="DDN11" s="110"/>
      <c r="DDO11" s="110"/>
      <c r="DDP11" s="110"/>
      <c r="DDQ11" s="110"/>
      <c r="DDR11" s="110"/>
      <c r="DDS11" s="110"/>
      <c r="DDT11" s="110"/>
      <c r="DDU11" s="110"/>
      <c r="DDV11" s="110"/>
      <c r="DDW11" s="110"/>
      <c r="DDX11" s="110"/>
      <c r="DDY11" s="110"/>
      <c r="DDZ11" s="110"/>
      <c r="DEA11" s="110"/>
      <c r="DEB11" s="110"/>
      <c r="DEC11" s="110"/>
      <c r="DED11" s="110"/>
      <c r="DEE11" s="110"/>
      <c r="DEF11" s="110"/>
      <c r="DEG11" s="110"/>
      <c r="DEH11" s="110"/>
      <c r="DEI11" s="110"/>
      <c r="DEJ11" s="110"/>
      <c r="DEK11" s="110"/>
      <c r="DEL11" s="110"/>
      <c r="DEM11" s="110"/>
      <c r="DEN11" s="110"/>
      <c r="DEO11" s="110"/>
      <c r="DEP11" s="110"/>
      <c r="DEQ11" s="110"/>
      <c r="DER11" s="110"/>
      <c r="DES11" s="110"/>
      <c r="DET11" s="110"/>
      <c r="DEU11" s="110"/>
      <c r="DEV11" s="110"/>
      <c r="DEW11" s="110"/>
      <c r="DEX11" s="110"/>
      <c r="DEY11" s="110"/>
      <c r="DEZ11" s="110"/>
      <c r="DFA11" s="110"/>
      <c r="DFB11" s="110"/>
      <c r="DFC11" s="110"/>
      <c r="DFD11" s="110"/>
      <c r="DFE11" s="110"/>
      <c r="DFF11" s="110"/>
      <c r="DFG11" s="110"/>
      <c r="DFH11" s="110"/>
      <c r="DFI11" s="110"/>
      <c r="DFJ11" s="110"/>
      <c r="DFK11" s="110"/>
      <c r="DFL11" s="110"/>
      <c r="DFM11" s="110"/>
      <c r="DFN11" s="110"/>
      <c r="DFO11" s="110"/>
      <c r="DFP11" s="110"/>
      <c r="DFQ11" s="110"/>
      <c r="DFR11" s="110"/>
      <c r="DFS11" s="110"/>
      <c r="DFT11" s="110"/>
      <c r="DFU11" s="110"/>
      <c r="DFV11" s="110"/>
      <c r="DFW11" s="110"/>
      <c r="DFX11" s="110"/>
      <c r="DFY11" s="110"/>
      <c r="DFZ11" s="110"/>
      <c r="DGA11" s="110"/>
      <c r="DGB11" s="110"/>
      <c r="DGC11" s="110"/>
      <c r="DGD11" s="110"/>
      <c r="DGE11" s="110"/>
      <c r="DGF11" s="110"/>
      <c r="DGG11" s="110"/>
      <c r="DGH11" s="110"/>
      <c r="DGI11" s="110"/>
      <c r="DGJ11" s="110"/>
      <c r="DGK11" s="110"/>
      <c r="DGL11" s="110"/>
      <c r="DGM11" s="110"/>
      <c r="DGN11" s="110"/>
      <c r="DGO11" s="110"/>
      <c r="DGP11" s="110"/>
      <c r="DGQ11" s="110"/>
      <c r="DGR11" s="110"/>
      <c r="DGS11" s="110"/>
      <c r="DGT11" s="110"/>
      <c r="DGU11" s="110"/>
      <c r="DGV11" s="110"/>
      <c r="DGW11" s="110"/>
      <c r="DGX11" s="110"/>
      <c r="DGY11" s="110"/>
      <c r="DGZ11" s="110"/>
      <c r="DHA11" s="110"/>
      <c r="DHB11" s="110"/>
      <c r="DHC11" s="110"/>
      <c r="DHD11" s="110"/>
      <c r="DHE11" s="110"/>
      <c r="DHF11" s="110"/>
      <c r="DHG11" s="110"/>
      <c r="DHH11" s="110"/>
      <c r="DHI11" s="110"/>
      <c r="DHJ11" s="110"/>
      <c r="DHK11" s="110"/>
      <c r="DHL11" s="110"/>
      <c r="DHM11" s="110"/>
      <c r="DHN11" s="110"/>
      <c r="DHO11" s="110"/>
      <c r="DHP11" s="110"/>
      <c r="DHQ11" s="110"/>
      <c r="DHR11" s="110"/>
      <c r="DHS11" s="110"/>
      <c r="DHT11" s="110"/>
      <c r="DHU11" s="110"/>
      <c r="DHV11" s="110"/>
      <c r="DHW11" s="110"/>
      <c r="DHX11" s="110"/>
      <c r="DHY11" s="110"/>
      <c r="DHZ11" s="110"/>
      <c r="DIA11" s="110"/>
      <c r="DIB11" s="110"/>
      <c r="DIC11" s="110"/>
      <c r="DID11" s="110"/>
      <c r="DIE11" s="110"/>
      <c r="DIF11" s="110"/>
      <c r="DIG11" s="110"/>
      <c r="DIH11" s="110"/>
      <c r="DII11" s="110"/>
      <c r="DIJ11" s="110"/>
      <c r="DIK11" s="110"/>
      <c r="DIL11" s="110"/>
      <c r="DIM11" s="110"/>
      <c r="DIN11" s="110"/>
      <c r="DIO11" s="110"/>
      <c r="DIP11" s="110"/>
      <c r="DIQ11" s="110"/>
      <c r="DIR11" s="110"/>
      <c r="DIS11" s="110"/>
      <c r="DIT11" s="110"/>
      <c r="DIU11" s="110"/>
      <c r="DIV11" s="110"/>
      <c r="DIW11" s="110"/>
      <c r="DIX11" s="110"/>
      <c r="DIY11" s="110"/>
      <c r="DIZ11" s="110"/>
      <c r="DJA11" s="110"/>
      <c r="DJB11" s="110"/>
      <c r="DJC11" s="110"/>
      <c r="DJD11" s="110"/>
      <c r="DJE11" s="110"/>
      <c r="DJF11" s="110"/>
      <c r="DJG11" s="110"/>
      <c r="DJH11" s="110"/>
      <c r="DJI11" s="110"/>
      <c r="DJJ11" s="110"/>
      <c r="DJK11" s="110"/>
      <c r="DJL11" s="110"/>
      <c r="DJM11" s="110"/>
      <c r="DJN11" s="110"/>
      <c r="DJO11" s="110"/>
      <c r="DJP11" s="110"/>
      <c r="DJQ11" s="110"/>
      <c r="DJR11" s="110"/>
      <c r="DJS11" s="110"/>
      <c r="DJT11" s="110"/>
      <c r="DJU11" s="110"/>
      <c r="DJV11" s="110"/>
      <c r="DJW11" s="110"/>
      <c r="DJX11" s="110"/>
      <c r="DJY11" s="110"/>
      <c r="DJZ11" s="110"/>
      <c r="DKA11" s="110"/>
      <c r="DKB11" s="110"/>
      <c r="DKC11" s="110"/>
      <c r="DKD11" s="110"/>
      <c r="DKE11" s="110"/>
      <c r="DKF11" s="110"/>
      <c r="DKG11" s="110"/>
      <c r="DKH11" s="110"/>
      <c r="DKI11" s="110"/>
      <c r="DKJ11" s="110"/>
      <c r="DKK11" s="110"/>
      <c r="DKL11" s="110"/>
      <c r="DKM11" s="110"/>
      <c r="DKN11" s="110"/>
      <c r="DKO11" s="110"/>
      <c r="DKP11" s="110"/>
      <c r="DKQ11" s="110"/>
      <c r="DKR11" s="110"/>
      <c r="DKS11" s="110"/>
      <c r="DKT11" s="110"/>
      <c r="DKU11" s="110"/>
      <c r="DKV11" s="110"/>
      <c r="DKW11" s="110"/>
      <c r="DKX11" s="110"/>
      <c r="DKY11" s="110"/>
      <c r="DKZ11" s="110"/>
      <c r="DLA11" s="110"/>
      <c r="DLB11" s="110"/>
      <c r="DLC11" s="110"/>
      <c r="DLD11" s="110"/>
      <c r="DLE11" s="110"/>
      <c r="DLF11" s="110"/>
      <c r="DLG11" s="110"/>
      <c r="DLH11" s="110"/>
      <c r="DLI11" s="110"/>
      <c r="DLJ11" s="110"/>
      <c r="DLK11" s="110"/>
      <c r="DLL11" s="110"/>
      <c r="DLM11" s="110"/>
      <c r="DLN11" s="110"/>
      <c r="DLO11" s="110"/>
      <c r="DLP11" s="110"/>
      <c r="DLQ11" s="110"/>
      <c r="DLR11" s="110"/>
      <c r="DLS11" s="110"/>
      <c r="DLT11" s="110"/>
      <c r="DLU11" s="110"/>
      <c r="DLV11" s="110"/>
      <c r="DLW11" s="110"/>
      <c r="DLX11" s="110"/>
      <c r="DLY11" s="110"/>
      <c r="DLZ11" s="110"/>
      <c r="DMA11" s="110"/>
      <c r="DMB11" s="110"/>
      <c r="DMC11" s="110"/>
      <c r="DMD11" s="110"/>
      <c r="DME11" s="110"/>
      <c r="DMF11" s="110"/>
      <c r="DMG11" s="110"/>
      <c r="DMH11" s="110"/>
      <c r="DMI11" s="110"/>
      <c r="DMJ11" s="110"/>
      <c r="DMK11" s="110"/>
      <c r="DML11" s="110"/>
      <c r="DMM11" s="110"/>
      <c r="DMN11" s="110"/>
      <c r="DMO11" s="110"/>
      <c r="DMP11" s="110"/>
      <c r="DMQ11" s="110"/>
      <c r="DMR11" s="110"/>
      <c r="DMS11" s="110"/>
      <c r="DMT11" s="110"/>
      <c r="DMU11" s="110"/>
      <c r="DMV11" s="110"/>
      <c r="DMW11" s="110"/>
      <c r="DMX11" s="110"/>
      <c r="DMY11" s="110"/>
      <c r="DMZ11" s="110"/>
      <c r="DNA11" s="110"/>
      <c r="DNB11" s="110"/>
      <c r="DNC11" s="110"/>
      <c r="DND11" s="110"/>
      <c r="DNE11" s="110"/>
      <c r="DNF11" s="110"/>
      <c r="DNG11" s="110"/>
      <c r="DNH11" s="110"/>
      <c r="DNI11" s="110"/>
      <c r="DNJ11" s="110"/>
      <c r="DNK11" s="110"/>
      <c r="DNL11" s="110"/>
      <c r="DNM11" s="110"/>
      <c r="DNN11" s="110"/>
      <c r="DNO11" s="110"/>
      <c r="DNP11" s="110"/>
      <c r="DNQ11" s="110"/>
      <c r="DNR11" s="110"/>
      <c r="DNS11" s="110"/>
      <c r="DNT11" s="110"/>
      <c r="DNU11" s="110"/>
      <c r="DNV11" s="110"/>
      <c r="DNW11" s="110"/>
      <c r="DNX11" s="110"/>
      <c r="DNY11" s="110"/>
      <c r="DNZ11" s="110"/>
      <c r="DOA11" s="110"/>
      <c r="DOB11" s="110"/>
      <c r="DOC11" s="110"/>
      <c r="DOD11" s="110"/>
      <c r="DOE11" s="110"/>
      <c r="DOF11" s="110"/>
      <c r="DOG11" s="110"/>
      <c r="DOH11" s="110"/>
      <c r="DOI11" s="110"/>
      <c r="DOJ11" s="110"/>
      <c r="DOK11" s="110"/>
      <c r="DOL11" s="110"/>
      <c r="DOM11" s="110"/>
      <c r="DON11" s="110"/>
      <c r="DOO11" s="110"/>
      <c r="DOP11" s="110"/>
      <c r="DOQ11" s="110"/>
      <c r="DOR11" s="110"/>
      <c r="DOS11" s="110"/>
      <c r="DOT11" s="110"/>
      <c r="DOU11" s="110"/>
      <c r="DOV11" s="110"/>
      <c r="DOW11" s="110"/>
      <c r="DOX11" s="110"/>
      <c r="DOY11" s="110"/>
      <c r="DOZ11" s="110"/>
      <c r="DPA11" s="110"/>
      <c r="DPB11" s="110"/>
      <c r="DPC11" s="110"/>
      <c r="DPD11" s="110"/>
      <c r="DPE11" s="110"/>
      <c r="DPF11" s="110"/>
      <c r="DPG11" s="110"/>
      <c r="DPH11" s="110"/>
      <c r="DPI11" s="110"/>
      <c r="DPJ11" s="110"/>
      <c r="DPK11" s="110"/>
      <c r="DPL11" s="110"/>
      <c r="DPM11" s="110"/>
      <c r="DPN11" s="110"/>
      <c r="DPO11" s="110"/>
      <c r="DPP11" s="110"/>
      <c r="DPQ11" s="110"/>
      <c r="DPR11" s="110"/>
      <c r="DPS11" s="110"/>
      <c r="DPT11" s="110"/>
      <c r="DPU11" s="110"/>
      <c r="DPV11" s="110"/>
      <c r="DPW11" s="110"/>
      <c r="DPX11" s="110"/>
      <c r="DPY11" s="110"/>
      <c r="DPZ11" s="110"/>
      <c r="DQA11" s="110"/>
      <c r="DQB11" s="110"/>
      <c r="DQC11" s="110"/>
      <c r="DQD11" s="110"/>
      <c r="DQE11" s="110"/>
      <c r="DQF11" s="110"/>
      <c r="DQG11" s="110"/>
      <c r="DQH11" s="110"/>
      <c r="DQI11" s="110"/>
      <c r="DQJ11" s="110"/>
      <c r="DQK11" s="110"/>
      <c r="DQL11" s="110"/>
      <c r="DQM11" s="110"/>
      <c r="DQN11" s="110"/>
      <c r="DQO11" s="110"/>
      <c r="DQP11" s="110"/>
      <c r="DQQ11" s="110"/>
      <c r="DQR11" s="110"/>
      <c r="DQS11" s="110"/>
      <c r="DQT11" s="110"/>
      <c r="DQU11" s="110"/>
      <c r="DQV11" s="110"/>
      <c r="DQW11" s="110"/>
      <c r="DQX11" s="110"/>
      <c r="DQY11" s="110"/>
      <c r="DQZ11" s="110"/>
      <c r="DRA11" s="110"/>
      <c r="DRB11" s="110"/>
      <c r="DRC11" s="110"/>
      <c r="DRD11" s="110"/>
      <c r="DRE11" s="110"/>
      <c r="DRF11" s="110"/>
      <c r="DRG11" s="110"/>
      <c r="DRH11" s="110"/>
      <c r="DRI11" s="110"/>
      <c r="DRJ11" s="110"/>
      <c r="DRK11" s="110"/>
      <c r="DRL11" s="110"/>
      <c r="DRM11" s="110"/>
      <c r="DRN11" s="110"/>
      <c r="DRO11" s="110"/>
      <c r="DRP11" s="110"/>
      <c r="DRQ11" s="110"/>
      <c r="DRR11" s="110"/>
      <c r="DRS11" s="110"/>
      <c r="DRT11" s="110"/>
      <c r="DRU11" s="110"/>
      <c r="DRV11" s="110"/>
      <c r="DRW11" s="110"/>
      <c r="DRX11" s="110"/>
      <c r="DRY11" s="110"/>
      <c r="DRZ11" s="110"/>
      <c r="DSA11" s="110"/>
      <c r="DSB11" s="110"/>
      <c r="DSC11" s="110"/>
      <c r="DSD11" s="110"/>
      <c r="DSE11" s="110"/>
      <c r="DSF11" s="110"/>
      <c r="DSG11" s="110"/>
      <c r="DSH11" s="110"/>
      <c r="DSI11" s="110"/>
      <c r="DSJ11" s="110"/>
      <c r="DSK11" s="110"/>
      <c r="DSL11" s="110"/>
      <c r="DSM11" s="110"/>
      <c r="DSN11" s="110"/>
      <c r="DSO11" s="110"/>
      <c r="DSP11" s="110"/>
      <c r="DSQ11" s="110"/>
      <c r="DSR11" s="110"/>
      <c r="DSS11" s="110"/>
      <c r="DST11" s="110"/>
      <c r="DSU11" s="110"/>
      <c r="DSV11" s="110"/>
      <c r="DSW11" s="110"/>
      <c r="DSX11" s="110"/>
      <c r="DSY11" s="110"/>
      <c r="DSZ11" s="110"/>
      <c r="DTA11" s="110"/>
      <c r="DTB11" s="110"/>
      <c r="DTC11" s="110"/>
      <c r="DTD11" s="110"/>
      <c r="DTE11" s="110"/>
      <c r="DTF11" s="110"/>
      <c r="DTG11" s="110"/>
      <c r="DTH11" s="110"/>
      <c r="DTI11" s="110"/>
      <c r="DTJ11" s="110"/>
      <c r="DTK11" s="110"/>
      <c r="DTL11" s="110"/>
      <c r="DTM11" s="110"/>
      <c r="DTN11" s="110"/>
      <c r="DTO11" s="110"/>
      <c r="DTP11" s="110"/>
      <c r="DTQ11" s="110"/>
      <c r="DTR11" s="110"/>
      <c r="DTS11" s="110"/>
      <c r="DTT11" s="110"/>
      <c r="DTU11" s="110"/>
      <c r="DTV11" s="110"/>
      <c r="DTW11" s="110"/>
      <c r="DTX11" s="110"/>
      <c r="DTY11" s="110"/>
      <c r="DTZ11" s="110"/>
      <c r="DUA11" s="110"/>
      <c r="DUB11" s="110"/>
      <c r="DUC11" s="110"/>
      <c r="DUD11" s="110"/>
      <c r="DUE11" s="110"/>
      <c r="DUF11" s="110"/>
      <c r="DUG11" s="110"/>
      <c r="DUH11" s="110"/>
      <c r="DUI11" s="110"/>
      <c r="DUJ11" s="110"/>
      <c r="DUK11" s="110"/>
      <c r="DUL11" s="110"/>
      <c r="DUM11" s="110"/>
      <c r="DUN11" s="110"/>
      <c r="DUO11" s="110"/>
      <c r="DUP11" s="110"/>
      <c r="DUQ11" s="110"/>
      <c r="DUR11" s="110"/>
      <c r="DUS11" s="110"/>
      <c r="DUT11" s="110"/>
      <c r="DUU11" s="110"/>
      <c r="DUV11" s="110"/>
      <c r="DUW11" s="110"/>
      <c r="DUX11" s="110"/>
      <c r="DUY11" s="110"/>
      <c r="DUZ11" s="110"/>
      <c r="DVA11" s="110"/>
      <c r="DVB11" s="110"/>
      <c r="DVC11" s="110"/>
      <c r="DVD11" s="110"/>
      <c r="DVE11" s="110"/>
      <c r="DVF11" s="110"/>
      <c r="DVG11" s="110"/>
      <c r="DVH11" s="110"/>
      <c r="DVI11" s="110"/>
      <c r="DVJ11" s="110"/>
      <c r="DVK11" s="110"/>
      <c r="DVL11" s="110"/>
      <c r="DVM11" s="110"/>
      <c r="DVN11" s="110"/>
      <c r="DVO11" s="110"/>
      <c r="DVP11" s="110"/>
      <c r="DVQ11" s="110"/>
      <c r="DVR11" s="110"/>
      <c r="DVS11" s="110"/>
      <c r="DVT11" s="110"/>
      <c r="DVU11" s="110"/>
      <c r="DVV11" s="110"/>
      <c r="DVW11" s="110"/>
      <c r="DVX11" s="110"/>
      <c r="DVY11" s="110"/>
      <c r="DVZ11" s="110"/>
      <c r="DWA11" s="110"/>
      <c r="DWB11" s="110"/>
      <c r="DWC11" s="110"/>
      <c r="DWD11" s="110"/>
      <c r="DWE11" s="110"/>
      <c r="DWF11" s="110"/>
      <c r="DWG11" s="110"/>
      <c r="DWH11" s="110"/>
      <c r="DWI11" s="110"/>
      <c r="DWJ11" s="110"/>
      <c r="DWK11" s="110"/>
      <c r="DWL11" s="110"/>
      <c r="DWM11" s="110"/>
      <c r="DWN11" s="110"/>
      <c r="DWO11" s="110"/>
      <c r="DWP11" s="110"/>
      <c r="DWQ11" s="110"/>
      <c r="DWR11" s="110"/>
      <c r="DWS11" s="110"/>
      <c r="DWT11" s="110"/>
      <c r="DWU11" s="110"/>
      <c r="DWV11" s="110"/>
      <c r="DWW11" s="110"/>
      <c r="DWX11" s="110"/>
      <c r="DWY11" s="110"/>
      <c r="DWZ11" s="110"/>
      <c r="DXA11" s="110"/>
      <c r="DXB11" s="110"/>
      <c r="DXC11" s="110"/>
      <c r="DXD11" s="110"/>
      <c r="DXE11" s="110"/>
      <c r="DXF11" s="110"/>
      <c r="DXG11" s="110"/>
      <c r="DXH11" s="110"/>
      <c r="DXI11" s="110"/>
      <c r="DXJ11" s="110"/>
      <c r="DXK11" s="110"/>
      <c r="DXL11" s="110"/>
      <c r="DXM11" s="110"/>
      <c r="DXN11" s="110"/>
      <c r="DXO11" s="110"/>
      <c r="DXP11" s="110"/>
      <c r="DXQ11" s="110"/>
      <c r="DXR11" s="110"/>
      <c r="DXS11" s="110"/>
      <c r="DXT11" s="110"/>
      <c r="DXU11" s="110"/>
      <c r="DXV11" s="110"/>
      <c r="DXW11" s="110"/>
      <c r="DXX11" s="110"/>
      <c r="DXY11" s="110"/>
      <c r="DXZ11" s="110"/>
      <c r="DYA11" s="110"/>
      <c r="DYB11" s="110"/>
      <c r="DYC11" s="110"/>
      <c r="DYD11" s="110"/>
      <c r="DYE11" s="110"/>
      <c r="DYF11" s="110"/>
      <c r="DYG11" s="110"/>
      <c r="DYH11" s="110"/>
      <c r="DYI11" s="110"/>
      <c r="DYJ11" s="110"/>
      <c r="DYK11" s="110"/>
      <c r="DYL11" s="110"/>
      <c r="DYM11" s="110"/>
      <c r="DYN11" s="110"/>
      <c r="DYO11" s="110"/>
      <c r="DYP11" s="110"/>
      <c r="DYQ11" s="110"/>
      <c r="DYR11" s="110"/>
      <c r="DYS11" s="110"/>
      <c r="DYT11" s="110"/>
      <c r="DYU11" s="110"/>
      <c r="DYV11" s="110"/>
      <c r="DYW11" s="110"/>
      <c r="DYX11" s="110"/>
      <c r="DYY11" s="110"/>
      <c r="DYZ11" s="110"/>
      <c r="DZA11" s="110"/>
      <c r="DZB11" s="110"/>
      <c r="DZC11" s="110"/>
      <c r="DZD11" s="110"/>
      <c r="DZE11" s="110"/>
      <c r="DZF11" s="110"/>
      <c r="DZG11" s="110"/>
      <c r="DZH11" s="110"/>
      <c r="DZI11" s="110"/>
      <c r="DZJ11" s="110"/>
      <c r="DZK11" s="110"/>
      <c r="DZL11" s="110"/>
      <c r="DZM11" s="110"/>
      <c r="DZN11" s="110"/>
      <c r="DZO11" s="110"/>
      <c r="DZP11" s="110"/>
      <c r="DZQ11" s="110"/>
      <c r="DZR11" s="110"/>
      <c r="DZS11" s="110"/>
      <c r="DZT11" s="110"/>
      <c r="DZU11" s="110"/>
      <c r="DZV11" s="110"/>
      <c r="DZW11" s="110"/>
      <c r="DZX11" s="110"/>
      <c r="DZY11" s="110"/>
      <c r="DZZ11" s="110"/>
      <c r="EAA11" s="110"/>
      <c r="EAB11" s="110"/>
      <c r="EAC11" s="110"/>
      <c r="EAD11" s="110"/>
      <c r="EAE11" s="110"/>
      <c r="EAF11" s="110"/>
      <c r="EAG11" s="110"/>
      <c r="EAH11" s="110"/>
      <c r="EAI11" s="110"/>
      <c r="EAJ11" s="110"/>
      <c r="EAK11" s="110"/>
      <c r="EAL11" s="110"/>
      <c r="EAM11" s="110"/>
      <c r="EAN11" s="110"/>
      <c r="EAO11" s="110"/>
      <c r="EAP11" s="110"/>
      <c r="EAQ11" s="110"/>
      <c r="EAR11" s="110"/>
      <c r="EAS11" s="110"/>
      <c r="EAT11" s="110"/>
      <c r="EAU11" s="110"/>
      <c r="EAV11" s="110"/>
      <c r="EAW11" s="110"/>
      <c r="EAX11" s="110"/>
      <c r="EAY11" s="110"/>
      <c r="EAZ11" s="110"/>
      <c r="EBA11" s="110"/>
      <c r="EBB11" s="110"/>
      <c r="EBC11" s="110"/>
      <c r="EBD11" s="110"/>
      <c r="EBE11" s="110"/>
      <c r="EBF11" s="110"/>
      <c r="EBG11" s="110"/>
      <c r="EBH11" s="110"/>
      <c r="EBI11" s="110"/>
      <c r="EBJ11" s="110"/>
      <c r="EBK11" s="110"/>
      <c r="EBL11" s="110"/>
      <c r="EBM11" s="110"/>
      <c r="EBN11" s="110"/>
      <c r="EBO11" s="110"/>
      <c r="EBP11" s="110"/>
      <c r="EBQ11" s="110"/>
      <c r="EBR11" s="110"/>
      <c r="EBS11" s="110"/>
      <c r="EBT11" s="110"/>
      <c r="EBU11" s="110"/>
      <c r="EBV11" s="110"/>
      <c r="EBW11" s="110"/>
      <c r="EBX11" s="110"/>
      <c r="EBY11" s="110"/>
      <c r="EBZ11" s="110"/>
      <c r="ECA11" s="110"/>
      <c r="ECB11" s="110"/>
      <c r="ECC11" s="110"/>
      <c r="ECD11" s="110"/>
      <c r="ECE11" s="110"/>
      <c r="ECF11" s="110"/>
      <c r="ECG11" s="110"/>
      <c r="ECH11" s="110"/>
      <c r="ECI11" s="110"/>
      <c r="ECJ11" s="110"/>
      <c r="ECK11" s="110"/>
      <c r="ECL11" s="110"/>
      <c r="ECM11" s="110"/>
      <c r="ECN11" s="110"/>
      <c r="ECO11" s="110"/>
      <c r="ECP11" s="110"/>
      <c r="ECQ11" s="110"/>
      <c r="ECR11" s="110"/>
      <c r="ECS11" s="110"/>
      <c r="ECT11" s="110"/>
      <c r="ECU11" s="110"/>
      <c r="ECV11" s="110"/>
      <c r="ECW11" s="110"/>
      <c r="ECX11" s="110"/>
      <c r="ECY11" s="110"/>
      <c r="ECZ11" s="110"/>
      <c r="EDA11" s="110"/>
      <c r="EDB11" s="110"/>
      <c r="EDC11" s="110"/>
      <c r="EDD11" s="110"/>
      <c r="EDE11" s="110"/>
      <c r="EDF11" s="110"/>
      <c r="EDG11" s="110"/>
      <c r="EDH11" s="110"/>
      <c r="EDI11" s="110"/>
      <c r="EDJ11" s="110"/>
      <c r="EDK11" s="110"/>
      <c r="EDL11" s="110"/>
      <c r="EDM11" s="110"/>
      <c r="EDN11" s="110"/>
      <c r="EDO11" s="110"/>
      <c r="EDP11" s="110"/>
      <c r="EDQ11" s="110"/>
      <c r="EDR11" s="110"/>
      <c r="EDS11" s="110"/>
      <c r="EDT11" s="110"/>
      <c r="EDU11" s="110"/>
      <c r="EDV11" s="110"/>
      <c r="EDW11" s="110"/>
      <c r="EDX11" s="110"/>
      <c r="EDY11" s="110"/>
      <c r="EDZ11" s="110"/>
      <c r="EEA11" s="110"/>
      <c r="EEB11" s="110"/>
      <c r="EEC11" s="110"/>
      <c r="EED11" s="110"/>
      <c r="EEE11" s="110"/>
      <c r="EEF11" s="110"/>
      <c r="EEG11" s="110"/>
      <c r="EEH11" s="110"/>
      <c r="EEI11" s="110"/>
      <c r="EEJ11" s="110"/>
      <c r="EEK11" s="110"/>
      <c r="EEL11" s="110"/>
      <c r="EEM11" s="110"/>
      <c r="EEN11" s="110"/>
      <c r="EEO11" s="110"/>
      <c r="EEP11" s="110"/>
      <c r="EEQ11" s="110"/>
      <c r="EER11" s="110"/>
      <c r="EES11" s="110"/>
      <c r="EET11" s="110"/>
      <c r="EEU11" s="110"/>
      <c r="EEV11" s="110"/>
      <c r="EEW11" s="110"/>
      <c r="EEX11" s="110"/>
      <c r="EEY11" s="110"/>
      <c r="EEZ11" s="110"/>
      <c r="EFA11" s="110"/>
      <c r="EFB11" s="110"/>
      <c r="EFC11" s="110"/>
      <c r="EFD11" s="110"/>
      <c r="EFE11" s="110"/>
      <c r="EFF11" s="110"/>
      <c r="EFG11" s="110"/>
      <c r="EFH11" s="110"/>
      <c r="EFI11" s="110"/>
      <c r="EFJ11" s="110"/>
      <c r="EFK11" s="110"/>
      <c r="EFL11" s="110"/>
      <c r="EFM11" s="110"/>
      <c r="EFN11" s="110"/>
      <c r="EFO11" s="110"/>
      <c r="EFP11" s="110"/>
      <c r="EFQ11" s="110"/>
      <c r="EFR11" s="110"/>
      <c r="EFS11" s="110"/>
      <c r="EFT11" s="110"/>
      <c r="EFU11" s="110"/>
      <c r="EFV11" s="110"/>
      <c r="EFW11" s="110"/>
      <c r="EFX11" s="110"/>
      <c r="EFY11" s="110"/>
      <c r="EFZ11" s="110"/>
      <c r="EGA11" s="110"/>
      <c r="EGB11" s="110"/>
      <c r="EGC11" s="110"/>
      <c r="EGD11" s="110"/>
      <c r="EGE11" s="110"/>
      <c r="EGF11" s="110"/>
      <c r="EGG11" s="110"/>
      <c r="EGH11" s="110"/>
      <c r="EGI11" s="110"/>
      <c r="EGJ11" s="110"/>
      <c r="EGK11" s="110"/>
      <c r="EGL11" s="110"/>
      <c r="EGM11" s="110"/>
      <c r="EGN11" s="110"/>
      <c r="EGO11" s="110"/>
      <c r="EGP11" s="110"/>
      <c r="EGQ11" s="110"/>
      <c r="EGR11" s="110"/>
      <c r="EGS11" s="110"/>
      <c r="EGT11" s="110"/>
      <c r="EGU11" s="110"/>
      <c r="EGV11" s="110"/>
      <c r="EGW11" s="110"/>
      <c r="EGX11" s="110"/>
      <c r="EGY11" s="110"/>
      <c r="EGZ11" s="110"/>
      <c r="EHA11" s="110"/>
      <c r="EHB11" s="110"/>
      <c r="EHC11" s="110"/>
      <c r="EHD11" s="110"/>
      <c r="EHE11" s="110"/>
      <c r="EHF11" s="110"/>
      <c r="EHG11" s="110"/>
      <c r="EHH11" s="110"/>
      <c r="EHI11" s="110"/>
      <c r="EHJ11" s="110"/>
      <c r="EHK11" s="110"/>
      <c r="EHL11" s="110"/>
      <c r="EHM11" s="110"/>
      <c r="EHN11" s="110"/>
      <c r="EHO11" s="110"/>
      <c r="EHP11" s="110"/>
      <c r="EHQ11" s="110"/>
      <c r="EHR11" s="110"/>
      <c r="EHS11" s="110"/>
      <c r="EHT11" s="110"/>
      <c r="EHU11" s="110"/>
      <c r="EHV11" s="110"/>
      <c r="EHW11" s="110"/>
      <c r="EHX11" s="110"/>
      <c r="EHY11" s="110"/>
      <c r="EHZ11" s="110"/>
      <c r="EIA11" s="110"/>
      <c r="EIB11" s="110"/>
      <c r="EIC11" s="110"/>
      <c r="EID11" s="110"/>
      <c r="EIE11" s="110"/>
      <c r="EIF11" s="110"/>
      <c r="EIG11" s="110"/>
      <c r="EIH11" s="110"/>
      <c r="EII11" s="110"/>
      <c r="EIJ11" s="110"/>
      <c r="EIK11" s="110"/>
      <c r="EIL11" s="110"/>
      <c r="EIM11" s="110"/>
      <c r="EIN11" s="110"/>
      <c r="EIO11" s="110"/>
      <c r="EIP11" s="110"/>
      <c r="EIQ11" s="110"/>
      <c r="EIR11" s="110"/>
      <c r="EIS11" s="110"/>
      <c r="EIT11" s="110"/>
      <c r="EIU11" s="110"/>
      <c r="EIV11" s="110"/>
      <c r="EIW11" s="110"/>
      <c r="EIX11" s="110"/>
      <c r="EIY11" s="110"/>
      <c r="EIZ11" s="110"/>
      <c r="EJA11" s="110"/>
      <c r="EJB11" s="110"/>
      <c r="EJC11" s="110"/>
      <c r="EJD11" s="110"/>
      <c r="EJE11" s="110"/>
      <c r="EJF11" s="110"/>
      <c r="EJG11" s="110"/>
      <c r="EJH11" s="110"/>
      <c r="EJI11" s="110"/>
      <c r="EJJ11" s="110"/>
      <c r="EJK11" s="110"/>
      <c r="EJL11" s="110"/>
      <c r="EJM11" s="110"/>
      <c r="EJN11" s="110"/>
      <c r="EJO11" s="110"/>
      <c r="EJP11" s="110"/>
      <c r="EJQ11" s="110"/>
      <c r="EJR11" s="110"/>
      <c r="EJS11" s="110"/>
      <c r="EJT11" s="110"/>
      <c r="EJU11" s="110"/>
      <c r="EJV11" s="110"/>
      <c r="EJW11" s="110"/>
      <c r="EJX11" s="110"/>
      <c r="EJY11" s="110"/>
      <c r="EJZ11" s="110"/>
      <c r="EKA11" s="110"/>
      <c r="EKB11" s="110"/>
      <c r="EKC11" s="110"/>
      <c r="EKD11" s="110"/>
      <c r="EKE11" s="110"/>
      <c r="EKF11" s="110"/>
      <c r="EKG11" s="110"/>
      <c r="EKH11" s="110"/>
      <c r="EKI11" s="110"/>
      <c r="EKJ11" s="110"/>
      <c r="EKK11" s="110"/>
      <c r="EKL11" s="110"/>
      <c r="EKM11" s="110"/>
      <c r="EKN11" s="110"/>
      <c r="EKO11" s="110"/>
      <c r="EKP11" s="110"/>
      <c r="EKQ11" s="110"/>
      <c r="EKR11" s="110"/>
      <c r="EKS11" s="110"/>
      <c r="EKT11" s="110"/>
      <c r="EKU11" s="110"/>
      <c r="EKV11" s="110"/>
      <c r="EKW11" s="110"/>
      <c r="EKX11" s="110"/>
      <c r="EKY11" s="110"/>
      <c r="EKZ11" s="110"/>
      <c r="ELA11" s="110"/>
      <c r="ELB11" s="110"/>
      <c r="ELC11" s="110"/>
      <c r="ELD11" s="110"/>
      <c r="ELE11" s="110"/>
      <c r="ELF11" s="110"/>
      <c r="ELG11" s="110"/>
      <c r="ELH11" s="110"/>
      <c r="ELI11" s="110"/>
      <c r="ELJ11" s="110"/>
      <c r="ELK11" s="110"/>
      <c r="ELL11" s="110"/>
      <c r="ELM11" s="110"/>
      <c r="ELN11" s="110"/>
      <c r="ELO11" s="110"/>
      <c r="ELP11" s="110"/>
      <c r="ELQ11" s="110"/>
      <c r="ELR11" s="110"/>
      <c r="ELS11" s="110"/>
      <c r="ELT11" s="110"/>
      <c r="ELU11" s="110"/>
      <c r="ELV11" s="110"/>
      <c r="ELW11" s="110"/>
      <c r="ELX11" s="110"/>
      <c r="ELY11" s="110"/>
      <c r="ELZ11" s="110"/>
      <c r="EMA11" s="110"/>
      <c r="EMB11" s="110"/>
      <c r="EMC11" s="110"/>
      <c r="EMD11" s="110"/>
      <c r="EME11" s="110"/>
      <c r="EMF11" s="110"/>
      <c r="EMG11" s="110"/>
      <c r="EMH11" s="110"/>
      <c r="EMI11" s="110"/>
      <c r="EMJ11" s="110"/>
      <c r="EMK11" s="110"/>
      <c r="EML11" s="110"/>
      <c r="EMM11" s="110"/>
      <c r="EMN11" s="110"/>
      <c r="EMO11" s="110"/>
      <c r="EMP11" s="110"/>
      <c r="EMQ11" s="110"/>
      <c r="EMR11" s="110"/>
      <c r="EMS11" s="110"/>
      <c r="EMT11" s="110"/>
      <c r="EMU11" s="110"/>
      <c r="EMV11" s="110"/>
      <c r="EMW11" s="110"/>
      <c r="EMX11" s="110"/>
      <c r="EMY11" s="110"/>
      <c r="EMZ11" s="110"/>
      <c r="ENA11" s="110"/>
      <c r="ENB11" s="110"/>
      <c r="ENC11" s="110"/>
      <c r="END11" s="110"/>
      <c r="ENE11" s="110"/>
      <c r="ENF11" s="110"/>
      <c r="ENG11" s="110"/>
      <c r="ENH11" s="110"/>
      <c r="ENI11" s="110"/>
      <c r="ENJ11" s="110"/>
      <c r="ENK11" s="110"/>
      <c r="ENL11" s="110"/>
      <c r="ENM11" s="110"/>
      <c r="ENN11" s="110"/>
      <c r="ENO11" s="110"/>
      <c r="ENP11" s="110"/>
      <c r="ENQ11" s="110"/>
      <c r="ENR11" s="110"/>
      <c r="ENS11" s="110"/>
      <c r="ENT11" s="110"/>
      <c r="ENU11" s="110"/>
      <c r="ENV11" s="110"/>
      <c r="ENW11" s="110"/>
      <c r="ENX11" s="110"/>
      <c r="ENY11" s="110"/>
      <c r="ENZ11" s="110"/>
      <c r="EOA11" s="110"/>
      <c r="EOB11" s="110"/>
      <c r="EOC11" s="110"/>
      <c r="EOD11" s="110"/>
      <c r="EOE11" s="110"/>
      <c r="EOF11" s="110"/>
      <c r="EOG11" s="110"/>
      <c r="EOH11" s="110"/>
      <c r="EOI11" s="110"/>
      <c r="EOJ11" s="110"/>
      <c r="EOK11" s="110"/>
      <c r="EOL11" s="110"/>
      <c r="EOM11" s="110"/>
      <c r="EON11" s="110"/>
      <c r="EOO11" s="110"/>
      <c r="EOP11" s="110"/>
      <c r="EOQ11" s="110"/>
      <c r="EOR11" s="110"/>
      <c r="EOS11" s="110"/>
      <c r="EOT11" s="110"/>
      <c r="EOU11" s="110"/>
      <c r="EOV11" s="110"/>
      <c r="EOW11" s="110"/>
      <c r="EOX11" s="110"/>
      <c r="EOY11" s="110"/>
      <c r="EOZ11" s="110"/>
      <c r="EPA11" s="110"/>
      <c r="EPB11" s="110"/>
      <c r="EPC11" s="110"/>
      <c r="EPD11" s="110"/>
      <c r="EPE11" s="110"/>
      <c r="EPF11" s="110"/>
      <c r="EPG11" s="110"/>
      <c r="EPH11" s="110"/>
      <c r="EPI11" s="110"/>
      <c r="EPJ11" s="110"/>
      <c r="EPK11" s="110"/>
      <c r="EPL11" s="110"/>
      <c r="EPM11" s="110"/>
      <c r="EPN11" s="110"/>
      <c r="EPO11" s="110"/>
      <c r="EPP11" s="110"/>
      <c r="EPQ11" s="110"/>
      <c r="EPR11" s="110"/>
      <c r="EPS11" s="110"/>
      <c r="EPT11" s="110"/>
      <c r="EPU11" s="110"/>
      <c r="EPV11" s="110"/>
      <c r="EPW11" s="110"/>
      <c r="EPX11" s="110"/>
      <c r="EPY11" s="110"/>
      <c r="EPZ11" s="110"/>
      <c r="EQA11" s="110"/>
      <c r="EQB11" s="110"/>
      <c r="EQC11" s="110"/>
      <c r="EQD11" s="110"/>
      <c r="EQE11" s="110"/>
      <c r="EQF11" s="110"/>
      <c r="EQG11" s="110"/>
      <c r="EQH11" s="110"/>
      <c r="EQI11" s="110"/>
      <c r="EQJ11" s="110"/>
      <c r="EQK11" s="110"/>
      <c r="EQL11" s="110"/>
      <c r="EQM11" s="110"/>
      <c r="EQN11" s="110"/>
      <c r="EQO11" s="110"/>
      <c r="EQP11" s="110"/>
      <c r="EQQ11" s="110"/>
      <c r="EQR11" s="110"/>
      <c r="EQS11" s="110"/>
      <c r="EQT11" s="110"/>
      <c r="EQU11" s="110"/>
      <c r="EQV11" s="110"/>
      <c r="EQW11" s="110"/>
      <c r="EQX11" s="110"/>
      <c r="EQY11" s="110"/>
      <c r="EQZ11" s="110"/>
      <c r="ERA11" s="110"/>
      <c r="ERB11" s="110"/>
      <c r="ERC11" s="110"/>
      <c r="ERD11" s="110"/>
      <c r="ERE11" s="110"/>
      <c r="ERF11" s="110"/>
      <c r="ERG11" s="110"/>
      <c r="ERH11" s="110"/>
      <c r="ERI11" s="110"/>
      <c r="ERJ11" s="110"/>
      <c r="ERK11" s="110"/>
      <c r="ERL11" s="110"/>
      <c r="ERM11" s="110"/>
      <c r="ERN11" s="110"/>
      <c r="ERO11" s="110"/>
      <c r="ERP11" s="110"/>
      <c r="ERQ11" s="110"/>
      <c r="ERR11" s="110"/>
      <c r="ERS11" s="110"/>
      <c r="ERT11" s="110"/>
      <c r="ERU11" s="110"/>
      <c r="ERV11" s="110"/>
      <c r="ERW11" s="110"/>
      <c r="ERX11" s="110"/>
      <c r="ERY11" s="110"/>
      <c r="ERZ11" s="110"/>
      <c r="ESA11" s="110"/>
      <c r="ESB11" s="110"/>
      <c r="ESC11" s="110"/>
      <c r="ESD11" s="110"/>
      <c r="ESE11" s="110"/>
      <c r="ESF11" s="110"/>
      <c r="ESG11" s="110"/>
      <c r="ESH11" s="110"/>
      <c r="ESI11" s="110"/>
      <c r="ESJ11" s="110"/>
      <c r="ESK11" s="110"/>
      <c r="ESL11" s="110"/>
      <c r="ESM11" s="110"/>
      <c r="ESN11" s="110"/>
      <c r="ESO11" s="110"/>
      <c r="ESP11" s="110"/>
      <c r="ESQ11" s="110"/>
      <c r="ESR11" s="110"/>
      <c r="ESS11" s="110"/>
      <c r="EST11" s="110"/>
      <c r="ESU11" s="110"/>
      <c r="ESV11" s="110"/>
      <c r="ESW11" s="110"/>
      <c r="ESX11" s="110"/>
      <c r="ESY11" s="110"/>
      <c r="ESZ11" s="110"/>
      <c r="ETA11" s="110"/>
      <c r="ETB11" s="110"/>
      <c r="ETC11" s="110"/>
      <c r="ETD11" s="110"/>
      <c r="ETE11" s="110"/>
      <c r="ETF11" s="110"/>
      <c r="ETG11" s="110"/>
      <c r="ETH11" s="110"/>
      <c r="ETI11" s="110"/>
      <c r="ETJ11" s="110"/>
      <c r="ETK11" s="110"/>
      <c r="ETL11" s="110"/>
      <c r="ETM11" s="110"/>
      <c r="ETN11" s="110"/>
      <c r="ETO11" s="110"/>
      <c r="ETP11" s="110"/>
      <c r="ETQ11" s="110"/>
      <c r="ETR11" s="110"/>
      <c r="ETS11" s="110"/>
      <c r="ETT11" s="110"/>
      <c r="ETU11" s="110"/>
      <c r="ETV11" s="110"/>
      <c r="ETW11" s="110"/>
      <c r="ETX11" s="110"/>
      <c r="ETY11" s="110"/>
      <c r="ETZ11" s="110"/>
      <c r="EUA11" s="110"/>
      <c r="EUB11" s="110"/>
      <c r="EUC11" s="110"/>
      <c r="EUD11" s="110"/>
      <c r="EUE11" s="110"/>
      <c r="EUF11" s="110"/>
      <c r="EUG11" s="110"/>
      <c r="EUH11" s="110"/>
      <c r="EUI11" s="110"/>
      <c r="EUJ11" s="110"/>
      <c r="EUK11" s="110"/>
      <c r="EUL11" s="110"/>
      <c r="EUM11" s="110"/>
      <c r="EUN11" s="110"/>
      <c r="EUO11" s="110"/>
      <c r="EUP11" s="110"/>
      <c r="EUQ11" s="110"/>
      <c r="EUR11" s="110"/>
      <c r="EUS11" s="110"/>
      <c r="EUT11" s="110"/>
      <c r="EUU11" s="110"/>
      <c r="EUV11" s="110"/>
      <c r="EUW11" s="110"/>
      <c r="EUX11" s="110"/>
      <c r="EUY11" s="110"/>
      <c r="EUZ11" s="110"/>
      <c r="EVA11" s="110"/>
      <c r="EVB11" s="110"/>
      <c r="EVC11" s="110"/>
      <c r="EVD11" s="110"/>
      <c r="EVE11" s="110"/>
      <c r="EVF11" s="110"/>
      <c r="EVG11" s="110"/>
      <c r="EVH11" s="110"/>
      <c r="EVI11" s="110"/>
      <c r="EVJ11" s="110"/>
      <c r="EVK11" s="110"/>
      <c r="EVL11" s="110"/>
      <c r="EVM11" s="110"/>
      <c r="EVN11" s="110"/>
      <c r="EVO11" s="110"/>
      <c r="EVP11" s="110"/>
      <c r="EVQ11" s="110"/>
      <c r="EVR11" s="110"/>
      <c r="EVS11" s="110"/>
      <c r="EVT11" s="110"/>
      <c r="EVU11" s="110"/>
      <c r="EVV11" s="110"/>
      <c r="EVW11" s="110"/>
      <c r="EVX11" s="110"/>
      <c r="EVY11" s="110"/>
      <c r="EVZ11" s="110"/>
      <c r="EWA11" s="110"/>
      <c r="EWB11" s="110"/>
      <c r="EWC11" s="110"/>
      <c r="EWD11" s="110"/>
      <c r="EWE11" s="110"/>
      <c r="EWF11" s="110"/>
      <c r="EWG11" s="110"/>
      <c r="EWH11" s="110"/>
      <c r="EWI11" s="110"/>
      <c r="EWJ11" s="110"/>
      <c r="EWK11" s="110"/>
      <c r="EWL11" s="110"/>
      <c r="EWM11" s="110"/>
      <c r="EWN11" s="110"/>
      <c r="EWO11" s="110"/>
      <c r="EWP11" s="110"/>
      <c r="EWQ11" s="110"/>
      <c r="EWR11" s="110"/>
      <c r="EWS11" s="110"/>
      <c r="EWT11" s="110"/>
      <c r="EWU11" s="110"/>
      <c r="EWV11" s="110"/>
      <c r="EWW11" s="110"/>
      <c r="EWX11" s="110"/>
      <c r="EWY11" s="110"/>
      <c r="EWZ11" s="110"/>
      <c r="EXA11" s="110"/>
      <c r="EXB11" s="110"/>
      <c r="EXC11" s="110"/>
      <c r="EXD11" s="110"/>
      <c r="EXE11" s="110"/>
      <c r="EXF11" s="110"/>
      <c r="EXG11" s="110"/>
      <c r="EXH11" s="110"/>
      <c r="EXI11" s="110"/>
      <c r="EXJ11" s="110"/>
      <c r="EXK11" s="110"/>
      <c r="EXL11" s="110"/>
      <c r="EXM11" s="110"/>
      <c r="EXN11" s="110"/>
      <c r="EXO11" s="110"/>
      <c r="EXP11" s="110"/>
      <c r="EXQ11" s="110"/>
      <c r="EXR11" s="110"/>
      <c r="EXS11" s="110"/>
      <c r="EXT11" s="110"/>
      <c r="EXU11" s="110"/>
      <c r="EXV11" s="110"/>
      <c r="EXW11" s="110"/>
      <c r="EXX11" s="110"/>
      <c r="EXY11" s="110"/>
      <c r="EXZ11" s="110"/>
      <c r="EYA11" s="110"/>
      <c r="EYB11" s="110"/>
      <c r="EYC11" s="110"/>
      <c r="EYD11" s="110"/>
      <c r="EYE11" s="110"/>
      <c r="EYF11" s="110"/>
      <c r="EYG11" s="110"/>
      <c r="EYH11" s="110"/>
      <c r="EYI11" s="110"/>
      <c r="EYJ11" s="110"/>
      <c r="EYK11" s="110"/>
      <c r="EYL11" s="110"/>
      <c r="EYM11" s="110"/>
      <c r="EYN11" s="110"/>
      <c r="EYO11" s="110"/>
      <c r="EYP11" s="110"/>
      <c r="EYQ11" s="110"/>
      <c r="EYR11" s="110"/>
      <c r="EYS11" s="110"/>
      <c r="EYT11" s="110"/>
      <c r="EYU11" s="110"/>
      <c r="EYV11" s="110"/>
      <c r="EYW11" s="110"/>
      <c r="EYX11" s="110"/>
      <c r="EYY11" s="110"/>
      <c r="EYZ11" s="110"/>
      <c r="EZA11" s="110"/>
      <c r="EZB11" s="110"/>
      <c r="EZC11" s="110"/>
      <c r="EZD11" s="110"/>
      <c r="EZE11" s="110"/>
      <c r="EZF11" s="110"/>
      <c r="EZG11" s="110"/>
      <c r="EZH11" s="110"/>
      <c r="EZI11" s="110"/>
      <c r="EZJ11" s="110"/>
      <c r="EZK11" s="110"/>
      <c r="EZL11" s="110"/>
      <c r="EZM11" s="110"/>
      <c r="EZN11" s="110"/>
      <c r="EZO11" s="110"/>
      <c r="EZP11" s="110"/>
      <c r="EZQ11" s="110"/>
      <c r="EZR11" s="110"/>
      <c r="EZS11" s="110"/>
      <c r="EZT11" s="110"/>
      <c r="EZU11" s="110"/>
      <c r="EZV11" s="110"/>
      <c r="EZW11" s="110"/>
      <c r="EZX11" s="110"/>
      <c r="EZY11" s="110"/>
      <c r="EZZ11" s="110"/>
      <c r="FAA11" s="110"/>
      <c r="FAB11" s="110"/>
      <c r="FAC11" s="110"/>
      <c r="FAD11" s="110"/>
      <c r="FAE11" s="110"/>
      <c r="FAF11" s="110"/>
      <c r="FAG11" s="110"/>
      <c r="FAH11" s="110"/>
      <c r="FAI11" s="110"/>
      <c r="FAJ11" s="110"/>
      <c r="FAK11" s="110"/>
      <c r="FAL11" s="110"/>
      <c r="FAM11" s="110"/>
      <c r="FAN11" s="110"/>
      <c r="FAO11" s="110"/>
      <c r="FAP11" s="110"/>
      <c r="FAQ11" s="110"/>
      <c r="FAR11" s="110"/>
      <c r="FAS11" s="110"/>
      <c r="FAT11" s="110"/>
      <c r="FAU11" s="110"/>
      <c r="FAV11" s="110"/>
      <c r="FAW11" s="110"/>
      <c r="FAX11" s="110"/>
      <c r="FAY11" s="110"/>
      <c r="FAZ11" s="110"/>
      <c r="FBA11" s="110"/>
      <c r="FBB11" s="110"/>
      <c r="FBC11" s="110"/>
      <c r="FBD11" s="110"/>
      <c r="FBE11" s="110"/>
      <c r="FBF11" s="110"/>
      <c r="FBG11" s="110"/>
      <c r="FBH11" s="110"/>
      <c r="FBI11" s="110"/>
      <c r="FBJ11" s="110"/>
      <c r="FBK11" s="110"/>
      <c r="FBL11" s="110"/>
      <c r="FBM11" s="110"/>
      <c r="FBN11" s="110"/>
      <c r="FBO11" s="110"/>
      <c r="FBP11" s="110"/>
      <c r="FBQ11" s="110"/>
      <c r="FBR11" s="110"/>
      <c r="FBS11" s="110"/>
      <c r="FBT11" s="110"/>
      <c r="FBU11" s="110"/>
      <c r="FBV11" s="110"/>
      <c r="FBW11" s="110"/>
      <c r="FBX11" s="110"/>
      <c r="FBY11" s="110"/>
      <c r="FBZ11" s="110"/>
      <c r="FCA11" s="110"/>
      <c r="FCB11" s="110"/>
      <c r="FCC11" s="110"/>
      <c r="FCD11" s="110"/>
      <c r="FCE11" s="110"/>
      <c r="FCF11" s="110"/>
      <c r="FCG11" s="110"/>
      <c r="FCH11" s="110"/>
      <c r="FCI11" s="110"/>
      <c r="FCJ11" s="110"/>
      <c r="FCK11" s="110"/>
      <c r="FCL11" s="110"/>
      <c r="FCM11" s="110"/>
      <c r="FCN11" s="110"/>
      <c r="FCO11" s="110"/>
      <c r="FCP11" s="110"/>
      <c r="FCQ11" s="110"/>
      <c r="FCR11" s="110"/>
      <c r="FCS11" s="110"/>
      <c r="FCT11" s="110"/>
      <c r="FCU11" s="110"/>
      <c r="FCV11" s="110"/>
      <c r="FCW11" s="110"/>
      <c r="FCX11" s="110"/>
      <c r="FCY11" s="110"/>
      <c r="FCZ11" s="110"/>
      <c r="FDA11" s="110"/>
      <c r="FDB11" s="110"/>
      <c r="FDC11" s="110"/>
      <c r="FDD11" s="110"/>
      <c r="FDE11" s="110"/>
      <c r="FDF11" s="110"/>
      <c r="FDG11" s="110"/>
      <c r="FDH11" s="110"/>
      <c r="FDI11" s="110"/>
      <c r="FDJ11" s="110"/>
      <c r="FDK11" s="110"/>
      <c r="FDL11" s="110"/>
      <c r="FDM11" s="110"/>
      <c r="FDN11" s="110"/>
      <c r="FDO11" s="110"/>
      <c r="FDP11" s="110"/>
      <c r="FDQ11" s="110"/>
      <c r="FDR11" s="110"/>
      <c r="FDS11" s="110"/>
      <c r="FDT11" s="110"/>
      <c r="FDU11" s="110"/>
      <c r="FDV11" s="110"/>
      <c r="FDW11" s="110"/>
      <c r="FDX11" s="110"/>
      <c r="FDY11" s="110"/>
      <c r="FDZ11" s="110"/>
      <c r="FEA11" s="110"/>
      <c r="FEB11" s="110"/>
      <c r="FEC11" s="110"/>
      <c r="FED11" s="110"/>
      <c r="FEE11" s="110"/>
      <c r="FEF11" s="110"/>
      <c r="FEG11" s="110"/>
      <c r="FEH11" s="110"/>
      <c r="FEI11" s="110"/>
      <c r="FEJ11" s="110"/>
      <c r="FEK11" s="110"/>
      <c r="FEL11" s="110"/>
      <c r="FEM11" s="110"/>
      <c r="FEN11" s="110"/>
      <c r="FEO11" s="110"/>
      <c r="FEP11" s="110"/>
      <c r="FEQ11" s="110"/>
      <c r="FER11" s="110"/>
      <c r="FES11" s="110"/>
      <c r="FET11" s="110"/>
      <c r="FEU11" s="110"/>
      <c r="FEV11" s="110"/>
      <c r="FEW11" s="110"/>
      <c r="FEX11" s="110"/>
      <c r="FEY11" s="110"/>
      <c r="FEZ11" s="110"/>
      <c r="FFA11" s="110"/>
      <c r="FFB11" s="110"/>
      <c r="FFC11" s="110"/>
      <c r="FFD11" s="110"/>
      <c r="FFE11" s="110"/>
      <c r="FFF11" s="110"/>
      <c r="FFG11" s="110"/>
      <c r="FFH11" s="110"/>
      <c r="FFI11" s="110"/>
      <c r="FFJ11" s="110"/>
      <c r="FFK11" s="110"/>
      <c r="FFL11" s="110"/>
      <c r="FFM11" s="110"/>
      <c r="FFN11" s="110"/>
      <c r="FFO11" s="110"/>
      <c r="FFP11" s="110"/>
      <c r="FFQ11" s="110"/>
      <c r="FFR11" s="110"/>
      <c r="FFS11" s="110"/>
      <c r="FFT11" s="110"/>
      <c r="FFU11" s="110"/>
      <c r="FFV11" s="110"/>
      <c r="FFW11" s="110"/>
      <c r="FFX11" s="110"/>
      <c r="FFY11" s="110"/>
      <c r="FFZ11" s="110"/>
      <c r="FGA11" s="110"/>
      <c r="FGB11" s="110"/>
      <c r="FGC11" s="110"/>
      <c r="FGD11" s="110"/>
      <c r="FGE11" s="110"/>
      <c r="FGF11" s="110"/>
      <c r="FGG11" s="110"/>
      <c r="FGH11" s="110"/>
      <c r="FGI11" s="110"/>
      <c r="FGJ11" s="110"/>
      <c r="FGK11" s="110"/>
      <c r="FGL11" s="110"/>
      <c r="FGM11" s="110"/>
      <c r="FGN11" s="110"/>
      <c r="FGO11" s="110"/>
      <c r="FGP11" s="110"/>
      <c r="FGQ11" s="110"/>
      <c r="FGR11" s="110"/>
      <c r="FGS11" s="110"/>
      <c r="FGT11" s="110"/>
      <c r="FGU11" s="110"/>
      <c r="FGV11" s="110"/>
      <c r="FGW11" s="110"/>
      <c r="FGX11" s="110"/>
      <c r="FGY11" s="110"/>
      <c r="FGZ11" s="110"/>
      <c r="FHA11" s="110"/>
      <c r="FHB11" s="110"/>
      <c r="FHC11" s="110"/>
      <c r="FHD11" s="110"/>
      <c r="FHE11" s="110"/>
      <c r="FHF11" s="110"/>
      <c r="FHG11" s="110"/>
      <c r="FHH11" s="110"/>
      <c r="FHI11" s="110"/>
      <c r="FHJ11" s="110"/>
      <c r="FHK11" s="110"/>
      <c r="FHL11" s="110"/>
      <c r="FHM11" s="110"/>
      <c r="FHN11" s="110"/>
      <c r="FHO11" s="110"/>
      <c r="FHP11" s="110"/>
      <c r="FHQ11" s="110"/>
      <c r="FHR11" s="110"/>
      <c r="FHS11" s="110"/>
      <c r="FHT11" s="110"/>
      <c r="FHU11" s="110"/>
      <c r="FHV11" s="110"/>
      <c r="FHW11" s="110"/>
      <c r="FHX11" s="110"/>
      <c r="FHY11" s="110"/>
      <c r="FHZ11" s="110"/>
      <c r="FIA11" s="110"/>
      <c r="FIB11" s="110"/>
      <c r="FIC11" s="110"/>
      <c r="FID11" s="110"/>
      <c r="FIE11" s="110"/>
      <c r="FIF11" s="110"/>
      <c r="FIG11" s="110"/>
      <c r="FIH11" s="110"/>
      <c r="FII11" s="110"/>
      <c r="FIJ11" s="110"/>
      <c r="FIK11" s="110"/>
      <c r="FIL11" s="110"/>
      <c r="FIM11" s="110"/>
      <c r="FIN11" s="110"/>
      <c r="FIO11" s="110"/>
      <c r="FIP11" s="110"/>
      <c r="FIQ11" s="110"/>
      <c r="FIR11" s="110"/>
      <c r="FIS11" s="110"/>
      <c r="FIT11" s="110"/>
      <c r="FIU11" s="110"/>
      <c r="FIV11" s="110"/>
      <c r="FIW11" s="110"/>
      <c r="FIX11" s="110"/>
      <c r="FIY11" s="110"/>
      <c r="FIZ11" s="110"/>
      <c r="FJA11" s="110"/>
      <c r="FJB11" s="110"/>
      <c r="FJC11" s="110"/>
      <c r="FJD11" s="110"/>
      <c r="FJE11" s="110"/>
      <c r="FJF11" s="110"/>
      <c r="FJG11" s="110"/>
      <c r="FJH11" s="110"/>
      <c r="FJI11" s="110"/>
      <c r="FJJ11" s="110"/>
      <c r="FJK11" s="110"/>
      <c r="FJL11" s="110"/>
      <c r="FJM11" s="110"/>
      <c r="FJN11" s="110"/>
      <c r="FJO11" s="110"/>
      <c r="FJP11" s="110"/>
      <c r="FJQ11" s="110"/>
      <c r="FJR11" s="110"/>
      <c r="FJS11" s="110"/>
      <c r="FJT11" s="110"/>
      <c r="FJU11" s="110"/>
      <c r="FJV11" s="110"/>
      <c r="FJW11" s="110"/>
      <c r="FJX11" s="110"/>
      <c r="FJY11" s="110"/>
      <c r="FJZ11" s="110"/>
      <c r="FKA11" s="110"/>
      <c r="FKB11" s="110"/>
      <c r="FKC11" s="110"/>
      <c r="FKD11" s="110"/>
      <c r="FKE11" s="110"/>
      <c r="FKF11" s="110"/>
      <c r="FKG11" s="110"/>
      <c r="FKH11" s="110"/>
      <c r="FKI11" s="110"/>
      <c r="FKJ11" s="110"/>
      <c r="FKK11" s="110"/>
      <c r="FKL11" s="110"/>
      <c r="FKM11" s="110"/>
      <c r="FKN11" s="110"/>
      <c r="FKO11" s="110"/>
      <c r="FKP11" s="110"/>
      <c r="FKQ11" s="110"/>
      <c r="FKR11" s="110"/>
      <c r="FKS11" s="110"/>
      <c r="FKT11" s="110"/>
      <c r="FKU11" s="110"/>
      <c r="FKV11" s="110"/>
      <c r="FKW11" s="110"/>
      <c r="FKX11" s="110"/>
      <c r="FKY11" s="110"/>
      <c r="FKZ11" s="110"/>
      <c r="FLA11" s="110"/>
      <c r="FLB11" s="110"/>
      <c r="FLC11" s="110"/>
      <c r="FLD11" s="110"/>
      <c r="FLE11" s="110"/>
      <c r="FLF11" s="110"/>
      <c r="FLG11" s="110"/>
      <c r="FLH11" s="110"/>
      <c r="FLI11" s="110"/>
      <c r="FLJ11" s="110"/>
      <c r="FLK11" s="110"/>
      <c r="FLL11" s="110"/>
      <c r="FLM11" s="110"/>
      <c r="FLN11" s="110"/>
      <c r="FLO11" s="110"/>
      <c r="FLP11" s="110"/>
      <c r="FLQ11" s="110"/>
      <c r="FLR11" s="110"/>
      <c r="FLS11" s="110"/>
      <c r="FLT11" s="110"/>
      <c r="FLU11" s="110"/>
      <c r="FLV11" s="110"/>
      <c r="FLW11" s="110"/>
      <c r="FLX11" s="110"/>
      <c r="FLY11" s="110"/>
      <c r="FLZ11" s="110"/>
      <c r="FMA11" s="110"/>
      <c r="FMB11" s="110"/>
      <c r="FMC11" s="110"/>
      <c r="FMD11" s="110"/>
      <c r="FME11" s="110"/>
      <c r="FMF11" s="110"/>
      <c r="FMG11" s="110"/>
      <c r="FMH11" s="110"/>
      <c r="FMI11" s="110"/>
      <c r="FMJ11" s="110"/>
      <c r="FMK11" s="110"/>
      <c r="FML11" s="110"/>
      <c r="FMM11" s="110"/>
      <c r="FMN11" s="110"/>
      <c r="FMO11" s="110"/>
      <c r="FMP11" s="110"/>
      <c r="FMQ11" s="110"/>
      <c r="FMR11" s="110"/>
      <c r="FMS11" s="110"/>
      <c r="FMT11" s="110"/>
      <c r="FMU11" s="110"/>
      <c r="FMV11" s="110"/>
      <c r="FMW11" s="110"/>
      <c r="FMX11" s="110"/>
      <c r="FMY11" s="110"/>
      <c r="FMZ11" s="110"/>
      <c r="FNA11" s="110"/>
      <c r="FNB11" s="110"/>
      <c r="FNC11" s="110"/>
      <c r="FND11" s="110"/>
      <c r="FNE11" s="110"/>
      <c r="FNF11" s="110"/>
      <c r="FNG11" s="110"/>
      <c r="FNH11" s="110"/>
      <c r="FNI11" s="110"/>
      <c r="FNJ11" s="110"/>
      <c r="FNK11" s="110"/>
      <c r="FNL11" s="110"/>
      <c r="FNM11" s="110"/>
      <c r="FNN11" s="110"/>
      <c r="FNO11" s="110"/>
      <c r="FNP11" s="110"/>
      <c r="FNQ11" s="110"/>
      <c r="FNR11" s="110"/>
      <c r="FNS11" s="110"/>
      <c r="FNT11" s="110"/>
      <c r="FNU11" s="110"/>
      <c r="FNV11" s="110"/>
      <c r="FNW11" s="110"/>
      <c r="FNX11" s="110"/>
      <c r="FNY11" s="110"/>
      <c r="FNZ11" s="110"/>
      <c r="FOA11" s="110"/>
      <c r="FOB11" s="110"/>
      <c r="FOC11" s="110"/>
      <c r="FOD11" s="110"/>
      <c r="FOE11" s="110"/>
      <c r="FOF11" s="110"/>
      <c r="FOG11" s="110"/>
      <c r="FOH11" s="110"/>
      <c r="FOI11" s="110"/>
      <c r="FOJ11" s="110"/>
      <c r="FOK11" s="110"/>
      <c r="FOL11" s="110"/>
      <c r="FOM11" s="110"/>
      <c r="FON11" s="110"/>
      <c r="FOO11" s="110"/>
      <c r="FOP11" s="110"/>
      <c r="FOQ11" s="110"/>
      <c r="FOR11" s="110"/>
      <c r="FOS11" s="110"/>
      <c r="FOT11" s="110"/>
      <c r="FOU11" s="110"/>
      <c r="FOV11" s="110"/>
      <c r="FOW11" s="110"/>
      <c r="FOX11" s="110"/>
      <c r="FOY11" s="110"/>
      <c r="FOZ11" s="110"/>
      <c r="FPA11" s="110"/>
      <c r="FPB11" s="110"/>
      <c r="FPC11" s="110"/>
      <c r="FPD11" s="110"/>
      <c r="FPE11" s="110"/>
      <c r="FPF11" s="110"/>
      <c r="FPG11" s="110"/>
      <c r="FPH11" s="110"/>
      <c r="FPI11" s="110"/>
      <c r="FPJ11" s="110"/>
      <c r="FPK11" s="110"/>
      <c r="FPL11" s="110"/>
      <c r="FPM11" s="110"/>
      <c r="FPN11" s="110"/>
      <c r="FPO11" s="110"/>
      <c r="FPP11" s="110"/>
      <c r="FPQ11" s="110"/>
      <c r="FPR11" s="110"/>
      <c r="FPS11" s="110"/>
      <c r="FPT11" s="110"/>
      <c r="FPU11" s="110"/>
      <c r="FPV11" s="110"/>
      <c r="FPW11" s="110"/>
      <c r="FPX11" s="110"/>
      <c r="FPY11" s="110"/>
      <c r="FPZ11" s="110"/>
      <c r="FQA11" s="110"/>
      <c r="FQB11" s="110"/>
      <c r="FQC11" s="110"/>
      <c r="FQD11" s="110"/>
      <c r="FQE11" s="110"/>
      <c r="FQF11" s="110"/>
      <c r="FQG11" s="110"/>
      <c r="FQH11" s="110"/>
      <c r="FQI11" s="110"/>
      <c r="FQJ11" s="110"/>
      <c r="FQK11" s="110"/>
      <c r="FQL11" s="110"/>
      <c r="FQM11" s="110"/>
      <c r="FQN11" s="110"/>
      <c r="FQO11" s="110"/>
      <c r="FQP11" s="110"/>
      <c r="FQQ11" s="110"/>
      <c r="FQR11" s="110"/>
      <c r="FQS11" s="110"/>
      <c r="FQT11" s="110"/>
      <c r="FQU11" s="110"/>
      <c r="FQV11" s="110"/>
      <c r="FQW11" s="110"/>
      <c r="FQX11" s="110"/>
      <c r="FQY11" s="110"/>
      <c r="FQZ11" s="110"/>
      <c r="FRA11" s="110"/>
      <c r="FRB11" s="110"/>
      <c r="FRC11" s="110"/>
      <c r="FRD11" s="110"/>
      <c r="FRE11" s="110"/>
      <c r="FRF11" s="110"/>
      <c r="FRG11" s="110"/>
      <c r="FRH11" s="110"/>
      <c r="FRI11" s="110"/>
      <c r="FRJ11" s="110"/>
      <c r="FRK11" s="110"/>
      <c r="FRL11" s="110"/>
      <c r="FRM11" s="110"/>
      <c r="FRN11" s="110"/>
      <c r="FRO11" s="110"/>
      <c r="FRP11" s="110"/>
      <c r="FRQ11" s="110"/>
      <c r="FRR11" s="110"/>
      <c r="FRS11" s="110"/>
      <c r="FRT11" s="110"/>
      <c r="FRU11" s="110"/>
      <c r="FRV11" s="110"/>
      <c r="FRW11" s="110"/>
      <c r="FRX11" s="110"/>
      <c r="FRY11" s="110"/>
      <c r="FRZ11" s="110"/>
      <c r="FSA11" s="110"/>
      <c r="FSB11" s="110"/>
      <c r="FSC11" s="110"/>
      <c r="FSD11" s="110"/>
      <c r="FSE11" s="110"/>
      <c r="FSF11" s="110"/>
      <c r="FSG11" s="110"/>
      <c r="FSH11" s="110"/>
      <c r="FSI11" s="110"/>
      <c r="FSJ11" s="110"/>
      <c r="FSK11" s="110"/>
      <c r="FSL11" s="110"/>
      <c r="FSM11" s="110"/>
      <c r="FSN11" s="110"/>
      <c r="FSO11" s="110"/>
      <c r="FSP11" s="110"/>
      <c r="FSQ11" s="110"/>
      <c r="FSR11" s="110"/>
      <c r="FSS11" s="110"/>
      <c r="FST11" s="110"/>
      <c r="FSU11" s="110"/>
      <c r="FSV11" s="110"/>
      <c r="FSW11" s="110"/>
      <c r="FSX11" s="110"/>
      <c r="FSY11" s="110"/>
      <c r="FSZ11" s="110"/>
      <c r="FTA11" s="110"/>
      <c r="FTB11" s="110"/>
      <c r="FTC11" s="110"/>
      <c r="FTD11" s="110"/>
      <c r="FTE11" s="110"/>
      <c r="FTF11" s="110"/>
      <c r="FTG11" s="110"/>
      <c r="FTH11" s="110"/>
      <c r="FTI11" s="110"/>
      <c r="FTJ11" s="110"/>
      <c r="FTK11" s="110"/>
      <c r="FTL11" s="110"/>
      <c r="FTM11" s="110"/>
      <c r="FTN11" s="110"/>
      <c r="FTO11" s="110"/>
      <c r="FTP11" s="110"/>
      <c r="FTQ11" s="110"/>
      <c r="FTR11" s="110"/>
      <c r="FTS11" s="110"/>
      <c r="FTT11" s="110"/>
      <c r="FTU11" s="110"/>
      <c r="FTV11" s="110"/>
      <c r="FTW11" s="110"/>
      <c r="FTX11" s="110"/>
      <c r="FTY11" s="110"/>
      <c r="FTZ11" s="110"/>
      <c r="FUA11" s="110"/>
      <c r="FUB11" s="110"/>
      <c r="FUC11" s="110"/>
      <c r="FUD11" s="110"/>
      <c r="FUE11" s="110"/>
      <c r="FUF11" s="110"/>
      <c r="FUG11" s="110"/>
      <c r="FUH11" s="110"/>
      <c r="FUI11" s="110"/>
      <c r="FUJ11" s="110"/>
      <c r="FUK11" s="110"/>
      <c r="FUL11" s="110"/>
      <c r="FUM11" s="110"/>
      <c r="FUN11" s="110"/>
      <c r="FUO11" s="110"/>
      <c r="FUP11" s="110"/>
      <c r="FUQ11" s="110"/>
      <c r="FUR11" s="110"/>
      <c r="FUS11" s="110"/>
      <c r="FUT11" s="110"/>
      <c r="FUU11" s="110"/>
      <c r="FUV11" s="110"/>
      <c r="FUW11" s="110"/>
      <c r="FUX11" s="110"/>
      <c r="FUY11" s="110"/>
      <c r="FUZ11" s="110"/>
      <c r="FVA11" s="110"/>
      <c r="FVB11" s="110"/>
      <c r="FVC11" s="110"/>
      <c r="FVD11" s="110"/>
      <c r="FVE11" s="110"/>
      <c r="FVF11" s="110"/>
      <c r="FVG11" s="110"/>
      <c r="FVH11" s="110"/>
      <c r="FVI11" s="110"/>
      <c r="FVJ11" s="110"/>
      <c r="FVK11" s="110"/>
      <c r="FVL11" s="110"/>
      <c r="FVM11" s="110"/>
      <c r="FVN11" s="110"/>
      <c r="FVO11" s="110"/>
      <c r="FVP11" s="110"/>
      <c r="FVQ11" s="110"/>
      <c r="FVR11" s="110"/>
      <c r="FVS11" s="110"/>
      <c r="FVT11" s="110"/>
      <c r="FVU11" s="110"/>
      <c r="FVV11" s="110"/>
      <c r="FVW11" s="110"/>
      <c r="FVX11" s="110"/>
      <c r="FVY11" s="110"/>
      <c r="FVZ11" s="110"/>
      <c r="FWA11" s="110"/>
      <c r="FWB11" s="110"/>
      <c r="FWC11" s="110"/>
      <c r="FWD11" s="110"/>
      <c r="FWE11" s="110"/>
      <c r="FWF11" s="110"/>
      <c r="FWG11" s="110"/>
      <c r="FWH11" s="110"/>
      <c r="FWI11" s="110"/>
      <c r="FWJ11" s="110"/>
      <c r="FWK11" s="110"/>
      <c r="FWL11" s="110"/>
      <c r="FWM11" s="110"/>
      <c r="FWN11" s="110"/>
      <c r="FWO11" s="110"/>
      <c r="FWP11" s="110"/>
      <c r="FWQ11" s="110"/>
      <c r="FWR11" s="110"/>
      <c r="FWS11" s="110"/>
      <c r="FWT11" s="110"/>
      <c r="FWU11" s="110"/>
      <c r="FWV11" s="110"/>
      <c r="FWW11" s="110"/>
      <c r="FWX11" s="110"/>
      <c r="FWY11" s="110"/>
      <c r="FWZ11" s="110"/>
      <c r="FXA11" s="110"/>
      <c r="FXB11" s="110"/>
      <c r="FXC11" s="110"/>
      <c r="FXD11" s="110"/>
      <c r="FXE11" s="110"/>
      <c r="FXF11" s="110"/>
      <c r="FXG11" s="110"/>
      <c r="FXH11" s="110"/>
      <c r="FXI11" s="110"/>
      <c r="FXJ11" s="110"/>
      <c r="FXK11" s="110"/>
      <c r="FXL11" s="110"/>
      <c r="FXM11" s="110"/>
      <c r="FXN11" s="110"/>
      <c r="FXO11" s="110"/>
      <c r="FXP11" s="110"/>
      <c r="FXQ11" s="110"/>
      <c r="FXR11" s="110"/>
      <c r="FXS11" s="110"/>
      <c r="FXT11" s="110"/>
      <c r="FXU11" s="110"/>
      <c r="FXV11" s="110"/>
      <c r="FXW11" s="110"/>
      <c r="FXX11" s="110"/>
      <c r="FXY11" s="110"/>
      <c r="FXZ11" s="110"/>
      <c r="FYA11" s="110"/>
      <c r="FYB11" s="110"/>
      <c r="FYC11" s="110"/>
      <c r="FYD11" s="110"/>
      <c r="FYE11" s="110"/>
      <c r="FYF11" s="110"/>
      <c r="FYG11" s="110"/>
      <c r="FYH11" s="110"/>
      <c r="FYI11" s="110"/>
      <c r="FYJ11" s="110"/>
      <c r="FYK11" s="110"/>
      <c r="FYL11" s="110"/>
      <c r="FYM11" s="110"/>
      <c r="FYN11" s="110"/>
      <c r="FYO11" s="110"/>
      <c r="FYP11" s="110"/>
      <c r="FYQ11" s="110"/>
      <c r="FYR11" s="110"/>
      <c r="FYS11" s="110"/>
      <c r="FYT11" s="110"/>
      <c r="FYU11" s="110"/>
      <c r="FYV11" s="110"/>
      <c r="FYW11" s="110"/>
      <c r="FYX11" s="110"/>
      <c r="FYY11" s="110"/>
      <c r="FYZ11" s="110"/>
      <c r="FZA11" s="110"/>
      <c r="FZB11" s="110"/>
      <c r="FZC11" s="110"/>
      <c r="FZD11" s="110"/>
      <c r="FZE11" s="110"/>
      <c r="FZF11" s="110"/>
      <c r="FZG11" s="110"/>
      <c r="FZH11" s="110"/>
      <c r="FZI11" s="110"/>
      <c r="FZJ11" s="110"/>
      <c r="FZK11" s="110"/>
      <c r="FZL11" s="110"/>
      <c r="FZM11" s="110"/>
      <c r="FZN11" s="110"/>
      <c r="FZO11" s="110"/>
      <c r="FZP11" s="110"/>
      <c r="FZQ11" s="110"/>
      <c r="FZR11" s="110"/>
      <c r="FZS11" s="110"/>
      <c r="FZT11" s="110"/>
      <c r="FZU11" s="110"/>
      <c r="FZV11" s="110"/>
      <c r="FZW11" s="110"/>
      <c r="FZX11" s="110"/>
      <c r="FZY11" s="110"/>
      <c r="FZZ11" s="110"/>
      <c r="GAA11" s="110"/>
      <c r="GAB11" s="110"/>
      <c r="GAC11" s="110"/>
      <c r="GAD11" s="110"/>
      <c r="GAE11" s="110"/>
      <c r="GAF11" s="110"/>
      <c r="GAG11" s="110"/>
      <c r="GAH11" s="110"/>
      <c r="GAI11" s="110"/>
      <c r="GAJ11" s="110"/>
      <c r="GAK11" s="110"/>
      <c r="GAL11" s="110"/>
      <c r="GAM11" s="110"/>
      <c r="GAN11" s="110"/>
      <c r="GAO11" s="110"/>
      <c r="GAP11" s="110"/>
      <c r="GAQ11" s="110"/>
      <c r="GAR11" s="110"/>
      <c r="GAS11" s="110"/>
      <c r="GAT11" s="110"/>
      <c r="GAU11" s="110"/>
      <c r="GAV11" s="110"/>
      <c r="GAW11" s="110"/>
      <c r="GAX11" s="110"/>
      <c r="GAY11" s="110"/>
      <c r="GAZ11" s="110"/>
      <c r="GBA11" s="110"/>
      <c r="GBB11" s="110"/>
      <c r="GBC11" s="110"/>
      <c r="GBD11" s="110"/>
      <c r="GBE11" s="110"/>
      <c r="GBF11" s="110"/>
      <c r="GBG11" s="110"/>
      <c r="GBH11" s="110"/>
      <c r="GBI11" s="110"/>
      <c r="GBJ11" s="110"/>
      <c r="GBK11" s="110"/>
      <c r="GBL11" s="110"/>
      <c r="GBM11" s="110"/>
      <c r="GBN11" s="110"/>
      <c r="GBO11" s="110"/>
      <c r="GBP11" s="110"/>
      <c r="GBQ11" s="110"/>
      <c r="GBR11" s="110"/>
      <c r="GBS11" s="110"/>
      <c r="GBT11" s="110"/>
      <c r="GBU11" s="110"/>
      <c r="GBV11" s="110"/>
      <c r="GBW11" s="110"/>
      <c r="GBX11" s="110"/>
      <c r="GBY11" s="110"/>
      <c r="GBZ11" s="110"/>
      <c r="GCA11" s="110"/>
      <c r="GCB11" s="110"/>
      <c r="GCC11" s="110"/>
      <c r="GCD11" s="110"/>
      <c r="GCE11" s="110"/>
      <c r="GCF11" s="110"/>
      <c r="GCG11" s="110"/>
      <c r="GCH11" s="110"/>
      <c r="GCI11" s="110"/>
      <c r="GCJ11" s="110"/>
      <c r="GCK11" s="110"/>
      <c r="GCL11" s="110"/>
      <c r="GCM11" s="110"/>
      <c r="GCN11" s="110"/>
      <c r="GCO11" s="110"/>
      <c r="GCP11" s="110"/>
      <c r="GCQ11" s="110"/>
      <c r="GCR11" s="110"/>
      <c r="GCS11" s="110"/>
      <c r="GCT11" s="110"/>
      <c r="GCU11" s="110"/>
      <c r="GCV11" s="110"/>
      <c r="GCW11" s="110"/>
      <c r="GCX11" s="110"/>
      <c r="GCY11" s="110"/>
      <c r="GCZ11" s="110"/>
      <c r="GDA11" s="110"/>
      <c r="GDB11" s="110"/>
      <c r="GDC11" s="110"/>
      <c r="GDD11" s="110"/>
      <c r="GDE11" s="110"/>
      <c r="GDF11" s="110"/>
      <c r="GDG11" s="110"/>
      <c r="GDH11" s="110"/>
      <c r="GDI11" s="110"/>
      <c r="GDJ11" s="110"/>
      <c r="GDK11" s="110"/>
      <c r="GDL11" s="110"/>
      <c r="GDM11" s="110"/>
      <c r="GDN11" s="110"/>
      <c r="GDO11" s="110"/>
      <c r="GDP11" s="110"/>
      <c r="GDQ11" s="110"/>
      <c r="GDR11" s="110"/>
      <c r="GDS11" s="110"/>
      <c r="GDT11" s="110"/>
      <c r="GDU11" s="110"/>
      <c r="GDV11" s="110"/>
      <c r="GDW11" s="110"/>
      <c r="GDX11" s="110"/>
      <c r="GDY11" s="110"/>
      <c r="GDZ11" s="110"/>
      <c r="GEA11" s="110"/>
      <c r="GEB11" s="110"/>
      <c r="GEC11" s="110"/>
      <c r="GED11" s="110"/>
      <c r="GEE11" s="110"/>
      <c r="GEF11" s="110"/>
      <c r="GEG11" s="110"/>
      <c r="GEH11" s="110"/>
      <c r="GEI11" s="110"/>
      <c r="GEJ11" s="110"/>
      <c r="GEK11" s="110"/>
      <c r="GEL11" s="110"/>
      <c r="GEM11" s="110"/>
      <c r="GEN11" s="110"/>
      <c r="GEO11" s="110"/>
      <c r="GEP11" s="110"/>
      <c r="GEQ11" s="110"/>
      <c r="GER11" s="110"/>
      <c r="GES11" s="110"/>
      <c r="GET11" s="110"/>
      <c r="GEU11" s="110"/>
      <c r="GEV11" s="110"/>
      <c r="GEW11" s="110"/>
      <c r="GEX11" s="110"/>
      <c r="GEY11" s="110"/>
      <c r="GEZ11" s="110"/>
      <c r="GFA11" s="110"/>
      <c r="GFB11" s="110"/>
      <c r="GFC11" s="110"/>
      <c r="GFD11" s="110"/>
      <c r="GFE11" s="110"/>
      <c r="GFF11" s="110"/>
      <c r="GFG11" s="110"/>
      <c r="GFH11" s="110"/>
      <c r="GFI11" s="110"/>
      <c r="GFJ11" s="110"/>
      <c r="GFK11" s="110"/>
      <c r="GFL11" s="110"/>
      <c r="GFM11" s="110"/>
      <c r="GFN11" s="110"/>
      <c r="GFO11" s="110"/>
      <c r="GFP11" s="110"/>
      <c r="GFQ11" s="110"/>
      <c r="GFR11" s="110"/>
      <c r="GFS11" s="110"/>
      <c r="GFT11" s="110"/>
      <c r="GFU11" s="110"/>
      <c r="GFV11" s="110"/>
      <c r="GFW11" s="110"/>
      <c r="GFX11" s="110"/>
      <c r="GFY11" s="110"/>
      <c r="GFZ11" s="110"/>
      <c r="GGA11" s="110"/>
      <c r="GGB11" s="110"/>
      <c r="GGC11" s="110"/>
      <c r="GGD11" s="110"/>
      <c r="GGE11" s="110"/>
      <c r="GGF11" s="110"/>
      <c r="GGG11" s="110"/>
      <c r="GGH11" s="110"/>
      <c r="GGI11" s="110"/>
      <c r="GGJ11" s="110"/>
      <c r="GGK11" s="110"/>
      <c r="GGL11" s="110"/>
      <c r="GGM11" s="110"/>
      <c r="GGN11" s="110"/>
      <c r="GGO11" s="110"/>
      <c r="GGP11" s="110"/>
      <c r="GGQ11" s="110"/>
      <c r="GGR11" s="110"/>
      <c r="GGS11" s="110"/>
      <c r="GGT11" s="110"/>
      <c r="GGU11" s="110"/>
      <c r="GGV11" s="110"/>
      <c r="GGW11" s="110"/>
      <c r="GGX11" s="110"/>
      <c r="GGY11" s="110"/>
      <c r="GGZ11" s="110"/>
      <c r="GHA11" s="110"/>
      <c r="GHB11" s="110"/>
      <c r="GHC11" s="110"/>
      <c r="GHD11" s="110"/>
      <c r="GHE11" s="110"/>
      <c r="GHF11" s="110"/>
      <c r="GHG11" s="110"/>
      <c r="GHH11" s="110"/>
      <c r="GHI11" s="110"/>
      <c r="GHJ11" s="110"/>
      <c r="GHK11" s="110"/>
      <c r="GHL11" s="110"/>
      <c r="GHM11" s="110"/>
      <c r="GHN11" s="110"/>
      <c r="GHO11" s="110"/>
      <c r="GHP11" s="110"/>
      <c r="GHQ11" s="110"/>
      <c r="GHR11" s="110"/>
      <c r="GHS11" s="110"/>
      <c r="GHT11" s="110"/>
      <c r="GHU11" s="110"/>
      <c r="GHV11" s="110"/>
      <c r="GHW11" s="110"/>
      <c r="GHX11" s="110"/>
      <c r="GHY11" s="110"/>
      <c r="GHZ11" s="110"/>
      <c r="GIA11" s="110"/>
      <c r="GIB11" s="110"/>
      <c r="GIC11" s="110"/>
      <c r="GID11" s="110"/>
      <c r="GIE11" s="110"/>
      <c r="GIF11" s="110"/>
      <c r="GIG11" s="110"/>
      <c r="GIH11" s="110"/>
      <c r="GII11" s="110"/>
      <c r="GIJ11" s="110"/>
      <c r="GIK11" s="110"/>
      <c r="GIL11" s="110"/>
      <c r="GIM11" s="110"/>
      <c r="GIN11" s="110"/>
      <c r="GIO11" s="110"/>
      <c r="GIP11" s="110"/>
      <c r="GIQ11" s="110"/>
      <c r="GIR11" s="110"/>
      <c r="GIS11" s="110"/>
      <c r="GIT11" s="110"/>
      <c r="GIU11" s="110"/>
      <c r="GIV11" s="110"/>
      <c r="GIW11" s="110"/>
      <c r="GIX11" s="110"/>
      <c r="GIY11" s="110"/>
      <c r="GIZ11" s="110"/>
      <c r="GJA11" s="110"/>
      <c r="GJB11" s="110"/>
      <c r="GJC11" s="110"/>
      <c r="GJD11" s="110"/>
      <c r="GJE11" s="110"/>
      <c r="GJF11" s="110"/>
      <c r="GJG11" s="110"/>
      <c r="GJH11" s="110"/>
      <c r="GJI11" s="110"/>
      <c r="GJJ11" s="110"/>
      <c r="GJK11" s="110"/>
      <c r="GJL11" s="110"/>
      <c r="GJM11" s="110"/>
      <c r="GJN11" s="110"/>
      <c r="GJO11" s="110"/>
      <c r="GJP11" s="110"/>
      <c r="GJQ11" s="110"/>
      <c r="GJR11" s="110"/>
      <c r="GJS11" s="110"/>
      <c r="GJT11" s="110"/>
      <c r="GJU11" s="110"/>
      <c r="GJV11" s="110"/>
      <c r="GJW11" s="110"/>
      <c r="GJX11" s="110"/>
      <c r="GJY11" s="110"/>
      <c r="GJZ11" s="110"/>
      <c r="GKA11" s="110"/>
      <c r="GKB11" s="110"/>
      <c r="GKC11" s="110"/>
      <c r="GKD11" s="110"/>
      <c r="GKE11" s="110"/>
      <c r="GKF11" s="110"/>
      <c r="GKG11" s="110"/>
      <c r="GKH11" s="110"/>
      <c r="GKI11" s="110"/>
      <c r="GKJ11" s="110"/>
      <c r="GKK11" s="110"/>
      <c r="GKL11" s="110"/>
      <c r="GKM11" s="110"/>
      <c r="GKN11" s="110"/>
      <c r="GKO11" s="110"/>
      <c r="GKP11" s="110"/>
      <c r="GKQ11" s="110"/>
      <c r="GKR11" s="110"/>
      <c r="GKS11" s="110"/>
      <c r="GKT11" s="110"/>
      <c r="GKU11" s="110"/>
      <c r="GKV11" s="110"/>
      <c r="GKW11" s="110"/>
      <c r="GKX11" s="110"/>
      <c r="GKY11" s="110"/>
      <c r="GKZ11" s="110"/>
      <c r="GLA11" s="110"/>
      <c r="GLB11" s="110"/>
      <c r="GLC11" s="110"/>
      <c r="GLD11" s="110"/>
      <c r="GLE11" s="110"/>
      <c r="GLF11" s="110"/>
      <c r="GLG11" s="110"/>
      <c r="GLH11" s="110"/>
      <c r="GLI11" s="110"/>
      <c r="GLJ11" s="110"/>
      <c r="GLK11" s="110"/>
      <c r="GLL11" s="110"/>
      <c r="GLM11" s="110"/>
      <c r="GLN11" s="110"/>
      <c r="GLO11" s="110"/>
      <c r="GLP11" s="110"/>
      <c r="GLQ11" s="110"/>
      <c r="GLR11" s="110"/>
      <c r="GLS11" s="110"/>
      <c r="GLT11" s="110"/>
      <c r="GLU11" s="110"/>
      <c r="GLV11" s="110"/>
      <c r="GLW11" s="110"/>
      <c r="GLX11" s="110"/>
      <c r="GLY11" s="110"/>
      <c r="GLZ11" s="110"/>
      <c r="GMA11" s="110"/>
      <c r="GMB11" s="110"/>
      <c r="GMC11" s="110"/>
      <c r="GMD11" s="110"/>
      <c r="GME11" s="110"/>
      <c r="GMF11" s="110"/>
      <c r="GMG11" s="110"/>
      <c r="GMH11" s="110"/>
      <c r="GMI11" s="110"/>
      <c r="GMJ11" s="110"/>
      <c r="GMK11" s="110"/>
      <c r="GML11" s="110"/>
      <c r="GMM11" s="110"/>
      <c r="GMN11" s="110"/>
      <c r="GMO11" s="110"/>
      <c r="GMP11" s="110"/>
      <c r="GMQ11" s="110"/>
      <c r="GMR11" s="110"/>
      <c r="GMS11" s="110"/>
      <c r="GMT11" s="110"/>
      <c r="GMU11" s="110"/>
      <c r="GMV11" s="110"/>
      <c r="GMW11" s="110"/>
      <c r="GMX11" s="110"/>
      <c r="GMY11" s="110"/>
      <c r="GMZ11" s="110"/>
      <c r="GNA11" s="110"/>
      <c r="GNB11" s="110"/>
      <c r="GNC11" s="110"/>
      <c r="GND11" s="110"/>
      <c r="GNE11" s="110"/>
      <c r="GNF11" s="110"/>
      <c r="GNG11" s="110"/>
      <c r="GNH11" s="110"/>
      <c r="GNI11" s="110"/>
      <c r="GNJ11" s="110"/>
      <c r="GNK11" s="110"/>
      <c r="GNL11" s="110"/>
      <c r="GNM11" s="110"/>
      <c r="GNN11" s="110"/>
      <c r="GNO11" s="110"/>
      <c r="GNP11" s="110"/>
      <c r="GNQ11" s="110"/>
      <c r="GNR11" s="110"/>
      <c r="GNS11" s="110"/>
      <c r="GNT11" s="110"/>
      <c r="GNU11" s="110"/>
      <c r="GNV11" s="110"/>
      <c r="GNW11" s="110"/>
      <c r="GNX11" s="110"/>
      <c r="GNY11" s="110"/>
      <c r="GNZ11" s="110"/>
      <c r="GOA11" s="110"/>
      <c r="GOB11" s="110"/>
      <c r="GOC11" s="110"/>
      <c r="GOD11" s="110"/>
      <c r="GOE11" s="110"/>
      <c r="GOF11" s="110"/>
      <c r="GOG11" s="110"/>
      <c r="GOH11" s="110"/>
      <c r="GOI11" s="110"/>
      <c r="GOJ11" s="110"/>
      <c r="GOK11" s="110"/>
      <c r="GOL11" s="110"/>
      <c r="GOM11" s="110"/>
      <c r="GON11" s="110"/>
      <c r="GOO11" s="110"/>
      <c r="GOP11" s="110"/>
      <c r="GOQ11" s="110"/>
      <c r="GOR11" s="110"/>
      <c r="GOS11" s="110"/>
      <c r="GOT11" s="110"/>
      <c r="GOU11" s="110"/>
      <c r="GOV11" s="110"/>
      <c r="GOW11" s="110"/>
      <c r="GOX11" s="110"/>
      <c r="GOY11" s="110"/>
      <c r="GOZ11" s="110"/>
      <c r="GPA11" s="110"/>
      <c r="GPB11" s="110"/>
      <c r="GPC11" s="110"/>
      <c r="GPD11" s="110"/>
      <c r="GPE11" s="110"/>
      <c r="GPF11" s="110"/>
      <c r="GPG11" s="110"/>
      <c r="GPH11" s="110"/>
      <c r="GPI11" s="110"/>
      <c r="GPJ11" s="110"/>
      <c r="GPK11" s="110"/>
      <c r="GPL11" s="110"/>
      <c r="GPM11" s="110"/>
      <c r="GPN11" s="110"/>
      <c r="GPO11" s="110"/>
      <c r="GPP11" s="110"/>
      <c r="GPQ11" s="110"/>
      <c r="GPR11" s="110"/>
      <c r="GPS11" s="110"/>
      <c r="GPT11" s="110"/>
      <c r="GPU11" s="110"/>
      <c r="GPV11" s="110"/>
      <c r="GPW11" s="110"/>
      <c r="GPX11" s="110"/>
      <c r="GPY11" s="110"/>
      <c r="GPZ11" s="110"/>
      <c r="GQA11" s="110"/>
      <c r="GQB11" s="110"/>
      <c r="GQC11" s="110"/>
      <c r="GQD11" s="110"/>
      <c r="GQE11" s="110"/>
      <c r="GQF11" s="110"/>
      <c r="GQG11" s="110"/>
      <c r="GQH11" s="110"/>
      <c r="GQI11" s="110"/>
      <c r="GQJ11" s="110"/>
      <c r="GQK11" s="110"/>
      <c r="GQL11" s="110"/>
      <c r="GQM11" s="110"/>
      <c r="GQN11" s="110"/>
      <c r="GQO11" s="110"/>
      <c r="GQP11" s="110"/>
      <c r="GQQ11" s="110"/>
      <c r="GQR11" s="110"/>
      <c r="GQS11" s="110"/>
      <c r="GQT11" s="110"/>
      <c r="GQU11" s="110"/>
      <c r="GQV11" s="110"/>
      <c r="GQW11" s="110"/>
      <c r="GQX11" s="110"/>
      <c r="GQY11" s="110"/>
      <c r="GQZ11" s="110"/>
      <c r="GRA11" s="110"/>
      <c r="GRB11" s="110"/>
      <c r="GRC11" s="110"/>
      <c r="GRD11" s="110"/>
      <c r="GRE11" s="110"/>
      <c r="GRF11" s="110"/>
      <c r="GRG11" s="110"/>
      <c r="GRH11" s="110"/>
      <c r="GRI11" s="110"/>
      <c r="GRJ11" s="110"/>
      <c r="GRK11" s="110"/>
      <c r="GRL11" s="110"/>
      <c r="GRM11" s="110"/>
      <c r="GRN11" s="110"/>
      <c r="GRO11" s="110"/>
      <c r="GRP11" s="110"/>
      <c r="GRQ11" s="110"/>
      <c r="GRR11" s="110"/>
      <c r="GRS11" s="110"/>
      <c r="GRT11" s="110"/>
      <c r="GRU11" s="110"/>
      <c r="GRV11" s="110"/>
      <c r="GRW11" s="110"/>
      <c r="GRX11" s="110"/>
      <c r="GRY11" s="110"/>
      <c r="GRZ11" s="110"/>
      <c r="GSA11" s="110"/>
      <c r="GSB11" s="110"/>
      <c r="GSC11" s="110"/>
      <c r="GSD11" s="110"/>
      <c r="GSE11" s="110"/>
      <c r="GSF11" s="110"/>
      <c r="GSG11" s="110"/>
      <c r="GSH11" s="110"/>
      <c r="GSI11" s="110"/>
      <c r="GSJ11" s="110"/>
      <c r="GSK11" s="110"/>
      <c r="GSL11" s="110"/>
      <c r="GSM11" s="110"/>
      <c r="GSN11" s="110"/>
      <c r="GSO11" s="110"/>
      <c r="GSP11" s="110"/>
      <c r="GSQ11" s="110"/>
      <c r="GSR11" s="110"/>
      <c r="GSS11" s="110"/>
      <c r="GST11" s="110"/>
      <c r="GSU11" s="110"/>
      <c r="GSV11" s="110"/>
      <c r="GSW11" s="110"/>
      <c r="GSX11" s="110"/>
      <c r="GSY11" s="110"/>
      <c r="GSZ11" s="110"/>
      <c r="GTA11" s="110"/>
      <c r="GTB11" s="110"/>
      <c r="GTC11" s="110"/>
      <c r="GTD11" s="110"/>
      <c r="GTE11" s="110"/>
      <c r="GTF11" s="110"/>
      <c r="GTG11" s="110"/>
      <c r="GTH11" s="110"/>
      <c r="GTI11" s="110"/>
      <c r="GTJ11" s="110"/>
      <c r="GTK11" s="110"/>
      <c r="GTL11" s="110"/>
      <c r="GTM11" s="110"/>
      <c r="GTN11" s="110"/>
      <c r="GTO11" s="110"/>
      <c r="GTP11" s="110"/>
      <c r="GTQ11" s="110"/>
      <c r="GTR11" s="110"/>
      <c r="GTS11" s="110"/>
      <c r="GTT11" s="110"/>
      <c r="GTU11" s="110"/>
      <c r="GTV11" s="110"/>
      <c r="GTW11" s="110"/>
      <c r="GTX11" s="110"/>
      <c r="GTY11" s="110"/>
      <c r="GTZ11" s="110"/>
      <c r="GUA11" s="110"/>
      <c r="GUB11" s="110"/>
      <c r="GUC11" s="110"/>
      <c r="GUD11" s="110"/>
      <c r="GUE11" s="110"/>
      <c r="GUF11" s="110"/>
      <c r="GUG11" s="110"/>
      <c r="GUH11" s="110"/>
      <c r="GUI11" s="110"/>
      <c r="GUJ11" s="110"/>
      <c r="GUK11" s="110"/>
      <c r="GUL11" s="110"/>
      <c r="GUM11" s="110"/>
      <c r="GUN11" s="110"/>
      <c r="GUO11" s="110"/>
      <c r="GUP11" s="110"/>
      <c r="GUQ11" s="110"/>
      <c r="GUR11" s="110"/>
      <c r="GUS11" s="110"/>
      <c r="GUT11" s="110"/>
      <c r="GUU11" s="110"/>
      <c r="GUV11" s="110"/>
      <c r="GUW11" s="110"/>
      <c r="GUX11" s="110"/>
      <c r="GUY11" s="110"/>
      <c r="GUZ11" s="110"/>
      <c r="GVA11" s="110"/>
      <c r="GVB11" s="110"/>
      <c r="GVC11" s="110"/>
      <c r="GVD11" s="110"/>
      <c r="GVE11" s="110"/>
      <c r="GVF11" s="110"/>
      <c r="GVG11" s="110"/>
      <c r="GVH11" s="110"/>
      <c r="GVI11" s="110"/>
      <c r="GVJ11" s="110"/>
      <c r="GVK11" s="110"/>
      <c r="GVL11" s="110"/>
      <c r="GVM11" s="110"/>
      <c r="GVN11" s="110"/>
      <c r="GVO11" s="110"/>
      <c r="GVP11" s="110"/>
      <c r="GVQ11" s="110"/>
      <c r="GVR11" s="110"/>
      <c r="GVS11" s="110"/>
      <c r="GVT11" s="110"/>
      <c r="GVU11" s="110"/>
      <c r="GVV11" s="110"/>
      <c r="GVW11" s="110"/>
      <c r="GVX11" s="110"/>
      <c r="GVY11" s="110"/>
      <c r="GVZ11" s="110"/>
      <c r="GWA11" s="110"/>
      <c r="GWB11" s="110"/>
      <c r="GWC11" s="110"/>
      <c r="GWD11" s="110"/>
      <c r="GWE11" s="110"/>
      <c r="GWF11" s="110"/>
      <c r="GWG11" s="110"/>
      <c r="GWH11" s="110"/>
      <c r="GWI11" s="110"/>
      <c r="GWJ11" s="110"/>
      <c r="GWK11" s="110"/>
      <c r="GWL11" s="110"/>
      <c r="GWM11" s="110"/>
      <c r="GWN11" s="110"/>
      <c r="GWO11" s="110"/>
      <c r="GWP11" s="110"/>
      <c r="GWQ11" s="110"/>
      <c r="GWR11" s="110"/>
      <c r="GWS11" s="110"/>
      <c r="GWT11" s="110"/>
      <c r="GWU11" s="110"/>
      <c r="GWV11" s="110"/>
      <c r="GWW11" s="110"/>
      <c r="GWX11" s="110"/>
      <c r="GWY11" s="110"/>
      <c r="GWZ11" s="110"/>
      <c r="GXA11" s="110"/>
      <c r="GXB11" s="110"/>
      <c r="GXC11" s="110"/>
      <c r="GXD11" s="110"/>
      <c r="GXE11" s="110"/>
      <c r="GXF11" s="110"/>
      <c r="GXG11" s="110"/>
      <c r="GXH11" s="110"/>
      <c r="GXI11" s="110"/>
      <c r="GXJ11" s="110"/>
      <c r="GXK11" s="110"/>
      <c r="GXL11" s="110"/>
      <c r="GXM11" s="110"/>
      <c r="GXN11" s="110"/>
      <c r="GXO11" s="110"/>
      <c r="GXP11" s="110"/>
      <c r="GXQ11" s="110"/>
      <c r="GXR11" s="110"/>
      <c r="GXS11" s="110"/>
      <c r="GXT11" s="110"/>
      <c r="GXU11" s="110"/>
      <c r="GXV11" s="110"/>
      <c r="GXW11" s="110"/>
      <c r="GXX11" s="110"/>
      <c r="GXY11" s="110"/>
      <c r="GXZ11" s="110"/>
      <c r="GYA11" s="110"/>
      <c r="GYB11" s="110"/>
      <c r="GYC11" s="110"/>
      <c r="GYD11" s="110"/>
      <c r="GYE11" s="110"/>
      <c r="GYF11" s="110"/>
      <c r="GYG11" s="110"/>
      <c r="GYH11" s="110"/>
      <c r="GYI11" s="110"/>
      <c r="GYJ11" s="110"/>
      <c r="GYK11" s="110"/>
      <c r="GYL11" s="110"/>
      <c r="GYM11" s="110"/>
      <c r="GYN11" s="110"/>
      <c r="GYO11" s="110"/>
      <c r="GYP11" s="110"/>
      <c r="GYQ11" s="110"/>
      <c r="GYR11" s="110"/>
      <c r="GYS11" s="110"/>
      <c r="GYT11" s="110"/>
      <c r="GYU11" s="110"/>
      <c r="GYV11" s="110"/>
      <c r="GYW11" s="110"/>
      <c r="GYX11" s="110"/>
      <c r="GYY11" s="110"/>
      <c r="GYZ11" s="110"/>
      <c r="GZA11" s="110"/>
      <c r="GZB11" s="110"/>
      <c r="GZC11" s="110"/>
      <c r="GZD11" s="110"/>
      <c r="GZE11" s="110"/>
      <c r="GZF11" s="110"/>
      <c r="GZG11" s="110"/>
      <c r="GZH11" s="110"/>
      <c r="GZI11" s="110"/>
      <c r="GZJ11" s="110"/>
      <c r="GZK11" s="110"/>
      <c r="GZL11" s="110"/>
      <c r="GZM11" s="110"/>
      <c r="GZN11" s="110"/>
      <c r="GZO11" s="110"/>
      <c r="GZP11" s="110"/>
      <c r="GZQ11" s="110"/>
      <c r="GZR11" s="110"/>
      <c r="GZS11" s="110"/>
      <c r="GZT11" s="110"/>
      <c r="GZU11" s="110"/>
      <c r="GZV11" s="110"/>
      <c r="GZW11" s="110"/>
      <c r="GZX11" s="110"/>
      <c r="GZY11" s="110"/>
      <c r="GZZ11" s="110"/>
      <c r="HAA11" s="110"/>
      <c r="HAB11" s="110"/>
      <c r="HAC11" s="110"/>
      <c r="HAD11" s="110"/>
      <c r="HAE11" s="110"/>
      <c r="HAF11" s="110"/>
      <c r="HAG11" s="110"/>
      <c r="HAH11" s="110"/>
      <c r="HAI11" s="110"/>
      <c r="HAJ11" s="110"/>
      <c r="HAK11" s="110"/>
      <c r="HAL11" s="110"/>
      <c r="HAM11" s="110"/>
      <c r="HAN11" s="110"/>
      <c r="HAO11" s="110"/>
      <c r="HAP11" s="110"/>
      <c r="HAQ11" s="110"/>
      <c r="HAR11" s="110"/>
      <c r="HAS11" s="110"/>
      <c r="HAT11" s="110"/>
      <c r="HAU11" s="110"/>
      <c r="HAV11" s="110"/>
      <c r="HAW11" s="110"/>
      <c r="HAX11" s="110"/>
      <c r="HAY11" s="110"/>
      <c r="HAZ11" s="110"/>
      <c r="HBA11" s="110"/>
      <c r="HBB11" s="110"/>
      <c r="HBC11" s="110"/>
      <c r="HBD11" s="110"/>
      <c r="HBE11" s="110"/>
      <c r="HBF11" s="110"/>
      <c r="HBG11" s="110"/>
      <c r="HBH11" s="110"/>
      <c r="HBI11" s="110"/>
      <c r="HBJ11" s="110"/>
      <c r="HBK11" s="110"/>
      <c r="HBL11" s="110"/>
      <c r="HBM11" s="110"/>
      <c r="HBN11" s="110"/>
      <c r="HBO11" s="110"/>
      <c r="HBP11" s="110"/>
      <c r="HBQ11" s="110"/>
      <c r="HBR11" s="110"/>
      <c r="HBS11" s="110"/>
      <c r="HBT11" s="110"/>
      <c r="HBU11" s="110"/>
      <c r="HBV11" s="110"/>
      <c r="HBW11" s="110"/>
      <c r="HBX11" s="110"/>
      <c r="HBY11" s="110"/>
      <c r="HBZ11" s="110"/>
      <c r="HCA11" s="110"/>
      <c r="HCB11" s="110"/>
      <c r="HCC11" s="110"/>
      <c r="HCD11" s="110"/>
      <c r="HCE11" s="110"/>
      <c r="HCF11" s="110"/>
      <c r="HCG11" s="110"/>
      <c r="HCH11" s="110"/>
      <c r="HCI11" s="110"/>
      <c r="HCJ11" s="110"/>
      <c r="HCK11" s="110"/>
      <c r="HCL11" s="110"/>
      <c r="HCM11" s="110"/>
      <c r="HCN11" s="110"/>
      <c r="HCO11" s="110"/>
      <c r="HCP11" s="110"/>
      <c r="HCQ11" s="110"/>
      <c r="HCR11" s="110"/>
      <c r="HCS11" s="110"/>
      <c r="HCT11" s="110"/>
      <c r="HCU11" s="110"/>
      <c r="HCV11" s="110"/>
      <c r="HCW11" s="110"/>
      <c r="HCX11" s="110"/>
      <c r="HCY11" s="110"/>
      <c r="HCZ11" s="110"/>
      <c r="HDA11" s="110"/>
      <c r="HDB11" s="110"/>
      <c r="HDC11" s="110"/>
      <c r="HDD11" s="110"/>
      <c r="HDE11" s="110"/>
      <c r="HDF11" s="110"/>
      <c r="HDG11" s="110"/>
      <c r="HDH11" s="110"/>
      <c r="HDI11" s="110"/>
      <c r="HDJ11" s="110"/>
      <c r="HDK11" s="110"/>
      <c r="HDL11" s="110"/>
      <c r="HDM11" s="110"/>
      <c r="HDN11" s="110"/>
      <c r="HDO11" s="110"/>
      <c r="HDP11" s="110"/>
      <c r="HDQ11" s="110"/>
      <c r="HDR11" s="110"/>
      <c r="HDS11" s="110"/>
      <c r="HDT11" s="110"/>
      <c r="HDU11" s="110"/>
      <c r="HDV11" s="110"/>
      <c r="HDW11" s="110"/>
      <c r="HDX11" s="110"/>
      <c r="HDY11" s="110"/>
      <c r="HDZ11" s="110"/>
      <c r="HEA11" s="110"/>
      <c r="HEB11" s="110"/>
      <c r="HEC11" s="110"/>
      <c r="HED11" s="110"/>
      <c r="HEE11" s="110"/>
      <c r="HEF11" s="110"/>
      <c r="HEG11" s="110"/>
      <c r="HEH11" s="110"/>
      <c r="HEI11" s="110"/>
      <c r="HEJ11" s="110"/>
      <c r="HEK11" s="110"/>
      <c r="HEL11" s="110"/>
      <c r="HEM11" s="110"/>
      <c r="HEN11" s="110"/>
      <c r="HEO11" s="110"/>
      <c r="HEP11" s="110"/>
      <c r="HEQ11" s="110"/>
      <c r="HER11" s="110"/>
      <c r="HES11" s="110"/>
      <c r="HET11" s="110"/>
      <c r="HEU11" s="110"/>
      <c r="HEV11" s="110"/>
      <c r="HEW11" s="110"/>
      <c r="HEX11" s="110"/>
      <c r="HEY11" s="110"/>
      <c r="HEZ11" s="110"/>
      <c r="HFA11" s="110"/>
      <c r="HFB11" s="110"/>
      <c r="HFC11" s="110"/>
      <c r="HFD11" s="110"/>
      <c r="HFE11" s="110"/>
      <c r="HFF11" s="110"/>
      <c r="HFG11" s="110"/>
      <c r="HFH11" s="110"/>
      <c r="HFI11" s="110"/>
      <c r="HFJ11" s="110"/>
      <c r="HFK11" s="110"/>
      <c r="HFL11" s="110"/>
      <c r="HFM11" s="110"/>
      <c r="HFN11" s="110"/>
      <c r="HFO11" s="110"/>
      <c r="HFP11" s="110"/>
      <c r="HFQ11" s="110"/>
      <c r="HFR11" s="110"/>
      <c r="HFS11" s="110"/>
      <c r="HFT11" s="110"/>
      <c r="HFU11" s="110"/>
      <c r="HFV11" s="110"/>
      <c r="HFW11" s="110"/>
      <c r="HFX11" s="110"/>
      <c r="HFY11" s="110"/>
      <c r="HFZ11" s="110"/>
      <c r="HGA11" s="110"/>
      <c r="HGB11" s="110"/>
      <c r="HGC11" s="110"/>
      <c r="HGD11" s="110"/>
      <c r="HGE11" s="110"/>
      <c r="HGF11" s="110"/>
      <c r="HGG11" s="110"/>
      <c r="HGH11" s="110"/>
      <c r="HGI11" s="110"/>
      <c r="HGJ11" s="110"/>
      <c r="HGK11" s="110"/>
      <c r="HGL11" s="110"/>
      <c r="HGM11" s="110"/>
      <c r="HGN11" s="110"/>
      <c r="HGO11" s="110"/>
      <c r="HGP11" s="110"/>
      <c r="HGQ11" s="110"/>
      <c r="HGR11" s="110"/>
      <c r="HGS11" s="110"/>
      <c r="HGT11" s="110"/>
      <c r="HGU11" s="110"/>
      <c r="HGV11" s="110"/>
      <c r="HGW11" s="110"/>
      <c r="HGX11" s="110"/>
      <c r="HGY11" s="110"/>
      <c r="HGZ11" s="110"/>
      <c r="HHA11" s="110"/>
      <c r="HHB11" s="110"/>
      <c r="HHC11" s="110"/>
      <c r="HHD11" s="110"/>
      <c r="HHE11" s="110"/>
      <c r="HHF11" s="110"/>
      <c r="HHG11" s="110"/>
      <c r="HHH11" s="110"/>
      <c r="HHI11" s="110"/>
      <c r="HHJ11" s="110"/>
      <c r="HHK11" s="110"/>
      <c r="HHL11" s="110"/>
      <c r="HHM11" s="110"/>
      <c r="HHN11" s="110"/>
      <c r="HHO11" s="110"/>
      <c r="HHP11" s="110"/>
      <c r="HHQ11" s="110"/>
      <c r="HHR11" s="110"/>
      <c r="HHS11" s="110"/>
      <c r="HHT11" s="110"/>
      <c r="HHU11" s="110"/>
      <c r="HHV11" s="110"/>
      <c r="HHW11" s="110"/>
      <c r="HHX11" s="110"/>
      <c r="HHY11" s="110"/>
      <c r="HHZ11" s="110"/>
      <c r="HIA11" s="110"/>
      <c r="HIB11" s="110"/>
      <c r="HIC11" s="110"/>
      <c r="HID11" s="110"/>
      <c r="HIE11" s="110"/>
      <c r="HIF11" s="110"/>
      <c r="HIG11" s="110"/>
      <c r="HIH11" s="110"/>
      <c r="HII11" s="110"/>
      <c r="HIJ11" s="110"/>
      <c r="HIK11" s="110"/>
      <c r="HIL11" s="110"/>
      <c r="HIM11" s="110"/>
      <c r="HIN11" s="110"/>
      <c r="HIO11" s="110"/>
      <c r="HIP11" s="110"/>
      <c r="HIQ11" s="110"/>
      <c r="HIR11" s="110"/>
      <c r="HIS11" s="110"/>
      <c r="HIT11" s="110"/>
      <c r="HIU11" s="110"/>
      <c r="HIV11" s="110"/>
      <c r="HIW11" s="110"/>
      <c r="HIX11" s="110"/>
      <c r="HIY11" s="110"/>
      <c r="HIZ11" s="110"/>
      <c r="HJA11" s="110"/>
      <c r="HJB11" s="110"/>
      <c r="HJC11" s="110"/>
      <c r="HJD11" s="110"/>
      <c r="HJE11" s="110"/>
      <c r="HJF11" s="110"/>
      <c r="HJG11" s="110"/>
      <c r="HJH11" s="110"/>
      <c r="HJI11" s="110"/>
      <c r="HJJ11" s="110"/>
      <c r="HJK11" s="110"/>
      <c r="HJL11" s="110"/>
      <c r="HJM11" s="110"/>
      <c r="HJN11" s="110"/>
      <c r="HJO11" s="110"/>
      <c r="HJP11" s="110"/>
      <c r="HJQ11" s="110"/>
      <c r="HJR11" s="110"/>
      <c r="HJS11" s="110"/>
      <c r="HJT11" s="110"/>
      <c r="HJU11" s="110"/>
      <c r="HJV11" s="110"/>
      <c r="HJW11" s="110"/>
      <c r="HJX11" s="110"/>
      <c r="HJY11" s="110"/>
      <c r="HJZ11" s="110"/>
      <c r="HKA11" s="110"/>
      <c r="HKB11" s="110"/>
      <c r="HKC11" s="110"/>
      <c r="HKD11" s="110"/>
      <c r="HKE11" s="110"/>
      <c r="HKF11" s="110"/>
      <c r="HKG11" s="110"/>
      <c r="HKH11" s="110"/>
      <c r="HKI11" s="110"/>
      <c r="HKJ11" s="110"/>
      <c r="HKK11" s="110"/>
      <c r="HKL11" s="110"/>
      <c r="HKM11" s="110"/>
      <c r="HKN11" s="110"/>
      <c r="HKO11" s="110"/>
      <c r="HKP11" s="110"/>
      <c r="HKQ11" s="110"/>
      <c r="HKR11" s="110"/>
      <c r="HKS11" s="110"/>
      <c r="HKT11" s="110"/>
      <c r="HKU11" s="110"/>
      <c r="HKV11" s="110"/>
      <c r="HKW11" s="110"/>
      <c r="HKX11" s="110"/>
      <c r="HKY11" s="110"/>
      <c r="HKZ11" s="110"/>
      <c r="HLA11" s="110"/>
      <c r="HLB11" s="110"/>
      <c r="HLC11" s="110"/>
      <c r="HLD11" s="110"/>
      <c r="HLE11" s="110"/>
      <c r="HLF11" s="110"/>
      <c r="HLG11" s="110"/>
      <c r="HLH11" s="110"/>
      <c r="HLI11" s="110"/>
      <c r="HLJ11" s="110"/>
      <c r="HLK11" s="110"/>
      <c r="HLL11" s="110"/>
      <c r="HLM11" s="110"/>
      <c r="HLN11" s="110"/>
      <c r="HLO11" s="110"/>
      <c r="HLP11" s="110"/>
      <c r="HLQ11" s="110"/>
      <c r="HLR11" s="110"/>
      <c r="HLS11" s="110"/>
      <c r="HLT11" s="110"/>
      <c r="HLU11" s="110"/>
      <c r="HLV11" s="110"/>
      <c r="HLW11" s="110"/>
      <c r="HLX11" s="110"/>
      <c r="HLY11" s="110"/>
      <c r="HLZ11" s="110"/>
      <c r="HMA11" s="110"/>
      <c r="HMB11" s="110"/>
      <c r="HMC11" s="110"/>
      <c r="HMD11" s="110"/>
      <c r="HME11" s="110"/>
      <c r="HMF11" s="110"/>
      <c r="HMG11" s="110"/>
      <c r="HMH11" s="110"/>
      <c r="HMI11" s="110"/>
      <c r="HMJ11" s="110"/>
      <c r="HMK11" s="110"/>
      <c r="HML11" s="110"/>
      <c r="HMM11" s="110"/>
      <c r="HMN11" s="110"/>
      <c r="HMO11" s="110"/>
      <c r="HMP11" s="110"/>
      <c r="HMQ11" s="110"/>
      <c r="HMR11" s="110"/>
      <c r="HMS11" s="110"/>
      <c r="HMT11" s="110"/>
      <c r="HMU11" s="110"/>
      <c r="HMV11" s="110"/>
      <c r="HMW11" s="110"/>
      <c r="HMX11" s="110"/>
      <c r="HMY11" s="110"/>
      <c r="HMZ11" s="110"/>
      <c r="HNA11" s="110"/>
      <c r="HNB11" s="110"/>
      <c r="HNC11" s="110"/>
      <c r="HND11" s="110"/>
      <c r="HNE11" s="110"/>
      <c r="HNF11" s="110"/>
      <c r="HNG11" s="110"/>
      <c r="HNH11" s="110"/>
      <c r="HNI11" s="110"/>
      <c r="HNJ11" s="110"/>
      <c r="HNK11" s="110"/>
      <c r="HNL11" s="110"/>
      <c r="HNM11" s="110"/>
      <c r="HNN11" s="110"/>
      <c r="HNO11" s="110"/>
      <c r="HNP11" s="110"/>
      <c r="HNQ11" s="110"/>
      <c r="HNR11" s="110"/>
      <c r="HNS11" s="110"/>
      <c r="HNT11" s="110"/>
      <c r="HNU11" s="110"/>
      <c r="HNV11" s="110"/>
      <c r="HNW11" s="110"/>
      <c r="HNX11" s="110"/>
      <c r="HNY11" s="110"/>
      <c r="HNZ11" s="110"/>
      <c r="HOA11" s="110"/>
      <c r="HOB11" s="110"/>
      <c r="HOC11" s="110"/>
      <c r="HOD11" s="110"/>
      <c r="HOE11" s="110"/>
      <c r="HOF11" s="110"/>
      <c r="HOG11" s="110"/>
      <c r="HOH11" s="110"/>
      <c r="HOI11" s="110"/>
      <c r="HOJ11" s="110"/>
      <c r="HOK11" s="110"/>
      <c r="HOL11" s="110"/>
      <c r="HOM11" s="110"/>
      <c r="HON11" s="110"/>
      <c r="HOO11" s="110"/>
      <c r="HOP11" s="110"/>
      <c r="HOQ11" s="110"/>
      <c r="HOR11" s="110"/>
      <c r="HOS11" s="110"/>
      <c r="HOT11" s="110"/>
      <c r="HOU11" s="110"/>
      <c r="HOV11" s="110"/>
      <c r="HOW11" s="110"/>
      <c r="HOX11" s="110"/>
      <c r="HOY11" s="110"/>
      <c r="HOZ11" s="110"/>
      <c r="HPA11" s="110"/>
      <c r="HPB11" s="110"/>
      <c r="HPC11" s="110"/>
      <c r="HPD11" s="110"/>
      <c r="HPE11" s="110"/>
      <c r="HPF11" s="110"/>
      <c r="HPG11" s="110"/>
      <c r="HPH11" s="110"/>
      <c r="HPI11" s="110"/>
      <c r="HPJ11" s="110"/>
      <c r="HPK11" s="110"/>
      <c r="HPL11" s="110"/>
      <c r="HPM11" s="110"/>
      <c r="HPN11" s="110"/>
      <c r="HPO11" s="110"/>
      <c r="HPP11" s="110"/>
      <c r="HPQ11" s="110"/>
      <c r="HPR11" s="110"/>
      <c r="HPS11" s="110"/>
      <c r="HPT11" s="110"/>
      <c r="HPU11" s="110"/>
      <c r="HPV11" s="110"/>
      <c r="HPW11" s="110"/>
      <c r="HPX11" s="110"/>
      <c r="HPY11" s="110"/>
      <c r="HPZ11" s="110"/>
      <c r="HQA11" s="110"/>
      <c r="HQB11" s="110"/>
      <c r="HQC11" s="110"/>
      <c r="HQD11" s="110"/>
      <c r="HQE11" s="110"/>
      <c r="HQF11" s="110"/>
      <c r="HQG11" s="110"/>
      <c r="HQH11" s="110"/>
      <c r="HQI11" s="110"/>
      <c r="HQJ11" s="110"/>
      <c r="HQK11" s="110"/>
      <c r="HQL11" s="110"/>
      <c r="HQM11" s="110"/>
      <c r="HQN11" s="110"/>
      <c r="HQO11" s="110"/>
      <c r="HQP11" s="110"/>
      <c r="HQQ11" s="110"/>
      <c r="HQR11" s="110"/>
      <c r="HQS11" s="110"/>
      <c r="HQT11" s="110"/>
      <c r="HQU11" s="110"/>
      <c r="HQV11" s="110"/>
      <c r="HQW11" s="110"/>
      <c r="HQX11" s="110"/>
      <c r="HQY11" s="110"/>
      <c r="HQZ11" s="110"/>
      <c r="HRA11" s="110"/>
      <c r="HRB11" s="110"/>
      <c r="HRC11" s="110"/>
      <c r="HRD11" s="110"/>
      <c r="HRE11" s="110"/>
      <c r="HRF11" s="110"/>
      <c r="HRG11" s="110"/>
      <c r="HRH11" s="110"/>
      <c r="HRI11" s="110"/>
      <c r="HRJ11" s="110"/>
      <c r="HRK11" s="110"/>
      <c r="HRL11" s="110"/>
      <c r="HRM11" s="110"/>
      <c r="HRN11" s="110"/>
      <c r="HRO11" s="110"/>
      <c r="HRP11" s="110"/>
      <c r="HRQ11" s="110"/>
      <c r="HRR11" s="110"/>
      <c r="HRS11" s="110"/>
      <c r="HRT11" s="110"/>
      <c r="HRU11" s="110"/>
      <c r="HRV11" s="110"/>
      <c r="HRW11" s="110"/>
      <c r="HRX11" s="110"/>
      <c r="HRY11" s="110"/>
      <c r="HRZ11" s="110"/>
      <c r="HSA11" s="110"/>
      <c r="HSB11" s="110"/>
      <c r="HSC11" s="110"/>
      <c r="HSD11" s="110"/>
      <c r="HSE11" s="110"/>
      <c r="HSF11" s="110"/>
      <c r="HSG11" s="110"/>
      <c r="HSH11" s="110"/>
      <c r="HSI11" s="110"/>
      <c r="HSJ11" s="110"/>
      <c r="HSK11" s="110"/>
      <c r="HSL11" s="110"/>
      <c r="HSM11" s="110"/>
      <c r="HSN11" s="110"/>
      <c r="HSO11" s="110"/>
      <c r="HSP11" s="110"/>
      <c r="HSQ11" s="110"/>
      <c r="HSR11" s="110"/>
      <c r="HSS11" s="110"/>
      <c r="HST11" s="110"/>
      <c r="HSU11" s="110"/>
      <c r="HSV11" s="110"/>
      <c r="HSW11" s="110"/>
      <c r="HSX11" s="110"/>
      <c r="HSY11" s="110"/>
      <c r="HSZ11" s="110"/>
      <c r="HTA11" s="110"/>
      <c r="HTB11" s="110"/>
      <c r="HTC11" s="110"/>
      <c r="HTD11" s="110"/>
      <c r="HTE11" s="110"/>
      <c r="HTF11" s="110"/>
      <c r="HTG11" s="110"/>
      <c r="HTH11" s="110"/>
      <c r="HTI11" s="110"/>
      <c r="HTJ11" s="110"/>
      <c r="HTK11" s="110"/>
      <c r="HTL11" s="110"/>
      <c r="HTM11" s="110"/>
      <c r="HTN11" s="110"/>
      <c r="HTO11" s="110"/>
      <c r="HTP11" s="110"/>
      <c r="HTQ11" s="110"/>
      <c r="HTR11" s="110"/>
      <c r="HTS11" s="110"/>
      <c r="HTT11" s="110"/>
      <c r="HTU11" s="110"/>
      <c r="HTV11" s="110"/>
      <c r="HTW11" s="110"/>
      <c r="HTX11" s="110"/>
      <c r="HTY11" s="110"/>
      <c r="HTZ11" s="110"/>
      <c r="HUA11" s="110"/>
      <c r="HUB11" s="110"/>
      <c r="HUC11" s="110"/>
      <c r="HUD11" s="110"/>
      <c r="HUE11" s="110"/>
      <c r="HUF11" s="110"/>
      <c r="HUG11" s="110"/>
      <c r="HUH11" s="110"/>
      <c r="HUI11" s="110"/>
      <c r="HUJ11" s="110"/>
      <c r="HUK11" s="110"/>
      <c r="HUL11" s="110"/>
      <c r="HUM11" s="110"/>
      <c r="HUN11" s="110"/>
      <c r="HUO11" s="110"/>
      <c r="HUP11" s="110"/>
      <c r="HUQ11" s="110"/>
      <c r="HUR11" s="110"/>
      <c r="HUS11" s="110"/>
      <c r="HUT11" s="110"/>
      <c r="HUU11" s="110"/>
      <c r="HUV11" s="110"/>
      <c r="HUW11" s="110"/>
      <c r="HUX11" s="110"/>
      <c r="HUY11" s="110"/>
      <c r="HUZ11" s="110"/>
      <c r="HVA11" s="110"/>
      <c r="HVB11" s="110"/>
      <c r="HVC11" s="110"/>
      <c r="HVD11" s="110"/>
      <c r="HVE11" s="110"/>
      <c r="HVF11" s="110"/>
      <c r="HVG11" s="110"/>
      <c r="HVH11" s="110"/>
      <c r="HVI11" s="110"/>
      <c r="HVJ11" s="110"/>
      <c r="HVK11" s="110"/>
      <c r="HVL11" s="110"/>
      <c r="HVM11" s="110"/>
      <c r="HVN11" s="110"/>
      <c r="HVO11" s="110"/>
      <c r="HVP11" s="110"/>
      <c r="HVQ11" s="110"/>
      <c r="HVR11" s="110"/>
      <c r="HVS11" s="110"/>
      <c r="HVT11" s="110"/>
      <c r="HVU11" s="110"/>
      <c r="HVV11" s="110"/>
      <c r="HVW11" s="110"/>
      <c r="HVX11" s="110"/>
      <c r="HVY11" s="110"/>
      <c r="HVZ11" s="110"/>
      <c r="HWA11" s="110"/>
      <c r="HWB11" s="110"/>
      <c r="HWC11" s="110"/>
      <c r="HWD11" s="110"/>
      <c r="HWE11" s="110"/>
      <c r="HWF11" s="110"/>
      <c r="HWG11" s="110"/>
      <c r="HWH11" s="110"/>
      <c r="HWI11" s="110"/>
      <c r="HWJ11" s="110"/>
      <c r="HWK11" s="110"/>
      <c r="HWL11" s="110"/>
      <c r="HWM11" s="110"/>
      <c r="HWN11" s="110"/>
      <c r="HWO11" s="110"/>
      <c r="HWP11" s="110"/>
      <c r="HWQ11" s="110"/>
      <c r="HWR11" s="110"/>
      <c r="HWS11" s="110"/>
      <c r="HWT11" s="110"/>
      <c r="HWU11" s="110"/>
      <c r="HWV11" s="110"/>
      <c r="HWW11" s="110"/>
      <c r="HWX11" s="110"/>
      <c r="HWY11" s="110"/>
      <c r="HWZ11" s="110"/>
      <c r="HXA11" s="110"/>
      <c r="HXB11" s="110"/>
      <c r="HXC11" s="110"/>
      <c r="HXD11" s="110"/>
      <c r="HXE11" s="110"/>
      <c r="HXF11" s="110"/>
      <c r="HXG11" s="110"/>
      <c r="HXH11" s="110"/>
      <c r="HXI11" s="110"/>
      <c r="HXJ11" s="110"/>
      <c r="HXK11" s="110"/>
      <c r="HXL11" s="110"/>
      <c r="HXM11" s="110"/>
      <c r="HXN11" s="110"/>
      <c r="HXO11" s="110"/>
      <c r="HXP11" s="110"/>
      <c r="HXQ11" s="110"/>
      <c r="HXR11" s="110"/>
      <c r="HXS11" s="110"/>
      <c r="HXT11" s="110"/>
      <c r="HXU11" s="110"/>
      <c r="HXV11" s="110"/>
      <c r="HXW11" s="110"/>
      <c r="HXX11" s="110"/>
      <c r="HXY11" s="110"/>
      <c r="HXZ11" s="110"/>
      <c r="HYA11" s="110"/>
      <c r="HYB11" s="110"/>
      <c r="HYC11" s="110"/>
      <c r="HYD11" s="110"/>
      <c r="HYE11" s="110"/>
      <c r="HYF11" s="110"/>
      <c r="HYG11" s="110"/>
      <c r="HYH11" s="110"/>
      <c r="HYI11" s="110"/>
      <c r="HYJ11" s="110"/>
      <c r="HYK11" s="110"/>
      <c r="HYL11" s="110"/>
      <c r="HYM11" s="110"/>
      <c r="HYN11" s="110"/>
      <c r="HYO11" s="110"/>
      <c r="HYP11" s="110"/>
      <c r="HYQ11" s="110"/>
      <c r="HYR11" s="110"/>
      <c r="HYS11" s="110"/>
      <c r="HYT11" s="110"/>
      <c r="HYU11" s="110"/>
      <c r="HYV11" s="110"/>
      <c r="HYW11" s="110"/>
      <c r="HYX11" s="110"/>
      <c r="HYY11" s="110"/>
      <c r="HYZ11" s="110"/>
      <c r="HZA11" s="110"/>
      <c r="HZB11" s="110"/>
      <c r="HZC11" s="110"/>
      <c r="HZD11" s="110"/>
      <c r="HZE11" s="110"/>
      <c r="HZF11" s="110"/>
      <c r="HZG11" s="110"/>
      <c r="HZH11" s="110"/>
      <c r="HZI11" s="110"/>
      <c r="HZJ11" s="110"/>
      <c r="HZK11" s="110"/>
      <c r="HZL11" s="110"/>
      <c r="HZM11" s="110"/>
      <c r="HZN11" s="110"/>
      <c r="HZO11" s="110"/>
      <c r="HZP11" s="110"/>
      <c r="HZQ11" s="110"/>
      <c r="HZR11" s="110"/>
      <c r="HZS11" s="110"/>
      <c r="HZT11" s="110"/>
      <c r="HZU11" s="110"/>
      <c r="HZV11" s="110"/>
      <c r="HZW11" s="110"/>
      <c r="HZX11" s="110"/>
      <c r="HZY11" s="110"/>
      <c r="HZZ11" s="110"/>
      <c r="IAA11" s="110"/>
      <c r="IAB11" s="110"/>
      <c r="IAC11" s="110"/>
      <c r="IAD11" s="110"/>
      <c r="IAE11" s="110"/>
      <c r="IAF11" s="110"/>
      <c r="IAG11" s="110"/>
      <c r="IAH11" s="110"/>
      <c r="IAI11" s="110"/>
      <c r="IAJ11" s="110"/>
      <c r="IAK11" s="110"/>
      <c r="IAL11" s="110"/>
      <c r="IAM11" s="110"/>
      <c r="IAN11" s="110"/>
      <c r="IAO11" s="110"/>
      <c r="IAP11" s="110"/>
      <c r="IAQ11" s="110"/>
      <c r="IAR11" s="110"/>
      <c r="IAS11" s="110"/>
      <c r="IAT11" s="110"/>
      <c r="IAU11" s="110"/>
      <c r="IAV11" s="110"/>
      <c r="IAW11" s="110"/>
      <c r="IAX11" s="110"/>
      <c r="IAY11" s="110"/>
      <c r="IAZ11" s="110"/>
      <c r="IBA11" s="110"/>
      <c r="IBB11" s="110"/>
      <c r="IBC11" s="110"/>
      <c r="IBD11" s="110"/>
      <c r="IBE11" s="110"/>
      <c r="IBF11" s="110"/>
      <c r="IBG11" s="110"/>
      <c r="IBH11" s="110"/>
      <c r="IBI11" s="110"/>
      <c r="IBJ11" s="110"/>
      <c r="IBK11" s="110"/>
      <c r="IBL11" s="110"/>
      <c r="IBM11" s="110"/>
      <c r="IBN11" s="110"/>
      <c r="IBO11" s="110"/>
      <c r="IBP11" s="110"/>
      <c r="IBQ11" s="110"/>
      <c r="IBR11" s="110"/>
      <c r="IBS11" s="110"/>
      <c r="IBT11" s="110"/>
      <c r="IBU11" s="110"/>
      <c r="IBV11" s="110"/>
      <c r="IBW11" s="110"/>
      <c r="IBX11" s="110"/>
      <c r="IBY11" s="110"/>
      <c r="IBZ11" s="110"/>
      <c r="ICA11" s="110"/>
      <c r="ICB11" s="110"/>
      <c r="ICC11" s="110"/>
      <c r="ICD11" s="110"/>
      <c r="ICE11" s="110"/>
      <c r="ICF11" s="110"/>
      <c r="ICG11" s="110"/>
      <c r="ICH11" s="110"/>
      <c r="ICI11" s="110"/>
      <c r="ICJ11" s="110"/>
      <c r="ICK11" s="110"/>
      <c r="ICL11" s="110"/>
      <c r="ICM11" s="110"/>
      <c r="ICN11" s="110"/>
      <c r="ICO11" s="110"/>
      <c r="ICP11" s="110"/>
      <c r="ICQ11" s="110"/>
      <c r="ICR11" s="110"/>
      <c r="ICS11" s="110"/>
      <c r="ICT11" s="110"/>
      <c r="ICU11" s="110"/>
      <c r="ICV11" s="110"/>
      <c r="ICW11" s="110"/>
      <c r="ICX11" s="110"/>
      <c r="ICY11" s="110"/>
      <c r="ICZ11" s="110"/>
      <c r="IDA11" s="110"/>
      <c r="IDB11" s="110"/>
      <c r="IDC11" s="110"/>
      <c r="IDD11" s="110"/>
      <c r="IDE11" s="110"/>
      <c r="IDF11" s="110"/>
      <c r="IDG11" s="110"/>
      <c r="IDH11" s="110"/>
      <c r="IDI11" s="110"/>
      <c r="IDJ11" s="110"/>
      <c r="IDK11" s="110"/>
      <c r="IDL11" s="110"/>
      <c r="IDM11" s="110"/>
      <c r="IDN11" s="110"/>
      <c r="IDO11" s="110"/>
      <c r="IDP11" s="110"/>
      <c r="IDQ11" s="110"/>
      <c r="IDR11" s="110"/>
      <c r="IDS11" s="110"/>
      <c r="IDT11" s="110"/>
      <c r="IDU11" s="110"/>
      <c r="IDV11" s="110"/>
      <c r="IDW11" s="110"/>
      <c r="IDX11" s="110"/>
      <c r="IDY11" s="110"/>
      <c r="IDZ11" s="110"/>
      <c r="IEA11" s="110"/>
      <c r="IEB11" s="110"/>
      <c r="IEC11" s="110"/>
      <c r="IED11" s="110"/>
      <c r="IEE11" s="110"/>
      <c r="IEF11" s="110"/>
      <c r="IEG11" s="110"/>
      <c r="IEH11" s="110"/>
      <c r="IEI11" s="110"/>
      <c r="IEJ11" s="110"/>
      <c r="IEK11" s="110"/>
      <c r="IEL11" s="110"/>
      <c r="IEM11" s="110"/>
      <c r="IEN11" s="110"/>
      <c r="IEO11" s="110"/>
      <c r="IEP11" s="110"/>
      <c r="IEQ11" s="110"/>
      <c r="IER11" s="110"/>
      <c r="IES11" s="110"/>
      <c r="IET11" s="110"/>
      <c r="IEU11" s="110"/>
      <c r="IEV11" s="110"/>
      <c r="IEW11" s="110"/>
      <c r="IEX11" s="110"/>
      <c r="IEY11" s="110"/>
      <c r="IEZ11" s="110"/>
      <c r="IFA11" s="110"/>
      <c r="IFB11" s="110"/>
      <c r="IFC11" s="110"/>
      <c r="IFD11" s="110"/>
      <c r="IFE11" s="110"/>
      <c r="IFF11" s="110"/>
      <c r="IFG11" s="110"/>
      <c r="IFH11" s="110"/>
      <c r="IFI11" s="110"/>
      <c r="IFJ11" s="110"/>
      <c r="IFK11" s="110"/>
      <c r="IFL11" s="110"/>
      <c r="IFM11" s="110"/>
      <c r="IFN11" s="110"/>
      <c r="IFO11" s="110"/>
      <c r="IFP11" s="110"/>
      <c r="IFQ11" s="110"/>
      <c r="IFR11" s="110"/>
      <c r="IFS11" s="110"/>
      <c r="IFT11" s="110"/>
      <c r="IFU11" s="110"/>
      <c r="IFV11" s="110"/>
      <c r="IFW11" s="110"/>
      <c r="IFX11" s="110"/>
      <c r="IFY11" s="110"/>
      <c r="IFZ11" s="110"/>
      <c r="IGA11" s="110"/>
      <c r="IGB11" s="110"/>
      <c r="IGC11" s="110"/>
      <c r="IGD11" s="110"/>
      <c r="IGE11" s="110"/>
      <c r="IGF11" s="110"/>
      <c r="IGG11" s="110"/>
      <c r="IGH11" s="110"/>
      <c r="IGI11" s="110"/>
      <c r="IGJ11" s="110"/>
      <c r="IGK11" s="110"/>
      <c r="IGL11" s="110"/>
      <c r="IGM11" s="110"/>
      <c r="IGN11" s="110"/>
      <c r="IGO11" s="110"/>
      <c r="IGP11" s="110"/>
      <c r="IGQ11" s="110"/>
      <c r="IGR11" s="110"/>
      <c r="IGS11" s="110"/>
      <c r="IGT11" s="110"/>
      <c r="IGU11" s="110"/>
      <c r="IGV11" s="110"/>
      <c r="IGW11" s="110"/>
      <c r="IGX11" s="110"/>
      <c r="IGY11" s="110"/>
      <c r="IGZ11" s="110"/>
      <c r="IHA11" s="110"/>
      <c r="IHB11" s="110"/>
      <c r="IHC11" s="110"/>
      <c r="IHD11" s="110"/>
      <c r="IHE11" s="110"/>
      <c r="IHF11" s="110"/>
      <c r="IHG11" s="110"/>
      <c r="IHH11" s="110"/>
      <c r="IHI11" s="110"/>
      <c r="IHJ11" s="110"/>
      <c r="IHK11" s="110"/>
      <c r="IHL11" s="110"/>
      <c r="IHM11" s="110"/>
      <c r="IHN11" s="110"/>
      <c r="IHO11" s="110"/>
      <c r="IHP11" s="110"/>
      <c r="IHQ11" s="110"/>
      <c r="IHR11" s="110"/>
      <c r="IHS11" s="110"/>
      <c r="IHT11" s="110"/>
      <c r="IHU11" s="110"/>
      <c r="IHV11" s="110"/>
      <c r="IHW11" s="110"/>
      <c r="IHX11" s="110"/>
      <c r="IHY11" s="110"/>
      <c r="IHZ11" s="110"/>
      <c r="IIA11" s="110"/>
      <c r="IIB11" s="110"/>
      <c r="IIC11" s="110"/>
      <c r="IID11" s="110"/>
      <c r="IIE11" s="110"/>
      <c r="IIF11" s="110"/>
      <c r="IIG11" s="110"/>
      <c r="IIH11" s="110"/>
      <c r="III11" s="110"/>
      <c r="IIJ11" s="110"/>
      <c r="IIK11" s="110"/>
      <c r="IIL11" s="110"/>
      <c r="IIM11" s="110"/>
      <c r="IIN11" s="110"/>
      <c r="IIO11" s="110"/>
      <c r="IIP11" s="110"/>
      <c r="IIQ11" s="110"/>
      <c r="IIR11" s="110"/>
      <c r="IIS11" s="110"/>
      <c r="IIT11" s="110"/>
      <c r="IIU11" s="110"/>
      <c r="IIV11" s="110"/>
      <c r="IIW11" s="110"/>
      <c r="IIX11" s="110"/>
      <c r="IIY11" s="110"/>
      <c r="IIZ11" s="110"/>
      <c r="IJA11" s="110"/>
      <c r="IJB11" s="110"/>
      <c r="IJC11" s="110"/>
      <c r="IJD11" s="110"/>
      <c r="IJE11" s="110"/>
      <c r="IJF11" s="110"/>
      <c r="IJG11" s="110"/>
      <c r="IJH11" s="110"/>
      <c r="IJI11" s="110"/>
      <c r="IJJ11" s="110"/>
      <c r="IJK11" s="110"/>
      <c r="IJL11" s="110"/>
      <c r="IJM11" s="110"/>
      <c r="IJN11" s="110"/>
      <c r="IJO11" s="110"/>
      <c r="IJP11" s="110"/>
      <c r="IJQ11" s="110"/>
      <c r="IJR11" s="110"/>
      <c r="IJS11" s="110"/>
      <c r="IJT11" s="110"/>
      <c r="IJU11" s="110"/>
      <c r="IJV11" s="110"/>
      <c r="IJW11" s="110"/>
      <c r="IJX11" s="110"/>
      <c r="IJY11" s="110"/>
      <c r="IJZ11" s="110"/>
      <c r="IKA11" s="110"/>
      <c r="IKB11" s="110"/>
      <c r="IKC11" s="110"/>
      <c r="IKD11" s="110"/>
      <c r="IKE11" s="110"/>
      <c r="IKF11" s="110"/>
      <c r="IKG11" s="110"/>
      <c r="IKH11" s="110"/>
      <c r="IKI11" s="110"/>
      <c r="IKJ11" s="110"/>
      <c r="IKK11" s="110"/>
      <c r="IKL11" s="110"/>
      <c r="IKM11" s="110"/>
      <c r="IKN11" s="110"/>
      <c r="IKO11" s="110"/>
      <c r="IKP11" s="110"/>
      <c r="IKQ11" s="110"/>
      <c r="IKR11" s="110"/>
      <c r="IKS11" s="110"/>
      <c r="IKT11" s="110"/>
      <c r="IKU11" s="110"/>
      <c r="IKV11" s="110"/>
      <c r="IKW11" s="110"/>
      <c r="IKX11" s="110"/>
      <c r="IKY11" s="110"/>
      <c r="IKZ11" s="110"/>
      <c r="ILA11" s="110"/>
      <c r="ILB11" s="110"/>
      <c r="ILC11" s="110"/>
      <c r="ILD11" s="110"/>
      <c r="ILE11" s="110"/>
      <c r="ILF11" s="110"/>
      <c r="ILG11" s="110"/>
      <c r="ILH11" s="110"/>
      <c r="ILI11" s="110"/>
      <c r="ILJ11" s="110"/>
      <c r="ILK11" s="110"/>
      <c r="ILL11" s="110"/>
      <c r="ILM11" s="110"/>
      <c r="ILN11" s="110"/>
      <c r="ILO11" s="110"/>
      <c r="ILP11" s="110"/>
      <c r="ILQ11" s="110"/>
      <c r="ILR11" s="110"/>
      <c r="ILS11" s="110"/>
      <c r="ILT11" s="110"/>
      <c r="ILU11" s="110"/>
      <c r="ILV11" s="110"/>
      <c r="ILW11" s="110"/>
      <c r="ILX11" s="110"/>
      <c r="ILY11" s="110"/>
      <c r="ILZ11" s="110"/>
      <c r="IMA11" s="110"/>
      <c r="IMB11" s="110"/>
      <c r="IMC11" s="110"/>
      <c r="IMD11" s="110"/>
      <c r="IME11" s="110"/>
      <c r="IMF11" s="110"/>
      <c r="IMG11" s="110"/>
      <c r="IMH11" s="110"/>
      <c r="IMI11" s="110"/>
      <c r="IMJ11" s="110"/>
      <c r="IMK11" s="110"/>
      <c r="IML11" s="110"/>
      <c r="IMM11" s="110"/>
      <c r="IMN11" s="110"/>
      <c r="IMO11" s="110"/>
      <c r="IMP11" s="110"/>
      <c r="IMQ11" s="110"/>
      <c r="IMR11" s="110"/>
      <c r="IMS11" s="110"/>
      <c r="IMT11" s="110"/>
      <c r="IMU11" s="110"/>
      <c r="IMV11" s="110"/>
      <c r="IMW11" s="110"/>
      <c r="IMX11" s="110"/>
      <c r="IMY11" s="110"/>
      <c r="IMZ11" s="110"/>
      <c r="INA11" s="110"/>
      <c r="INB11" s="110"/>
      <c r="INC11" s="110"/>
      <c r="IND11" s="110"/>
      <c r="INE11" s="110"/>
      <c r="INF11" s="110"/>
      <c r="ING11" s="110"/>
      <c r="INH11" s="110"/>
      <c r="INI11" s="110"/>
      <c r="INJ11" s="110"/>
      <c r="INK11" s="110"/>
      <c r="INL11" s="110"/>
      <c r="INM11" s="110"/>
      <c r="INN11" s="110"/>
      <c r="INO11" s="110"/>
      <c r="INP11" s="110"/>
      <c r="INQ11" s="110"/>
      <c r="INR11" s="110"/>
      <c r="INS11" s="110"/>
      <c r="INT11" s="110"/>
      <c r="INU11" s="110"/>
      <c r="INV11" s="110"/>
      <c r="INW11" s="110"/>
      <c r="INX11" s="110"/>
      <c r="INY11" s="110"/>
      <c r="INZ11" s="110"/>
      <c r="IOA11" s="110"/>
      <c r="IOB11" s="110"/>
      <c r="IOC11" s="110"/>
      <c r="IOD11" s="110"/>
      <c r="IOE11" s="110"/>
      <c r="IOF11" s="110"/>
      <c r="IOG11" s="110"/>
      <c r="IOH11" s="110"/>
      <c r="IOI11" s="110"/>
      <c r="IOJ11" s="110"/>
      <c r="IOK11" s="110"/>
      <c r="IOL11" s="110"/>
      <c r="IOM11" s="110"/>
      <c r="ION11" s="110"/>
      <c r="IOO11" s="110"/>
      <c r="IOP11" s="110"/>
      <c r="IOQ11" s="110"/>
      <c r="IOR11" s="110"/>
      <c r="IOS11" s="110"/>
      <c r="IOT11" s="110"/>
      <c r="IOU11" s="110"/>
      <c r="IOV11" s="110"/>
      <c r="IOW11" s="110"/>
      <c r="IOX11" s="110"/>
      <c r="IOY11" s="110"/>
      <c r="IOZ11" s="110"/>
      <c r="IPA11" s="110"/>
      <c r="IPB11" s="110"/>
      <c r="IPC11" s="110"/>
      <c r="IPD11" s="110"/>
      <c r="IPE11" s="110"/>
      <c r="IPF11" s="110"/>
      <c r="IPG11" s="110"/>
      <c r="IPH11" s="110"/>
      <c r="IPI11" s="110"/>
      <c r="IPJ11" s="110"/>
      <c r="IPK11" s="110"/>
      <c r="IPL11" s="110"/>
      <c r="IPM11" s="110"/>
      <c r="IPN11" s="110"/>
      <c r="IPO11" s="110"/>
      <c r="IPP11" s="110"/>
      <c r="IPQ11" s="110"/>
      <c r="IPR11" s="110"/>
      <c r="IPS11" s="110"/>
      <c r="IPT11" s="110"/>
      <c r="IPU11" s="110"/>
      <c r="IPV11" s="110"/>
      <c r="IPW11" s="110"/>
      <c r="IPX11" s="110"/>
      <c r="IPY11" s="110"/>
      <c r="IPZ11" s="110"/>
      <c r="IQA11" s="110"/>
      <c r="IQB11" s="110"/>
      <c r="IQC11" s="110"/>
      <c r="IQD11" s="110"/>
      <c r="IQE11" s="110"/>
      <c r="IQF11" s="110"/>
      <c r="IQG11" s="110"/>
      <c r="IQH11" s="110"/>
      <c r="IQI11" s="110"/>
      <c r="IQJ11" s="110"/>
      <c r="IQK11" s="110"/>
      <c r="IQL11" s="110"/>
      <c r="IQM11" s="110"/>
      <c r="IQN11" s="110"/>
      <c r="IQO11" s="110"/>
      <c r="IQP11" s="110"/>
      <c r="IQQ11" s="110"/>
      <c r="IQR11" s="110"/>
      <c r="IQS11" s="110"/>
      <c r="IQT11" s="110"/>
      <c r="IQU11" s="110"/>
      <c r="IQV11" s="110"/>
      <c r="IQW11" s="110"/>
      <c r="IQX11" s="110"/>
      <c r="IQY11" s="110"/>
      <c r="IQZ11" s="110"/>
      <c r="IRA11" s="110"/>
      <c r="IRB11" s="110"/>
      <c r="IRC11" s="110"/>
      <c r="IRD11" s="110"/>
      <c r="IRE11" s="110"/>
      <c r="IRF11" s="110"/>
      <c r="IRG11" s="110"/>
      <c r="IRH11" s="110"/>
      <c r="IRI11" s="110"/>
      <c r="IRJ11" s="110"/>
      <c r="IRK11" s="110"/>
      <c r="IRL11" s="110"/>
      <c r="IRM11" s="110"/>
      <c r="IRN11" s="110"/>
      <c r="IRO11" s="110"/>
      <c r="IRP11" s="110"/>
      <c r="IRQ11" s="110"/>
      <c r="IRR11" s="110"/>
      <c r="IRS11" s="110"/>
      <c r="IRT11" s="110"/>
      <c r="IRU11" s="110"/>
      <c r="IRV11" s="110"/>
      <c r="IRW11" s="110"/>
      <c r="IRX11" s="110"/>
      <c r="IRY11" s="110"/>
      <c r="IRZ11" s="110"/>
      <c r="ISA11" s="110"/>
      <c r="ISB11" s="110"/>
      <c r="ISC11" s="110"/>
      <c r="ISD11" s="110"/>
      <c r="ISE11" s="110"/>
      <c r="ISF11" s="110"/>
      <c r="ISG11" s="110"/>
      <c r="ISH11" s="110"/>
      <c r="ISI11" s="110"/>
      <c r="ISJ11" s="110"/>
      <c r="ISK11" s="110"/>
      <c r="ISL11" s="110"/>
      <c r="ISM11" s="110"/>
      <c r="ISN11" s="110"/>
      <c r="ISO11" s="110"/>
      <c r="ISP11" s="110"/>
      <c r="ISQ11" s="110"/>
      <c r="ISR11" s="110"/>
      <c r="ISS11" s="110"/>
      <c r="IST11" s="110"/>
      <c r="ISU11" s="110"/>
      <c r="ISV11" s="110"/>
      <c r="ISW11" s="110"/>
      <c r="ISX11" s="110"/>
      <c r="ISY11" s="110"/>
      <c r="ISZ11" s="110"/>
      <c r="ITA11" s="110"/>
      <c r="ITB11" s="110"/>
      <c r="ITC11" s="110"/>
      <c r="ITD11" s="110"/>
      <c r="ITE11" s="110"/>
      <c r="ITF11" s="110"/>
      <c r="ITG11" s="110"/>
      <c r="ITH11" s="110"/>
      <c r="ITI11" s="110"/>
      <c r="ITJ11" s="110"/>
      <c r="ITK11" s="110"/>
      <c r="ITL11" s="110"/>
      <c r="ITM11" s="110"/>
      <c r="ITN11" s="110"/>
      <c r="ITO11" s="110"/>
      <c r="ITP11" s="110"/>
      <c r="ITQ11" s="110"/>
      <c r="ITR11" s="110"/>
      <c r="ITS11" s="110"/>
      <c r="ITT11" s="110"/>
      <c r="ITU11" s="110"/>
      <c r="ITV11" s="110"/>
      <c r="ITW11" s="110"/>
      <c r="ITX11" s="110"/>
      <c r="ITY11" s="110"/>
      <c r="ITZ11" s="110"/>
      <c r="IUA11" s="110"/>
      <c r="IUB11" s="110"/>
      <c r="IUC11" s="110"/>
      <c r="IUD11" s="110"/>
      <c r="IUE11" s="110"/>
      <c r="IUF11" s="110"/>
      <c r="IUG11" s="110"/>
      <c r="IUH11" s="110"/>
      <c r="IUI11" s="110"/>
      <c r="IUJ11" s="110"/>
      <c r="IUK11" s="110"/>
      <c r="IUL11" s="110"/>
      <c r="IUM11" s="110"/>
      <c r="IUN11" s="110"/>
      <c r="IUO11" s="110"/>
      <c r="IUP11" s="110"/>
      <c r="IUQ11" s="110"/>
      <c r="IUR11" s="110"/>
      <c r="IUS11" s="110"/>
      <c r="IUT11" s="110"/>
      <c r="IUU11" s="110"/>
      <c r="IUV11" s="110"/>
      <c r="IUW11" s="110"/>
      <c r="IUX11" s="110"/>
      <c r="IUY11" s="110"/>
      <c r="IUZ11" s="110"/>
      <c r="IVA11" s="110"/>
      <c r="IVB11" s="110"/>
      <c r="IVC11" s="110"/>
      <c r="IVD11" s="110"/>
      <c r="IVE11" s="110"/>
      <c r="IVF11" s="110"/>
      <c r="IVG11" s="110"/>
      <c r="IVH11" s="110"/>
      <c r="IVI11" s="110"/>
      <c r="IVJ11" s="110"/>
      <c r="IVK11" s="110"/>
      <c r="IVL11" s="110"/>
      <c r="IVM11" s="110"/>
      <c r="IVN11" s="110"/>
      <c r="IVO11" s="110"/>
      <c r="IVP11" s="110"/>
      <c r="IVQ11" s="110"/>
      <c r="IVR11" s="110"/>
      <c r="IVS11" s="110"/>
      <c r="IVT11" s="110"/>
      <c r="IVU11" s="110"/>
      <c r="IVV11" s="110"/>
      <c r="IVW11" s="110"/>
      <c r="IVX11" s="110"/>
      <c r="IVY11" s="110"/>
      <c r="IVZ11" s="110"/>
      <c r="IWA11" s="110"/>
      <c r="IWB11" s="110"/>
      <c r="IWC11" s="110"/>
      <c r="IWD11" s="110"/>
      <c r="IWE11" s="110"/>
      <c r="IWF11" s="110"/>
      <c r="IWG11" s="110"/>
      <c r="IWH11" s="110"/>
      <c r="IWI11" s="110"/>
      <c r="IWJ11" s="110"/>
      <c r="IWK11" s="110"/>
      <c r="IWL11" s="110"/>
      <c r="IWM11" s="110"/>
      <c r="IWN11" s="110"/>
      <c r="IWO11" s="110"/>
      <c r="IWP11" s="110"/>
      <c r="IWQ11" s="110"/>
      <c r="IWR11" s="110"/>
      <c r="IWS11" s="110"/>
      <c r="IWT11" s="110"/>
      <c r="IWU11" s="110"/>
      <c r="IWV11" s="110"/>
      <c r="IWW11" s="110"/>
      <c r="IWX11" s="110"/>
      <c r="IWY11" s="110"/>
      <c r="IWZ11" s="110"/>
      <c r="IXA11" s="110"/>
      <c r="IXB11" s="110"/>
      <c r="IXC11" s="110"/>
      <c r="IXD11" s="110"/>
      <c r="IXE11" s="110"/>
      <c r="IXF11" s="110"/>
      <c r="IXG11" s="110"/>
      <c r="IXH11" s="110"/>
      <c r="IXI11" s="110"/>
      <c r="IXJ11" s="110"/>
      <c r="IXK11" s="110"/>
      <c r="IXL11" s="110"/>
      <c r="IXM11" s="110"/>
      <c r="IXN11" s="110"/>
      <c r="IXO11" s="110"/>
      <c r="IXP11" s="110"/>
      <c r="IXQ11" s="110"/>
      <c r="IXR11" s="110"/>
      <c r="IXS11" s="110"/>
      <c r="IXT11" s="110"/>
      <c r="IXU11" s="110"/>
      <c r="IXV11" s="110"/>
      <c r="IXW11" s="110"/>
      <c r="IXX11" s="110"/>
      <c r="IXY11" s="110"/>
      <c r="IXZ11" s="110"/>
      <c r="IYA11" s="110"/>
      <c r="IYB11" s="110"/>
      <c r="IYC11" s="110"/>
      <c r="IYD11" s="110"/>
      <c r="IYE11" s="110"/>
      <c r="IYF11" s="110"/>
      <c r="IYG11" s="110"/>
      <c r="IYH11" s="110"/>
      <c r="IYI11" s="110"/>
      <c r="IYJ11" s="110"/>
      <c r="IYK11" s="110"/>
      <c r="IYL11" s="110"/>
      <c r="IYM11" s="110"/>
      <c r="IYN11" s="110"/>
      <c r="IYO11" s="110"/>
      <c r="IYP11" s="110"/>
      <c r="IYQ11" s="110"/>
      <c r="IYR11" s="110"/>
      <c r="IYS11" s="110"/>
      <c r="IYT11" s="110"/>
      <c r="IYU11" s="110"/>
      <c r="IYV11" s="110"/>
      <c r="IYW11" s="110"/>
      <c r="IYX11" s="110"/>
      <c r="IYY11" s="110"/>
      <c r="IYZ11" s="110"/>
      <c r="IZA11" s="110"/>
      <c r="IZB11" s="110"/>
      <c r="IZC11" s="110"/>
      <c r="IZD11" s="110"/>
      <c r="IZE11" s="110"/>
      <c r="IZF11" s="110"/>
      <c r="IZG11" s="110"/>
      <c r="IZH11" s="110"/>
      <c r="IZI11" s="110"/>
      <c r="IZJ11" s="110"/>
      <c r="IZK11" s="110"/>
      <c r="IZL11" s="110"/>
      <c r="IZM11" s="110"/>
      <c r="IZN11" s="110"/>
      <c r="IZO11" s="110"/>
      <c r="IZP11" s="110"/>
      <c r="IZQ11" s="110"/>
      <c r="IZR11" s="110"/>
      <c r="IZS11" s="110"/>
      <c r="IZT11" s="110"/>
      <c r="IZU11" s="110"/>
      <c r="IZV11" s="110"/>
      <c r="IZW11" s="110"/>
      <c r="IZX11" s="110"/>
      <c r="IZY11" s="110"/>
      <c r="IZZ11" s="110"/>
      <c r="JAA11" s="110"/>
      <c r="JAB11" s="110"/>
      <c r="JAC11" s="110"/>
      <c r="JAD11" s="110"/>
      <c r="JAE11" s="110"/>
      <c r="JAF11" s="110"/>
      <c r="JAG11" s="110"/>
      <c r="JAH11" s="110"/>
      <c r="JAI11" s="110"/>
      <c r="JAJ11" s="110"/>
      <c r="JAK11" s="110"/>
      <c r="JAL11" s="110"/>
      <c r="JAM11" s="110"/>
      <c r="JAN11" s="110"/>
      <c r="JAO11" s="110"/>
      <c r="JAP11" s="110"/>
      <c r="JAQ11" s="110"/>
      <c r="JAR11" s="110"/>
      <c r="JAS11" s="110"/>
      <c r="JAT11" s="110"/>
      <c r="JAU11" s="110"/>
      <c r="JAV11" s="110"/>
      <c r="JAW11" s="110"/>
      <c r="JAX11" s="110"/>
      <c r="JAY11" s="110"/>
      <c r="JAZ11" s="110"/>
      <c r="JBA11" s="110"/>
      <c r="JBB11" s="110"/>
      <c r="JBC11" s="110"/>
      <c r="JBD11" s="110"/>
      <c r="JBE11" s="110"/>
      <c r="JBF11" s="110"/>
      <c r="JBG11" s="110"/>
      <c r="JBH11" s="110"/>
      <c r="JBI11" s="110"/>
      <c r="JBJ11" s="110"/>
      <c r="JBK11" s="110"/>
      <c r="JBL11" s="110"/>
      <c r="JBM11" s="110"/>
      <c r="JBN11" s="110"/>
      <c r="JBO11" s="110"/>
      <c r="JBP11" s="110"/>
      <c r="JBQ11" s="110"/>
      <c r="JBR11" s="110"/>
      <c r="JBS11" s="110"/>
      <c r="JBT11" s="110"/>
      <c r="JBU11" s="110"/>
      <c r="JBV11" s="110"/>
      <c r="JBW11" s="110"/>
      <c r="JBX11" s="110"/>
      <c r="JBY11" s="110"/>
      <c r="JBZ11" s="110"/>
      <c r="JCA11" s="110"/>
      <c r="JCB11" s="110"/>
      <c r="JCC11" s="110"/>
      <c r="JCD11" s="110"/>
      <c r="JCE11" s="110"/>
      <c r="JCF11" s="110"/>
      <c r="JCG11" s="110"/>
      <c r="JCH11" s="110"/>
      <c r="JCI11" s="110"/>
      <c r="JCJ11" s="110"/>
      <c r="JCK11" s="110"/>
      <c r="JCL11" s="110"/>
      <c r="JCM11" s="110"/>
      <c r="JCN11" s="110"/>
      <c r="JCO11" s="110"/>
      <c r="JCP11" s="110"/>
      <c r="JCQ11" s="110"/>
      <c r="JCR11" s="110"/>
      <c r="JCS11" s="110"/>
      <c r="JCT11" s="110"/>
      <c r="JCU11" s="110"/>
      <c r="JCV11" s="110"/>
      <c r="JCW11" s="110"/>
      <c r="JCX11" s="110"/>
      <c r="JCY11" s="110"/>
      <c r="JCZ11" s="110"/>
      <c r="JDA11" s="110"/>
      <c r="JDB11" s="110"/>
      <c r="JDC11" s="110"/>
      <c r="JDD11" s="110"/>
      <c r="JDE11" s="110"/>
      <c r="JDF11" s="110"/>
      <c r="JDG11" s="110"/>
      <c r="JDH11" s="110"/>
      <c r="JDI11" s="110"/>
      <c r="JDJ11" s="110"/>
      <c r="JDK11" s="110"/>
      <c r="JDL11" s="110"/>
      <c r="JDM11" s="110"/>
      <c r="JDN11" s="110"/>
      <c r="JDO11" s="110"/>
      <c r="JDP11" s="110"/>
      <c r="JDQ11" s="110"/>
      <c r="JDR11" s="110"/>
      <c r="JDS11" s="110"/>
      <c r="JDT11" s="110"/>
      <c r="JDU11" s="110"/>
      <c r="JDV11" s="110"/>
      <c r="JDW11" s="110"/>
      <c r="JDX11" s="110"/>
      <c r="JDY11" s="110"/>
      <c r="JDZ11" s="110"/>
      <c r="JEA11" s="110"/>
      <c r="JEB11" s="110"/>
      <c r="JEC11" s="110"/>
      <c r="JED11" s="110"/>
      <c r="JEE11" s="110"/>
      <c r="JEF11" s="110"/>
      <c r="JEG11" s="110"/>
      <c r="JEH11" s="110"/>
      <c r="JEI11" s="110"/>
      <c r="JEJ11" s="110"/>
      <c r="JEK11" s="110"/>
      <c r="JEL11" s="110"/>
      <c r="JEM11" s="110"/>
      <c r="JEN11" s="110"/>
      <c r="JEO11" s="110"/>
      <c r="JEP11" s="110"/>
      <c r="JEQ11" s="110"/>
      <c r="JER11" s="110"/>
      <c r="JES11" s="110"/>
      <c r="JET11" s="110"/>
      <c r="JEU11" s="110"/>
      <c r="JEV11" s="110"/>
      <c r="JEW11" s="110"/>
      <c r="JEX11" s="110"/>
      <c r="JEY11" s="110"/>
      <c r="JEZ11" s="110"/>
      <c r="JFA11" s="110"/>
      <c r="JFB11" s="110"/>
      <c r="JFC11" s="110"/>
      <c r="JFD11" s="110"/>
      <c r="JFE11" s="110"/>
      <c r="JFF11" s="110"/>
      <c r="JFG11" s="110"/>
      <c r="JFH11" s="110"/>
      <c r="JFI11" s="110"/>
      <c r="JFJ11" s="110"/>
      <c r="JFK11" s="110"/>
      <c r="JFL11" s="110"/>
      <c r="JFM11" s="110"/>
      <c r="JFN11" s="110"/>
      <c r="JFO11" s="110"/>
      <c r="JFP11" s="110"/>
      <c r="JFQ11" s="110"/>
      <c r="JFR11" s="110"/>
      <c r="JFS11" s="110"/>
      <c r="JFT11" s="110"/>
      <c r="JFU11" s="110"/>
      <c r="JFV11" s="110"/>
      <c r="JFW11" s="110"/>
      <c r="JFX11" s="110"/>
      <c r="JFY11" s="110"/>
      <c r="JFZ11" s="110"/>
      <c r="JGA11" s="110"/>
      <c r="JGB11" s="110"/>
      <c r="JGC11" s="110"/>
      <c r="JGD11" s="110"/>
      <c r="JGE11" s="110"/>
      <c r="JGF11" s="110"/>
      <c r="JGG11" s="110"/>
      <c r="JGH11" s="110"/>
      <c r="JGI11" s="110"/>
      <c r="JGJ11" s="110"/>
      <c r="JGK11" s="110"/>
      <c r="JGL11" s="110"/>
      <c r="JGM11" s="110"/>
      <c r="JGN11" s="110"/>
      <c r="JGO11" s="110"/>
      <c r="JGP11" s="110"/>
      <c r="JGQ11" s="110"/>
      <c r="JGR11" s="110"/>
      <c r="JGS11" s="110"/>
      <c r="JGT11" s="110"/>
      <c r="JGU11" s="110"/>
      <c r="JGV11" s="110"/>
      <c r="JGW11" s="110"/>
      <c r="JGX11" s="110"/>
      <c r="JGY11" s="110"/>
      <c r="JGZ11" s="110"/>
      <c r="JHA11" s="110"/>
      <c r="JHB11" s="110"/>
      <c r="JHC11" s="110"/>
      <c r="JHD11" s="110"/>
      <c r="JHE11" s="110"/>
      <c r="JHF11" s="110"/>
      <c r="JHG11" s="110"/>
      <c r="JHH11" s="110"/>
      <c r="JHI11" s="110"/>
      <c r="JHJ11" s="110"/>
      <c r="JHK11" s="110"/>
      <c r="JHL11" s="110"/>
      <c r="JHM11" s="110"/>
      <c r="JHN11" s="110"/>
      <c r="JHO11" s="110"/>
      <c r="JHP11" s="110"/>
      <c r="JHQ11" s="110"/>
      <c r="JHR11" s="110"/>
      <c r="JHS11" s="110"/>
      <c r="JHT11" s="110"/>
      <c r="JHU11" s="110"/>
      <c r="JHV11" s="110"/>
      <c r="JHW11" s="110"/>
      <c r="JHX11" s="110"/>
      <c r="JHY11" s="110"/>
      <c r="JHZ11" s="110"/>
      <c r="JIA11" s="110"/>
      <c r="JIB11" s="110"/>
      <c r="JIC11" s="110"/>
      <c r="JID11" s="110"/>
      <c r="JIE11" s="110"/>
      <c r="JIF11" s="110"/>
      <c r="JIG11" s="110"/>
      <c r="JIH11" s="110"/>
      <c r="JII11" s="110"/>
      <c r="JIJ11" s="110"/>
      <c r="JIK11" s="110"/>
      <c r="JIL11" s="110"/>
      <c r="JIM11" s="110"/>
      <c r="JIN11" s="110"/>
      <c r="JIO11" s="110"/>
      <c r="JIP11" s="110"/>
      <c r="JIQ11" s="110"/>
      <c r="JIR11" s="110"/>
      <c r="JIS11" s="110"/>
      <c r="JIT11" s="110"/>
      <c r="JIU11" s="110"/>
      <c r="JIV11" s="110"/>
      <c r="JIW11" s="110"/>
      <c r="JIX11" s="110"/>
      <c r="JIY11" s="110"/>
      <c r="JIZ11" s="110"/>
      <c r="JJA11" s="110"/>
      <c r="JJB11" s="110"/>
      <c r="JJC11" s="110"/>
      <c r="JJD11" s="110"/>
      <c r="JJE11" s="110"/>
      <c r="JJF11" s="110"/>
      <c r="JJG11" s="110"/>
      <c r="JJH11" s="110"/>
      <c r="JJI11" s="110"/>
      <c r="JJJ11" s="110"/>
      <c r="JJK11" s="110"/>
      <c r="JJL11" s="110"/>
      <c r="JJM11" s="110"/>
      <c r="JJN11" s="110"/>
      <c r="JJO11" s="110"/>
      <c r="JJP11" s="110"/>
      <c r="JJQ11" s="110"/>
      <c r="JJR11" s="110"/>
      <c r="JJS11" s="110"/>
      <c r="JJT11" s="110"/>
      <c r="JJU11" s="110"/>
      <c r="JJV11" s="110"/>
      <c r="JJW11" s="110"/>
      <c r="JJX11" s="110"/>
      <c r="JJY11" s="110"/>
      <c r="JJZ11" s="110"/>
      <c r="JKA11" s="110"/>
      <c r="JKB11" s="110"/>
      <c r="JKC11" s="110"/>
      <c r="JKD11" s="110"/>
      <c r="JKE11" s="110"/>
      <c r="JKF11" s="110"/>
      <c r="JKG11" s="110"/>
      <c r="JKH11" s="110"/>
      <c r="JKI11" s="110"/>
      <c r="JKJ11" s="110"/>
      <c r="JKK11" s="110"/>
      <c r="JKL11" s="110"/>
      <c r="JKM11" s="110"/>
      <c r="JKN11" s="110"/>
      <c r="JKO11" s="110"/>
      <c r="JKP11" s="110"/>
      <c r="JKQ11" s="110"/>
      <c r="JKR11" s="110"/>
      <c r="JKS11" s="110"/>
      <c r="JKT11" s="110"/>
      <c r="JKU11" s="110"/>
      <c r="JKV11" s="110"/>
      <c r="JKW11" s="110"/>
      <c r="JKX11" s="110"/>
      <c r="JKY11" s="110"/>
      <c r="JKZ11" s="110"/>
      <c r="JLA11" s="110"/>
      <c r="JLB11" s="110"/>
      <c r="JLC11" s="110"/>
      <c r="JLD11" s="110"/>
      <c r="JLE11" s="110"/>
      <c r="JLF11" s="110"/>
      <c r="JLG11" s="110"/>
      <c r="JLH11" s="110"/>
      <c r="JLI11" s="110"/>
      <c r="JLJ11" s="110"/>
      <c r="JLK11" s="110"/>
      <c r="JLL11" s="110"/>
      <c r="JLM11" s="110"/>
      <c r="JLN11" s="110"/>
      <c r="JLO11" s="110"/>
      <c r="JLP11" s="110"/>
      <c r="JLQ11" s="110"/>
      <c r="JLR11" s="110"/>
      <c r="JLS11" s="110"/>
      <c r="JLT11" s="110"/>
      <c r="JLU11" s="110"/>
      <c r="JLV11" s="110"/>
      <c r="JLW11" s="110"/>
      <c r="JLX11" s="110"/>
      <c r="JLY11" s="110"/>
      <c r="JLZ11" s="110"/>
      <c r="JMA11" s="110"/>
      <c r="JMB11" s="110"/>
      <c r="JMC11" s="110"/>
      <c r="JMD11" s="110"/>
      <c r="JME11" s="110"/>
      <c r="JMF11" s="110"/>
      <c r="JMG11" s="110"/>
      <c r="JMH11" s="110"/>
      <c r="JMI11" s="110"/>
      <c r="JMJ11" s="110"/>
      <c r="JMK11" s="110"/>
      <c r="JML11" s="110"/>
      <c r="JMM11" s="110"/>
      <c r="JMN11" s="110"/>
      <c r="JMO11" s="110"/>
      <c r="JMP11" s="110"/>
      <c r="JMQ11" s="110"/>
      <c r="JMR11" s="110"/>
      <c r="JMS11" s="110"/>
      <c r="JMT11" s="110"/>
      <c r="JMU11" s="110"/>
      <c r="JMV11" s="110"/>
      <c r="JMW11" s="110"/>
      <c r="JMX11" s="110"/>
      <c r="JMY11" s="110"/>
      <c r="JMZ11" s="110"/>
      <c r="JNA11" s="110"/>
      <c r="JNB11" s="110"/>
      <c r="JNC11" s="110"/>
      <c r="JND11" s="110"/>
      <c r="JNE11" s="110"/>
      <c r="JNF11" s="110"/>
      <c r="JNG11" s="110"/>
      <c r="JNH11" s="110"/>
      <c r="JNI11" s="110"/>
      <c r="JNJ11" s="110"/>
      <c r="JNK11" s="110"/>
      <c r="JNL11" s="110"/>
      <c r="JNM11" s="110"/>
      <c r="JNN11" s="110"/>
      <c r="JNO11" s="110"/>
      <c r="JNP11" s="110"/>
      <c r="JNQ11" s="110"/>
      <c r="JNR11" s="110"/>
      <c r="JNS11" s="110"/>
      <c r="JNT11" s="110"/>
      <c r="JNU11" s="110"/>
      <c r="JNV11" s="110"/>
      <c r="JNW11" s="110"/>
      <c r="JNX11" s="110"/>
      <c r="JNY11" s="110"/>
      <c r="JNZ11" s="110"/>
      <c r="JOA11" s="110"/>
      <c r="JOB11" s="110"/>
      <c r="JOC11" s="110"/>
      <c r="JOD11" s="110"/>
      <c r="JOE11" s="110"/>
      <c r="JOF11" s="110"/>
      <c r="JOG11" s="110"/>
      <c r="JOH11" s="110"/>
      <c r="JOI11" s="110"/>
      <c r="JOJ11" s="110"/>
      <c r="JOK11" s="110"/>
      <c r="JOL11" s="110"/>
      <c r="JOM11" s="110"/>
      <c r="JON11" s="110"/>
      <c r="JOO11" s="110"/>
      <c r="JOP11" s="110"/>
      <c r="JOQ11" s="110"/>
      <c r="JOR11" s="110"/>
      <c r="JOS11" s="110"/>
      <c r="JOT11" s="110"/>
      <c r="JOU11" s="110"/>
      <c r="JOV11" s="110"/>
      <c r="JOW11" s="110"/>
      <c r="JOX11" s="110"/>
      <c r="JOY11" s="110"/>
      <c r="JOZ11" s="110"/>
      <c r="JPA11" s="110"/>
      <c r="JPB11" s="110"/>
      <c r="JPC11" s="110"/>
      <c r="JPD11" s="110"/>
      <c r="JPE11" s="110"/>
      <c r="JPF11" s="110"/>
      <c r="JPG11" s="110"/>
      <c r="JPH11" s="110"/>
      <c r="JPI11" s="110"/>
      <c r="JPJ11" s="110"/>
      <c r="JPK11" s="110"/>
      <c r="JPL11" s="110"/>
      <c r="JPM11" s="110"/>
      <c r="JPN11" s="110"/>
      <c r="JPO11" s="110"/>
      <c r="JPP11" s="110"/>
      <c r="JPQ11" s="110"/>
      <c r="JPR11" s="110"/>
      <c r="JPS11" s="110"/>
      <c r="JPT11" s="110"/>
      <c r="JPU11" s="110"/>
      <c r="JPV11" s="110"/>
      <c r="JPW11" s="110"/>
      <c r="JPX11" s="110"/>
      <c r="JPY11" s="110"/>
      <c r="JPZ11" s="110"/>
      <c r="JQA11" s="110"/>
      <c r="JQB11" s="110"/>
      <c r="JQC11" s="110"/>
      <c r="JQD11" s="110"/>
      <c r="JQE11" s="110"/>
      <c r="JQF11" s="110"/>
      <c r="JQG11" s="110"/>
      <c r="JQH11" s="110"/>
      <c r="JQI11" s="110"/>
      <c r="JQJ11" s="110"/>
      <c r="JQK11" s="110"/>
      <c r="JQL11" s="110"/>
      <c r="JQM11" s="110"/>
      <c r="JQN11" s="110"/>
      <c r="JQO11" s="110"/>
      <c r="JQP11" s="110"/>
      <c r="JQQ11" s="110"/>
      <c r="JQR11" s="110"/>
      <c r="JQS11" s="110"/>
      <c r="JQT11" s="110"/>
      <c r="JQU11" s="110"/>
      <c r="JQV11" s="110"/>
      <c r="JQW11" s="110"/>
      <c r="JQX11" s="110"/>
      <c r="JQY11" s="110"/>
      <c r="JQZ11" s="110"/>
      <c r="JRA11" s="110"/>
      <c r="JRB11" s="110"/>
      <c r="JRC11" s="110"/>
      <c r="JRD11" s="110"/>
      <c r="JRE11" s="110"/>
      <c r="JRF11" s="110"/>
      <c r="JRG11" s="110"/>
      <c r="JRH11" s="110"/>
      <c r="JRI11" s="110"/>
      <c r="JRJ11" s="110"/>
      <c r="JRK11" s="110"/>
      <c r="JRL11" s="110"/>
      <c r="JRM11" s="110"/>
      <c r="JRN11" s="110"/>
      <c r="JRO11" s="110"/>
      <c r="JRP11" s="110"/>
      <c r="JRQ11" s="110"/>
      <c r="JRR11" s="110"/>
      <c r="JRS11" s="110"/>
      <c r="JRT11" s="110"/>
      <c r="JRU11" s="110"/>
      <c r="JRV11" s="110"/>
      <c r="JRW11" s="110"/>
      <c r="JRX11" s="110"/>
      <c r="JRY11" s="110"/>
      <c r="JRZ11" s="110"/>
      <c r="JSA11" s="110"/>
      <c r="JSB11" s="110"/>
      <c r="JSC11" s="110"/>
      <c r="JSD11" s="110"/>
      <c r="JSE11" s="110"/>
      <c r="JSF11" s="110"/>
      <c r="JSG11" s="110"/>
      <c r="JSH11" s="110"/>
      <c r="JSI11" s="110"/>
      <c r="JSJ11" s="110"/>
      <c r="JSK11" s="110"/>
      <c r="JSL11" s="110"/>
      <c r="JSM11" s="110"/>
      <c r="JSN11" s="110"/>
      <c r="JSO11" s="110"/>
      <c r="JSP11" s="110"/>
      <c r="JSQ11" s="110"/>
      <c r="JSR11" s="110"/>
      <c r="JSS11" s="110"/>
      <c r="JST11" s="110"/>
      <c r="JSU11" s="110"/>
      <c r="JSV11" s="110"/>
      <c r="JSW11" s="110"/>
      <c r="JSX11" s="110"/>
      <c r="JSY11" s="110"/>
      <c r="JSZ11" s="110"/>
      <c r="JTA11" s="110"/>
      <c r="JTB11" s="110"/>
      <c r="JTC11" s="110"/>
      <c r="JTD11" s="110"/>
      <c r="JTE11" s="110"/>
      <c r="JTF11" s="110"/>
      <c r="JTG11" s="110"/>
      <c r="JTH11" s="110"/>
      <c r="JTI11" s="110"/>
      <c r="JTJ11" s="110"/>
      <c r="JTK11" s="110"/>
      <c r="JTL11" s="110"/>
      <c r="JTM11" s="110"/>
      <c r="JTN11" s="110"/>
      <c r="JTO11" s="110"/>
      <c r="JTP11" s="110"/>
      <c r="JTQ11" s="110"/>
      <c r="JTR11" s="110"/>
      <c r="JTS11" s="110"/>
      <c r="JTT11" s="110"/>
      <c r="JTU11" s="110"/>
      <c r="JTV11" s="110"/>
      <c r="JTW11" s="110"/>
      <c r="JTX11" s="110"/>
      <c r="JTY11" s="110"/>
      <c r="JTZ11" s="110"/>
      <c r="JUA11" s="110"/>
      <c r="JUB11" s="110"/>
      <c r="JUC11" s="110"/>
      <c r="JUD11" s="110"/>
      <c r="JUE11" s="110"/>
      <c r="JUF11" s="110"/>
      <c r="JUG11" s="110"/>
      <c r="JUH11" s="110"/>
      <c r="JUI11" s="110"/>
      <c r="JUJ11" s="110"/>
      <c r="JUK11" s="110"/>
      <c r="JUL11" s="110"/>
      <c r="JUM11" s="110"/>
      <c r="JUN11" s="110"/>
      <c r="JUO11" s="110"/>
      <c r="JUP11" s="110"/>
      <c r="JUQ11" s="110"/>
      <c r="JUR11" s="110"/>
      <c r="JUS11" s="110"/>
      <c r="JUT11" s="110"/>
      <c r="JUU11" s="110"/>
      <c r="JUV11" s="110"/>
      <c r="JUW11" s="110"/>
      <c r="JUX11" s="110"/>
      <c r="JUY11" s="110"/>
      <c r="JUZ11" s="110"/>
      <c r="JVA11" s="110"/>
      <c r="JVB11" s="110"/>
      <c r="JVC11" s="110"/>
      <c r="JVD11" s="110"/>
      <c r="JVE11" s="110"/>
      <c r="JVF11" s="110"/>
      <c r="JVG11" s="110"/>
      <c r="JVH11" s="110"/>
      <c r="JVI11" s="110"/>
      <c r="JVJ11" s="110"/>
      <c r="JVK11" s="110"/>
      <c r="JVL11" s="110"/>
      <c r="JVM11" s="110"/>
      <c r="JVN11" s="110"/>
      <c r="JVO11" s="110"/>
      <c r="JVP11" s="110"/>
      <c r="JVQ11" s="110"/>
      <c r="JVR11" s="110"/>
      <c r="JVS11" s="110"/>
      <c r="JVT11" s="110"/>
      <c r="JVU11" s="110"/>
      <c r="JVV11" s="110"/>
      <c r="JVW11" s="110"/>
      <c r="JVX11" s="110"/>
      <c r="JVY11" s="110"/>
      <c r="JVZ11" s="110"/>
      <c r="JWA11" s="110"/>
      <c r="JWB11" s="110"/>
      <c r="JWC11" s="110"/>
      <c r="JWD11" s="110"/>
      <c r="JWE11" s="110"/>
      <c r="JWF11" s="110"/>
      <c r="JWG11" s="110"/>
      <c r="JWH11" s="110"/>
      <c r="JWI11" s="110"/>
      <c r="JWJ11" s="110"/>
      <c r="JWK11" s="110"/>
      <c r="JWL11" s="110"/>
      <c r="JWM11" s="110"/>
      <c r="JWN11" s="110"/>
      <c r="JWO11" s="110"/>
      <c r="JWP11" s="110"/>
      <c r="JWQ11" s="110"/>
      <c r="JWR11" s="110"/>
      <c r="JWS11" s="110"/>
      <c r="JWT11" s="110"/>
      <c r="JWU11" s="110"/>
      <c r="JWV11" s="110"/>
      <c r="JWW11" s="110"/>
      <c r="JWX11" s="110"/>
      <c r="JWY11" s="110"/>
      <c r="JWZ11" s="110"/>
      <c r="JXA11" s="110"/>
      <c r="JXB11" s="110"/>
      <c r="JXC11" s="110"/>
      <c r="JXD11" s="110"/>
      <c r="JXE11" s="110"/>
      <c r="JXF11" s="110"/>
      <c r="JXG11" s="110"/>
      <c r="JXH11" s="110"/>
      <c r="JXI11" s="110"/>
      <c r="JXJ11" s="110"/>
      <c r="JXK11" s="110"/>
      <c r="JXL11" s="110"/>
      <c r="JXM11" s="110"/>
      <c r="JXN11" s="110"/>
      <c r="JXO11" s="110"/>
      <c r="JXP11" s="110"/>
      <c r="JXQ11" s="110"/>
      <c r="JXR11" s="110"/>
      <c r="JXS11" s="110"/>
      <c r="JXT11" s="110"/>
      <c r="JXU11" s="110"/>
      <c r="JXV11" s="110"/>
      <c r="JXW11" s="110"/>
      <c r="JXX11" s="110"/>
      <c r="JXY11" s="110"/>
      <c r="JXZ11" s="110"/>
      <c r="JYA11" s="110"/>
      <c r="JYB11" s="110"/>
      <c r="JYC11" s="110"/>
      <c r="JYD11" s="110"/>
      <c r="JYE11" s="110"/>
      <c r="JYF11" s="110"/>
      <c r="JYG11" s="110"/>
      <c r="JYH11" s="110"/>
      <c r="JYI11" s="110"/>
      <c r="JYJ11" s="110"/>
      <c r="JYK11" s="110"/>
      <c r="JYL11" s="110"/>
      <c r="JYM11" s="110"/>
      <c r="JYN11" s="110"/>
      <c r="JYO11" s="110"/>
      <c r="JYP11" s="110"/>
      <c r="JYQ11" s="110"/>
      <c r="JYR11" s="110"/>
      <c r="JYS11" s="110"/>
      <c r="JYT11" s="110"/>
      <c r="JYU11" s="110"/>
      <c r="JYV11" s="110"/>
      <c r="JYW11" s="110"/>
      <c r="JYX11" s="110"/>
      <c r="JYY11" s="110"/>
      <c r="JYZ11" s="110"/>
      <c r="JZA11" s="110"/>
      <c r="JZB11" s="110"/>
      <c r="JZC11" s="110"/>
      <c r="JZD11" s="110"/>
      <c r="JZE11" s="110"/>
      <c r="JZF11" s="110"/>
      <c r="JZG11" s="110"/>
      <c r="JZH11" s="110"/>
      <c r="JZI11" s="110"/>
      <c r="JZJ11" s="110"/>
      <c r="JZK11" s="110"/>
      <c r="JZL11" s="110"/>
      <c r="JZM11" s="110"/>
      <c r="JZN11" s="110"/>
      <c r="JZO11" s="110"/>
      <c r="JZP11" s="110"/>
      <c r="JZQ11" s="110"/>
      <c r="JZR11" s="110"/>
      <c r="JZS11" s="110"/>
      <c r="JZT11" s="110"/>
      <c r="JZU11" s="110"/>
      <c r="JZV11" s="110"/>
      <c r="JZW11" s="110"/>
      <c r="JZX11" s="110"/>
      <c r="JZY11" s="110"/>
      <c r="JZZ11" s="110"/>
      <c r="KAA11" s="110"/>
      <c r="KAB11" s="110"/>
      <c r="KAC11" s="110"/>
      <c r="KAD11" s="110"/>
      <c r="KAE11" s="110"/>
      <c r="KAF11" s="110"/>
      <c r="KAG11" s="110"/>
      <c r="KAH11" s="110"/>
      <c r="KAI11" s="110"/>
      <c r="KAJ11" s="110"/>
      <c r="KAK11" s="110"/>
      <c r="KAL11" s="110"/>
      <c r="KAM11" s="110"/>
      <c r="KAN11" s="110"/>
      <c r="KAO11" s="110"/>
      <c r="KAP11" s="110"/>
      <c r="KAQ11" s="110"/>
      <c r="KAR11" s="110"/>
      <c r="KAS11" s="110"/>
      <c r="KAT11" s="110"/>
      <c r="KAU11" s="110"/>
      <c r="KAV11" s="110"/>
      <c r="KAW11" s="110"/>
      <c r="KAX11" s="110"/>
      <c r="KAY11" s="110"/>
      <c r="KAZ11" s="110"/>
      <c r="KBA11" s="110"/>
      <c r="KBB11" s="110"/>
      <c r="KBC11" s="110"/>
      <c r="KBD11" s="110"/>
      <c r="KBE11" s="110"/>
      <c r="KBF11" s="110"/>
      <c r="KBG11" s="110"/>
      <c r="KBH11" s="110"/>
      <c r="KBI11" s="110"/>
      <c r="KBJ11" s="110"/>
      <c r="KBK11" s="110"/>
      <c r="KBL11" s="110"/>
      <c r="KBM11" s="110"/>
      <c r="KBN11" s="110"/>
      <c r="KBO11" s="110"/>
      <c r="KBP11" s="110"/>
      <c r="KBQ11" s="110"/>
      <c r="KBR11" s="110"/>
      <c r="KBS11" s="110"/>
      <c r="KBT11" s="110"/>
      <c r="KBU11" s="110"/>
      <c r="KBV11" s="110"/>
      <c r="KBW11" s="110"/>
      <c r="KBX11" s="110"/>
      <c r="KBY11" s="110"/>
      <c r="KBZ11" s="110"/>
      <c r="KCA11" s="110"/>
      <c r="KCB11" s="110"/>
      <c r="KCC11" s="110"/>
      <c r="KCD11" s="110"/>
      <c r="KCE11" s="110"/>
      <c r="KCF11" s="110"/>
      <c r="KCG11" s="110"/>
      <c r="KCH11" s="110"/>
      <c r="KCI11" s="110"/>
      <c r="KCJ11" s="110"/>
      <c r="KCK11" s="110"/>
      <c r="KCL11" s="110"/>
      <c r="KCM11" s="110"/>
      <c r="KCN11" s="110"/>
      <c r="KCO11" s="110"/>
      <c r="KCP11" s="110"/>
      <c r="KCQ11" s="110"/>
      <c r="KCR11" s="110"/>
      <c r="KCS11" s="110"/>
      <c r="KCT11" s="110"/>
      <c r="KCU11" s="110"/>
      <c r="KCV11" s="110"/>
      <c r="KCW11" s="110"/>
      <c r="KCX11" s="110"/>
      <c r="KCY11" s="110"/>
      <c r="KCZ11" s="110"/>
      <c r="KDA11" s="110"/>
      <c r="KDB11" s="110"/>
      <c r="KDC11" s="110"/>
      <c r="KDD11" s="110"/>
      <c r="KDE11" s="110"/>
      <c r="KDF11" s="110"/>
      <c r="KDG11" s="110"/>
      <c r="KDH11" s="110"/>
      <c r="KDI11" s="110"/>
      <c r="KDJ11" s="110"/>
      <c r="KDK11" s="110"/>
      <c r="KDL11" s="110"/>
      <c r="KDM11" s="110"/>
      <c r="KDN11" s="110"/>
      <c r="KDO11" s="110"/>
      <c r="KDP11" s="110"/>
      <c r="KDQ11" s="110"/>
      <c r="KDR11" s="110"/>
      <c r="KDS11" s="110"/>
      <c r="KDT11" s="110"/>
      <c r="KDU11" s="110"/>
      <c r="KDV11" s="110"/>
      <c r="KDW11" s="110"/>
      <c r="KDX11" s="110"/>
      <c r="KDY11" s="110"/>
      <c r="KDZ11" s="110"/>
      <c r="KEA11" s="110"/>
      <c r="KEB11" s="110"/>
      <c r="KEC11" s="110"/>
      <c r="KED11" s="110"/>
      <c r="KEE11" s="110"/>
      <c r="KEF11" s="110"/>
      <c r="KEG11" s="110"/>
      <c r="KEH11" s="110"/>
      <c r="KEI11" s="110"/>
      <c r="KEJ11" s="110"/>
      <c r="KEK11" s="110"/>
      <c r="KEL11" s="110"/>
      <c r="KEM11" s="110"/>
      <c r="KEN11" s="110"/>
      <c r="KEO11" s="110"/>
      <c r="KEP11" s="110"/>
      <c r="KEQ11" s="110"/>
      <c r="KER11" s="110"/>
      <c r="KES11" s="110"/>
      <c r="KET11" s="110"/>
      <c r="KEU11" s="110"/>
      <c r="KEV11" s="110"/>
      <c r="KEW11" s="110"/>
      <c r="KEX11" s="110"/>
      <c r="KEY11" s="110"/>
      <c r="KEZ11" s="110"/>
      <c r="KFA11" s="110"/>
      <c r="KFB11" s="110"/>
      <c r="KFC11" s="110"/>
      <c r="KFD11" s="110"/>
      <c r="KFE11" s="110"/>
      <c r="KFF11" s="110"/>
      <c r="KFG11" s="110"/>
      <c r="KFH11" s="110"/>
      <c r="KFI11" s="110"/>
      <c r="KFJ11" s="110"/>
      <c r="KFK11" s="110"/>
      <c r="KFL11" s="110"/>
      <c r="KFM11" s="110"/>
      <c r="KFN11" s="110"/>
      <c r="KFO11" s="110"/>
      <c r="KFP11" s="110"/>
      <c r="KFQ11" s="110"/>
      <c r="KFR11" s="110"/>
      <c r="KFS11" s="110"/>
      <c r="KFT11" s="110"/>
      <c r="KFU11" s="110"/>
      <c r="KFV11" s="110"/>
      <c r="KFW11" s="110"/>
      <c r="KFX11" s="110"/>
      <c r="KFY11" s="110"/>
      <c r="KFZ11" s="110"/>
      <c r="KGA11" s="110"/>
      <c r="KGB11" s="110"/>
      <c r="KGC11" s="110"/>
      <c r="KGD11" s="110"/>
      <c r="KGE11" s="110"/>
      <c r="KGF11" s="110"/>
      <c r="KGG11" s="110"/>
      <c r="KGH11" s="110"/>
      <c r="KGI11" s="110"/>
      <c r="KGJ11" s="110"/>
      <c r="KGK11" s="110"/>
      <c r="KGL11" s="110"/>
      <c r="KGM11" s="110"/>
      <c r="KGN11" s="110"/>
      <c r="KGO11" s="110"/>
      <c r="KGP11" s="110"/>
      <c r="KGQ11" s="110"/>
      <c r="KGR11" s="110"/>
      <c r="KGS11" s="110"/>
      <c r="KGT11" s="110"/>
      <c r="KGU11" s="110"/>
      <c r="KGV11" s="110"/>
      <c r="KGW11" s="110"/>
      <c r="KGX11" s="110"/>
      <c r="KGY11" s="110"/>
      <c r="KGZ11" s="110"/>
      <c r="KHA11" s="110"/>
      <c r="KHB11" s="110"/>
      <c r="KHC11" s="110"/>
      <c r="KHD11" s="110"/>
      <c r="KHE11" s="110"/>
      <c r="KHF11" s="110"/>
      <c r="KHG11" s="110"/>
      <c r="KHH11" s="110"/>
      <c r="KHI11" s="110"/>
      <c r="KHJ11" s="110"/>
      <c r="KHK11" s="110"/>
      <c r="KHL11" s="110"/>
      <c r="KHM11" s="110"/>
      <c r="KHN11" s="110"/>
      <c r="KHO11" s="110"/>
      <c r="KHP11" s="110"/>
      <c r="KHQ11" s="110"/>
      <c r="KHR11" s="110"/>
      <c r="KHS11" s="110"/>
      <c r="KHT11" s="110"/>
      <c r="KHU11" s="110"/>
      <c r="KHV11" s="110"/>
      <c r="KHW11" s="110"/>
      <c r="KHX11" s="110"/>
      <c r="KHY11" s="110"/>
      <c r="KHZ11" s="110"/>
      <c r="KIA11" s="110"/>
      <c r="KIB11" s="110"/>
      <c r="KIC11" s="110"/>
      <c r="KID11" s="110"/>
      <c r="KIE11" s="110"/>
      <c r="KIF11" s="110"/>
      <c r="KIG11" s="110"/>
      <c r="KIH11" s="110"/>
      <c r="KII11" s="110"/>
      <c r="KIJ11" s="110"/>
      <c r="KIK11" s="110"/>
      <c r="KIL11" s="110"/>
      <c r="KIM11" s="110"/>
      <c r="KIN11" s="110"/>
      <c r="KIO11" s="110"/>
      <c r="KIP11" s="110"/>
      <c r="KIQ11" s="110"/>
      <c r="KIR11" s="110"/>
      <c r="KIS11" s="110"/>
      <c r="KIT11" s="110"/>
      <c r="KIU11" s="110"/>
      <c r="KIV11" s="110"/>
      <c r="KIW11" s="110"/>
      <c r="KIX11" s="110"/>
      <c r="KIY11" s="110"/>
      <c r="KIZ11" s="110"/>
      <c r="KJA11" s="110"/>
      <c r="KJB11" s="110"/>
      <c r="KJC11" s="110"/>
      <c r="KJD11" s="110"/>
      <c r="KJE11" s="110"/>
      <c r="KJF11" s="110"/>
      <c r="KJG11" s="110"/>
      <c r="KJH11" s="110"/>
      <c r="KJI11" s="110"/>
      <c r="KJJ11" s="110"/>
      <c r="KJK11" s="110"/>
      <c r="KJL11" s="110"/>
      <c r="KJM11" s="110"/>
      <c r="KJN11" s="110"/>
      <c r="KJO11" s="110"/>
      <c r="KJP11" s="110"/>
      <c r="KJQ11" s="110"/>
      <c r="KJR11" s="110"/>
      <c r="KJS11" s="110"/>
      <c r="KJT11" s="110"/>
      <c r="KJU11" s="110"/>
      <c r="KJV11" s="110"/>
      <c r="KJW11" s="110"/>
      <c r="KJX11" s="110"/>
      <c r="KJY11" s="110"/>
      <c r="KJZ11" s="110"/>
      <c r="KKA11" s="110"/>
      <c r="KKB11" s="110"/>
      <c r="KKC11" s="110"/>
      <c r="KKD11" s="110"/>
      <c r="KKE11" s="110"/>
      <c r="KKF11" s="110"/>
      <c r="KKG11" s="110"/>
      <c r="KKH11" s="110"/>
      <c r="KKI11" s="110"/>
      <c r="KKJ11" s="110"/>
      <c r="KKK11" s="110"/>
      <c r="KKL11" s="110"/>
      <c r="KKM11" s="110"/>
      <c r="KKN11" s="110"/>
      <c r="KKO11" s="110"/>
      <c r="KKP11" s="110"/>
      <c r="KKQ11" s="110"/>
      <c r="KKR11" s="110"/>
      <c r="KKS11" s="110"/>
      <c r="KKT11" s="110"/>
      <c r="KKU11" s="110"/>
      <c r="KKV11" s="110"/>
      <c r="KKW11" s="110"/>
      <c r="KKX11" s="110"/>
      <c r="KKY11" s="110"/>
      <c r="KKZ11" s="110"/>
      <c r="KLA11" s="110"/>
      <c r="KLB11" s="110"/>
      <c r="KLC11" s="110"/>
      <c r="KLD11" s="110"/>
      <c r="KLE11" s="110"/>
      <c r="KLF11" s="110"/>
      <c r="KLG11" s="110"/>
      <c r="KLH11" s="110"/>
      <c r="KLI11" s="110"/>
      <c r="KLJ11" s="110"/>
      <c r="KLK11" s="110"/>
      <c r="KLL11" s="110"/>
      <c r="KLM11" s="110"/>
      <c r="KLN11" s="110"/>
      <c r="KLO11" s="110"/>
      <c r="KLP11" s="110"/>
      <c r="KLQ11" s="110"/>
      <c r="KLR11" s="110"/>
      <c r="KLS11" s="110"/>
      <c r="KLT11" s="110"/>
      <c r="KLU11" s="110"/>
      <c r="KLV11" s="110"/>
      <c r="KLW11" s="110"/>
      <c r="KLX11" s="110"/>
      <c r="KLY11" s="110"/>
      <c r="KLZ11" s="110"/>
      <c r="KMA11" s="110"/>
      <c r="KMB11" s="110"/>
      <c r="KMC11" s="110"/>
      <c r="KMD11" s="110"/>
      <c r="KME11" s="110"/>
      <c r="KMF11" s="110"/>
      <c r="KMG11" s="110"/>
      <c r="KMH11" s="110"/>
      <c r="KMI11" s="110"/>
      <c r="KMJ11" s="110"/>
      <c r="KMK11" s="110"/>
      <c r="KML11" s="110"/>
      <c r="KMM11" s="110"/>
      <c r="KMN11" s="110"/>
      <c r="KMO11" s="110"/>
      <c r="KMP11" s="110"/>
      <c r="KMQ11" s="110"/>
      <c r="KMR11" s="110"/>
      <c r="KMS11" s="110"/>
      <c r="KMT11" s="110"/>
      <c r="KMU11" s="110"/>
      <c r="KMV11" s="110"/>
      <c r="KMW11" s="110"/>
      <c r="KMX11" s="110"/>
      <c r="KMY11" s="110"/>
      <c r="KMZ11" s="110"/>
      <c r="KNA11" s="110"/>
      <c r="KNB11" s="110"/>
      <c r="KNC11" s="110"/>
      <c r="KND11" s="110"/>
      <c r="KNE11" s="110"/>
      <c r="KNF11" s="110"/>
      <c r="KNG11" s="110"/>
      <c r="KNH11" s="110"/>
      <c r="KNI11" s="110"/>
      <c r="KNJ11" s="110"/>
      <c r="KNK11" s="110"/>
      <c r="KNL11" s="110"/>
      <c r="KNM11" s="110"/>
      <c r="KNN11" s="110"/>
      <c r="KNO11" s="110"/>
      <c r="KNP11" s="110"/>
      <c r="KNQ11" s="110"/>
      <c r="KNR11" s="110"/>
      <c r="KNS11" s="110"/>
      <c r="KNT11" s="110"/>
      <c r="KNU11" s="110"/>
      <c r="KNV11" s="110"/>
      <c r="KNW11" s="110"/>
      <c r="KNX11" s="110"/>
      <c r="KNY11" s="110"/>
      <c r="KNZ11" s="110"/>
      <c r="KOA11" s="110"/>
      <c r="KOB11" s="110"/>
      <c r="KOC11" s="110"/>
      <c r="KOD11" s="110"/>
      <c r="KOE11" s="110"/>
      <c r="KOF11" s="110"/>
      <c r="KOG11" s="110"/>
      <c r="KOH11" s="110"/>
      <c r="KOI11" s="110"/>
      <c r="KOJ11" s="110"/>
      <c r="KOK11" s="110"/>
      <c r="KOL11" s="110"/>
      <c r="KOM11" s="110"/>
      <c r="KON11" s="110"/>
      <c r="KOO11" s="110"/>
      <c r="KOP11" s="110"/>
      <c r="KOQ11" s="110"/>
      <c r="KOR11" s="110"/>
      <c r="KOS11" s="110"/>
      <c r="KOT11" s="110"/>
      <c r="KOU11" s="110"/>
      <c r="KOV11" s="110"/>
      <c r="KOW11" s="110"/>
      <c r="KOX11" s="110"/>
      <c r="KOY11" s="110"/>
      <c r="KOZ11" s="110"/>
      <c r="KPA11" s="110"/>
      <c r="KPB11" s="110"/>
      <c r="KPC11" s="110"/>
      <c r="KPD11" s="110"/>
      <c r="KPE11" s="110"/>
      <c r="KPF11" s="110"/>
      <c r="KPG11" s="110"/>
      <c r="KPH11" s="110"/>
      <c r="KPI11" s="110"/>
      <c r="KPJ11" s="110"/>
      <c r="KPK11" s="110"/>
      <c r="KPL11" s="110"/>
      <c r="KPM11" s="110"/>
      <c r="KPN11" s="110"/>
      <c r="KPO11" s="110"/>
      <c r="KPP11" s="110"/>
      <c r="KPQ11" s="110"/>
      <c r="KPR11" s="110"/>
      <c r="KPS11" s="110"/>
      <c r="KPT11" s="110"/>
      <c r="KPU11" s="110"/>
      <c r="KPV11" s="110"/>
      <c r="KPW11" s="110"/>
      <c r="KPX11" s="110"/>
      <c r="KPY11" s="110"/>
      <c r="KPZ11" s="110"/>
      <c r="KQA11" s="110"/>
      <c r="KQB11" s="110"/>
      <c r="KQC11" s="110"/>
      <c r="KQD11" s="110"/>
      <c r="KQE11" s="110"/>
      <c r="KQF11" s="110"/>
      <c r="KQG11" s="110"/>
      <c r="KQH11" s="110"/>
      <c r="KQI11" s="110"/>
      <c r="KQJ11" s="110"/>
      <c r="KQK11" s="110"/>
      <c r="KQL11" s="110"/>
      <c r="KQM11" s="110"/>
      <c r="KQN11" s="110"/>
      <c r="KQO11" s="110"/>
      <c r="KQP11" s="110"/>
      <c r="KQQ11" s="110"/>
      <c r="KQR11" s="110"/>
      <c r="KQS11" s="110"/>
      <c r="KQT11" s="110"/>
      <c r="KQU11" s="110"/>
      <c r="KQV11" s="110"/>
      <c r="KQW11" s="110"/>
      <c r="KQX11" s="110"/>
      <c r="KQY11" s="110"/>
      <c r="KQZ11" s="110"/>
      <c r="KRA11" s="110"/>
      <c r="KRB11" s="110"/>
      <c r="KRC11" s="110"/>
      <c r="KRD11" s="110"/>
      <c r="KRE11" s="110"/>
      <c r="KRF11" s="110"/>
      <c r="KRG11" s="110"/>
      <c r="KRH11" s="110"/>
      <c r="KRI11" s="110"/>
      <c r="KRJ11" s="110"/>
      <c r="KRK11" s="110"/>
      <c r="KRL11" s="110"/>
      <c r="KRM11" s="110"/>
      <c r="KRN11" s="110"/>
      <c r="KRO11" s="110"/>
      <c r="KRP11" s="110"/>
      <c r="KRQ11" s="110"/>
      <c r="KRR11" s="110"/>
      <c r="KRS11" s="110"/>
      <c r="KRT11" s="110"/>
      <c r="KRU11" s="110"/>
      <c r="KRV11" s="110"/>
      <c r="KRW11" s="110"/>
      <c r="KRX11" s="110"/>
      <c r="KRY11" s="110"/>
      <c r="KRZ11" s="110"/>
      <c r="KSA11" s="110"/>
      <c r="KSB11" s="110"/>
      <c r="KSC11" s="110"/>
      <c r="KSD11" s="110"/>
      <c r="KSE11" s="110"/>
      <c r="KSF11" s="110"/>
      <c r="KSG11" s="110"/>
      <c r="KSH11" s="110"/>
      <c r="KSI11" s="110"/>
      <c r="KSJ11" s="110"/>
      <c r="KSK11" s="110"/>
      <c r="KSL11" s="110"/>
      <c r="KSM11" s="110"/>
      <c r="KSN11" s="110"/>
      <c r="KSO11" s="110"/>
      <c r="KSP11" s="110"/>
      <c r="KSQ11" s="110"/>
      <c r="KSR11" s="110"/>
      <c r="KSS11" s="110"/>
      <c r="KST11" s="110"/>
      <c r="KSU11" s="110"/>
      <c r="KSV11" s="110"/>
      <c r="KSW11" s="110"/>
      <c r="KSX11" s="110"/>
      <c r="KSY11" s="110"/>
      <c r="KSZ11" s="110"/>
      <c r="KTA11" s="110"/>
      <c r="KTB11" s="110"/>
      <c r="KTC11" s="110"/>
      <c r="KTD11" s="110"/>
      <c r="KTE11" s="110"/>
      <c r="KTF11" s="110"/>
      <c r="KTG11" s="110"/>
      <c r="KTH11" s="110"/>
      <c r="KTI11" s="110"/>
      <c r="KTJ11" s="110"/>
      <c r="KTK11" s="110"/>
      <c r="KTL11" s="110"/>
      <c r="KTM11" s="110"/>
      <c r="KTN11" s="110"/>
      <c r="KTO11" s="110"/>
      <c r="KTP11" s="110"/>
      <c r="KTQ11" s="110"/>
      <c r="KTR11" s="110"/>
      <c r="KTS11" s="110"/>
      <c r="KTT11" s="110"/>
      <c r="KTU11" s="110"/>
      <c r="KTV11" s="110"/>
      <c r="KTW11" s="110"/>
      <c r="KTX11" s="110"/>
      <c r="KTY11" s="110"/>
      <c r="KTZ11" s="110"/>
      <c r="KUA11" s="110"/>
      <c r="KUB11" s="110"/>
      <c r="KUC11" s="110"/>
      <c r="KUD11" s="110"/>
      <c r="KUE11" s="110"/>
      <c r="KUF11" s="110"/>
      <c r="KUG11" s="110"/>
      <c r="KUH11" s="110"/>
      <c r="KUI11" s="110"/>
      <c r="KUJ11" s="110"/>
      <c r="KUK11" s="110"/>
      <c r="KUL11" s="110"/>
      <c r="KUM11" s="110"/>
      <c r="KUN11" s="110"/>
      <c r="KUO11" s="110"/>
      <c r="KUP11" s="110"/>
      <c r="KUQ11" s="110"/>
      <c r="KUR11" s="110"/>
      <c r="KUS11" s="110"/>
      <c r="KUT11" s="110"/>
      <c r="KUU11" s="110"/>
      <c r="KUV11" s="110"/>
      <c r="KUW11" s="110"/>
      <c r="KUX11" s="110"/>
      <c r="KUY11" s="110"/>
      <c r="KUZ11" s="110"/>
      <c r="KVA11" s="110"/>
      <c r="KVB11" s="110"/>
      <c r="KVC11" s="110"/>
      <c r="KVD11" s="110"/>
      <c r="KVE11" s="110"/>
      <c r="KVF11" s="110"/>
      <c r="KVG11" s="110"/>
      <c r="KVH11" s="110"/>
      <c r="KVI11" s="110"/>
      <c r="KVJ11" s="110"/>
      <c r="KVK11" s="110"/>
      <c r="KVL11" s="110"/>
      <c r="KVM11" s="110"/>
      <c r="KVN11" s="110"/>
      <c r="KVO11" s="110"/>
      <c r="KVP11" s="110"/>
      <c r="KVQ11" s="110"/>
      <c r="KVR11" s="110"/>
      <c r="KVS11" s="110"/>
      <c r="KVT11" s="110"/>
      <c r="KVU11" s="110"/>
      <c r="KVV11" s="110"/>
      <c r="KVW11" s="110"/>
      <c r="KVX11" s="110"/>
      <c r="KVY11" s="110"/>
      <c r="KVZ11" s="110"/>
      <c r="KWA11" s="110"/>
      <c r="KWB11" s="110"/>
      <c r="KWC11" s="110"/>
      <c r="KWD11" s="110"/>
      <c r="KWE11" s="110"/>
      <c r="KWF11" s="110"/>
      <c r="KWG11" s="110"/>
      <c r="KWH11" s="110"/>
      <c r="KWI11" s="110"/>
      <c r="KWJ11" s="110"/>
      <c r="KWK11" s="110"/>
      <c r="KWL11" s="110"/>
      <c r="KWM11" s="110"/>
      <c r="KWN11" s="110"/>
      <c r="KWO11" s="110"/>
      <c r="KWP11" s="110"/>
      <c r="KWQ11" s="110"/>
      <c r="KWR11" s="110"/>
      <c r="KWS11" s="110"/>
      <c r="KWT11" s="110"/>
      <c r="KWU11" s="110"/>
      <c r="KWV11" s="110"/>
      <c r="KWW11" s="110"/>
      <c r="KWX11" s="110"/>
      <c r="KWY11" s="110"/>
      <c r="KWZ11" s="110"/>
      <c r="KXA11" s="110"/>
      <c r="KXB11" s="110"/>
      <c r="KXC11" s="110"/>
      <c r="KXD11" s="110"/>
      <c r="KXE11" s="110"/>
      <c r="KXF11" s="110"/>
      <c r="KXG11" s="110"/>
      <c r="KXH11" s="110"/>
      <c r="KXI11" s="110"/>
      <c r="KXJ11" s="110"/>
      <c r="KXK11" s="110"/>
      <c r="KXL11" s="110"/>
      <c r="KXM11" s="110"/>
      <c r="KXN11" s="110"/>
      <c r="KXO11" s="110"/>
      <c r="KXP11" s="110"/>
      <c r="KXQ11" s="110"/>
      <c r="KXR11" s="110"/>
      <c r="KXS11" s="110"/>
      <c r="KXT11" s="110"/>
      <c r="KXU11" s="110"/>
      <c r="KXV11" s="110"/>
      <c r="KXW11" s="110"/>
      <c r="KXX11" s="110"/>
      <c r="KXY11" s="110"/>
      <c r="KXZ11" s="110"/>
      <c r="KYA11" s="110"/>
      <c r="KYB11" s="110"/>
      <c r="KYC11" s="110"/>
      <c r="KYD11" s="110"/>
      <c r="KYE11" s="110"/>
      <c r="KYF11" s="110"/>
      <c r="KYG11" s="110"/>
      <c r="KYH11" s="110"/>
      <c r="KYI11" s="110"/>
      <c r="KYJ11" s="110"/>
      <c r="KYK11" s="110"/>
      <c r="KYL11" s="110"/>
      <c r="KYM11" s="110"/>
      <c r="KYN11" s="110"/>
      <c r="KYO11" s="110"/>
      <c r="KYP11" s="110"/>
      <c r="KYQ11" s="110"/>
      <c r="KYR11" s="110"/>
      <c r="KYS11" s="110"/>
      <c r="KYT11" s="110"/>
      <c r="KYU11" s="110"/>
      <c r="KYV11" s="110"/>
      <c r="KYW11" s="110"/>
      <c r="KYX11" s="110"/>
      <c r="KYY11" s="110"/>
      <c r="KYZ11" s="110"/>
      <c r="KZA11" s="110"/>
      <c r="KZB11" s="110"/>
      <c r="KZC11" s="110"/>
      <c r="KZD11" s="110"/>
      <c r="KZE11" s="110"/>
      <c r="KZF11" s="110"/>
      <c r="KZG11" s="110"/>
      <c r="KZH11" s="110"/>
      <c r="KZI11" s="110"/>
      <c r="KZJ11" s="110"/>
      <c r="KZK11" s="110"/>
      <c r="KZL11" s="110"/>
      <c r="KZM11" s="110"/>
      <c r="KZN11" s="110"/>
      <c r="KZO11" s="110"/>
      <c r="KZP11" s="110"/>
      <c r="KZQ11" s="110"/>
      <c r="KZR11" s="110"/>
      <c r="KZS11" s="110"/>
      <c r="KZT11" s="110"/>
      <c r="KZU11" s="110"/>
      <c r="KZV11" s="110"/>
      <c r="KZW11" s="110"/>
      <c r="KZX11" s="110"/>
      <c r="KZY11" s="110"/>
      <c r="KZZ11" s="110"/>
      <c r="LAA11" s="110"/>
      <c r="LAB11" s="110"/>
      <c r="LAC11" s="110"/>
      <c r="LAD11" s="110"/>
      <c r="LAE11" s="110"/>
      <c r="LAF11" s="110"/>
      <c r="LAG11" s="110"/>
      <c r="LAH11" s="110"/>
      <c r="LAI11" s="110"/>
      <c r="LAJ11" s="110"/>
      <c r="LAK11" s="110"/>
      <c r="LAL11" s="110"/>
      <c r="LAM11" s="110"/>
      <c r="LAN11" s="110"/>
      <c r="LAO11" s="110"/>
      <c r="LAP11" s="110"/>
      <c r="LAQ11" s="110"/>
      <c r="LAR11" s="110"/>
      <c r="LAS11" s="110"/>
      <c r="LAT11" s="110"/>
      <c r="LAU11" s="110"/>
      <c r="LAV11" s="110"/>
      <c r="LAW11" s="110"/>
      <c r="LAX11" s="110"/>
      <c r="LAY11" s="110"/>
      <c r="LAZ11" s="110"/>
      <c r="LBA11" s="110"/>
      <c r="LBB11" s="110"/>
      <c r="LBC11" s="110"/>
      <c r="LBD11" s="110"/>
      <c r="LBE11" s="110"/>
      <c r="LBF11" s="110"/>
      <c r="LBG11" s="110"/>
      <c r="LBH11" s="110"/>
      <c r="LBI11" s="110"/>
      <c r="LBJ11" s="110"/>
      <c r="LBK11" s="110"/>
      <c r="LBL11" s="110"/>
      <c r="LBM11" s="110"/>
      <c r="LBN11" s="110"/>
      <c r="LBO11" s="110"/>
      <c r="LBP11" s="110"/>
      <c r="LBQ11" s="110"/>
      <c r="LBR11" s="110"/>
      <c r="LBS11" s="110"/>
      <c r="LBT11" s="110"/>
      <c r="LBU11" s="110"/>
      <c r="LBV11" s="110"/>
      <c r="LBW11" s="110"/>
      <c r="LBX11" s="110"/>
      <c r="LBY11" s="110"/>
      <c r="LBZ11" s="110"/>
      <c r="LCA11" s="110"/>
      <c r="LCB11" s="110"/>
      <c r="LCC11" s="110"/>
      <c r="LCD11" s="110"/>
      <c r="LCE11" s="110"/>
      <c r="LCF11" s="110"/>
      <c r="LCG11" s="110"/>
      <c r="LCH11" s="110"/>
      <c r="LCI11" s="110"/>
      <c r="LCJ11" s="110"/>
      <c r="LCK11" s="110"/>
      <c r="LCL11" s="110"/>
      <c r="LCM11" s="110"/>
      <c r="LCN11" s="110"/>
      <c r="LCO11" s="110"/>
      <c r="LCP11" s="110"/>
      <c r="LCQ11" s="110"/>
      <c r="LCR11" s="110"/>
      <c r="LCS11" s="110"/>
      <c r="LCT11" s="110"/>
      <c r="LCU11" s="110"/>
      <c r="LCV11" s="110"/>
      <c r="LCW11" s="110"/>
      <c r="LCX11" s="110"/>
      <c r="LCY11" s="110"/>
      <c r="LCZ11" s="110"/>
      <c r="LDA11" s="110"/>
      <c r="LDB11" s="110"/>
      <c r="LDC11" s="110"/>
      <c r="LDD11" s="110"/>
      <c r="LDE11" s="110"/>
      <c r="LDF11" s="110"/>
      <c r="LDG11" s="110"/>
      <c r="LDH11" s="110"/>
      <c r="LDI11" s="110"/>
      <c r="LDJ11" s="110"/>
      <c r="LDK11" s="110"/>
      <c r="LDL11" s="110"/>
      <c r="LDM11" s="110"/>
      <c r="LDN11" s="110"/>
      <c r="LDO11" s="110"/>
      <c r="LDP11" s="110"/>
      <c r="LDQ11" s="110"/>
      <c r="LDR11" s="110"/>
      <c r="LDS11" s="110"/>
      <c r="LDT11" s="110"/>
      <c r="LDU11" s="110"/>
      <c r="LDV11" s="110"/>
      <c r="LDW11" s="110"/>
      <c r="LDX11" s="110"/>
      <c r="LDY11" s="110"/>
      <c r="LDZ11" s="110"/>
      <c r="LEA11" s="110"/>
      <c r="LEB11" s="110"/>
      <c r="LEC11" s="110"/>
      <c r="LED11" s="110"/>
      <c r="LEE11" s="110"/>
      <c r="LEF11" s="110"/>
      <c r="LEG11" s="110"/>
      <c r="LEH11" s="110"/>
      <c r="LEI11" s="110"/>
      <c r="LEJ11" s="110"/>
      <c r="LEK11" s="110"/>
      <c r="LEL11" s="110"/>
      <c r="LEM11" s="110"/>
      <c r="LEN11" s="110"/>
      <c r="LEO11" s="110"/>
      <c r="LEP11" s="110"/>
      <c r="LEQ11" s="110"/>
      <c r="LER11" s="110"/>
      <c r="LES11" s="110"/>
      <c r="LET11" s="110"/>
      <c r="LEU11" s="110"/>
      <c r="LEV11" s="110"/>
      <c r="LEW11" s="110"/>
      <c r="LEX11" s="110"/>
      <c r="LEY11" s="110"/>
      <c r="LEZ11" s="110"/>
      <c r="LFA11" s="110"/>
      <c r="LFB11" s="110"/>
      <c r="LFC11" s="110"/>
      <c r="LFD11" s="110"/>
      <c r="LFE11" s="110"/>
      <c r="LFF11" s="110"/>
      <c r="LFG11" s="110"/>
      <c r="LFH11" s="110"/>
      <c r="LFI11" s="110"/>
      <c r="LFJ11" s="110"/>
      <c r="LFK11" s="110"/>
      <c r="LFL11" s="110"/>
      <c r="LFM11" s="110"/>
      <c r="LFN11" s="110"/>
      <c r="LFO11" s="110"/>
      <c r="LFP11" s="110"/>
      <c r="LFQ11" s="110"/>
      <c r="LFR11" s="110"/>
      <c r="LFS11" s="110"/>
      <c r="LFT11" s="110"/>
      <c r="LFU11" s="110"/>
      <c r="LFV11" s="110"/>
      <c r="LFW11" s="110"/>
      <c r="LFX11" s="110"/>
      <c r="LFY11" s="110"/>
      <c r="LFZ11" s="110"/>
      <c r="LGA11" s="110"/>
      <c r="LGB11" s="110"/>
      <c r="LGC11" s="110"/>
      <c r="LGD11" s="110"/>
      <c r="LGE11" s="110"/>
      <c r="LGF11" s="110"/>
      <c r="LGG11" s="110"/>
      <c r="LGH11" s="110"/>
      <c r="LGI11" s="110"/>
      <c r="LGJ11" s="110"/>
      <c r="LGK11" s="110"/>
      <c r="LGL11" s="110"/>
      <c r="LGM11" s="110"/>
      <c r="LGN11" s="110"/>
      <c r="LGO11" s="110"/>
      <c r="LGP11" s="110"/>
      <c r="LGQ11" s="110"/>
      <c r="LGR11" s="110"/>
      <c r="LGS11" s="110"/>
      <c r="LGT11" s="110"/>
      <c r="LGU11" s="110"/>
      <c r="LGV11" s="110"/>
      <c r="LGW11" s="110"/>
      <c r="LGX11" s="110"/>
      <c r="LGY11" s="110"/>
      <c r="LGZ11" s="110"/>
      <c r="LHA11" s="110"/>
      <c r="LHB11" s="110"/>
      <c r="LHC11" s="110"/>
      <c r="LHD11" s="110"/>
      <c r="LHE11" s="110"/>
      <c r="LHF11" s="110"/>
      <c r="LHG11" s="110"/>
      <c r="LHH11" s="110"/>
      <c r="LHI11" s="110"/>
      <c r="LHJ11" s="110"/>
      <c r="LHK11" s="110"/>
      <c r="LHL11" s="110"/>
      <c r="LHM11" s="110"/>
      <c r="LHN11" s="110"/>
      <c r="LHO11" s="110"/>
      <c r="LHP11" s="110"/>
      <c r="LHQ11" s="110"/>
      <c r="LHR11" s="110"/>
      <c r="LHS11" s="110"/>
      <c r="LHT11" s="110"/>
      <c r="LHU11" s="110"/>
      <c r="LHV11" s="110"/>
      <c r="LHW11" s="110"/>
      <c r="LHX11" s="110"/>
      <c r="LHY11" s="110"/>
      <c r="LHZ11" s="110"/>
      <c r="LIA11" s="110"/>
      <c r="LIB11" s="110"/>
      <c r="LIC11" s="110"/>
      <c r="LID11" s="110"/>
      <c r="LIE11" s="110"/>
      <c r="LIF11" s="110"/>
      <c r="LIG11" s="110"/>
      <c r="LIH11" s="110"/>
      <c r="LII11" s="110"/>
      <c r="LIJ11" s="110"/>
      <c r="LIK11" s="110"/>
      <c r="LIL11" s="110"/>
      <c r="LIM11" s="110"/>
      <c r="LIN11" s="110"/>
      <c r="LIO11" s="110"/>
      <c r="LIP11" s="110"/>
      <c r="LIQ11" s="110"/>
      <c r="LIR11" s="110"/>
      <c r="LIS11" s="110"/>
      <c r="LIT11" s="110"/>
      <c r="LIU11" s="110"/>
      <c r="LIV11" s="110"/>
      <c r="LIW11" s="110"/>
      <c r="LIX11" s="110"/>
      <c r="LIY11" s="110"/>
      <c r="LIZ11" s="110"/>
      <c r="LJA11" s="110"/>
      <c r="LJB11" s="110"/>
      <c r="LJC11" s="110"/>
      <c r="LJD11" s="110"/>
      <c r="LJE11" s="110"/>
      <c r="LJF11" s="110"/>
      <c r="LJG11" s="110"/>
      <c r="LJH11" s="110"/>
      <c r="LJI11" s="110"/>
      <c r="LJJ11" s="110"/>
      <c r="LJK11" s="110"/>
      <c r="LJL11" s="110"/>
      <c r="LJM11" s="110"/>
      <c r="LJN11" s="110"/>
      <c r="LJO11" s="110"/>
      <c r="LJP11" s="110"/>
      <c r="LJQ11" s="110"/>
      <c r="LJR11" s="110"/>
      <c r="LJS11" s="110"/>
      <c r="LJT11" s="110"/>
      <c r="LJU11" s="110"/>
      <c r="LJV11" s="110"/>
      <c r="LJW11" s="110"/>
      <c r="LJX11" s="110"/>
      <c r="LJY11" s="110"/>
      <c r="LJZ11" s="110"/>
      <c r="LKA11" s="110"/>
      <c r="LKB11" s="110"/>
      <c r="LKC11" s="110"/>
      <c r="LKD11" s="110"/>
      <c r="LKE11" s="110"/>
      <c r="LKF11" s="110"/>
      <c r="LKG11" s="110"/>
      <c r="LKH11" s="110"/>
      <c r="LKI11" s="110"/>
      <c r="LKJ11" s="110"/>
      <c r="LKK11" s="110"/>
      <c r="LKL11" s="110"/>
      <c r="LKM11" s="110"/>
      <c r="LKN11" s="110"/>
      <c r="LKO11" s="110"/>
      <c r="LKP11" s="110"/>
      <c r="LKQ11" s="110"/>
      <c r="LKR11" s="110"/>
      <c r="LKS11" s="110"/>
      <c r="LKT11" s="110"/>
      <c r="LKU11" s="110"/>
      <c r="LKV11" s="110"/>
      <c r="LKW11" s="110"/>
      <c r="LKX11" s="110"/>
      <c r="LKY11" s="110"/>
      <c r="LKZ11" s="110"/>
      <c r="LLA11" s="110"/>
      <c r="LLB11" s="110"/>
      <c r="LLC11" s="110"/>
      <c r="LLD11" s="110"/>
      <c r="LLE11" s="110"/>
      <c r="LLF11" s="110"/>
      <c r="LLG11" s="110"/>
      <c r="LLH11" s="110"/>
      <c r="LLI11" s="110"/>
      <c r="LLJ11" s="110"/>
      <c r="LLK11" s="110"/>
      <c r="LLL11" s="110"/>
      <c r="LLM11" s="110"/>
      <c r="LLN11" s="110"/>
      <c r="LLO11" s="110"/>
      <c r="LLP11" s="110"/>
      <c r="LLQ11" s="110"/>
      <c r="LLR11" s="110"/>
      <c r="LLS11" s="110"/>
      <c r="LLT11" s="110"/>
      <c r="LLU11" s="110"/>
      <c r="LLV11" s="110"/>
      <c r="LLW11" s="110"/>
      <c r="LLX11" s="110"/>
      <c r="LLY11" s="110"/>
      <c r="LLZ11" s="110"/>
      <c r="LMA11" s="110"/>
      <c r="LMB11" s="110"/>
      <c r="LMC11" s="110"/>
      <c r="LMD11" s="110"/>
      <c r="LME11" s="110"/>
      <c r="LMF11" s="110"/>
      <c r="LMG11" s="110"/>
      <c r="LMH11" s="110"/>
      <c r="LMI11" s="110"/>
      <c r="LMJ11" s="110"/>
      <c r="LMK11" s="110"/>
      <c r="LML11" s="110"/>
      <c r="LMM11" s="110"/>
      <c r="LMN11" s="110"/>
      <c r="LMO11" s="110"/>
      <c r="LMP11" s="110"/>
      <c r="LMQ11" s="110"/>
      <c r="LMR11" s="110"/>
      <c r="LMS11" s="110"/>
      <c r="LMT11" s="110"/>
      <c r="LMU11" s="110"/>
      <c r="LMV11" s="110"/>
      <c r="LMW11" s="110"/>
      <c r="LMX11" s="110"/>
      <c r="LMY11" s="110"/>
      <c r="LMZ11" s="110"/>
      <c r="LNA11" s="110"/>
      <c r="LNB11" s="110"/>
      <c r="LNC11" s="110"/>
      <c r="LND11" s="110"/>
      <c r="LNE11" s="110"/>
      <c r="LNF11" s="110"/>
      <c r="LNG11" s="110"/>
      <c r="LNH11" s="110"/>
      <c r="LNI11" s="110"/>
      <c r="LNJ11" s="110"/>
      <c r="LNK11" s="110"/>
      <c r="LNL11" s="110"/>
      <c r="LNM11" s="110"/>
      <c r="LNN11" s="110"/>
      <c r="LNO11" s="110"/>
      <c r="LNP11" s="110"/>
      <c r="LNQ11" s="110"/>
      <c r="LNR11" s="110"/>
      <c r="LNS11" s="110"/>
      <c r="LNT11" s="110"/>
      <c r="LNU11" s="110"/>
      <c r="LNV11" s="110"/>
      <c r="LNW11" s="110"/>
      <c r="LNX11" s="110"/>
      <c r="LNY11" s="110"/>
      <c r="LNZ11" s="110"/>
      <c r="LOA11" s="110"/>
      <c r="LOB11" s="110"/>
      <c r="LOC11" s="110"/>
      <c r="LOD11" s="110"/>
      <c r="LOE11" s="110"/>
      <c r="LOF11" s="110"/>
      <c r="LOG11" s="110"/>
      <c r="LOH11" s="110"/>
      <c r="LOI11" s="110"/>
      <c r="LOJ11" s="110"/>
      <c r="LOK11" s="110"/>
      <c r="LOL11" s="110"/>
      <c r="LOM11" s="110"/>
      <c r="LON11" s="110"/>
      <c r="LOO11" s="110"/>
      <c r="LOP11" s="110"/>
      <c r="LOQ11" s="110"/>
      <c r="LOR11" s="110"/>
      <c r="LOS11" s="110"/>
      <c r="LOT11" s="110"/>
      <c r="LOU11" s="110"/>
      <c r="LOV11" s="110"/>
      <c r="LOW11" s="110"/>
      <c r="LOX11" s="110"/>
      <c r="LOY11" s="110"/>
      <c r="LOZ11" s="110"/>
      <c r="LPA11" s="110"/>
      <c r="LPB11" s="110"/>
      <c r="LPC11" s="110"/>
      <c r="LPD11" s="110"/>
      <c r="LPE11" s="110"/>
      <c r="LPF11" s="110"/>
      <c r="LPG11" s="110"/>
      <c r="LPH11" s="110"/>
      <c r="LPI11" s="110"/>
      <c r="LPJ11" s="110"/>
      <c r="LPK11" s="110"/>
      <c r="LPL11" s="110"/>
      <c r="LPM11" s="110"/>
      <c r="LPN11" s="110"/>
      <c r="LPO11" s="110"/>
      <c r="LPP11" s="110"/>
      <c r="LPQ11" s="110"/>
      <c r="LPR11" s="110"/>
      <c r="LPS11" s="110"/>
      <c r="LPT11" s="110"/>
      <c r="LPU11" s="110"/>
      <c r="LPV11" s="110"/>
      <c r="LPW11" s="110"/>
      <c r="LPX11" s="110"/>
      <c r="LPY11" s="110"/>
      <c r="LPZ11" s="110"/>
      <c r="LQA11" s="110"/>
      <c r="LQB11" s="110"/>
      <c r="LQC11" s="110"/>
      <c r="LQD11" s="110"/>
      <c r="LQE11" s="110"/>
      <c r="LQF11" s="110"/>
      <c r="LQG11" s="110"/>
      <c r="LQH11" s="110"/>
      <c r="LQI11" s="110"/>
      <c r="LQJ11" s="110"/>
      <c r="LQK11" s="110"/>
      <c r="LQL11" s="110"/>
      <c r="LQM11" s="110"/>
      <c r="LQN11" s="110"/>
      <c r="LQO11" s="110"/>
      <c r="LQP11" s="110"/>
      <c r="LQQ11" s="110"/>
      <c r="LQR11" s="110"/>
      <c r="LQS11" s="110"/>
      <c r="LQT11" s="110"/>
      <c r="LQU11" s="110"/>
      <c r="LQV11" s="110"/>
      <c r="LQW11" s="110"/>
      <c r="LQX11" s="110"/>
      <c r="LQY11" s="110"/>
      <c r="LQZ11" s="110"/>
      <c r="LRA11" s="110"/>
      <c r="LRB11" s="110"/>
      <c r="LRC11" s="110"/>
      <c r="LRD11" s="110"/>
      <c r="LRE11" s="110"/>
      <c r="LRF11" s="110"/>
      <c r="LRG11" s="110"/>
      <c r="LRH11" s="110"/>
      <c r="LRI11" s="110"/>
      <c r="LRJ11" s="110"/>
      <c r="LRK11" s="110"/>
      <c r="LRL11" s="110"/>
      <c r="LRM11" s="110"/>
      <c r="LRN11" s="110"/>
      <c r="LRO11" s="110"/>
      <c r="LRP11" s="110"/>
      <c r="LRQ11" s="110"/>
      <c r="LRR11" s="110"/>
      <c r="LRS11" s="110"/>
      <c r="LRT11" s="110"/>
      <c r="LRU11" s="110"/>
      <c r="LRV11" s="110"/>
      <c r="LRW11" s="110"/>
      <c r="LRX11" s="110"/>
      <c r="LRY11" s="110"/>
      <c r="LRZ11" s="110"/>
      <c r="LSA11" s="110"/>
      <c r="LSB11" s="110"/>
      <c r="LSC11" s="110"/>
      <c r="LSD11" s="110"/>
      <c r="LSE11" s="110"/>
      <c r="LSF11" s="110"/>
      <c r="LSG11" s="110"/>
      <c r="LSH11" s="110"/>
      <c r="LSI11" s="110"/>
      <c r="LSJ11" s="110"/>
      <c r="LSK11" s="110"/>
      <c r="LSL11" s="110"/>
      <c r="LSM11" s="110"/>
      <c r="LSN11" s="110"/>
      <c r="LSO11" s="110"/>
      <c r="LSP11" s="110"/>
      <c r="LSQ11" s="110"/>
      <c r="LSR11" s="110"/>
      <c r="LSS11" s="110"/>
      <c r="LST11" s="110"/>
      <c r="LSU11" s="110"/>
      <c r="LSV11" s="110"/>
      <c r="LSW11" s="110"/>
      <c r="LSX11" s="110"/>
      <c r="LSY11" s="110"/>
      <c r="LSZ11" s="110"/>
      <c r="LTA11" s="110"/>
      <c r="LTB11" s="110"/>
      <c r="LTC11" s="110"/>
      <c r="LTD11" s="110"/>
      <c r="LTE11" s="110"/>
      <c r="LTF11" s="110"/>
      <c r="LTG11" s="110"/>
      <c r="LTH11" s="110"/>
      <c r="LTI11" s="110"/>
      <c r="LTJ11" s="110"/>
      <c r="LTK11" s="110"/>
      <c r="LTL11" s="110"/>
      <c r="LTM11" s="110"/>
      <c r="LTN11" s="110"/>
      <c r="LTO11" s="110"/>
      <c r="LTP11" s="110"/>
      <c r="LTQ11" s="110"/>
      <c r="LTR11" s="110"/>
      <c r="LTS11" s="110"/>
      <c r="LTT11" s="110"/>
      <c r="LTU11" s="110"/>
      <c r="LTV11" s="110"/>
      <c r="LTW11" s="110"/>
      <c r="LTX11" s="110"/>
      <c r="LTY11" s="110"/>
      <c r="LTZ11" s="110"/>
      <c r="LUA11" s="110"/>
      <c r="LUB11" s="110"/>
      <c r="LUC11" s="110"/>
      <c r="LUD11" s="110"/>
      <c r="LUE11" s="110"/>
      <c r="LUF11" s="110"/>
      <c r="LUG11" s="110"/>
      <c r="LUH11" s="110"/>
      <c r="LUI11" s="110"/>
      <c r="LUJ11" s="110"/>
      <c r="LUK11" s="110"/>
      <c r="LUL11" s="110"/>
      <c r="LUM11" s="110"/>
      <c r="LUN11" s="110"/>
      <c r="LUO11" s="110"/>
      <c r="LUP11" s="110"/>
      <c r="LUQ11" s="110"/>
      <c r="LUR11" s="110"/>
      <c r="LUS11" s="110"/>
      <c r="LUT11" s="110"/>
      <c r="LUU11" s="110"/>
      <c r="LUV11" s="110"/>
      <c r="LUW11" s="110"/>
      <c r="LUX11" s="110"/>
      <c r="LUY11" s="110"/>
      <c r="LUZ11" s="110"/>
      <c r="LVA11" s="110"/>
      <c r="LVB11" s="110"/>
      <c r="LVC11" s="110"/>
      <c r="LVD11" s="110"/>
      <c r="LVE11" s="110"/>
      <c r="LVF11" s="110"/>
      <c r="LVG11" s="110"/>
      <c r="LVH11" s="110"/>
      <c r="LVI11" s="110"/>
      <c r="LVJ11" s="110"/>
      <c r="LVK11" s="110"/>
      <c r="LVL11" s="110"/>
      <c r="LVM11" s="110"/>
      <c r="LVN11" s="110"/>
      <c r="LVO11" s="110"/>
      <c r="LVP11" s="110"/>
      <c r="LVQ11" s="110"/>
      <c r="LVR11" s="110"/>
      <c r="LVS11" s="110"/>
      <c r="LVT11" s="110"/>
      <c r="LVU11" s="110"/>
      <c r="LVV11" s="110"/>
      <c r="LVW11" s="110"/>
      <c r="LVX11" s="110"/>
      <c r="LVY11" s="110"/>
      <c r="LVZ11" s="110"/>
      <c r="LWA11" s="110"/>
      <c r="LWB11" s="110"/>
      <c r="LWC11" s="110"/>
      <c r="LWD11" s="110"/>
      <c r="LWE11" s="110"/>
      <c r="LWF11" s="110"/>
      <c r="LWG11" s="110"/>
      <c r="LWH11" s="110"/>
      <c r="LWI11" s="110"/>
      <c r="LWJ11" s="110"/>
      <c r="LWK11" s="110"/>
      <c r="LWL11" s="110"/>
      <c r="LWM11" s="110"/>
      <c r="LWN11" s="110"/>
      <c r="LWO11" s="110"/>
      <c r="LWP11" s="110"/>
      <c r="LWQ11" s="110"/>
      <c r="LWR11" s="110"/>
      <c r="LWS11" s="110"/>
      <c r="LWT11" s="110"/>
      <c r="LWU11" s="110"/>
      <c r="LWV11" s="110"/>
      <c r="LWW11" s="110"/>
      <c r="LWX11" s="110"/>
      <c r="LWY11" s="110"/>
      <c r="LWZ11" s="110"/>
      <c r="LXA11" s="110"/>
      <c r="LXB11" s="110"/>
      <c r="LXC11" s="110"/>
      <c r="LXD11" s="110"/>
      <c r="LXE11" s="110"/>
      <c r="LXF11" s="110"/>
      <c r="LXG11" s="110"/>
      <c r="LXH11" s="110"/>
      <c r="LXI11" s="110"/>
      <c r="LXJ11" s="110"/>
      <c r="LXK11" s="110"/>
      <c r="LXL11" s="110"/>
      <c r="LXM11" s="110"/>
      <c r="LXN11" s="110"/>
      <c r="LXO11" s="110"/>
      <c r="LXP11" s="110"/>
      <c r="LXQ11" s="110"/>
      <c r="LXR11" s="110"/>
      <c r="LXS11" s="110"/>
      <c r="LXT11" s="110"/>
      <c r="LXU11" s="110"/>
      <c r="LXV11" s="110"/>
      <c r="LXW11" s="110"/>
      <c r="LXX11" s="110"/>
      <c r="LXY11" s="110"/>
      <c r="LXZ11" s="110"/>
      <c r="LYA11" s="110"/>
      <c r="LYB11" s="110"/>
      <c r="LYC11" s="110"/>
      <c r="LYD11" s="110"/>
      <c r="LYE11" s="110"/>
      <c r="LYF11" s="110"/>
      <c r="LYG11" s="110"/>
      <c r="LYH11" s="110"/>
      <c r="LYI11" s="110"/>
      <c r="LYJ11" s="110"/>
      <c r="LYK11" s="110"/>
      <c r="LYL11" s="110"/>
      <c r="LYM11" s="110"/>
      <c r="LYN11" s="110"/>
      <c r="LYO11" s="110"/>
      <c r="LYP11" s="110"/>
      <c r="LYQ11" s="110"/>
      <c r="LYR11" s="110"/>
      <c r="LYS11" s="110"/>
      <c r="LYT11" s="110"/>
      <c r="LYU11" s="110"/>
      <c r="LYV11" s="110"/>
      <c r="LYW11" s="110"/>
      <c r="LYX11" s="110"/>
      <c r="LYY11" s="110"/>
      <c r="LYZ11" s="110"/>
      <c r="LZA11" s="110"/>
      <c r="LZB11" s="110"/>
      <c r="LZC11" s="110"/>
      <c r="LZD11" s="110"/>
      <c r="LZE11" s="110"/>
      <c r="LZF11" s="110"/>
      <c r="LZG11" s="110"/>
      <c r="LZH11" s="110"/>
      <c r="LZI11" s="110"/>
      <c r="LZJ11" s="110"/>
      <c r="LZK11" s="110"/>
      <c r="LZL11" s="110"/>
      <c r="LZM11" s="110"/>
      <c r="LZN11" s="110"/>
      <c r="LZO11" s="110"/>
      <c r="LZP11" s="110"/>
      <c r="LZQ11" s="110"/>
      <c r="LZR11" s="110"/>
      <c r="LZS11" s="110"/>
      <c r="LZT11" s="110"/>
      <c r="LZU11" s="110"/>
      <c r="LZV11" s="110"/>
      <c r="LZW11" s="110"/>
      <c r="LZX11" s="110"/>
      <c r="LZY11" s="110"/>
      <c r="LZZ11" s="110"/>
      <c r="MAA11" s="110"/>
      <c r="MAB11" s="110"/>
      <c r="MAC11" s="110"/>
      <c r="MAD11" s="110"/>
      <c r="MAE11" s="110"/>
      <c r="MAF11" s="110"/>
      <c r="MAG11" s="110"/>
      <c r="MAH11" s="110"/>
      <c r="MAI11" s="110"/>
      <c r="MAJ11" s="110"/>
      <c r="MAK11" s="110"/>
      <c r="MAL11" s="110"/>
      <c r="MAM11" s="110"/>
      <c r="MAN11" s="110"/>
      <c r="MAO11" s="110"/>
      <c r="MAP11" s="110"/>
      <c r="MAQ11" s="110"/>
      <c r="MAR11" s="110"/>
      <c r="MAS11" s="110"/>
      <c r="MAT11" s="110"/>
      <c r="MAU11" s="110"/>
      <c r="MAV11" s="110"/>
      <c r="MAW11" s="110"/>
      <c r="MAX11" s="110"/>
      <c r="MAY11" s="110"/>
      <c r="MAZ11" s="110"/>
      <c r="MBA11" s="110"/>
      <c r="MBB11" s="110"/>
      <c r="MBC11" s="110"/>
      <c r="MBD11" s="110"/>
      <c r="MBE11" s="110"/>
      <c r="MBF11" s="110"/>
      <c r="MBG11" s="110"/>
      <c r="MBH11" s="110"/>
      <c r="MBI11" s="110"/>
      <c r="MBJ11" s="110"/>
      <c r="MBK11" s="110"/>
      <c r="MBL11" s="110"/>
      <c r="MBM11" s="110"/>
      <c r="MBN11" s="110"/>
      <c r="MBO11" s="110"/>
      <c r="MBP11" s="110"/>
      <c r="MBQ11" s="110"/>
      <c r="MBR11" s="110"/>
      <c r="MBS11" s="110"/>
      <c r="MBT11" s="110"/>
      <c r="MBU11" s="110"/>
      <c r="MBV11" s="110"/>
      <c r="MBW11" s="110"/>
      <c r="MBX11" s="110"/>
      <c r="MBY11" s="110"/>
      <c r="MBZ11" s="110"/>
      <c r="MCA11" s="110"/>
      <c r="MCB11" s="110"/>
      <c r="MCC11" s="110"/>
      <c r="MCD11" s="110"/>
      <c r="MCE11" s="110"/>
      <c r="MCF11" s="110"/>
      <c r="MCG11" s="110"/>
      <c r="MCH11" s="110"/>
      <c r="MCI11" s="110"/>
      <c r="MCJ11" s="110"/>
      <c r="MCK11" s="110"/>
      <c r="MCL11" s="110"/>
      <c r="MCM11" s="110"/>
      <c r="MCN11" s="110"/>
      <c r="MCO11" s="110"/>
      <c r="MCP11" s="110"/>
      <c r="MCQ11" s="110"/>
      <c r="MCR11" s="110"/>
      <c r="MCS11" s="110"/>
      <c r="MCT11" s="110"/>
      <c r="MCU11" s="110"/>
      <c r="MCV11" s="110"/>
      <c r="MCW11" s="110"/>
      <c r="MCX11" s="110"/>
      <c r="MCY11" s="110"/>
      <c r="MCZ11" s="110"/>
      <c r="MDA11" s="110"/>
      <c r="MDB11" s="110"/>
      <c r="MDC11" s="110"/>
      <c r="MDD11" s="110"/>
      <c r="MDE11" s="110"/>
      <c r="MDF11" s="110"/>
      <c r="MDG11" s="110"/>
      <c r="MDH11" s="110"/>
      <c r="MDI11" s="110"/>
      <c r="MDJ11" s="110"/>
      <c r="MDK11" s="110"/>
      <c r="MDL11" s="110"/>
      <c r="MDM11" s="110"/>
      <c r="MDN11" s="110"/>
      <c r="MDO11" s="110"/>
      <c r="MDP11" s="110"/>
      <c r="MDQ11" s="110"/>
      <c r="MDR11" s="110"/>
      <c r="MDS11" s="110"/>
      <c r="MDT11" s="110"/>
      <c r="MDU11" s="110"/>
      <c r="MDV11" s="110"/>
      <c r="MDW11" s="110"/>
      <c r="MDX11" s="110"/>
      <c r="MDY11" s="110"/>
      <c r="MDZ11" s="110"/>
      <c r="MEA11" s="110"/>
      <c r="MEB11" s="110"/>
      <c r="MEC11" s="110"/>
      <c r="MED11" s="110"/>
      <c r="MEE11" s="110"/>
      <c r="MEF11" s="110"/>
      <c r="MEG11" s="110"/>
      <c r="MEH11" s="110"/>
      <c r="MEI11" s="110"/>
      <c r="MEJ11" s="110"/>
      <c r="MEK11" s="110"/>
      <c r="MEL11" s="110"/>
      <c r="MEM11" s="110"/>
      <c r="MEN11" s="110"/>
      <c r="MEO11" s="110"/>
      <c r="MEP11" s="110"/>
      <c r="MEQ11" s="110"/>
      <c r="MER11" s="110"/>
      <c r="MES11" s="110"/>
      <c r="MET11" s="110"/>
      <c r="MEU11" s="110"/>
      <c r="MEV11" s="110"/>
      <c r="MEW11" s="110"/>
      <c r="MEX11" s="110"/>
      <c r="MEY11" s="110"/>
      <c r="MEZ11" s="110"/>
      <c r="MFA11" s="110"/>
      <c r="MFB11" s="110"/>
      <c r="MFC11" s="110"/>
      <c r="MFD11" s="110"/>
      <c r="MFE11" s="110"/>
      <c r="MFF11" s="110"/>
      <c r="MFG11" s="110"/>
      <c r="MFH11" s="110"/>
      <c r="MFI11" s="110"/>
      <c r="MFJ11" s="110"/>
      <c r="MFK11" s="110"/>
      <c r="MFL11" s="110"/>
      <c r="MFM11" s="110"/>
      <c r="MFN11" s="110"/>
      <c r="MFO11" s="110"/>
      <c r="MFP11" s="110"/>
      <c r="MFQ11" s="110"/>
      <c r="MFR11" s="110"/>
      <c r="MFS11" s="110"/>
      <c r="MFT11" s="110"/>
      <c r="MFU11" s="110"/>
      <c r="MFV11" s="110"/>
      <c r="MFW11" s="110"/>
      <c r="MFX11" s="110"/>
      <c r="MFY11" s="110"/>
      <c r="MFZ11" s="110"/>
      <c r="MGA11" s="110"/>
      <c r="MGB11" s="110"/>
      <c r="MGC11" s="110"/>
      <c r="MGD11" s="110"/>
      <c r="MGE11" s="110"/>
      <c r="MGF11" s="110"/>
      <c r="MGG11" s="110"/>
      <c r="MGH11" s="110"/>
      <c r="MGI11" s="110"/>
      <c r="MGJ11" s="110"/>
      <c r="MGK11" s="110"/>
      <c r="MGL11" s="110"/>
      <c r="MGM11" s="110"/>
      <c r="MGN11" s="110"/>
      <c r="MGO11" s="110"/>
      <c r="MGP11" s="110"/>
      <c r="MGQ11" s="110"/>
      <c r="MGR11" s="110"/>
      <c r="MGS11" s="110"/>
      <c r="MGT11" s="110"/>
      <c r="MGU11" s="110"/>
      <c r="MGV11" s="110"/>
      <c r="MGW11" s="110"/>
      <c r="MGX11" s="110"/>
      <c r="MGY11" s="110"/>
      <c r="MGZ11" s="110"/>
      <c r="MHA11" s="110"/>
      <c r="MHB11" s="110"/>
      <c r="MHC11" s="110"/>
      <c r="MHD11" s="110"/>
      <c r="MHE11" s="110"/>
      <c r="MHF11" s="110"/>
      <c r="MHG11" s="110"/>
      <c r="MHH11" s="110"/>
      <c r="MHI11" s="110"/>
      <c r="MHJ11" s="110"/>
      <c r="MHK11" s="110"/>
      <c r="MHL11" s="110"/>
      <c r="MHM11" s="110"/>
      <c r="MHN11" s="110"/>
      <c r="MHO11" s="110"/>
      <c r="MHP11" s="110"/>
      <c r="MHQ11" s="110"/>
      <c r="MHR11" s="110"/>
      <c r="MHS11" s="110"/>
      <c r="MHT11" s="110"/>
      <c r="MHU11" s="110"/>
      <c r="MHV11" s="110"/>
      <c r="MHW11" s="110"/>
      <c r="MHX11" s="110"/>
      <c r="MHY11" s="110"/>
      <c r="MHZ11" s="110"/>
      <c r="MIA11" s="110"/>
      <c r="MIB11" s="110"/>
      <c r="MIC11" s="110"/>
      <c r="MID11" s="110"/>
      <c r="MIE11" s="110"/>
      <c r="MIF11" s="110"/>
      <c r="MIG11" s="110"/>
      <c r="MIH11" s="110"/>
      <c r="MII11" s="110"/>
      <c r="MIJ11" s="110"/>
      <c r="MIK11" s="110"/>
      <c r="MIL11" s="110"/>
      <c r="MIM11" s="110"/>
      <c r="MIN11" s="110"/>
      <c r="MIO11" s="110"/>
      <c r="MIP11" s="110"/>
      <c r="MIQ11" s="110"/>
      <c r="MIR11" s="110"/>
      <c r="MIS11" s="110"/>
      <c r="MIT11" s="110"/>
      <c r="MIU11" s="110"/>
      <c r="MIV11" s="110"/>
      <c r="MIW11" s="110"/>
      <c r="MIX11" s="110"/>
      <c r="MIY11" s="110"/>
      <c r="MIZ11" s="110"/>
      <c r="MJA11" s="110"/>
      <c r="MJB11" s="110"/>
      <c r="MJC11" s="110"/>
      <c r="MJD11" s="110"/>
      <c r="MJE11" s="110"/>
      <c r="MJF11" s="110"/>
      <c r="MJG11" s="110"/>
      <c r="MJH11" s="110"/>
      <c r="MJI11" s="110"/>
      <c r="MJJ11" s="110"/>
      <c r="MJK11" s="110"/>
      <c r="MJL11" s="110"/>
      <c r="MJM11" s="110"/>
      <c r="MJN11" s="110"/>
      <c r="MJO11" s="110"/>
      <c r="MJP11" s="110"/>
      <c r="MJQ11" s="110"/>
      <c r="MJR11" s="110"/>
      <c r="MJS11" s="110"/>
      <c r="MJT11" s="110"/>
      <c r="MJU11" s="110"/>
      <c r="MJV11" s="110"/>
      <c r="MJW11" s="110"/>
      <c r="MJX11" s="110"/>
      <c r="MJY11" s="110"/>
      <c r="MJZ11" s="110"/>
      <c r="MKA11" s="110"/>
      <c r="MKB11" s="110"/>
      <c r="MKC11" s="110"/>
      <c r="MKD11" s="110"/>
      <c r="MKE11" s="110"/>
      <c r="MKF11" s="110"/>
      <c r="MKG11" s="110"/>
      <c r="MKH11" s="110"/>
      <c r="MKI11" s="110"/>
      <c r="MKJ11" s="110"/>
      <c r="MKK11" s="110"/>
      <c r="MKL11" s="110"/>
      <c r="MKM11" s="110"/>
      <c r="MKN11" s="110"/>
      <c r="MKO11" s="110"/>
      <c r="MKP11" s="110"/>
      <c r="MKQ11" s="110"/>
      <c r="MKR11" s="110"/>
      <c r="MKS11" s="110"/>
      <c r="MKT11" s="110"/>
      <c r="MKU11" s="110"/>
      <c r="MKV11" s="110"/>
      <c r="MKW11" s="110"/>
      <c r="MKX11" s="110"/>
      <c r="MKY11" s="110"/>
      <c r="MKZ11" s="110"/>
      <c r="MLA11" s="110"/>
      <c r="MLB11" s="110"/>
      <c r="MLC11" s="110"/>
      <c r="MLD11" s="110"/>
      <c r="MLE11" s="110"/>
      <c r="MLF11" s="110"/>
      <c r="MLG11" s="110"/>
      <c r="MLH11" s="110"/>
      <c r="MLI11" s="110"/>
      <c r="MLJ11" s="110"/>
      <c r="MLK11" s="110"/>
      <c r="MLL11" s="110"/>
      <c r="MLM11" s="110"/>
      <c r="MLN11" s="110"/>
      <c r="MLO11" s="110"/>
      <c r="MLP11" s="110"/>
      <c r="MLQ11" s="110"/>
      <c r="MLR11" s="110"/>
      <c r="MLS11" s="110"/>
      <c r="MLT11" s="110"/>
      <c r="MLU11" s="110"/>
      <c r="MLV11" s="110"/>
      <c r="MLW11" s="110"/>
      <c r="MLX11" s="110"/>
      <c r="MLY11" s="110"/>
      <c r="MLZ11" s="110"/>
      <c r="MMA11" s="110"/>
      <c r="MMB11" s="110"/>
      <c r="MMC11" s="110"/>
      <c r="MMD11" s="110"/>
      <c r="MME11" s="110"/>
      <c r="MMF11" s="110"/>
      <c r="MMG11" s="110"/>
      <c r="MMH11" s="110"/>
      <c r="MMI11" s="110"/>
      <c r="MMJ11" s="110"/>
      <c r="MMK11" s="110"/>
      <c r="MML11" s="110"/>
      <c r="MMM11" s="110"/>
      <c r="MMN11" s="110"/>
      <c r="MMO11" s="110"/>
      <c r="MMP11" s="110"/>
      <c r="MMQ11" s="110"/>
      <c r="MMR11" s="110"/>
      <c r="MMS11" s="110"/>
      <c r="MMT11" s="110"/>
      <c r="MMU11" s="110"/>
      <c r="MMV11" s="110"/>
      <c r="MMW11" s="110"/>
      <c r="MMX11" s="110"/>
      <c r="MMY11" s="110"/>
      <c r="MMZ11" s="110"/>
      <c r="MNA11" s="110"/>
      <c r="MNB11" s="110"/>
      <c r="MNC11" s="110"/>
      <c r="MND11" s="110"/>
      <c r="MNE11" s="110"/>
      <c r="MNF11" s="110"/>
      <c r="MNG11" s="110"/>
      <c r="MNH11" s="110"/>
      <c r="MNI11" s="110"/>
      <c r="MNJ11" s="110"/>
      <c r="MNK11" s="110"/>
      <c r="MNL11" s="110"/>
      <c r="MNM11" s="110"/>
      <c r="MNN11" s="110"/>
      <c r="MNO11" s="110"/>
      <c r="MNP11" s="110"/>
      <c r="MNQ11" s="110"/>
      <c r="MNR11" s="110"/>
      <c r="MNS11" s="110"/>
      <c r="MNT11" s="110"/>
      <c r="MNU11" s="110"/>
      <c r="MNV11" s="110"/>
      <c r="MNW11" s="110"/>
      <c r="MNX11" s="110"/>
      <c r="MNY11" s="110"/>
      <c r="MNZ11" s="110"/>
      <c r="MOA11" s="110"/>
      <c r="MOB11" s="110"/>
      <c r="MOC11" s="110"/>
      <c r="MOD11" s="110"/>
      <c r="MOE11" s="110"/>
      <c r="MOF11" s="110"/>
      <c r="MOG11" s="110"/>
      <c r="MOH11" s="110"/>
      <c r="MOI11" s="110"/>
      <c r="MOJ11" s="110"/>
      <c r="MOK11" s="110"/>
      <c r="MOL11" s="110"/>
      <c r="MOM11" s="110"/>
      <c r="MON11" s="110"/>
      <c r="MOO11" s="110"/>
      <c r="MOP11" s="110"/>
      <c r="MOQ11" s="110"/>
      <c r="MOR11" s="110"/>
      <c r="MOS11" s="110"/>
      <c r="MOT11" s="110"/>
      <c r="MOU11" s="110"/>
      <c r="MOV11" s="110"/>
      <c r="MOW11" s="110"/>
      <c r="MOX11" s="110"/>
      <c r="MOY11" s="110"/>
      <c r="MOZ11" s="110"/>
      <c r="MPA11" s="110"/>
      <c r="MPB11" s="110"/>
      <c r="MPC11" s="110"/>
      <c r="MPD11" s="110"/>
      <c r="MPE11" s="110"/>
      <c r="MPF11" s="110"/>
      <c r="MPG11" s="110"/>
      <c r="MPH11" s="110"/>
      <c r="MPI11" s="110"/>
      <c r="MPJ11" s="110"/>
      <c r="MPK11" s="110"/>
      <c r="MPL11" s="110"/>
      <c r="MPM11" s="110"/>
      <c r="MPN11" s="110"/>
      <c r="MPO11" s="110"/>
      <c r="MPP11" s="110"/>
      <c r="MPQ11" s="110"/>
      <c r="MPR11" s="110"/>
      <c r="MPS11" s="110"/>
      <c r="MPT11" s="110"/>
      <c r="MPU11" s="110"/>
      <c r="MPV11" s="110"/>
      <c r="MPW11" s="110"/>
      <c r="MPX11" s="110"/>
      <c r="MPY11" s="110"/>
      <c r="MPZ11" s="110"/>
      <c r="MQA11" s="110"/>
      <c r="MQB11" s="110"/>
      <c r="MQC11" s="110"/>
      <c r="MQD11" s="110"/>
      <c r="MQE11" s="110"/>
      <c r="MQF11" s="110"/>
      <c r="MQG11" s="110"/>
      <c r="MQH11" s="110"/>
      <c r="MQI11" s="110"/>
      <c r="MQJ11" s="110"/>
      <c r="MQK11" s="110"/>
      <c r="MQL11" s="110"/>
      <c r="MQM11" s="110"/>
      <c r="MQN11" s="110"/>
      <c r="MQO11" s="110"/>
      <c r="MQP11" s="110"/>
      <c r="MQQ11" s="110"/>
      <c r="MQR11" s="110"/>
      <c r="MQS11" s="110"/>
      <c r="MQT11" s="110"/>
      <c r="MQU11" s="110"/>
      <c r="MQV11" s="110"/>
      <c r="MQW11" s="110"/>
      <c r="MQX11" s="110"/>
      <c r="MQY11" s="110"/>
      <c r="MQZ11" s="110"/>
      <c r="MRA11" s="110"/>
      <c r="MRB11" s="110"/>
      <c r="MRC11" s="110"/>
      <c r="MRD11" s="110"/>
      <c r="MRE11" s="110"/>
      <c r="MRF11" s="110"/>
      <c r="MRG11" s="110"/>
      <c r="MRH11" s="110"/>
      <c r="MRI11" s="110"/>
      <c r="MRJ11" s="110"/>
      <c r="MRK11" s="110"/>
      <c r="MRL11" s="110"/>
      <c r="MRM11" s="110"/>
      <c r="MRN11" s="110"/>
      <c r="MRO11" s="110"/>
      <c r="MRP11" s="110"/>
      <c r="MRQ11" s="110"/>
      <c r="MRR11" s="110"/>
      <c r="MRS11" s="110"/>
      <c r="MRT11" s="110"/>
      <c r="MRU11" s="110"/>
      <c r="MRV11" s="110"/>
      <c r="MRW11" s="110"/>
      <c r="MRX11" s="110"/>
      <c r="MRY11" s="110"/>
      <c r="MRZ11" s="110"/>
      <c r="MSA11" s="110"/>
      <c r="MSB11" s="110"/>
      <c r="MSC11" s="110"/>
      <c r="MSD11" s="110"/>
      <c r="MSE11" s="110"/>
      <c r="MSF11" s="110"/>
      <c r="MSG11" s="110"/>
      <c r="MSH11" s="110"/>
      <c r="MSI11" s="110"/>
      <c r="MSJ11" s="110"/>
      <c r="MSK11" s="110"/>
      <c r="MSL11" s="110"/>
      <c r="MSM11" s="110"/>
      <c r="MSN11" s="110"/>
      <c r="MSO11" s="110"/>
      <c r="MSP11" s="110"/>
      <c r="MSQ11" s="110"/>
      <c r="MSR11" s="110"/>
      <c r="MSS11" s="110"/>
      <c r="MST11" s="110"/>
      <c r="MSU11" s="110"/>
      <c r="MSV11" s="110"/>
      <c r="MSW11" s="110"/>
      <c r="MSX11" s="110"/>
      <c r="MSY11" s="110"/>
      <c r="MSZ11" s="110"/>
      <c r="MTA11" s="110"/>
      <c r="MTB11" s="110"/>
      <c r="MTC11" s="110"/>
      <c r="MTD11" s="110"/>
      <c r="MTE11" s="110"/>
      <c r="MTF11" s="110"/>
      <c r="MTG11" s="110"/>
      <c r="MTH11" s="110"/>
      <c r="MTI11" s="110"/>
      <c r="MTJ11" s="110"/>
      <c r="MTK11" s="110"/>
      <c r="MTL11" s="110"/>
      <c r="MTM11" s="110"/>
      <c r="MTN11" s="110"/>
      <c r="MTO11" s="110"/>
      <c r="MTP11" s="110"/>
      <c r="MTQ11" s="110"/>
      <c r="MTR11" s="110"/>
      <c r="MTS11" s="110"/>
      <c r="MTT11" s="110"/>
      <c r="MTU11" s="110"/>
      <c r="MTV11" s="110"/>
      <c r="MTW11" s="110"/>
      <c r="MTX11" s="110"/>
      <c r="MTY11" s="110"/>
      <c r="MTZ11" s="110"/>
      <c r="MUA11" s="110"/>
      <c r="MUB11" s="110"/>
      <c r="MUC11" s="110"/>
      <c r="MUD11" s="110"/>
      <c r="MUE11" s="110"/>
      <c r="MUF11" s="110"/>
      <c r="MUG11" s="110"/>
      <c r="MUH11" s="110"/>
      <c r="MUI11" s="110"/>
      <c r="MUJ11" s="110"/>
      <c r="MUK11" s="110"/>
      <c r="MUL11" s="110"/>
      <c r="MUM11" s="110"/>
      <c r="MUN11" s="110"/>
      <c r="MUO11" s="110"/>
      <c r="MUP11" s="110"/>
      <c r="MUQ11" s="110"/>
      <c r="MUR11" s="110"/>
      <c r="MUS11" s="110"/>
      <c r="MUT11" s="110"/>
      <c r="MUU11" s="110"/>
      <c r="MUV11" s="110"/>
      <c r="MUW11" s="110"/>
      <c r="MUX11" s="110"/>
      <c r="MUY11" s="110"/>
      <c r="MUZ11" s="110"/>
      <c r="MVA11" s="110"/>
      <c r="MVB11" s="110"/>
      <c r="MVC11" s="110"/>
      <c r="MVD11" s="110"/>
      <c r="MVE11" s="110"/>
      <c r="MVF11" s="110"/>
      <c r="MVG11" s="110"/>
      <c r="MVH11" s="110"/>
      <c r="MVI11" s="110"/>
      <c r="MVJ11" s="110"/>
      <c r="MVK11" s="110"/>
      <c r="MVL11" s="110"/>
      <c r="MVM11" s="110"/>
      <c r="MVN11" s="110"/>
      <c r="MVO11" s="110"/>
      <c r="MVP11" s="110"/>
      <c r="MVQ11" s="110"/>
      <c r="MVR11" s="110"/>
      <c r="MVS11" s="110"/>
      <c r="MVT11" s="110"/>
      <c r="MVU11" s="110"/>
      <c r="MVV11" s="110"/>
      <c r="MVW11" s="110"/>
      <c r="MVX11" s="110"/>
      <c r="MVY11" s="110"/>
      <c r="MVZ11" s="110"/>
      <c r="MWA11" s="110"/>
      <c r="MWB11" s="110"/>
      <c r="MWC11" s="110"/>
      <c r="MWD11" s="110"/>
      <c r="MWE11" s="110"/>
      <c r="MWF11" s="110"/>
      <c r="MWG11" s="110"/>
      <c r="MWH11" s="110"/>
      <c r="MWI11" s="110"/>
      <c r="MWJ11" s="110"/>
      <c r="MWK11" s="110"/>
      <c r="MWL11" s="110"/>
      <c r="MWM11" s="110"/>
      <c r="MWN11" s="110"/>
      <c r="MWO11" s="110"/>
      <c r="MWP11" s="110"/>
      <c r="MWQ11" s="110"/>
      <c r="MWR11" s="110"/>
      <c r="MWS11" s="110"/>
      <c r="MWT11" s="110"/>
      <c r="MWU11" s="110"/>
      <c r="MWV11" s="110"/>
      <c r="MWW11" s="110"/>
      <c r="MWX11" s="110"/>
      <c r="MWY11" s="110"/>
      <c r="MWZ11" s="110"/>
      <c r="MXA11" s="110"/>
      <c r="MXB11" s="110"/>
      <c r="MXC11" s="110"/>
      <c r="MXD11" s="110"/>
      <c r="MXE11" s="110"/>
      <c r="MXF11" s="110"/>
      <c r="MXG11" s="110"/>
      <c r="MXH11" s="110"/>
      <c r="MXI11" s="110"/>
      <c r="MXJ11" s="110"/>
      <c r="MXK11" s="110"/>
      <c r="MXL11" s="110"/>
      <c r="MXM11" s="110"/>
      <c r="MXN11" s="110"/>
      <c r="MXO11" s="110"/>
      <c r="MXP11" s="110"/>
      <c r="MXQ11" s="110"/>
      <c r="MXR11" s="110"/>
      <c r="MXS11" s="110"/>
      <c r="MXT11" s="110"/>
      <c r="MXU11" s="110"/>
      <c r="MXV11" s="110"/>
      <c r="MXW11" s="110"/>
      <c r="MXX11" s="110"/>
      <c r="MXY11" s="110"/>
      <c r="MXZ11" s="110"/>
      <c r="MYA11" s="110"/>
      <c r="MYB11" s="110"/>
      <c r="MYC11" s="110"/>
      <c r="MYD11" s="110"/>
      <c r="MYE11" s="110"/>
      <c r="MYF11" s="110"/>
      <c r="MYG11" s="110"/>
      <c r="MYH11" s="110"/>
      <c r="MYI11" s="110"/>
      <c r="MYJ11" s="110"/>
      <c r="MYK11" s="110"/>
      <c r="MYL11" s="110"/>
      <c r="MYM11" s="110"/>
      <c r="MYN11" s="110"/>
      <c r="MYO11" s="110"/>
      <c r="MYP11" s="110"/>
      <c r="MYQ11" s="110"/>
      <c r="MYR11" s="110"/>
      <c r="MYS11" s="110"/>
      <c r="MYT11" s="110"/>
      <c r="MYU11" s="110"/>
      <c r="MYV11" s="110"/>
      <c r="MYW11" s="110"/>
      <c r="MYX11" s="110"/>
      <c r="MYY11" s="110"/>
      <c r="MYZ11" s="110"/>
      <c r="MZA11" s="110"/>
      <c r="MZB11" s="110"/>
      <c r="MZC11" s="110"/>
      <c r="MZD11" s="110"/>
      <c r="MZE11" s="110"/>
      <c r="MZF11" s="110"/>
      <c r="MZG11" s="110"/>
      <c r="MZH11" s="110"/>
      <c r="MZI11" s="110"/>
      <c r="MZJ11" s="110"/>
      <c r="MZK11" s="110"/>
      <c r="MZL11" s="110"/>
      <c r="MZM11" s="110"/>
      <c r="MZN11" s="110"/>
      <c r="MZO11" s="110"/>
      <c r="MZP11" s="110"/>
      <c r="MZQ11" s="110"/>
      <c r="MZR11" s="110"/>
      <c r="MZS11" s="110"/>
      <c r="MZT11" s="110"/>
      <c r="MZU11" s="110"/>
      <c r="MZV11" s="110"/>
      <c r="MZW11" s="110"/>
      <c r="MZX11" s="110"/>
      <c r="MZY11" s="110"/>
      <c r="MZZ11" s="110"/>
      <c r="NAA11" s="110"/>
      <c r="NAB11" s="110"/>
      <c r="NAC11" s="110"/>
      <c r="NAD11" s="110"/>
      <c r="NAE11" s="110"/>
      <c r="NAF11" s="110"/>
      <c r="NAG11" s="110"/>
      <c r="NAH11" s="110"/>
      <c r="NAI11" s="110"/>
      <c r="NAJ11" s="110"/>
      <c r="NAK11" s="110"/>
      <c r="NAL11" s="110"/>
      <c r="NAM11" s="110"/>
      <c r="NAN11" s="110"/>
      <c r="NAO11" s="110"/>
      <c r="NAP11" s="110"/>
      <c r="NAQ11" s="110"/>
      <c r="NAR11" s="110"/>
      <c r="NAS11" s="110"/>
      <c r="NAT11" s="110"/>
      <c r="NAU11" s="110"/>
      <c r="NAV11" s="110"/>
      <c r="NAW11" s="110"/>
      <c r="NAX11" s="110"/>
      <c r="NAY11" s="110"/>
      <c r="NAZ11" s="110"/>
      <c r="NBA11" s="110"/>
      <c r="NBB11" s="110"/>
      <c r="NBC11" s="110"/>
      <c r="NBD11" s="110"/>
      <c r="NBE11" s="110"/>
      <c r="NBF11" s="110"/>
      <c r="NBG11" s="110"/>
      <c r="NBH11" s="110"/>
      <c r="NBI11" s="110"/>
      <c r="NBJ11" s="110"/>
      <c r="NBK11" s="110"/>
      <c r="NBL11" s="110"/>
      <c r="NBM11" s="110"/>
      <c r="NBN11" s="110"/>
      <c r="NBO11" s="110"/>
      <c r="NBP11" s="110"/>
      <c r="NBQ11" s="110"/>
      <c r="NBR11" s="110"/>
      <c r="NBS11" s="110"/>
      <c r="NBT11" s="110"/>
      <c r="NBU11" s="110"/>
      <c r="NBV11" s="110"/>
      <c r="NBW11" s="110"/>
      <c r="NBX11" s="110"/>
      <c r="NBY11" s="110"/>
      <c r="NBZ11" s="110"/>
      <c r="NCA11" s="110"/>
      <c r="NCB11" s="110"/>
      <c r="NCC11" s="110"/>
      <c r="NCD11" s="110"/>
      <c r="NCE11" s="110"/>
      <c r="NCF11" s="110"/>
      <c r="NCG11" s="110"/>
      <c r="NCH11" s="110"/>
      <c r="NCI11" s="110"/>
      <c r="NCJ11" s="110"/>
      <c r="NCK11" s="110"/>
      <c r="NCL11" s="110"/>
      <c r="NCM11" s="110"/>
      <c r="NCN11" s="110"/>
      <c r="NCO11" s="110"/>
      <c r="NCP11" s="110"/>
      <c r="NCQ11" s="110"/>
      <c r="NCR11" s="110"/>
      <c r="NCS11" s="110"/>
      <c r="NCT11" s="110"/>
      <c r="NCU11" s="110"/>
      <c r="NCV11" s="110"/>
      <c r="NCW11" s="110"/>
      <c r="NCX11" s="110"/>
      <c r="NCY11" s="110"/>
      <c r="NCZ11" s="110"/>
      <c r="NDA11" s="110"/>
      <c r="NDB11" s="110"/>
      <c r="NDC11" s="110"/>
      <c r="NDD11" s="110"/>
      <c r="NDE11" s="110"/>
      <c r="NDF11" s="110"/>
      <c r="NDG11" s="110"/>
      <c r="NDH11" s="110"/>
      <c r="NDI11" s="110"/>
      <c r="NDJ11" s="110"/>
      <c r="NDK11" s="110"/>
      <c r="NDL11" s="110"/>
      <c r="NDM11" s="110"/>
      <c r="NDN11" s="110"/>
      <c r="NDO11" s="110"/>
      <c r="NDP11" s="110"/>
      <c r="NDQ11" s="110"/>
      <c r="NDR11" s="110"/>
      <c r="NDS11" s="110"/>
      <c r="NDT11" s="110"/>
      <c r="NDU11" s="110"/>
      <c r="NDV11" s="110"/>
      <c r="NDW11" s="110"/>
      <c r="NDX11" s="110"/>
      <c r="NDY11" s="110"/>
      <c r="NDZ11" s="110"/>
      <c r="NEA11" s="110"/>
      <c r="NEB11" s="110"/>
      <c r="NEC11" s="110"/>
      <c r="NED11" s="110"/>
      <c r="NEE11" s="110"/>
      <c r="NEF11" s="110"/>
      <c r="NEG11" s="110"/>
      <c r="NEH11" s="110"/>
      <c r="NEI11" s="110"/>
      <c r="NEJ11" s="110"/>
      <c r="NEK11" s="110"/>
      <c r="NEL11" s="110"/>
      <c r="NEM11" s="110"/>
      <c r="NEN11" s="110"/>
      <c r="NEO11" s="110"/>
      <c r="NEP11" s="110"/>
      <c r="NEQ11" s="110"/>
      <c r="NER11" s="110"/>
      <c r="NES11" s="110"/>
      <c r="NET11" s="110"/>
      <c r="NEU11" s="110"/>
      <c r="NEV11" s="110"/>
      <c r="NEW11" s="110"/>
      <c r="NEX11" s="110"/>
      <c r="NEY11" s="110"/>
      <c r="NEZ11" s="110"/>
      <c r="NFA11" s="110"/>
      <c r="NFB11" s="110"/>
      <c r="NFC11" s="110"/>
      <c r="NFD11" s="110"/>
      <c r="NFE11" s="110"/>
      <c r="NFF11" s="110"/>
      <c r="NFG11" s="110"/>
      <c r="NFH11" s="110"/>
      <c r="NFI11" s="110"/>
      <c r="NFJ11" s="110"/>
      <c r="NFK11" s="110"/>
      <c r="NFL11" s="110"/>
      <c r="NFM11" s="110"/>
      <c r="NFN11" s="110"/>
      <c r="NFO11" s="110"/>
      <c r="NFP11" s="110"/>
      <c r="NFQ11" s="110"/>
      <c r="NFR11" s="110"/>
      <c r="NFS11" s="110"/>
      <c r="NFT11" s="110"/>
      <c r="NFU11" s="110"/>
      <c r="NFV11" s="110"/>
      <c r="NFW11" s="110"/>
      <c r="NFX11" s="110"/>
      <c r="NFY11" s="110"/>
      <c r="NFZ11" s="110"/>
      <c r="NGA11" s="110"/>
      <c r="NGB11" s="110"/>
      <c r="NGC11" s="110"/>
      <c r="NGD11" s="110"/>
      <c r="NGE11" s="110"/>
      <c r="NGF11" s="110"/>
      <c r="NGG11" s="110"/>
      <c r="NGH11" s="110"/>
      <c r="NGI11" s="110"/>
      <c r="NGJ11" s="110"/>
      <c r="NGK11" s="110"/>
      <c r="NGL11" s="110"/>
      <c r="NGM11" s="110"/>
      <c r="NGN11" s="110"/>
      <c r="NGO11" s="110"/>
      <c r="NGP11" s="110"/>
      <c r="NGQ11" s="110"/>
      <c r="NGR11" s="110"/>
      <c r="NGS11" s="110"/>
      <c r="NGT11" s="110"/>
      <c r="NGU11" s="110"/>
      <c r="NGV11" s="110"/>
      <c r="NGW11" s="110"/>
      <c r="NGX11" s="110"/>
      <c r="NGY11" s="110"/>
      <c r="NGZ11" s="110"/>
      <c r="NHA11" s="110"/>
      <c r="NHB11" s="110"/>
      <c r="NHC11" s="110"/>
      <c r="NHD11" s="110"/>
      <c r="NHE11" s="110"/>
      <c r="NHF11" s="110"/>
      <c r="NHG11" s="110"/>
      <c r="NHH11" s="110"/>
      <c r="NHI11" s="110"/>
      <c r="NHJ11" s="110"/>
      <c r="NHK11" s="110"/>
      <c r="NHL11" s="110"/>
      <c r="NHM11" s="110"/>
      <c r="NHN11" s="110"/>
      <c r="NHO11" s="110"/>
      <c r="NHP11" s="110"/>
      <c r="NHQ11" s="110"/>
      <c r="NHR11" s="110"/>
      <c r="NHS11" s="110"/>
      <c r="NHT11" s="110"/>
      <c r="NHU11" s="110"/>
      <c r="NHV11" s="110"/>
      <c r="NHW11" s="110"/>
      <c r="NHX11" s="110"/>
      <c r="NHY11" s="110"/>
      <c r="NHZ11" s="110"/>
      <c r="NIA11" s="110"/>
      <c r="NIB11" s="110"/>
      <c r="NIC11" s="110"/>
      <c r="NID11" s="110"/>
      <c r="NIE11" s="110"/>
      <c r="NIF11" s="110"/>
      <c r="NIG11" s="110"/>
      <c r="NIH11" s="110"/>
      <c r="NII11" s="110"/>
      <c r="NIJ11" s="110"/>
      <c r="NIK11" s="110"/>
      <c r="NIL11" s="110"/>
      <c r="NIM11" s="110"/>
      <c r="NIN11" s="110"/>
      <c r="NIO11" s="110"/>
      <c r="NIP11" s="110"/>
      <c r="NIQ11" s="110"/>
      <c r="NIR11" s="110"/>
      <c r="NIS11" s="110"/>
      <c r="NIT11" s="110"/>
      <c r="NIU11" s="110"/>
      <c r="NIV11" s="110"/>
      <c r="NIW11" s="110"/>
      <c r="NIX11" s="110"/>
      <c r="NIY11" s="110"/>
      <c r="NIZ11" s="110"/>
      <c r="NJA11" s="110"/>
      <c r="NJB11" s="110"/>
      <c r="NJC11" s="110"/>
      <c r="NJD11" s="110"/>
      <c r="NJE11" s="110"/>
      <c r="NJF11" s="110"/>
      <c r="NJG11" s="110"/>
      <c r="NJH11" s="110"/>
      <c r="NJI11" s="110"/>
      <c r="NJJ11" s="110"/>
      <c r="NJK11" s="110"/>
      <c r="NJL11" s="110"/>
      <c r="NJM11" s="110"/>
      <c r="NJN11" s="110"/>
      <c r="NJO11" s="110"/>
      <c r="NJP11" s="110"/>
      <c r="NJQ11" s="110"/>
      <c r="NJR11" s="110"/>
      <c r="NJS11" s="110"/>
      <c r="NJT11" s="110"/>
      <c r="NJU11" s="110"/>
      <c r="NJV11" s="110"/>
      <c r="NJW11" s="110"/>
      <c r="NJX11" s="110"/>
      <c r="NJY11" s="110"/>
      <c r="NJZ11" s="110"/>
      <c r="NKA11" s="110"/>
      <c r="NKB11" s="110"/>
      <c r="NKC11" s="110"/>
      <c r="NKD11" s="110"/>
      <c r="NKE11" s="110"/>
      <c r="NKF11" s="110"/>
      <c r="NKG11" s="110"/>
      <c r="NKH11" s="110"/>
      <c r="NKI11" s="110"/>
      <c r="NKJ11" s="110"/>
      <c r="NKK11" s="110"/>
      <c r="NKL11" s="110"/>
      <c r="NKM11" s="110"/>
      <c r="NKN11" s="110"/>
      <c r="NKO11" s="110"/>
      <c r="NKP11" s="110"/>
      <c r="NKQ11" s="110"/>
      <c r="NKR11" s="110"/>
      <c r="NKS11" s="110"/>
      <c r="NKT11" s="110"/>
      <c r="NKU11" s="110"/>
      <c r="NKV11" s="110"/>
      <c r="NKW11" s="110"/>
      <c r="NKX11" s="110"/>
      <c r="NKY11" s="110"/>
      <c r="NKZ11" s="110"/>
      <c r="NLA11" s="110"/>
      <c r="NLB11" s="110"/>
      <c r="NLC11" s="110"/>
      <c r="NLD11" s="110"/>
      <c r="NLE11" s="110"/>
      <c r="NLF11" s="110"/>
      <c r="NLG11" s="110"/>
      <c r="NLH11" s="110"/>
      <c r="NLI11" s="110"/>
      <c r="NLJ11" s="110"/>
      <c r="NLK11" s="110"/>
      <c r="NLL11" s="110"/>
      <c r="NLM11" s="110"/>
      <c r="NLN11" s="110"/>
      <c r="NLO11" s="110"/>
      <c r="NLP11" s="110"/>
      <c r="NLQ11" s="110"/>
      <c r="NLR11" s="110"/>
      <c r="NLS11" s="110"/>
      <c r="NLT11" s="110"/>
      <c r="NLU11" s="110"/>
      <c r="NLV11" s="110"/>
      <c r="NLW11" s="110"/>
      <c r="NLX11" s="110"/>
      <c r="NLY11" s="110"/>
      <c r="NLZ11" s="110"/>
      <c r="NMA11" s="110"/>
      <c r="NMB11" s="110"/>
      <c r="NMC11" s="110"/>
      <c r="NMD11" s="110"/>
      <c r="NME11" s="110"/>
      <c r="NMF11" s="110"/>
      <c r="NMG11" s="110"/>
      <c r="NMH11" s="110"/>
      <c r="NMI11" s="110"/>
      <c r="NMJ11" s="110"/>
      <c r="NMK11" s="110"/>
      <c r="NML11" s="110"/>
      <c r="NMM11" s="110"/>
      <c r="NMN11" s="110"/>
      <c r="NMO11" s="110"/>
      <c r="NMP11" s="110"/>
      <c r="NMQ11" s="110"/>
      <c r="NMR11" s="110"/>
      <c r="NMS11" s="110"/>
      <c r="NMT11" s="110"/>
      <c r="NMU11" s="110"/>
      <c r="NMV11" s="110"/>
      <c r="NMW11" s="110"/>
      <c r="NMX11" s="110"/>
      <c r="NMY11" s="110"/>
      <c r="NMZ11" s="110"/>
      <c r="NNA11" s="110"/>
      <c r="NNB11" s="110"/>
      <c r="NNC11" s="110"/>
      <c r="NND11" s="110"/>
      <c r="NNE11" s="110"/>
      <c r="NNF11" s="110"/>
      <c r="NNG11" s="110"/>
      <c r="NNH11" s="110"/>
      <c r="NNI11" s="110"/>
      <c r="NNJ11" s="110"/>
      <c r="NNK11" s="110"/>
      <c r="NNL11" s="110"/>
      <c r="NNM11" s="110"/>
      <c r="NNN11" s="110"/>
      <c r="NNO11" s="110"/>
      <c r="NNP11" s="110"/>
      <c r="NNQ11" s="110"/>
      <c r="NNR11" s="110"/>
      <c r="NNS11" s="110"/>
      <c r="NNT11" s="110"/>
      <c r="NNU11" s="110"/>
      <c r="NNV11" s="110"/>
      <c r="NNW11" s="110"/>
      <c r="NNX11" s="110"/>
      <c r="NNY11" s="110"/>
      <c r="NNZ11" s="110"/>
      <c r="NOA11" s="110"/>
      <c r="NOB11" s="110"/>
      <c r="NOC11" s="110"/>
      <c r="NOD11" s="110"/>
      <c r="NOE11" s="110"/>
      <c r="NOF11" s="110"/>
      <c r="NOG11" s="110"/>
      <c r="NOH11" s="110"/>
      <c r="NOI11" s="110"/>
      <c r="NOJ11" s="110"/>
      <c r="NOK11" s="110"/>
      <c r="NOL11" s="110"/>
      <c r="NOM11" s="110"/>
      <c r="NON11" s="110"/>
      <c r="NOO11" s="110"/>
      <c r="NOP11" s="110"/>
      <c r="NOQ11" s="110"/>
      <c r="NOR11" s="110"/>
      <c r="NOS11" s="110"/>
      <c r="NOT11" s="110"/>
      <c r="NOU11" s="110"/>
      <c r="NOV11" s="110"/>
      <c r="NOW11" s="110"/>
      <c r="NOX11" s="110"/>
      <c r="NOY11" s="110"/>
      <c r="NOZ11" s="110"/>
      <c r="NPA11" s="110"/>
      <c r="NPB11" s="110"/>
      <c r="NPC11" s="110"/>
      <c r="NPD11" s="110"/>
      <c r="NPE11" s="110"/>
      <c r="NPF11" s="110"/>
      <c r="NPG11" s="110"/>
      <c r="NPH11" s="110"/>
      <c r="NPI11" s="110"/>
      <c r="NPJ11" s="110"/>
      <c r="NPK11" s="110"/>
      <c r="NPL11" s="110"/>
      <c r="NPM11" s="110"/>
      <c r="NPN11" s="110"/>
      <c r="NPO11" s="110"/>
      <c r="NPP11" s="110"/>
      <c r="NPQ11" s="110"/>
      <c r="NPR11" s="110"/>
      <c r="NPS11" s="110"/>
      <c r="NPT11" s="110"/>
      <c r="NPU11" s="110"/>
      <c r="NPV11" s="110"/>
      <c r="NPW11" s="110"/>
      <c r="NPX11" s="110"/>
      <c r="NPY11" s="110"/>
      <c r="NPZ11" s="110"/>
      <c r="NQA11" s="110"/>
      <c r="NQB11" s="110"/>
      <c r="NQC11" s="110"/>
      <c r="NQD11" s="110"/>
      <c r="NQE11" s="110"/>
      <c r="NQF11" s="110"/>
      <c r="NQG11" s="110"/>
      <c r="NQH11" s="110"/>
      <c r="NQI11" s="110"/>
      <c r="NQJ11" s="110"/>
      <c r="NQK11" s="110"/>
      <c r="NQL11" s="110"/>
      <c r="NQM11" s="110"/>
      <c r="NQN11" s="110"/>
      <c r="NQO11" s="110"/>
      <c r="NQP11" s="110"/>
      <c r="NQQ11" s="110"/>
      <c r="NQR11" s="110"/>
      <c r="NQS11" s="110"/>
      <c r="NQT11" s="110"/>
      <c r="NQU11" s="110"/>
      <c r="NQV11" s="110"/>
      <c r="NQW11" s="110"/>
      <c r="NQX11" s="110"/>
      <c r="NQY11" s="110"/>
      <c r="NQZ11" s="110"/>
      <c r="NRA11" s="110"/>
      <c r="NRB11" s="110"/>
      <c r="NRC11" s="110"/>
      <c r="NRD11" s="110"/>
      <c r="NRE11" s="110"/>
      <c r="NRF11" s="110"/>
      <c r="NRG11" s="110"/>
      <c r="NRH11" s="110"/>
      <c r="NRI11" s="110"/>
      <c r="NRJ11" s="110"/>
      <c r="NRK11" s="110"/>
      <c r="NRL11" s="110"/>
      <c r="NRM11" s="110"/>
      <c r="NRN11" s="110"/>
      <c r="NRO11" s="110"/>
      <c r="NRP11" s="110"/>
      <c r="NRQ11" s="110"/>
      <c r="NRR11" s="110"/>
      <c r="NRS11" s="110"/>
      <c r="NRT11" s="110"/>
      <c r="NRU11" s="110"/>
      <c r="NRV11" s="110"/>
      <c r="NRW11" s="110"/>
      <c r="NRX11" s="110"/>
      <c r="NRY11" s="110"/>
      <c r="NRZ11" s="110"/>
      <c r="NSA11" s="110"/>
      <c r="NSB11" s="110"/>
      <c r="NSC11" s="110"/>
      <c r="NSD11" s="110"/>
      <c r="NSE11" s="110"/>
      <c r="NSF11" s="110"/>
      <c r="NSG11" s="110"/>
      <c r="NSH11" s="110"/>
      <c r="NSI11" s="110"/>
      <c r="NSJ11" s="110"/>
      <c r="NSK11" s="110"/>
      <c r="NSL11" s="110"/>
      <c r="NSM11" s="110"/>
      <c r="NSN11" s="110"/>
      <c r="NSO11" s="110"/>
      <c r="NSP11" s="110"/>
      <c r="NSQ11" s="110"/>
      <c r="NSR11" s="110"/>
      <c r="NSS11" s="110"/>
      <c r="NST11" s="110"/>
      <c r="NSU11" s="110"/>
      <c r="NSV11" s="110"/>
      <c r="NSW11" s="110"/>
      <c r="NSX11" s="110"/>
      <c r="NSY11" s="110"/>
      <c r="NSZ11" s="110"/>
      <c r="NTA11" s="110"/>
      <c r="NTB11" s="110"/>
      <c r="NTC11" s="110"/>
      <c r="NTD11" s="110"/>
      <c r="NTE11" s="110"/>
      <c r="NTF11" s="110"/>
      <c r="NTG11" s="110"/>
      <c r="NTH11" s="110"/>
      <c r="NTI11" s="110"/>
      <c r="NTJ11" s="110"/>
      <c r="NTK11" s="110"/>
      <c r="NTL11" s="110"/>
      <c r="NTM11" s="110"/>
      <c r="NTN11" s="110"/>
      <c r="NTO11" s="110"/>
      <c r="NTP11" s="110"/>
      <c r="NTQ11" s="110"/>
      <c r="NTR11" s="110"/>
      <c r="NTS11" s="110"/>
      <c r="NTT11" s="110"/>
      <c r="NTU11" s="110"/>
      <c r="NTV11" s="110"/>
      <c r="NTW11" s="110"/>
      <c r="NTX11" s="110"/>
      <c r="NTY11" s="110"/>
      <c r="NTZ11" s="110"/>
      <c r="NUA11" s="110"/>
      <c r="NUB11" s="110"/>
      <c r="NUC11" s="110"/>
      <c r="NUD11" s="110"/>
      <c r="NUE11" s="110"/>
      <c r="NUF11" s="110"/>
      <c r="NUG11" s="110"/>
      <c r="NUH11" s="110"/>
      <c r="NUI11" s="110"/>
      <c r="NUJ11" s="110"/>
      <c r="NUK11" s="110"/>
      <c r="NUL11" s="110"/>
      <c r="NUM11" s="110"/>
      <c r="NUN11" s="110"/>
      <c r="NUO11" s="110"/>
      <c r="NUP11" s="110"/>
      <c r="NUQ11" s="110"/>
      <c r="NUR11" s="110"/>
      <c r="NUS11" s="110"/>
      <c r="NUT11" s="110"/>
      <c r="NUU11" s="110"/>
      <c r="NUV11" s="110"/>
      <c r="NUW11" s="110"/>
      <c r="NUX11" s="110"/>
      <c r="NUY11" s="110"/>
      <c r="NUZ11" s="110"/>
      <c r="NVA11" s="110"/>
      <c r="NVB11" s="110"/>
      <c r="NVC11" s="110"/>
      <c r="NVD11" s="110"/>
      <c r="NVE11" s="110"/>
      <c r="NVF11" s="110"/>
      <c r="NVG11" s="110"/>
      <c r="NVH11" s="110"/>
      <c r="NVI11" s="110"/>
      <c r="NVJ11" s="110"/>
      <c r="NVK11" s="110"/>
      <c r="NVL11" s="110"/>
      <c r="NVM11" s="110"/>
      <c r="NVN11" s="110"/>
      <c r="NVO11" s="110"/>
      <c r="NVP11" s="110"/>
      <c r="NVQ11" s="110"/>
      <c r="NVR11" s="110"/>
      <c r="NVS11" s="110"/>
      <c r="NVT11" s="110"/>
      <c r="NVU11" s="110"/>
      <c r="NVV11" s="110"/>
      <c r="NVW11" s="110"/>
      <c r="NVX11" s="110"/>
      <c r="NVY11" s="110"/>
      <c r="NVZ11" s="110"/>
      <c r="NWA11" s="110"/>
      <c r="NWB11" s="110"/>
      <c r="NWC11" s="110"/>
      <c r="NWD11" s="110"/>
      <c r="NWE11" s="110"/>
      <c r="NWF11" s="110"/>
      <c r="NWG11" s="110"/>
      <c r="NWH11" s="110"/>
      <c r="NWI11" s="110"/>
      <c r="NWJ11" s="110"/>
      <c r="NWK11" s="110"/>
      <c r="NWL11" s="110"/>
      <c r="NWM11" s="110"/>
      <c r="NWN11" s="110"/>
      <c r="NWO11" s="110"/>
      <c r="NWP11" s="110"/>
      <c r="NWQ11" s="110"/>
      <c r="NWR11" s="110"/>
      <c r="NWS11" s="110"/>
      <c r="NWT11" s="110"/>
      <c r="NWU11" s="110"/>
      <c r="NWV11" s="110"/>
      <c r="NWW11" s="110"/>
      <c r="NWX11" s="110"/>
      <c r="NWY11" s="110"/>
      <c r="NWZ11" s="110"/>
      <c r="NXA11" s="110"/>
      <c r="NXB11" s="110"/>
      <c r="NXC11" s="110"/>
      <c r="NXD11" s="110"/>
      <c r="NXE11" s="110"/>
      <c r="NXF11" s="110"/>
      <c r="NXG11" s="110"/>
      <c r="NXH11" s="110"/>
      <c r="NXI11" s="110"/>
      <c r="NXJ11" s="110"/>
      <c r="NXK11" s="110"/>
      <c r="NXL11" s="110"/>
      <c r="NXM11" s="110"/>
      <c r="NXN11" s="110"/>
      <c r="NXO11" s="110"/>
      <c r="NXP11" s="110"/>
      <c r="NXQ11" s="110"/>
      <c r="NXR11" s="110"/>
      <c r="NXS11" s="110"/>
      <c r="NXT11" s="110"/>
      <c r="NXU11" s="110"/>
      <c r="NXV11" s="110"/>
      <c r="NXW11" s="110"/>
      <c r="NXX11" s="110"/>
      <c r="NXY11" s="110"/>
      <c r="NXZ11" s="110"/>
      <c r="NYA11" s="110"/>
      <c r="NYB11" s="110"/>
      <c r="NYC11" s="110"/>
      <c r="NYD11" s="110"/>
      <c r="NYE11" s="110"/>
      <c r="NYF11" s="110"/>
      <c r="NYG11" s="110"/>
      <c r="NYH11" s="110"/>
      <c r="NYI11" s="110"/>
      <c r="NYJ11" s="110"/>
      <c r="NYK11" s="110"/>
      <c r="NYL11" s="110"/>
      <c r="NYM11" s="110"/>
      <c r="NYN11" s="110"/>
      <c r="NYO11" s="110"/>
      <c r="NYP11" s="110"/>
      <c r="NYQ11" s="110"/>
      <c r="NYR11" s="110"/>
      <c r="NYS11" s="110"/>
      <c r="NYT11" s="110"/>
      <c r="NYU11" s="110"/>
      <c r="NYV11" s="110"/>
      <c r="NYW11" s="110"/>
      <c r="NYX11" s="110"/>
      <c r="NYY11" s="110"/>
      <c r="NYZ11" s="110"/>
      <c r="NZA11" s="110"/>
      <c r="NZB11" s="110"/>
      <c r="NZC11" s="110"/>
      <c r="NZD11" s="110"/>
      <c r="NZE11" s="110"/>
      <c r="NZF11" s="110"/>
      <c r="NZG11" s="110"/>
      <c r="NZH11" s="110"/>
      <c r="NZI11" s="110"/>
      <c r="NZJ11" s="110"/>
      <c r="NZK11" s="110"/>
      <c r="NZL11" s="110"/>
      <c r="NZM11" s="110"/>
      <c r="NZN11" s="110"/>
      <c r="NZO11" s="110"/>
      <c r="NZP11" s="110"/>
      <c r="NZQ11" s="110"/>
      <c r="NZR11" s="110"/>
      <c r="NZS11" s="110"/>
      <c r="NZT11" s="110"/>
      <c r="NZU11" s="110"/>
      <c r="NZV11" s="110"/>
      <c r="NZW11" s="110"/>
      <c r="NZX11" s="110"/>
      <c r="NZY11" s="110"/>
      <c r="NZZ11" s="110"/>
      <c r="OAA11" s="110"/>
      <c r="OAB11" s="110"/>
      <c r="OAC11" s="110"/>
      <c r="OAD11" s="110"/>
      <c r="OAE11" s="110"/>
      <c r="OAF11" s="110"/>
      <c r="OAG11" s="110"/>
      <c r="OAH11" s="110"/>
      <c r="OAI11" s="110"/>
      <c r="OAJ11" s="110"/>
      <c r="OAK11" s="110"/>
      <c r="OAL11" s="110"/>
      <c r="OAM11" s="110"/>
      <c r="OAN11" s="110"/>
      <c r="OAO11" s="110"/>
      <c r="OAP11" s="110"/>
      <c r="OAQ11" s="110"/>
      <c r="OAR11" s="110"/>
      <c r="OAS11" s="110"/>
      <c r="OAT11" s="110"/>
      <c r="OAU11" s="110"/>
      <c r="OAV11" s="110"/>
      <c r="OAW11" s="110"/>
      <c r="OAX11" s="110"/>
      <c r="OAY11" s="110"/>
      <c r="OAZ11" s="110"/>
      <c r="OBA11" s="110"/>
      <c r="OBB11" s="110"/>
      <c r="OBC11" s="110"/>
      <c r="OBD11" s="110"/>
      <c r="OBE11" s="110"/>
      <c r="OBF11" s="110"/>
      <c r="OBG11" s="110"/>
      <c r="OBH11" s="110"/>
      <c r="OBI11" s="110"/>
      <c r="OBJ11" s="110"/>
      <c r="OBK11" s="110"/>
      <c r="OBL11" s="110"/>
      <c r="OBM11" s="110"/>
      <c r="OBN11" s="110"/>
      <c r="OBO11" s="110"/>
      <c r="OBP11" s="110"/>
      <c r="OBQ11" s="110"/>
      <c r="OBR11" s="110"/>
      <c r="OBS11" s="110"/>
      <c r="OBT11" s="110"/>
      <c r="OBU11" s="110"/>
      <c r="OBV11" s="110"/>
      <c r="OBW11" s="110"/>
      <c r="OBX11" s="110"/>
      <c r="OBY11" s="110"/>
      <c r="OBZ11" s="110"/>
      <c r="OCA11" s="110"/>
      <c r="OCB11" s="110"/>
      <c r="OCC11" s="110"/>
      <c r="OCD11" s="110"/>
      <c r="OCE11" s="110"/>
      <c r="OCF11" s="110"/>
      <c r="OCG11" s="110"/>
      <c r="OCH11" s="110"/>
      <c r="OCI11" s="110"/>
      <c r="OCJ11" s="110"/>
      <c r="OCK11" s="110"/>
      <c r="OCL11" s="110"/>
      <c r="OCM11" s="110"/>
      <c r="OCN11" s="110"/>
      <c r="OCO11" s="110"/>
      <c r="OCP11" s="110"/>
      <c r="OCQ11" s="110"/>
      <c r="OCR11" s="110"/>
      <c r="OCS11" s="110"/>
      <c r="OCT11" s="110"/>
      <c r="OCU11" s="110"/>
      <c r="OCV11" s="110"/>
      <c r="OCW11" s="110"/>
      <c r="OCX11" s="110"/>
      <c r="OCY11" s="110"/>
      <c r="OCZ11" s="110"/>
      <c r="ODA11" s="110"/>
      <c r="ODB11" s="110"/>
      <c r="ODC11" s="110"/>
      <c r="ODD11" s="110"/>
      <c r="ODE11" s="110"/>
      <c r="ODF11" s="110"/>
      <c r="ODG11" s="110"/>
      <c r="ODH11" s="110"/>
      <c r="ODI11" s="110"/>
      <c r="ODJ11" s="110"/>
      <c r="ODK11" s="110"/>
      <c r="ODL11" s="110"/>
      <c r="ODM11" s="110"/>
      <c r="ODN11" s="110"/>
      <c r="ODO11" s="110"/>
      <c r="ODP11" s="110"/>
      <c r="ODQ11" s="110"/>
      <c r="ODR11" s="110"/>
      <c r="ODS11" s="110"/>
      <c r="ODT11" s="110"/>
      <c r="ODU11" s="110"/>
      <c r="ODV11" s="110"/>
      <c r="ODW11" s="110"/>
      <c r="ODX11" s="110"/>
      <c r="ODY11" s="110"/>
      <c r="ODZ11" s="110"/>
      <c r="OEA11" s="110"/>
      <c r="OEB11" s="110"/>
      <c r="OEC11" s="110"/>
      <c r="OED11" s="110"/>
      <c r="OEE11" s="110"/>
      <c r="OEF11" s="110"/>
      <c r="OEG11" s="110"/>
      <c r="OEH11" s="110"/>
      <c r="OEI11" s="110"/>
      <c r="OEJ11" s="110"/>
      <c r="OEK11" s="110"/>
      <c r="OEL11" s="110"/>
      <c r="OEM11" s="110"/>
      <c r="OEN11" s="110"/>
      <c r="OEO11" s="110"/>
      <c r="OEP11" s="110"/>
      <c r="OEQ11" s="110"/>
      <c r="OER11" s="110"/>
      <c r="OES11" s="110"/>
      <c r="OET11" s="110"/>
      <c r="OEU11" s="110"/>
      <c r="OEV11" s="110"/>
      <c r="OEW11" s="110"/>
      <c r="OEX11" s="110"/>
      <c r="OEY11" s="110"/>
      <c r="OEZ11" s="110"/>
      <c r="OFA11" s="110"/>
      <c r="OFB11" s="110"/>
      <c r="OFC11" s="110"/>
      <c r="OFD11" s="110"/>
      <c r="OFE11" s="110"/>
      <c r="OFF11" s="110"/>
      <c r="OFG11" s="110"/>
      <c r="OFH11" s="110"/>
      <c r="OFI11" s="110"/>
      <c r="OFJ11" s="110"/>
      <c r="OFK11" s="110"/>
      <c r="OFL11" s="110"/>
      <c r="OFM11" s="110"/>
      <c r="OFN11" s="110"/>
      <c r="OFO11" s="110"/>
      <c r="OFP11" s="110"/>
      <c r="OFQ11" s="110"/>
      <c r="OFR11" s="110"/>
      <c r="OFS11" s="110"/>
      <c r="OFT11" s="110"/>
      <c r="OFU11" s="110"/>
      <c r="OFV11" s="110"/>
      <c r="OFW11" s="110"/>
      <c r="OFX11" s="110"/>
      <c r="OFY11" s="110"/>
      <c r="OFZ11" s="110"/>
      <c r="OGA11" s="110"/>
      <c r="OGB11" s="110"/>
      <c r="OGC11" s="110"/>
      <c r="OGD11" s="110"/>
      <c r="OGE11" s="110"/>
      <c r="OGF11" s="110"/>
      <c r="OGG11" s="110"/>
      <c r="OGH11" s="110"/>
      <c r="OGI11" s="110"/>
      <c r="OGJ11" s="110"/>
      <c r="OGK11" s="110"/>
      <c r="OGL11" s="110"/>
      <c r="OGM11" s="110"/>
      <c r="OGN11" s="110"/>
      <c r="OGO11" s="110"/>
      <c r="OGP11" s="110"/>
      <c r="OGQ11" s="110"/>
      <c r="OGR11" s="110"/>
      <c r="OGS11" s="110"/>
      <c r="OGT11" s="110"/>
      <c r="OGU11" s="110"/>
      <c r="OGV11" s="110"/>
      <c r="OGW11" s="110"/>
      <c r="OGX11" s="110"/>
      <c r="OGY11" s="110"/>
      <c r="OGZ11" s="110"/>
      <c r="OHA11" s="110"/>
      <c r="OHB11" s="110"/>
      <c r="OHC11" s="110"/>
      <c r="OHD11" s="110"/>
      <c r="OHE11" s="110"/>
      <c r="OHF11" s="110"/>
      <c r="OHG11" s="110"/>
      <c r="OHH11" s="110"/>
      <c r="OHI11" s="110"/>
      <c r="OHJ11" s="110"/>
      <c r="OHK11" s="110"/>
      <c r="OHL11" s="110"/>
      <c r="OHM11" s="110"/>
      <c r="OHN11" s="110"/>
      <c r="OHO11" s="110"/>
      <c r="OHP11" s="110"/>
      <c r="OHQ11" s="110"/>
      <c r="OHR11" s="110"/>
      <c r="OHS11" s="110"/>
      <c r="OHT11" s="110"/>
      <c r="OHU11" s="110"/>
      <c r="OHV11" s="110"/>
      <c r="OHW11" s="110"/>
      <c r="OHX11" s="110"/>
      <c r="OHY11" s="110"/>
      <c r="OHZ11" s="110"/>
      <c r="OIA11" s="110"/>
      <c r="OIB11" s="110"/>
      <c r="OIC11" s="110"/>
      <c r="OID11" s="110"/>
      <c r="OIE11" s="110"/>
      <c r="OIF11" s="110"/>
      <c r="OIG11" s="110"/>
      <c r="OIH11" s="110"/>
      <c r="OII11" s="110"/>
      <c r="OIJ11" s="110"/>
      <c r="OIK11" s="110"/>
      <c r="OIL11" s="110"/>
      <c r="OIM11" s="110"/>
      <c r="OIN11" s="110"/>
      <c r="OIO11" s="110"/>
      <c r="OIP11" s="110"/>
      <c r="OIQ11" s="110"/>
      <c r="OIR11" s="110"/>
      <c r="OIS11" s="110"/>
      <c r="OIT11" s="110"/>
      <c r="OIU11" s="110"/>
      <c r="OIV11" s="110"/>
      <c r="OIW11" s="110"/>
      <c r="OIX11" s="110"/>
      <c r="OIY11" s="110"/>
      <c r="OIZ11" s="110"/>
      <c r="OJA11" s="110"/>
      <c r="OJB11" s="110"/>
      <c r="OJC11" s="110"/>
      <c r="OJD11" s="110"/>
      <c r="OJE11" s="110"/>
      <c r="OJF11" s="110"/>
      <c r="OJG11" s="110"/>
      <c r="OJH11" s="110"/>
      <c r="OJI11" s="110"/>
      <c r="OJJ11" s="110"/>
      <c r="OJK11" s="110"/>
      <c r="OJL11" s="110"/>
      <c r="OJM11" s="110"/>
      <c r="OJN11" s="110"/>
      <c r="OJO11" s="110"/>
      <c r="OJP11" s="110"/>
      <c r="OJQ11" s="110"/>
      <c r="OJR11" s="110"/>
      <c r="OJS11" s="110"/>
      <c r="OJT11" s="110"/>
      <c r="OJU11" s="110"/>
      <c r="OJV11" s="110"/>
      <c r="OJW11" s="110"/>
      <c r="OJX11" s="110"/>
      <c r="OJY11" s="110"/>
      <c r="OJZ11" s="110"/>
      <c r="OKA11" s="110"/>
      <c r="OKB11" s="110"/>
      <c r="OKC11" s="110"/>
      <c r="OKD11" s="110"/>
      <c r="OKE11" s="110"/>
      <c r="OKF11" s="110"/>
      <c r="OKG11" s="110"/>
      <c r="OKH11" s="110"/>
      <c r="OKI11" s="110"/>
      <c r="OKJ11" s="110"/>
      <c r="OKK11" s="110"/>
      <c r="OKL11" s="110"/>
      <c r="OKM11" s="110"/>
      <c r="OKN11" s="110"/>
      <c r="OKO11" s="110"/>
      <c r="OKP11" s="110"/>
      <c r="OKQ11" s="110"/>
      <c r="OKR11" s="110"/>
      <c r="OKS11" s="110"/>
      <c r="OKT11" s="110"/>
      <c r="OKU11" s="110"/>
      <c r="OKV11" s="110"/>
      <c r="OKW11" s="110"/>
      <c r="OKX11" s="110"/>
      <c r="OKY11" s="110"/>
      <c r="OKZ11" s="110"/>
      <c r="OLA11" s="110"/>
      <c r="OLB11" s="110"/>
      <c r="OLC11" s="110"/>
      <c r="OLD11" s="110"/>
      <c r="OLE11" s="110"/>
      <c r="OLF11" s="110"/>
      <c r="OLG11" s="110"/>
      <c r="OLH11" s="110"/>
      <c r="OLI11" s="110"/>
      <c r="OLJ11" s="110"/>
      <c r="OLK11" s="110"/>
      <c r="OLL11" s="110"/>
      <c r="OLM11" s="110"/>
      <c r="OLN11" s="110"/>
      <c r="OLO11" s="110"/>
      <c r="OLP11" s="110"/>
      <c r="OLQ11" s="110"/>
      <c r="OLR11" s="110"/>
      <c r="OLS11" s="110"/>
      <c r="OLT11" s="110"/>
      <c r="OLU11" s="110"/>
      <c r="OLV11" s="110"/>
      <c r="OLW11" s="110"/>
      <c r="OLX11" s="110"/>
      <c r="OLY11" s="110"/>
      <c r="OLZ11" s="110"/>
      <c r="OMA11" s="110"/>
      <c r="OMB11" s="110"/>
      <c r="OMC11" s="110"/>
      <c r="OMD11" s="110"/>
      <c r="OME11" s="110"/>
      <c r="OMF11" s="110"/>
      <c r="OMG11" s="110"/>
      <c r="OMH11" s="110"/>
      <c r="OMI11" s="110"/>
      <c r="OMJ11" s="110"/>
      <c r="OMK11" s="110"/>
      <c r="OML11" s="110"/>
      <c r="OMM11" s="110"/>
      <c r="OMN11" s="110"/>
      <c r="OMO11" s="110"/>
      <c r="OMP11" s="110"/>
      <c r="OMQ11" s="110"/>
      <c r="OMR11" s="110"/>
      <c r="OMS11" s="110"/>
      <c r="OMT11" s="110"/>
      <c r="OMU11" s="110"/>
      <c r="OMV11" s="110"/>
      <c r="OMW11" s="110"/>
      <c r="OMX11" s="110"/>
      <c r="OMY11" s="110"/>
      <c r="OMZ11" s="110"/>
      <c r="ONA11" s="110"/>
      <c r="ONB11" s="110"/>
      <c r="ONC11" s="110"/>
      <c r="OND11" s="110"/>
      <c r="ONE11" s="110"/>
      <c r="ONF11" s="110"/>
      <c r="ONG11" s="110"/>
      <c r="ONH11" s="110"/>
      <c r="ONI11" s="110"/>
      <c r="ONJ11" s="110"/>
      <c r="ONK11" s="110"/>
      <c r="ONL11" s="110"/>
      <c r="ONM11" s="110"/>
      <c r="ONN11" s="110"/>
      <c r="ONO11" s="110"/>
      <c r="ONP11" s="110"/>
      <c r="ONQ11" s="110"/>
      <c r="ONR11" s="110"/>
      <c r="ONS11" s="110"/>
      <c r="ONT11" s="110"/>
      <c r="ONU11" s="110"/>
      <c r="ONV11" s="110"/>
      <c r="ONW11" s="110"/>
      <c r="ONX11" s="110"/>
      <c r="ONY11" s="110"/>
      <c r="ONZ11" s="110"/>
      <c r="OOA11" s="110"/>
      <c r="OOB11" s="110"/>
      <c r="OOC11" s="110"/>
      <c r="OOD11" s="110"/>
      <c r="OOE11" s="110"/>
      <c r="OOF11" s="110"/>
      <c r="OOG11" s="110"/>
      <c r="OOH11" s="110"/>
      <c r="OOI11" s="110"/>
      <c r="OOJ11" s="110"/>
      <c r="OOK11" s="110"/>
      <c r="OOL11" s="110"/>
      <c r="OOM11" s="110"/>
      <c r="OON11" s="110"/>
      <c r="OOO11" s="110"/>
      <c r="OOP11" s="110"/>
      <c r="OOQ11" s="110"/>
      <c r="OOR11" s="110"/>
      <c r="OOS11" s="110"/>
      <c r="OOT11" s="110"/>
      <c r="OOU11" s="110"/>
      <c r="OOV11" s="110"/>
      <c r="OOW11" s="110"/>
      <c r="OOX11" s="110"/>
      <c r="OOY11" s="110"/>
      <c r="OOZ11" s="110"/>
      <c r="OPA11" s="110"/>
      <c r="OPB11" s="110"/>
      <c r="OPC11" s="110"/>
      <c r="OPD11" s="110"/>
      <c r="OPE11" s="110"/>
      <c r="OPF11" s="110"/>
      <c r="OPG11" s="110"/>
      <c r="OPH11" s="110"/>
      <c r="OPI11" s="110"/>
      <c r="OPJ11" s="110"/>
      <c r="OPK11" s="110"/>
      <c r="OPL11" s="110"/>
      <c r="OPM11" s="110"/>
      <c r="OPN11" s="110"/>
      <c r="OPO11" s="110"/>
      <c r="OPP11" s="110"/>
      <c r="OPQ11" s="110"/>
      <c r="OPR11" s="110"/>
      <c r="OPS11" s="110"/>
      <c r="OPT11" s="110"/>
      <c r="OPU11" s="110"/>
      <c r="OPV11" s="110"/>
      <c r="OPW11" s="110"/>
      <c r="OPX11" s="110"/>
      <c r="OPY11" s="110"/>
      <c r="OPZ11" s="110"/>
      <c r="OQA11" s="110"/>
      <c r="OQB11" s="110"/>
      <c r="OQC11" s="110"/>
      <c r="OQD11" s="110"/>
      <c r="OQE11" s="110"/>
      <c r="OQF11" s="110"/>
      <c r="OQG11" s="110"/>
      <c r="OQH11" s="110"/>
      <c r="OQI11" s="110"/>
      <c r="OQJ11" s="110"/>
      <c r="OQK11" s="110"/>
      <c r="OQL11" s="110"/>
      <c r="OQM11" s="110"/>
      <c r="OQN11" s="110"/>
      <c r="OQO11" s="110"/>
      <c r="OQP11" s="110"/>
      <c r="OQQ11" s="110"/>
      <c r="OQR11" s="110"/>
      <c r="OQS11" s="110"/>
      <c r="OQT11" s="110"/>
      <c r="OQU11" s="110"/>
      <c r="OQV11" s="110"/>
      <c r="OQW11" s="110"/>
      <c r="OQX11" s="110"/>
      <c r="OQY11" s="110"/>
      <c r="OQZ11" s="110"/>
      <c r="ORA11" s="110"/>
      <c r="ORB11" s="110"/>
      <c r="ORC11" s="110"/>
      <c r="ORD11" s="110"/>
      <c r="ORE11" s="110"/>
      <c r="ORF11" s="110"/>
      <c r="ORG11" s="110"/>
      <c r="ORH11" s="110"/>
      <c r="ORI11" s="110"/>
      <c r="ORJ11" s="110"/>
      <c r="ORK11" s="110"/>
      <c r="ORL11" s="110"/>
      <c r="ORM11" s="110"/>
      <c r="ORN11" s="110"/>
      <c r="ORO11" s="110"/>
      <c r="ORP11" s="110"/>
      <c r="ORQ11" s="110"/>
      <c r="ORR11" s="110"/>
      <c r="ORS11" s="110"/>
      <c r="ORT11" s="110"/>
      <c r="ORU11" s="110"/>
      <c r="ORV11" s="110"/>
      <c r="ORW11" s="110"/>
      <c r="ORX11" s="110"/>
      <c r="ORY11" s="110"/>
      <c r="ORZ11" s="110"/>
      <c r="OSA11" s="110"/>
      <c r="OSB11" s="110"/>
      <c r="OSC11" s="110"/>
      <c r="OSD11" s="110"/>
      <c r="OSE11" s="110"/>
      <c r="OSF11" s="110"/>
      <c r="OSG11" s="110"/>
      <c r="OSH11" s="110"/>
      <c r="OSI11" s="110"/>
      <c r="OSJ11" s="110"/>
      <c r="OSK11" s="110"/>
      <c r="OSL11" s="110"/>
      <c r="OSM11" s="110"/>
      <c r="OSN11" s="110"/>
      <c r="OSO11" s="110"/>
      <c r="OSP11" s="110"/>
      <c r="OSQ11" s="110"/>
      <c r="OSR11" s="110"/>
      <c r="OSS11" s="110"/>
      <c r="OST11" s="110"/>
      <c r="OSU11" s="110"/>
      <c r="OSV11" s="110"/>
      <c r="OSW11" s="110"/>
      <c r="OSX11" s="110"/>
      <c r="OSY11" s="110"/>
      <c r="OSZ11" s="110"/>
      <c r="OTA11" s="110"/>
      <c r="OTB11" s="110"/>
      <c r="OTC11" s="110"/>
      <c r="OTD11" s="110"/>
      <c r="OTE11" s="110"/>
      <c r="OTF11" s="110"/>
      <c r="OTG11" s="110"/>
      <c r="OTH11" s="110"/>
      <c r="OTI11" s="110"/>
      <c r="OTJ11" s="110"/>
      <c r="OTK11" s="110"/>
      <c r="OTL11" s="110"/>
      <c r="OTM11" s="110"/>
      <c r="OTN11" s="110"/>
      <c r="OTO11" s="110"/>
      <c r="OTP11" s="110"/>
      <c r="OTQ11" s="110"/>
      <c r="OTR11" s="110"/>
      <c r="OTS11" s="110"/>
      <c r="OTT11" s="110"/>
      <c r="OTU11" s="110"/>
      <c r="OTV11" s="110"/>
      <c r="OTW11" s="110"/>
      <c r="OTX11" s="110"/>
      <c r="OTY11" s="110"/>
      <c r="OTZ11" s="110"/>
      <c r="OUA11" s="110"/>
      <c r="OUB11" s="110"/>
      <c r="OUC11" s="110"/>
      <c r="OUD11" s="110"/>
      <c r="OUE11" s="110"/>
      <c r="OUF11" s="110"/>
      <c r="OUG11" s="110"/>
      <c r="OUH11" s="110"/>
      <c r="OUI11" s="110"/>
      <c r="OUJ11" s="110"/>
      <c r="OUK11" s="110"/>
      <c r="OUL11" s="110"/>
      <c r="OUM11" s="110"/>
      <c r="OUN11" s="110"/>
      <c r="OUO11" s="110"/>
      <c r="OUP11" s="110"/>
      <c r="OUQ11" s="110"/>
      <c r="OUR11" s="110"/>
      <c r="OUS11" s="110"/>
      <c r="OUT11" s="110"/>
      <c r="OUU11" s="110"/>
      <c r="OUV11" s="110"/>
      <c r="OUW11" s="110"/>
      <c r="OUX11" s="110"/>
      <c r="OUY11" s="110"/>
      <c r="OUZ11" s="110"/>
      <c r="OVA11" s="110"/>
      <c r="OVB11" s="110"/>
      <c r="OVC11" s="110"/>
      <c r="OVD11" s="110"/>
      <c r="OVE11" s="110"/>
      <c r="OVF11" s="110"/>
      <c r="OVG11" s="110"/>
      <c r="OVH11" s="110"/>
      <c r="OVI11" s="110"/>
      <c r="OVJ11" s="110"/>
      <c r="OVK11" s="110"/>
      <c r="OVL11" s="110"/>
      <c r="OVM11" s="110"/>
      <c r="OVN11" s="110"/>
      <c r="OVO11" s="110"/>
      <c r="OVP11" s="110"/>
      <c r="OVQ11" s="110"/>
      <c r="OVR11" s="110"/>
      <c r="OVS11" s="110"/>
      <c r="OVT11" s="110"/>
      <c r="OVU11" s="110"/>
      <c r="OVV11" s="110"/>
      <c r="OVW11" s="110"/>
      <c r="OVX11" s="110"/>
      <c r="OVY11" s="110"/>
      <c r="OVZ11" s="110"/>
      <c r="OWA11" s="110"/>
      <c r="OWB11" s="110"/>
      <c r="OWC11" s="110"/>
      <c r="OWD11" s="110"/>
      <c r="OWE11" s="110"/>
      <c r="OWF11" s="110"/>
      <c r="OWG11" s="110"/>
      <c r="OWH11" s="110"/>
      <c r="OWI11" s="110"/>
      <c r="OWJ11" s="110"/>
      <c r="OWK11" s="110"/>
      <c r="OWL11" s="110"/>
      <c r="OWM11" s="110"/>
      <c r="OWN11" s="110"/>
      <c r="OWO11" s="110"/>
      <c r="OWP11" s="110"/>
      <c r="OWQ11" s="110"/>
      <c r="OWR11" s="110"/>
      <c r="OWS11" s="110"/>
      <c r="OWT11" s="110"/>
      <c r="OWU11" s="110"/>
      <c r="OWV11" s="110"/>
      <c r="OWW11" s="110"/>
      <c r="OWX11" s="110"/>
      <c r="OWY11" s="110"/>
      <c r="OWZ11" s="110"/>
      <c r="OXA11" s="110"/>
      <c r="OXB11" s="110"/>
      <c r="OXC11" s="110"/>
      <c r="OXD11" s="110"/>
      <c r="OXE11" s="110"/>
      <c r="OXF11" s="110"/>
      <c r="OXG11" s="110"/>
      <c r="OXH11" s="110"/>
      <c r="OXI11" s="110"/>
      <c r="OXJ11" s="110"/>
      <c r="OXK11" s="110"/>
      <c r="OXL11" s="110"/>
      <c r="OXM11" s="110"/>
      <c r="OXN11" s="110"/>
      <c r="OXO11" s="110"/>
      <c r="OXP11" s="110"/>
      <c r="OXQ11" s="110"/>
      <c r="OXR11" s="110"/>
      <c r="OXS11" s="110"/>
      <c r="OXT11" s="110"/>
      <c r="OXU11" s="110"/>
      <c r="OXV11" s="110"/>
      <c r="OXW11" s="110"/>
      <c r="OXX11" s="110"/>
      <c r="OXY11" s="110"/>
      <c r="OXZ11" s="110"/>
      <c r="OYA11" s="110"/>
      <c r="OYB11" s="110"/>
      <c r="OYC11" s="110"/>
      <c r="OYD11" s="110"/>
      <c r="OYE11" s="110"/>
      <c r="OYF11" s="110"/>
      <c r="OYG11" s="110"/>
      <c r="OYH11" s="110"/>
      <c r="OYI11" s="110"/>
      <c r="OYJ11" s="110"/>
      <c r="OYK11" s="110"/>
      <c r="OYL11" s="110"/>
      <c r="OYM11" s="110"/>
      <c r="OYN11" s="110"/>
      <c r="OYO11" s="110"/>
      <c r="OYP11" s="110"/>
      <c r="OYQ11" s="110"/>
      <c r="OYR11" s="110"/>
      <c r="OYS11" s="110"/>
      <c r="OYT11" s="110"/>
      <c r="OYU11" s="110"/>
      <c r="OYV11" s="110"/>
      <c r="OYW11" s="110"/>
      <c r="OYX11" s="110"/>
      <c r="OYY11" s="110"/>
      <c r="OYZ11" s="110"/>
      <c r="OZA11" s="110"/>
      <c r="OZB11" s="110"/>
      <c r="OZC11" s="110"/>
      <c r="OZD11" s="110"/>
      <c r="OZE11" s="110"/>
      <c r="OZF11" s="110"/>
      <c r="OZG11" s="110"/>
      <c r="OZH11" s="110"/>
      <c r="OZI11" s="110"/>
      <c r="OZJ11" s="110"/>
      <c r="OZK11" s="110"/>
      <c r="OZL11" s="110"/>
      <c r="OZM11" s="110"/>
      <c r="OZN11" s="110"/>
      <c r="OZO11" s="110"/>
      <c r="OZP11" s="110"/>
      <c r="OZQ11" s="110"/>
      <c r="OZR11" s="110"/>
      <c r="OZS11" s="110"/>
      <c r="OZT11" s="110"/>
      <c r="OZU11" s="110"/>
      <c r="OZV11" s="110"/>
      <c r="OZW11" s="110"/>
      <c r="OZX11" s="110"/>
      <c r="OZY11" s="110"/>
      <c r="OZZ11" s="110"/>
      <c r="PAA11" s="110"/>
      <c r="PAB11" s="110"/>
      <c r="PAC11" s="110"/>
      <c r="PAD11" s="110"/>
      <c r="PAE11" s="110"/>
      <c r="PAF11" s="110"/>
      <c r="PAG11" s="110"/>
      <c r="PAH11" s="110"/>
      <c r="PAI11" s="110"/>
      <c r="PAJ11" s="110"/>
      <c r="PAK11" s="110"/>
      <c r="PAL11" s="110"/>
      <c r="PAM11" s="110"/>
      <c r="PAN11" s="110"/>
      <c r="PAO11" s="110"/>
      <c r="PAP11" s="110"/>
      <c r="PAQ11" s="110"/>
      <c r="PAR11" s="110"/>
      <c r="PAS11" s="110"/>
      <c r="PAT11" s="110"/>
      <c r="PAU11" s="110"/>
      <c r="PAV11" s="110"/>
      <c r="PAW11" s="110"/>
      <c r="PAX11" s="110"/>
      <c r="PAY11" s="110"/>
      <c r="PAZ11" s="110"/>
      <c r="PBA11" s="110"/>
      <c r="PBB11" s="110"/>
      <c r="PBC11" s="110"/>
      <c r="PBD11" s="110"/>
      <c r="PBE11" s="110"/>
      <c r="PBF11" s="110"/>
      <c r="PBG11" s="110"/>
      <c r="PBH11" s="110"/>
      <c r="PBI11" s="110"/>
      <c r="PBJ11" s="110"/>
      <c r="PBK11" s="110"/>
      <c r="PBL11" s="110"/>
      <c r="PBM11" s="110"/>
      <c r="PBN11" s="110"/>
      <c r="PBO11" s="110"/>
      <c r="PBP11" s="110"/>
      <c r="PBQ11" s="110"/>
      <c r="PBR11" s="110"/>
      <c r="PBS11" s="110"/>
      <c r="PBT11" s="110"/>
      <c r="PBU11" s="110"/>
      <c r="PBV11" s="110"/>
      <c r="PBW11" s="110"/>
      <c r="PBX11" s="110"/>
      <c r="PBY11" s="110"/>
      <c r="PBZ11" s="110"/>
      <c r="PCA11" s="110"/>
      <c r="PCB11" s="110"/>
      <c r="PCC11" s="110"/>
      <c r="PCD11" s="110"/>
      <c r="PCE11" s="110"/>
      <c r="PCF11" s="110"/>
      <c r="PCG11" s="110"/>
      <c r="PCH11" s="110"/>
      <c r="PCI11" s="110"/>
      <c r="PCJ11" s="110"/>
      <c r="PCK11" s="110"/>
      <c r="PCL11" s="110"/>
      <c r="PCM11" s="110"/>
      <c r="PCN11" s="110"/>
      <c r="PCO11" s="110"/>
      <c r="PCP11" s="110"/>
      <c r="PCQ11" s="110"/>
      <c r="PCR11" s="110"/>
      <c r="PCS11" s="110"/>
      <c r="PCT11" s="110"/>
      <c r="PCU11" s="110"/>
      <c r="PCV11" s="110"/>
      <c r="PCW11" s="110"/>
      <c r="PCX11" s="110"/>
      <c r="PCY11" s="110"/>
      <c r="PCZ11" s="110"/>
      <c r="PDA11" s="110"/>
      <c r="PDB11" s="110"/>
      <c r="PDC11" s="110"/>
      <c r="PDD11" s="110"/>
      <c r="PDE11" s="110"/>
      <c r="PDF11" s="110"/>
      <c r="PDG11" s="110"/>
      <c r="PDH11" s="110"/>
      <c r="PDI11" s="110"/>
      <c r="PDJ11" s="110"/>
      <c r="PDK11" s="110"/>
      <c r="PDL11" s="110"/>
      <c r="PDM11" s="110"/>
      <c r="PDN11" s="110"/>
      <c r="PDO11" s="110"/>
      <c r="PDP11" s="110"/>
      <c r="PDQ11" s="110"/>
      <c r="PDR11" s="110"/>
      <c r="PDS11" s="110"/>
      <c r="PDT11" s="110"/>
      <c r="PDU11" s="110"/>
      <c r="PDV11" s="110"/>
      <c r="PDW11" s="110"/>
      <c r="PDX11" s="110"/>
      <c r="PDY11" s="110"/>
      <c r="PDZ11" s="110"/>
      <c r="PEA11" s="110"/>
      <c r="PEB11" s="110"/>
      <c r="PEC11" s="110"/>
      <c r="PED11" s="110"/>
      <c r="PEE11" s="110"/>
      <c r="PEF11" s="110"/>
      <c r="PEG11" s="110"/>
      <c r="PEH11" s="110"/>
      <c r="PEI11" s="110"/>
      <c r="PEJ11" s="110"/>
      <c r="PEK11" s="110"/>
      <c r="PEL11" s="110"/>
      <c r="PEM11" s="110"/>
      <c r="PEN11" s="110"/>
      <c r="PEO11" s="110"/>
      <c r="PEP11" s="110"/>
      <c r="PEQ11" s="110"/>
      <c r="PER11" s="110"/>
      <c r="PES11" s="110"/>
      <c r="PET11" s="110"/>
      <c r="PEU11" s="110"/>
      <c r="PEV11" s="110"/>
      <c r="PEW11" s="110"/>
      <c r="PEX11" s="110"/>
      <c r="PEY11" s="110"/>
      <c r="PEZ11" s="110"/>
      <c r="PFA11" s="110"/>
      <c r="PFB11" s="110"/>
      <c r="PFC11" s="110"/>
      <c r="PFD11" s="110"/>
      <c r="PFE11" s="110"/>
      <c r="PFF11" s="110"/>
      <c r="PFG11" s="110"/>
      <c r="PFH11" s="110"/>
      <c r="PFI11" s="110"/>
      <c r="PFJ11" s="110"/>
      <c r="PFK11" s="110"/>
      <c r="PFL11" s="110"/>
      <c r="PFM11" s="110"/>
      <c r="PFN11" s="110"/>
      <c r="PFO11" s="110"/>
      <c r="PFP11" s="110"/>
      <c r="PFQ11" s="110"/>
      <c r="PFR11" s="110"/>
      <c r="PFS11" s="110"/>
      <c r="PFT11" s="110"/>
      <c r="PFU11" s="110"/>
      <c r="PFV11" s="110"/>
      <c r="PFW11" s="110"/>
      <c r="PFX11" s="110"/>
      <c r="PFY11" s="110"/>
      <c r="PFZ11" s="110"/>
      <c r="PGA11" s="110"/>
      <c r="PGB11" s="110"/>
      <c r="PGC11" s="110"/>
      <c r="PGD11" s="110"/>
      <c r="PGE11" s="110"/>
      <c r="PGF11" s="110"/>
      <c r="PGG11" s="110"/>
      <c r="PGH11" s="110"/>
      <c r="PGI11" s="110"/>
      <c r="PGJ11" s="110"/>
      <c r="PGK11" s="110"/>
      <c r="PGL11" s="110"/>
      <c r="PGM11" s="110"/>
      <c r="PGN11" s="110"/>
      <c r="PGO11" s="110"/>
      <c r="PGP11" s="110"/>
      <c r="PGQ11" s="110"/>
      <c r="PGR11" s="110"/>
      <c r="PGS11" s="110"/>
      <c r="PGT11" s="110"/>
      <c r="PGU11" s="110"/>
      <c r="PGV11" s="110"/>
      <c r="PGW11" s="110"/>
      <c r="PGX11" s="110"/>
      <c r="PGY11" s="110"/>
      <c r="PGZ11" s="110"/>
      <c r="PHA11" s="110"/>
      <c r="PHB11" s="110"/>
      <c r="PHC11" s="110"/>
      <c r="PHD11" s="110"/>
      <c r="PHE11" s="110"/>
      <c r="PHF11" s="110"/>
      <c r="PHG11" s="110"/>
      <c r="PHH11" s="110"/>
      <c r="PHI11" s="110"/>
      <c r="PHJ11" s="110"/>
      <c r="PHK11" s="110"/>
      <c r="PHL11" s="110"/>
      <c r="PHM11" s="110"/>
      <c r="PHN11" s="110"/>
      <c r="PHO11" s="110"/>
      <c r="PHP11" s="110"/>
      <c r="PHQ11" s="110"/>
      <c r="PHR11" s="110"/>
      <c r="PHS11" s="110"/>
      <c r="PHT11" s="110"/>
      <c r="PHU11" s="110"/>
      <c r="PHV11" s="110"/>
      <c r="PHW11" s="110"/>
      <c r="PHX11" s="110"/>
      <c r="PHY11" s="110"/>
      <c r="PHZ11" s="110"/>
      <c r="PIA11" s="110"/>
      <c r="PIB11" s="110"/>
      <c r="PIC11" s="110"/>
      <c r="PID11" s="110"/>
      <c r="PIE11" s="110"/>
      <c r="PIF11" s="110"/>
      <c r="PIG11" s="110"/>
      <c r="PIH11" s="110"/>
      <c r="PII11" s="110"/>
      <c r="PIJ11" s="110"/>
      <c r="PIK11" s="110"/>
      <c r="PIL11" s="110"/>
      <c r="PIM11" s="110"/>
      <c r="PIN11" s="110"/>
      <c r="PIO11" s="110"/>
      <c r="PIP11" s="110"/>
      <c r="PIQ11" s="110"/>
      <c r="PIR11" s="110"/>
      <c r="PIS11" s="110"/>
      <c r="PIT11" s="110"/>
      <c r="PIU11" s="110"/>
      <c r="PIV11" s="110"/>
      <c r="PIW11" s="110"/>
      <c r="PIX11" s="110"/>
      <c r="PIY11" s="110"/>
      <c r="PIZ11" s="110"/>
      <c r="PJA11" s="110"/>
      <c r="PJB11" s="110"/>
      <c r="PJC11" s="110"/>
      <c r="PJD11" s="110"/>
      <c r="PJE11" s="110"/>
      <c r="PJF11" s="110"/>
      <c r="PJG11" s="110"/>
      <c r="PJH11" s="110"/>
      <c r="PJI11" s="110"/>
      <c r="PJJ11" s="110"/>
      <c r="PJK11" s="110"/>
      <c r="PJL11" s="110"/>
      <c r="PJM11" s="110"/>
      <c r="PJN11" s="110"/>
      <c r="PJO11" s="110"/>
      <c r="PJP11" s="110"/>
      <c r="PJQ11" s="110"/>
      <c r="PJR11" s="110"/>
      <c r="PJS11" s="110"/>
      <c r="PJT11" s="110"/>
      <c r="PJU11" s="110"/>
      <c r="PJV11" s="110"/>
      <c r="PJW11" s="110"/>
      <c r="PJX11" s="110"/>
      <c r="PJY11" s="110"/>
      <c r="PJZ11" s="110"/>
      <c r="PKA11" s="110"/>
      <c r="PKB11" s="110"/>
      <c r="PKC11" s="110"/>
      <c r="PKD11" s="110"/>
      <c r="PKE11" s="110"/>
      <c r="PKF11" s="110"/>
      <c r="PKG11" s="110"/>
      <c r="PKH11" s="110"/>
      <c r="PKI11" s="110"/>
      <c r="PKJ11" s="110"/>
      <c r="PKK11" s="110"/>
      <c r="PKL11" s="110"/>
      <c r="PKM11" s="110"/>
      <c r="PKN11" s="110"/>
      <c r="PKO11" s="110"/>
      <c r="PKP11" s="110"/>
      <c r="PKQ11" s="110"/>
      <c r="PKR11" s="110"/>
      <c r="PKS11" s="110"/>
      <c r="PKT11" s="110"/>
      <c r="PKU11" s="110"/>
      <c r="PKV11" s="110"/>
      <c r="PKW11" s="110"/>
      <c r="PKX11" s="110"/>
      <c r="PKY11" s="110"/>
      <c r="PKZ11" s="110"/>
      <c r="PLA11" s="110"/>
      <c r="PLB11" s="110"/>
      <c r="PLC11" s="110"/>
      <c r="PLD11" s="110"/>
      <c r="PLE11" s="110"/>
      <c r="PLF11" s="110"/>
      <c r="PLG11" s="110"/>
      <c r="PLH11" s="110"/>
      <c r="PLI11" s="110"/>
      <c r="PLJ11" s="110"/>
      <c r="PLK11" s="110"/>
      <c r="PLL11" s="110"/>
      <c r="PLM11" s="110"/>
      <c r="PLN11" s="110"/>
      <c r="PLO11" s="110"/>
      <c r="PLP11" s="110"/>
      <c r="PLQ11" s="110"/>
      <c r="PLR11" s="110"/>
      <c r="PLS11" s="110"/>
      <c r="PLT11" s="110"/>
      <c r="PLU11" s="110"/>
      <c r="PLV11" s="110"/>
      <c r="PLW11" s="110"/>
      <c r="PLX11" s="110"/>
      <c r="PLY11" s="110"/>
      <c r="PLZ11" s="110"/>
      <c r="PMA11" s="110"/>
      <c r="PMB11" s="110"/>
      <c r="PMC11" s="110"/>
      <c r="PMD11" s="110"/>
      <c r="PME11" s="110"/>
      <c r="PMF11" s="110"/>
      <c r="PMG11" s="110"/>
      <c r="PMH11" s="110"/>
      <c r="PMI11" s="110"/>
      <c r="PMJ11" s="110"/>
      <c r="PMK11" s="110"/>
      <c r="PML11" s="110"/>
      <c r="PMM11" s="110"/>
      <c r="PMN11" s="110"/>
      <c r="PMO11" s="110"/>
      <c r="PMP11" s="110"/>
      <c r="PMQ11" s="110"/>
      <c r="PMR11" s="110"/>
      <c r="PMS11" s="110"/>
      <c r="PMT11" s="110"/>
      <c r="PMU11" s="110"/>
      <c r="PMV11" s="110"/>
      <c r="PMW11" s="110"/>
      <c r="PMX11" s="110"/>
      <c r="PMY11" s="110"/>
      <c r="PMZ11" s="110"/>
      <c r="PNA11" s="110"/>
      <c r="PNB11" s="110"/>
      <c r="PNC11" s="110"/>
      <c r="PND11" s="110"/>
      <c r="PNE11" s="110"/>
      <c r="PNF11" s="110"/>
      <c r="PNG11" s="110"/>
      <c r="PNH11" s="110"/>
      <c r="PNI11" s="110"/>
      <c r="PNJ11" s="110"/>
      <c r="PNK11" s="110"/>
      <c r="PNL11" s="110"/>
      <c r="PNM11" s="110"/>
      <c r="PNN11" s="110"/>
      <c r="PNO11" s="110"/>
      <c r="PNP11" s="110"/>
      <c r="PNQ11" s="110"/>
      <c r="PNR11" s="110"/>
      <c r="PNS11" s="110"/>
      <c r="PNT11" s="110"/>
      <c r="PNU11" s="110"/>
      <c r="PNV11" s="110"/>
      <c r="PNW11" s="110"/>
      <c r="PNX11" s="110"/>
      <c r="PNY11" s="110"/>
      <c r="PNZ11" s="110"/>
      <c r="POA11" s="110"/>
      <c r="POB11" s="110"/>
      <c r="POC11" s="110"/>
      <c r="POD11" s="110"/>
      <c r="POE11" s="110"/>
      <c r="POF11" s="110"/>
      <c r="POG11" s="110"/>
      <c r="POH11" s="110"/>
      <c r="POI11" s="110"/>
      <c r="POJ11" s="110"/>
      <c r="POK11" s="110"/>
      <c r="POL11" s="110"/>
      <c r="POM11" s="110"/>
      <c r="PON11" s="110"/>
      <c r="POO11" s="110"/>
      <c r="POP11" s="110"/>
      <c r="POQ11" s="110"/>
      <c r="POR11" s="110"/>
      <c r="POS11" s="110"/>
      <c r="POT11" s="110"/>
      <c r="POU11" s="110"/>
      <c r="POV11" s="110"/>
      <c r="POW11" s="110"/>
      <c r="POX11" s="110"/>
      <c r="POY11" s="110"/>
      <c r="POZ11" s="110"/>
      <c r="PPA11" s="110"/>
      <c r="PPB11" s="110"/>
      <c r="PPC11" s="110"/>
      <c r="PPD11" s="110"/>
      <c r="PPE11" s="110"/>
      <c r="PPF11" s="110"/>
      <c r="PPG11" s="110"/>
      <c r="PPH11" s="110"/>
      <c r="PPI11" s="110"/>
      <c r="PPJ11" s="110"/>
      <c r="PPK11" s="110"/>
      <c r="PPL11" s="110"/>
      <c r="PPM11" s="110"/>
      <c r="PPN11" s="110"/>
      <c r="PPO11" s="110"/>
      <c r="PPP11" s="110"/>
      <c r="PPQ11" s="110"/>
      <c r="PPR11" s="110"/>
      <c r="PPS11" s="110"/>
      <c r="PPT11" s="110"/>
      <c r="PPU11" s="110"/>
      <c r="PPV11" s="110"/>
      <c r="PPW11" s="110"/>
      <c r="PPX11" s="110"/>
      <c r="PPY11" s="110"/>
      <c r="PPZ11" s="110"/>
      <c r="PQA11" s="110"/>
      <c r="PQB11" s="110"/>
      <c r="PQC11" s="110"/>
      <c r="PQD11" s="110"/>
      <c r="PQE11" s="110"/>
      <c r="PQF11" s="110"/>
      <c r="PQG11" s="110"/>
      <c r="PQH11" s="110"/>
      <c r="PQI11" s="110"/>
      <c r="PQJ11" s="110"/>
      <c r="PQK11" s="110"/>
      <c r="PQL11" s="110"/>
      <c r="PQM11" s="110"/>
      <c r="PQN11" s="110"/>
      <c r="PQO11" s="110"/>
      <c r="PQP11" s="110"/>
      <c r="PQQ11" s="110"/>
      <c r="PQR11" s="110"/>
      <c r="PQS11" s="110"/>
      <c r="PQT11" s="110"/>
      <c r="PQU11" s="110"/>
      <c r="PQV11" s="110"/>
      <c r="PQW11" s="110"/>
      <c r="PQX11" s="110"/>
      <c r="PQY11" s="110"/>
      <c r="PQZ11" s="110"/>
      <c r="PRA11" s="110"/>
      <c r="PRB11" s="110"/>
      <c r="PRC11" s="110"/>
      <c r="PRD11" s="110"/>
      <c r="PRE11" s="110"/>
      <c r="PRF11" s="110"/>
      <c r="PRG11" s="110"/>
      <c r="PRH11" s="110"/>
      <c r="PRI11" s="110"/>
      <c r="PRJ11" s="110"/>
      <c r="PRK11" s="110"/>
      <c r="PRL11" s="110"/>
      <c r="PRM11" s="110"/>
      <c r="PRN11" s="110"/>
      <c r="PRO11" s="110"/>
      <c r="PRP11" s="110"/>
      <c r="PRQ11" s="110"/>
      <c r="PRR11" s="110"/>
      <c r="PRS11" s="110"/>
      <c r="PRT11" s="110"/>
      <c r="PRU11" s="110"/>
      <c r="PRV11" s="110"/>
      <c r="PRW11" s="110"/>
      <c r="PRX11" s="110"/>
      <c r="PRY11" s="110"/>
      <c r="PRZ11" s="110"/>
      <c r="PSA11" s="110"/>
      <c r="PSB11" s="110"/>
      <c r="PSC11" s="110"/>
      <c r="PSD11" s="110"/>
      <c r="PSE11" s="110"/>
      <c r="PSF11" s="110"/>
      <c r="PSG11" s="110"/>
      <c r="PSH11" s="110"/>
      <c r="PSI11" s="110"/>
      <c r="PSJ11" s="110"/>
      <c r="PSK11" s="110"/>
      <c r="PSL11" s="110"/>
      <c r="PSM11" s="110"/>
      <c r="PSN11" s="110"/>
      <c r="PSO11" s="110"/>
      <c r="PSP11" s="110"/>
      <c r="PSQ11" s="110"/>
      <c r="PSR11" s="110"/>
      <c r="PSS11" s="110"/>
      <c r="PST11" s="110"/>
      <c r="PSU11" s="110"/>
      <c r="PSV11" s="110"/>
      <c r="PSW11" s="110"/>
      <c r="PSX11" s="110"/>
      <c r="PSY11" s="110"/>
      <c r="PSZ11" s="110"/>
      <c r="PTA11" s="110"/>
      <c r="PTB11" s="110"/>
      <c r="PTC11" s="110"/>
      <c r="PTD11" s="110"/>
      <c r="PTE11" s="110"/>
      <c r="PTF11" s="110"/>
      <c r="PTG11" s="110"/>
      <c r="PTH11" s="110"/>
      <c r="PTI11" s="110"/>
      <c r="PTJ11" s="110"/>
      <c r="PTK11" s="110"/>
      <c r="PTL11" s="110"/>
      <c r="PTM11" s="110"/>
      <c r="PTN11" s="110"/>
      <c r="PTO11" s="110"/>
      <c r="PTP11" s="110"/>
      <c r="PTQ11" s="110"/>
      <c r="PTR11" s="110"/>
      <c r="PTS11" s="110"/>
      <c r="PTT11" s="110"/>
      <c r="PTU11" s="110"/>
      <c r="PTV11" s="110"/>
      <c r="PTW11" s="110"/>
      <c r="PTX11" s="110"/>
      <c r="PTY11" s="110"/>
      <c r="PTZ11" s="110"/>
      <c r="PUA11" s="110"/>
      <c r="PUB11" s="110"/>
      <c r="PUC11" s="110"/>
      <c r="PUD11" s="110"/>
      <c r="PUE11" s="110"/>
      <c r="PUF11" s="110"/>
      <c r="PUG11" s="110"/>
      <c r="PUH11" s="110"/>
      <c r="PUI11" s="110"/>
      <c r="PUJ11" s="110"/>
      <c r="PUK11" s="110"/>
      <c r="PUL11" s="110"/>
      <c r="PUM11" s="110"/>
      <c r="PUN11" s="110"/>
      <c r="PUO11" s="110"/>
      <c r="PUP11" s="110"/>
      <c r="PUQ11" s="110"/>
      <c r="PUR11" s="110"/>
      <c r="PUS11" s="110"/>
      <c r="PUT11" s="110"/>
      <c r="PUU11" s="110"/>
      <c r="PUV11" s="110"/>
      <c r="PUW11" s="110"/>
      <c r="PUX11" s="110"/>
      <c r="PUY11" s="110"/>
      <c r="PUZ11" s="110"/>
      <c r="PVA11" s="110"/>
      <c r="PVB11" s="110"/>
      <c r="PVC11" s="110"/>
      <c r="PVD11" s="110"/>
      <c r="PVE11" s="110"/>
      <c r="PVF11" s="110"/>
      <c r="PVG11" s="110"/>
      <c r="PVH11" s="110"/>
      <c r="PVI11" s="110"/>
      <c r="PVJ11" s="110"/>
      <c r="PVK11" s="110"/>
      <c r="PVL11" s="110"/>
      <c r="PVM11" s="110"/>
      <c r="PVN11" s="110"/>
      <c r="PVO11" s="110"/>
      <c r="PVP11" s="110"/>
      <c r="PVQ11" s="110"/>
      <c r="PVR11" s="110"/>
      <c r="PVS11" s="110"/>
      <c r="PVT11" s="110"/>
      <c r="PVU11" s="110"/>
      <c r="PVV11" s="110"/>
      <c r="PVW11" s="110"/>
      <c r="PVX11" s="110"/>
      <c r="PVY11" s="110"/>
      <c r="PVZ11" s="110"/>
      <c r="PWA11" s="110"/>
      <c r="PWB11" s="110"/>
      <c r="PWC11" s="110"/>
      <c r="PWD11" s="110"/>
      <c r="PWE11" s="110"/>
      <c r="PWF11" s="110"/>
      <c r="PWG11" s="110"/>
      <c r="PWH11" s="110"/>
      <c r="PWI11" s="110"/>
      <c r="PWJ11" s="110"/>
      <c r="PWK11" s="110"/>
      <c r="PWL11" s="110"/>
      <c r="PWM11" s="110"/>
      <c r="PWN11" s="110"/>
      <c r="PWO11" s="110"/>
      <c r="PWP11" s="110"/>
      <c r="PWQ11" s="110"/>
      <c r="PWR11" s="110"/>
      <c r="PWS11" s="110"/>
      <c r="PWT11" s="110"/>
      <c r="PWU11" s="110"/>
      <c r="PWV11" s="110"/>
      <c r="PWW11" s="110"/>
      <c r="PWX11" s="110"/>
      <c r="PWY11" s="110"/>
      <c r="PWZ11" s="110"/>
      <c r="PXA11" s="110"/>
      <c r="PXB11" s="110"/>
      <c r="PXC11" s="110"/>
      <c r="PXD11" s="110"/>
      <c r="PXE11" s="110"/>
      <c r="PXF11" s="110"/>
      <c r="PXG11" s="110"/>
      <c r="PXH11" s="110"/>
      <c r="PXI11" s="110"/>
      <c r="PXJ11" s="110"/>
      <c r="PXK11" s="110"/>
      <c r="PXL11" s="110"/>
      <c r="PXM11" s="110"/>
      <c r="PXN11" s="110"/>
      <c r="PXO11" s="110"/>
      <c r="PXP11" s="110"/>
      <c r="PXQ11" s="110"/>
      <c r="PXR11" s="110"/>
      <c r="PXS11" s="110"/>
      <c r="PXT11" s="110"/>
      <c r="PXU11" s="110"/>
      <c r="PXV11" s="110"/>
      <c r="PXW11" s="110"/>
      <c r="PXX11" s="110"/>
      <c r="PXY11" s="110"/>
      <c r="PXZ11" s="110"/>
      <c r="PYA11" s="110"/>
      <c r="PYB11" s="110"/>
      <c r="PYC11" s="110"/>
      <c r="PYD11" s="110"/>
      <c r="PYE11" s="110"/>
      <c r="PYF11" s="110"/>
      <c r="PYG11" s="110"/>
      <c r="PYH11" s="110"/>
      <c r="PYI11" s="110"/>
      <c r="PYJ11" s="110"/>
      <c r="PYK11" s="110"/>
      <c r="PYL11" s="110"/>
      <c r="PYM11" s="110"/>
      <c r="PYN11" s="110"/>
      <c r="PYO11" s="110"/>
      <c r="PYP11" s="110"/>
      <c r="PYQ11" s="110"/>
      <c r="PYR11" s="110"/>
      <c r="PYS11" s="110"/>
      <c r="PYT11" s="110"/>
      <c r="PYU11" s="110"/>
      <c r="PYV11" s="110"/>
      <c r="PYW11" s="110"/>
      <c r="PYX11" s="110"/>
      <c r="PYY11" s="110"/>
      <c r="PYZ11" s="110"/>
      <c r="PZA11" s="110"/>
      <c r="PZB11" s="110"/>
      <c r="PZC11" s="110"/>
      <c r="PZD11" s="110"/>
      <c r="PZE11" s="110"/>
      <c r="PZF11" s="110"/>
      <c r="PZG11" s="110"/>
      <c r="PZH11" s="110"/>
      <c r="PZI11" s="110"/>
      <c r="PZJ11" s="110"/>
      <c r="PZK11" s="110"/>
      <c r="PZL11" s="110"/>
      <c r="PZM11" s="110"/>
      <c r="PZN11" s="110"/>
      <c r="PZO11" s="110"/>
      <c r="PZP11" s="110"/>
      <c r="PZQ11" s="110"/>
      <c r="PZR11" s="110"/>
      <c r="PZS11" s="110"/>
      <c r="PZT11" s="110"/>
      <c r="PZU11" s="110"/>
      <c r="PZV11" s="110"/>
      <c r="PZW11" s="110"/>
      <c r="PZX11" s="110"/>
      <c r="PZY11" s="110"/>
      <c r="PZZ11" s="110"/>
      <c r="QAA11" s="110"/>
      <c r="QAB11" s="110"/>
      <c r="QAC11" s="110"/>
      <c r="QAD11" s="110"/>
      <c r="QAE11" s="110"/>
      <c r="QAF11" s="110"/>
      <c r="QAG11" s="110"/>
      <c r="QAH11" s="110"/>
      <c r="QAI11" s="110"/>
      <c r="QAJ11" s="110"/>
      <c r="QAK11" s="110"/>
      <c r="QAL11" s="110"/>
      <c r="QAM11" s="110"/>
      <c r="QAN11" s="110"/>
      <c r="QAO11" s="110"/>
      <c r="QAP11" s="110"/>
      <c r="QAQ11" s="110"/>
      <c r="QAR11" s="110"/>
      <c r="QAS11" s="110"/>
      <c r="QAT11" s="110"/>
      <c r="QAU11" s="110"/>
      <c r="QAV11" s="110"/>
      <c r="QAW11" s="110"/>
      <c r="QAX11" s="110"/>
      <c r="QAY11" s="110"/>
      <c r="QAZ11" s="110"/>
      <c r="QBA11" s="110"/>
      <c r="QBB11" s="110"/>
      <c r="QBC11" s="110"/>
      <c r="QBD11" s="110"/>
      <c r="QBE11" s="110"/>
      <c r="QBF11" s="110"/>
      <c r="QBG11" s="110"/>
      <c r="QBH11" s="110"/>
      <c r="QBI11" s="110"/>
      <c r="QBJ11" s="110"/>
      <c r="QBK11" s="110"/>
      <c r="QBL11" s="110"/>
      <c r="QBM11" s="110"/>
      <c r="QBN11" s="110"/>
      <c r="QBO11" s="110"/>
      <c r="QBP11" s="110"/>
      <c r="QBQ11" s="110"/>
      <c r="QBR11" s="110"/>
      <c r="QBS11" s="110"/>
      <c r="QBT11" s="110"/>
      <c r="QBU11" s="110"/>
      <c r="QBV11" s="110"/>
      <c r="QBW11" s="110"/>
      <c r="QBX11" s="110"/>
      <c r="QBY11" s="110"/>
      <c r="QBZ11" s="110"/>
      <c r="QCA11" s="110"/>
      <c r="QCB11" s="110"/>
      <c r="QCC11" s="110"/>
      <c r="QCD11" s="110"/>
      <c r="QCE11" s="110"/>
      <c r="QCF11" s="110"/>
      <c r="QCG11" s="110"/>
      <c r="QCH11" s="110"/>
      <c r="QCI11" s="110"/>
      <c r="QCJ11" s="110"/>
      <c r="QCK11" s="110"/>
      <c r="QCL11" s="110"/>
      <c r="QCM11" s="110"/>
      <c r="QCN11" s="110"/>
      <c r="QCO11" s="110"/>
      <c r="QCP11" s="110"/>
      <c r="QCQ11" s="110"/>
      <c r="QCR11" s="110"/>
      <c r="QCS11" s="110"/>
      <c r="QCT11" s="110"/>
      <c r="QCU11" s="110"/>
      <c r="QCV11" s="110"/>
      <c r="QCW11" s="110"/>
      <c r="QCX11" s="110"/>
      <c r="QCY11" s="110"/>
      <c r="QCZ11" s="110"/>
      <c r="QDA11" s="110"/>
      <c r="QDB11" s="110"/>
      <c r="QDC11" s="110"/>
      <c r="QDD11" s="110"/>
      <c r="QDE11" s="110"/>
      <c r="QDF11" s="110"/>
      <c r="QDG11" s="110"/>
      <c r="QDH11" s="110"/>
      <c r="QDI11" s="110"/>
      <c r="QDJ11" s="110"/>
      <c r="QDK11" s="110"/>
      <c r="QDL11" s="110"/>
      <c r="QDM11" s="110"/>
      <c r="QDN11" s="110"/>
      <c r="QDO11" s="110"/>
      <c r="QDP11" s="110"/>
      <c r="QDQ11" s="110"/>
      <c r="QDR11" s="110"/>
      <c r="QDS11" s="110"/>
      <c r="QDT11" s="110"/>
      <c r="QDU11" s="110"/>
      <c r="QDV11" s="110"/>
      <c r="QDW11" s="110"/>
      <c r="QDX11" s="110"/>
      <c r="QDY11" s="110"/>
      <c r="QDZ11" s="110"/>
      <c r="QEA11" s="110"/>
      <c r="QEB11" s="110"/>
      <c r="QEC11" s="110"/>
      <c r="QED11" s="110"/>
      <c r="QEE11" s="110"/>
      <c r="QEF11" s="110"/>
      <c r="QEG11" s="110"/>
      <c r="QEH11" s="110"/>
      <c r="QEI11" s="110"/>
      <c r="QEJ11" s="110"/>
      <c r="QEK11" s="110"/>
      <c r="QEL11" s="110"/>
      <c r="QEM11" s="110"/>
      <c r="QEN11" s="110"/>
      <c r="QEO11" s="110"/>
      <c r="QEP11" s="110"/>
      <c r="QEQ11" s="110"/>
      <c r="QER11" s="110"/>
      <c r="QES11" s="110"/>
      <c r="QET11" s="110"/>
      <c r="QEU11" s="110"/>
      <c r="QEV11" s="110"/>
      <c r="QEW11" s="110"/>
      <c r="QEX11" s="110"/>
      <c r="QEY11" s="110"/>
      <c r="QEZ11" s="110"/>
      <c r="QFA11" s="110"/>
      <c r="QFB11" s="110"/>
      <c r="QFC11" s="110"/>
      <c r="QFD11" s="110"/>
      <c r="QFE11" s="110"/>
      <c r="QFF11" s="110"/>
      <c r="QFG11" s="110"/>
      <c r="QFH11" s="110"/>
      <c r="QFI11" s="110"/>
      <c r="QFJ11" s="110"/>
      <c r="QFK11" s="110"/>
      <c r="QFL11" s="110"/>
      <c r="QFM11" s="110"/>
      <c r="QFN11" s="110"/>
      <c r="QFO11" s="110"/>
      <c r="QFP11" s="110"/>
      <c r="QFQ11" s="110"/>
      <c r="QFR11" s="110"/>
      <c r="QFS11" s="110"/>
      <c r="QFT11" s="110"/>
      <c r="QFU11" s="110"/>
      <c r="QFV11" s="110"/>
      <c r="QFW11" s="110"/>
      <c r="QFX11" s="110"/>
      <c r="QFY11" s="110"/>
      <c r="QFZ11" s="110"/>
      <c r="QGA11" s="110"/>
      <c r="QGB11" s="110"/>
      <c r="QGC11" s="110"/>
      <c r="QGD11" s="110"/>
      <c r="QGE11" s="110"/>
      <c r="QGF11" s="110"/>
      <c r="QGG11" s="110"/>
      <c r="QGH11" s="110"/>
      <c r="QGI11" s="110"/>
      <c r="QGJ11" s="110"/>
      <c r="QGK11" s="110"/>
      <c r="QGL11" s="110"/>
      <c r="QGM11" s="110"/>
      <c r="QGN11" s="110"/>
      <c r="QGO11" s="110"/>
      <c r="QGP11" s="110"/>
      <c r="QGQ11" s="110"/>
      <c r="QGR11" s="110"/>
      <c r="QGS11" s="110"/>
      <c r="QGT11" s="110"/>
      <c r="QGU11" s="110"/>
      <c r="QGV11" s="110"/>
      <c r="QGW11" s="110"/>
      <c r="QGX11" s="110"/>
      <c r="QGY11" s="110"/>
      <c r="QGZ11" s="110"/>
      <c r="QHA11" s="110"/>
      <c r="QHB11" s="110"/>
      <c r="QHC11" s="110"/>
      <c r="QHD11" s="110"/>
      <c r="QHE11" s="110"/>
      <c r="QHF11" s="110"/>
      <c r="QHG11" s="110"/>
      <c r="QHH11" s="110"/>
      <c r="QHI11" s="110"/>
      <c r="QHJ11" s="110"/>
      <c r="QHK11" s="110"/>
      <c r="QHL11" s="110"/>
      <c r="QHM11" s="110"/>
      <c r="QHN11" s="110"/>
      <c r="QHO11" s="110"/>
      <c r="QHP11" s="110"/>
      <c r="QHQ11" s="110"/>
      <c r="QHR11" s="110"/>
      <c r="QHS11" s="110"/>
      <c r="QHT11" s="110"/>
      <c r="QHU11" s="110"/>
      <c r="QHV11" s="110"/>
      <c r="QHW11" s="110"/>
      <c r="QHX11" s="110"/>
      <c r="QHY11" s="110"/>
      <c r="QHZ11" s="110"/>
      <c r="QIA11" s="110"/>
      <c r="QIB11" s="110"/>
      <c r="QIC11" s="110"/>
      <c r="QID11" s="110"/>
      <c r="QIE11" s="110"/>
      <c r="QIF11" s="110"/>
      <c r="QIG11" s="110"/>
      <c r="QIH11" s="110"/>
      <c r="QII11" s="110"/>
      <c r="QIJ11" s="110"/>
      <c r="QIK11" s="110"/>
      <c r="QIL11" s="110"/>
      <c r="QIM11" s="110"/>
      <c r="QIN11" s="110"/>
      <c r="QIO11" s="110"/>
      <c r="QIP11" s="110"/>
      <c r="QIQ11" s="110"/>
      <c r="QIR11" s="110"/>
      <c r="QIS11" s="110"/>
      <c r="QIT11" s="110"/>
      <c r="QIU11" s="110"/>
      <c r="QIV11" s="110"/>
      <c r="QIW11" s="110"/>
      <c r="QIX11" s="110"/>
      <c r="QIY11" s="110"/>
      <c r="QIZ11" s="110"/>
      <c r="QJA11" s="110"/>
      <c r="QJB11" s="110"/>
      <c r="QJC11" s="110"/>
      <c r="QJD11" s="110"/>
      <c r="QJE11" s="110"/>
      <c r="QJF11" s="110"/>
      <c r="QJG11" s="110"/>
      <c r="QJH11" s="110"/>
      <c r="QJI11" s="110"/>
      <c r="QJJ11" s="110"/>
      <c r="QJK11" s="110"/>
      <c r="QJL11" s="110"/>
      <c r="QJM11" s="110"/>
      <c r="QJN11" s="110"/>
      <c r="QJO11" s="110"/>
      <c r="QJP11" s="110"/>
      <c r="QJQ11" s="110"/>
      <c r="QJR11" s="110"/>
      <c r="QJS11" s="110"/>
      <c r="QJT11" s="110"/>
      <c r="QJU11" s="110"/>
      <c r="QJV11" s="110"/>
      <c r="QJW11" s="110"/>
      <c r="QJX11" s="110"/>
      <c r="QJY11" s="110"/>
      <c r="QJZ11" s="110"/>
      <c r="QKA11" s="110"/>
      <c r="QKB11" s="110"/>
      <c r="QKC11" s="110"/>
      <c r="QKD11" s="110"/>
      <c r="QKE11" s="110"/>
      <c r="QKF11" s="110"/>
      <c r="QKG11" s="110"/>
      <c r="QKH11" s="110"/>
      <c r="QKI11" s="110"/>
      <c r="QKJ11" s="110"/>
      <c r="QKK11" s="110"/>
      <c r="QKL11" s="110"/>
      <c r="QKM11" s="110"/>
      <c r="QKN11" s="110"/>
      <c r="QKO11" s="110"/>
      <c r="QKP11" s="110"/>
      <c r="QKQ11" s="110"/>
      <c r="QKR11" s="110"/>
      <c r="QKS11" s="110"/>
      <c r="QKT11" s="110"/>
      <c r="QKU11" s="110"/>
      <c r="QKV11" s="110"/>
      <c r="QKW11" s="110"/>
      <c r="QKX11" s="110"/>
      <c r="QKY11" s="110"/>
      <c r="QKZ11" s="110"/>
      <c r="QLA11" s="110"/>
      <c r="QLB11" s="110"/>
      <c r="QLC11" s="110"/>
      <c r="QLD11" s="110"/>
      <c r="QLE11" s="110"/>
      <c r="QLF11" s="110"/>
      <c r="QLG11" s="110"/>
      <c r="QLH11" s="110"/>
      <c r="QLI11" s="110"/>
      <c r="QLJ11" s="110"/>
      <c r="QLK11" s="110"/>
      <c r="QLL11" s="110"/>
      <c r="QLM11" s="110"/>
      <c r="QLN11" s="110"/>
      <c r="QLO11" s="110"/>
      <c r="QLP11" s="110"/>
      <c r="QLQ11" s="110"/>
      <c r="QLR11" s="110"/>
      <c r="QLS11" s="110"/>
      <c r="QLT11" s="110"/>
      <c r="QLU11" s="110"/>
      <c r="QLV11" s="110"/>
      <c r="QLW11" s="110"/>
      <c r="QLX11" s="110"/>
      <c r="QLY11" s="110"/>
      <c r="QLZ11" s="110"/>
      <c r="QMA11" s="110"/>
      <c r="QMB11" s="110"/>
      <c r="QMC11" s="110"/>
      <c r="QMD11" s="110"/>
      <c r="QME11" s="110"/>
      <c r="QMF11" s="110"/>
      <c r="QMG11" s="110"/>
      <c r="QMH11" s="110"/>
      <c r="QMI11" s="110"/>
      <c r="QMJ11" s="110"/>
      <c r="QMK11" s="110"/>
      <c r="QML11" s="110"/>
      <c r="QMM11" s="110"/>
      <c r="QMN11" s="110"/>
      <c r="QMO11" s="110"/>
      <c r="QMP11" s="110"/>
      <c r="QMQ11" s="110"/>
      <c r="QMR11" s="110"/>
      <c r="QMS11" s="110"/>
      <c r="QMT11" s="110"/>
      <c r="QMU11" s="110"/>
      <c r="QMV11" s="110"/>
      <c r="QMW11" s="110"/>
      <c r="QMX11" s="110"/>
      <c r="QMY11" s="110"/>
      <c r="QMZ11" s="110"/>
      <c r="QNA11" s="110"/>
      <c r="QNB11" s="110"/>
      <c r="QNC11" s="110"/>
      <c r="QND11" s="110"/>
      <c r="QNE11" s="110"/>
      <c r="QNF11" s="110"/>
      <c r="QNG11" s="110"/>
      <c r="QNH11" s="110"/>
      <c r="QNI11" s="110"/>
      <c r="QNJ11" s="110"/>
      <c r="QNK11" s="110"/>
      <c r="QNL11" s="110"/>
      <c r="QNM11" s="110"/>
      <c r="QNN11" s="110"/>
      <c r="QNO11" s="110"/>
      <c r="QNP11" s="110"/>
      <c r="QNQ11" s="110"/>
      <c r="QNR11" s="110"/>
      <c r="QNS11" s="110"/>
      <c r="QNT11" s="110"/>
      <c r="QNU11" s="110"/>
      <c r="QNV11" s="110"/>
      <c r="QNW11" s="110"/>
      <c r="QNX11" s="110"/>
      <c r="QNY11" s="110"/>
      <c r="QNZ11" s="110"/>
      <c r="QOA11" s="110"/>
      <c r="QOB11" s="110"/>
      <c r="QOC11" s="110"/>
      <c r="QOD11" s="110"/>
      <c r="QOE11" s="110"/>
      <c r="QOF11" s="110"/>
      <c r="QOG11" s="110"/>
      <c r="QOH11" s="110"/>
      <c r="QOI11" s="110"/>
      <c r="QOJ11" s="110"/>
      <c r="QOK11" s="110"/>
      <c r="QOL11" s="110"/>
      <c r="QOM11" s="110"/>
      <c r="QON11" s="110"/>
      <c r="QOO11" s="110"/>
      <c r="QOP11" s="110"/>
      <c r="QOQ11" s="110"/>
      <c r="QOR11" s="110"/>
      <c r="QOS11" s="110"/>
      <c r="QOT11" s="110"/>
      <c r="QOU11" s="110"/>
      <c r="QOV11" s="110"/>
      <c r="QOW11" s="110"/>
      <c r="QOX11" s="110"/>
      <c r="QOY11" s="110"/>
      <c r="QOZ11" s="110"/>
      <c r="QPA11" s="110"/>
      <c r="QPB11" s="110"/>
      <c r="QPC11" s="110"/>
      <c r="QPD11" s="110"/>
      <c r="QPE11" s="110"/>
      <c r="QPF11" s="110"/>
      <c r="QPG11" s="110"/>
      <c r="QPH11" s="110"/>
      <c r="QPI11" s="110"/>
      <c r="QPJ11" s="110"/>
      <c r="QPK11" s="110"/>
      <c r="QPL11" s="110"/>
      <c r="QPM11" s="110"/>
      <c r="QPN11" s="110"/>
      <c r="QPO11" s="110"/>
      <c r="QPP11" s="110"/>
      <c r="QPQ11" s="110"/>
      <c r="QPR11" s="110"/>
      <c r="QPS11" s="110"/>
      <c r="QPT11" s="110"/>
      <c r="QPU11" s="110"/>
      <c r="QPV11" s="110"/>
      <c r="QPW11" s="110"/>
      <c r="QPX11" s="110"/>
      <c r="QPY11" s="110"/>
      <c r="QPZ11" s="110"/>
      <c r="QQA11" s="110"/>
      <c r="QQB11" s="110"/>
      <c r="QQC11" s="110"/>
      <c r="QQD11" s="110"/>
      <c r="QQE11" s="110"/>
      <c r="QQF11" s="110"/>
      <c r="QQG11" s="110"/>
      <c r="QQH11" s="110"/>
      <c r="QQI11" s="110"/>
      <c r="QQJ11" s="110"/>
      <c r="QQK11" s="110"/>
      <c r="QQL11" s="110"/>
      <c r="QQM11" s="110"/>
      <c r="QQN11" s="110"/>
      <c r="QQO11" s="110"/>
      <c r="QQP11" s="110"/>
      <c r="QQQ11" s="110"/>
      <c r="QQR11" s="110"/>
      <c r="QQS11" s="110"/>
      <c r="QQT11" s="110"/>
      <c r="QQU11" s="110"/>
      <c r="QQV11" s="110"/>
      <c r="QQW11" s="110"/>
      <c r="QQX11" s="110"/>
      <c r="QQY11" s="110"/>
      <c r="QQZ11" s="110"/>
      <c r="QRA11" s="110"/>
      <c r="QRB11" s="110"/>
      <c r="QRC11" s="110"/>
      <c r="QRD11" s="110"/>
      <c r="QRE11" s="110"/>
      <c r="QRF11" s="110"/>
      <c r="QRG11" s="110"/>
      <c r="QRH11" s="110"/>
      <c r="QRI11" s="110"/>
      <c r="QRJ11" s="110"/>
      <c r="QRK11" s="110"/>
      <c r="QRL11" s="110"/>
      <c r="QRM11" s="110"/>
      <c r="QRN11" s="110"/>
      <c r="QRO11" s="110"/>
      <c r="QRP11" s="110"/>
      <c r="QRQ11" s="110"/>
      <c r="QRR11" s="110"/>
      <c r="QRS11" s="110"/>
      <c r="QRT11" s="110"/>
      <c r="QRU11" s="110"/>
      <c r="QRV11" s="110"/>
      <c r="QRW11" s="110"/>
      <c r="QRX11" s="110"/>
      <c r="QRY11" s="110"/>
      <c r="QRZ11" s="110"/>
      <c r="QSA11" s="110"/>
      <c r="QSB11" s="110"/>
      <c r="QSC11" s="110"/>
      <c r="QSD11" s="110"/>
      <c r="QSE11" s="110"/>
      <c r="QSF11" s="110"/>
      <c r="QSG11" s="110"/>
      <c r="QSH11" s="110"/>
      <c r="QSI11" s="110"/>
      <c r="QSJ11" s="110"/>
      <c r="QSK11" s="110"/>
      <c r="QSL11" s="110"/>
      <c r="QSM11" s="110"/>
      <c r="QSN11" s="110"/>
      <c r="QSO11" s="110"/>
      <c r="QSP11" s="110"/>
      <c r="QSQ11" s="110"/>
      <c r="QSR11" s="110"/>
      <c r="QSS11" s="110"/>
      <c r="QST11" s="110"/>
      <c r="QSU11" s="110"/>
      <c r="QSV11" s="110"/>
      <c r="QSW11" s="110"/>
      <c r="QSX11" s="110"/>
      <c r="QSY11" s="110"/>
      <c r="QSZ11" s="110"/>
      <c r="QTA11" s="110"/>
      <c r="QTB11" s="110"/>
      <c r="QTC11" s="110"/>
      <c r="QTD11" s="110"/>
      <c r="QTE11" s="110"/>
      <c r="QTF11" s="110"/>
      <c r="QTG11" s="110"/>
      <c r="QTH11" s="110"/>
      <c r="QTI11" s="110"/>
      <c r="QTJ11" s="110"/>
      <c r="QTK11" s="110"/>
      <c r="QTL11" s="110"/>
      <c r="QTM11" s="110"/>
      <c r="QTN11" s="110"/>
      <c r="QTO11" s="110"/>
      <c r="QTP11" s="110"/>
      <c r="QTQ11" s="110"/>
      <c r="QTR11" s="110"/>
      <c r="QTS11" s="110"/>
      <c r="QTT11" s="110"/>
      <c r="QTU11" s="110"/>
      <c r="QTV11" s="110"/>
      <c r="QTW11" s="110"/>
      <c r="QTX11" s="110"/>
      <c r="QTY11" s="110"/>
      <c r="QTZ11" s="110"/>
      <c r="QUA11" s="110"/>
      <c r="QUB11" s="110"/>
      <c r="QUC11" s="110"/>
      <c r="QUD11" s="110"/>
      <c r="QUE11" s="110"/>
      <c r="QUF11" s="110"/>
      <c r="QUG11" s="110"/>
      <c r="QUH11" s="110"/>
      <c r="QUI11" s="110"/>
      <c r="QUJ11" s="110"/>
      <c r="QUK11" s="110"/>
      <c r="QUL11" s="110"/>
      <c r="QUM11" s="110"/>
      <c r="QUN11" s="110"/>
      <c r="QUO11" s="110"/>
      <c r="QUP11" s="110"/>
      <c r="QUQ11" s="110"/>
      <c r="QUR11" s="110"/>
      <c r="QUS11" s="110"/>
      <c r="QUT11" s="110"/>
      <c r="QUU11" s="110"/>
      <c r="QUV11" s="110"/>
      <c r="QUW11" s="110"/>
      <c r="QUX11" s="110"/>
      <c r="QUY11" s="110"/>
      <c r="QUZ11" s="110"/>
      <c r="QVA11" s="110"/>
      <c r="QVB11" s="110"/>
      <c r="QVC11" s="110"/>
      <c r="QVD11" s="110"/>
      <c r="QVE11" s="110"/>
      <c r="QVF11" s="110"/>
      <c r="QVG11" s="110"/>
      <c r="QVH11" s="110"/>
      <c r="QVI11" s="110"/>
      <c r="QVJ11" s="110"/>
      <c r="QVK11" s="110"/>
      <c r="QVL11" s="110"/>
      <c r="QVM11" s="110"/>
      <c r="QVN11" s="110"/>
      <c r="QVO11" s="110"/>
      <c r="QVP11" s="110"/>
      <c r="QVQ11" s="110"/>
      <c r="QVR11" s="110"/>
      <c r="QVS11" s="110"/>
      <c r="QVT11" s="110"/>
      <c r="QVU11" s="110"/>
      <c r="QVV11" s="110"/>
      <c r="QVW11" s="110"/>
      <c r="QVX11" s="110"/>
      <c r="QVY11" s="110"/>
      <c r="QVZ11" s="110"/>
      <c r="QWA11" s="110"/>
      <c r="QWB11" s="110"/>
      <c r="QWC11" s="110"/>
      <c r="QWD11" s="110"/>
      <c r="QWE11" s="110"/>
      <c r="QWF11" s="110"/>
      <c r="QWG11" s="110"/>
      <c r="QWH11" s="110"/>
      <c r="QWI11" s="110"/>
      <c r="QWJ11" s="110"/>
      <c r="QWK11" s="110"/>
      <c r="QWL11" s="110"/>
      <c r="QWM11" s="110"/>
      <c r="QWN11" s="110"/>
      <c r="QWO11" s="110"/>
      <c r="QWP11" s="110"/>
      <c r="QWQ11" s="110"/>
      <c r="QWR11" s="110"/>
      <c r="QWS11" s="110"/>
      <c r="QWT11" s="110"/>
      <c r="QWU11" s="110"/>
      <c r="QWV11" s="110"/>
      <c r="QWW11" s="110"/>
      <c r="QWX11" s="110"/>
      <c r="QWY11" s="110"/>
      <c r="QWZ11" s="110"/>
      <c r="QXA11" s="110"/>
      <c r="QXB11" s="110"/>
      <c r="QXC11" s="110"/>
      <c r="QXD11" s="110"/>
      <c r="QXE11" s="110"/>
      <c r="QXF11" s="110"/>
      <c r="QXG11" s="110"/>
      <c r="QXH11" s="110"/>
      <c r="QXI11" s="110"/>
      <c r="QXJ11" s="110"/>
      <c r="QXK11" s="110"/>
      <c r="QXL11" s="110"/>
      <c r="QXM11" s="110"/>
      <c r="QXN11" s="110"/>
      <c r="QXO11" s="110"/>
      <c r="QXP11" s="110"/>
      <c r="QXQ11" s="110"/>
      <c r="QXR11" s="110"/>
      <c r="QXS11" s="110"/>
      <c r="QXT11" s="110"/>
      <c r="QXU11" s="110"/>
      <c r="QXV11" s="110"/>
      <c r="QXW11" s="110"/>
      <c r="QXX11" s="110"/>
      <c r="QXY11" s="110"/>
      <c r="QXZ11" s="110"/>
      <c r="QYA11" s="110"/>
      <c r="QYB11" s="110"/>
      <c r="QYC11" s="110"/>
      <c r="QYD11" s="110"/>
      <c r="QYE11" s="110"/>
      <c r="QYF11" s="110"/>
      <c r="QYG11" s="110"/>
      <c r="QYH11" s="110"/>
      <c r="QYI11" s="110"/>
      <c r="QYJ11" s="110"/>
      <c r="QYK11" s="110"/>
      <c r="QYL11" s="110"/>
      <c r="QYM11" s="110"/>
      <c r="QYN11" s="110"/>
      <c r="QYO11" s="110"/>
      <c r="QYP11" s="110"/>
      <c r="QYQ11" s="110"/>
      <c r="QYR11" s="110"/>
      <c r="QYS11" s="110"/>
      <c r="QYT11" s="110"/>
      <c r="QYU11" s="110"/>
      <c r="QYV11" s="110"/>
      <c r="QYW11" s="110"/>
      <c r="QYX11" s="110"/>
      <c r="QYY11" s="110"/>
      <c r="QYZ11" s="110"/>
      <c r="QZA11" s="110"/>
      <c r="QZB11" s="110"/>
      <c r="QZC11" s="110"/>
      <c r="QZD11" s="110"/>
      <c r="QZE11" s="110"/>
      <c r="QZF11" s="110"/>
      <c r="QZG11" s="110"/>
      <c r="QZH11" s="110"/>
      <c r="QZI11" s="110"/>
      <c r="QZJ11" s="110"/>
      <c r="QZK11" s="110"/>
      <c r="QZL11" s="110"/>
      <c r="QZM11" s="110"/>
      <c r="QZN11" s="110"/>
      <c r="QZO11" s="110"/>
      <c r="QZP11" s="110"/>
      <c r="QZQ11" s="110"/>
      <c r="QZR11" s="110"/>
      <c r="QZS11" s="110"/>
      <c r="QZT11" s="110"/>
      <c r="QZU11" s="110"/>
      <c r="QZV11" s="110"/>
      <c r="QZW11" s="110"/>
      <c r="QZX11" s="110"/>
      <c r="QZY11" s="110"/>
      <c r="QZZ11" s="110"/>
      <c r="RAA11" s="110"/>
      <c r="RAB11" s="110"/>
      <c r="RAC11" s="110"/>
      <c r="RAD11" s="110"/>
      <c r="RAE11" s="110"/>
      <c r="RAF11" s="110"/>
      <c r="RAG11" s="110"/>
      <c r="RAH11" s="110"/>
      <c r="RAI11" s="110"/>
      <c r="RAJ11" s="110"/>
      <c r="RAK11" s="110"/>
      <c r="RAL11" s="110"/>
      <c r="RAM11" s="110"/>
      <c r="RAN11" s="110"/>
      <c r="RAO11" s="110"/>
      <c r="RAP11" s="110"/>
      <c r="RAQ11" s="110"/>
      <c r="RAR11" s="110"/>
      <c r="RAS11" s="110"/>
      <c r="RAT11" s="110"/>
      <c r="RAU11" s="110"/>
      <c r="RAV11" s="110"/>
      <c r="RAW11" s="110"/>
      <c r="RAX11" s="110"/>
      <c r="RAY11" s="110"/>
      <c r="RAZ11" s="110"/>
      <c r="RBA11" s="110"/>
      <c r="RBB11" s="110"/>
      <c r="RBC11" s="110"/>
      <c r="RBD11" s="110"/>
      <c r="RBE11" s="110"/>
      <c r="RBF11" s="110"/>
      <c r="RBG11" s="110"/>
      <c r="RBH11" s="110"/>
      <c r="RBI11" s="110"/>
      <c r="RBJ11" s="110"/>
      <c r="RBK11" s="110"/>
      <c r="RBL11" s="110"/>
      <c r="RBM11" s="110"/>
      <c r="RBN11" s="110"/>
      <c r="RBO11" s="110"/>
      <c r="RBP11" s="110"/>
      <c r="RBQ11" s="110"/>
      <c r="RBR11" s="110"/>
      <c r="RBS11" s="110"/>
      <c r="RBT11" s="110"/>
      <c r="RBU11" s="110"/>
      <c r="RBV11" s="110"/>
      <c r="RBW11" s="110"/>
      <c r="RBX11" s="110"/>
      <c r="RBY11" s="110"/>
      <c r="RBZ11" s="110"/>
      <c r="RCA11" s="110"/>
      <c r="RCB11" s="110"/>
      <c r="RCC11" s="110"/>
      <c r="RCD11" s="110"/>
      <c r="RCE11" s="110"/>
      <c r="RCF11" s="110"/>
      <c r="RCG11" s="110"/>
      <c r="RCH11" s="110"/>
      <c r="RCI11" s="110"/>
      <c r="RCJ11" s="110"/>
      <c r="RCK11" s="110"/>
      <c r="RCL11" s="110"/>
      <c r="RCM11" s="110"/>
      <c r="RCN11" s="110"/>
      <c r="RCO11" s="110"/>
      <c r="RCP11" s="110"/>
      <c r="RCQ11" s="110"/>
      <c r="RCR11" s="110"/>
      <c r="RCS11" s="110"/>
      <c r="RCT11" s="110"/>
      <c r="RCU11" s="110"/>
      <c r="RCV11" s="110"/>
      <c r="RCW11" s="110"/>
      <c r="RCX11" s="110"/>
      <c r="RCY11" s="110"/>
      <c r="RCZ11" s="110"/>
      <c r="RDA11" s="110"/>
      <c r="RDB11" s="110"/>
      <c r="RDC11" s="110"/>
      <c r="RDD11" s="110"/>
      <c r="RDE11" s="110"/>
      <c r="RDF11" s="110"/>
      <c r="RDG11" s="110"/>
      <c r="RDH11" s="110"/>
      <c r="RDI11" s="110"/>
      <c r="RDJ11" s="110"/>
      <c r="RDK11" s="110"/>
      <c r="RDL11" s="110"/>
      <c r="RDM11" s="110"/>
      <c r="RDN11" s="110"/>
      <c r="RDO11" s="110"/>
      <c r="RDP11" s="110"/>
      <c r="RDQ11" s="110"/>
      <c r="RDR11" s="110"/>
      <c r="RDS11" s="110"/>
      <c r="RDT11" s="110"/>
      <c r="RDU11" s="110"/>
      <c r="RDV11" s="110"/>
      <c r="RDW11" s="110"/>
      <c r="RDX11" s="110"/>
      <c r="RDY11" s="110"/>
      <c r="RDZ11" s="110"/>
      <c r="REA11" s="110"/>
      <c r="REB11" s="110"/>
      <c r="REC11" s="110"/>
      <c r="RED11" s="110"/>
      <c r="REE11" s="110"/>
      <c r="REF11" s="110"/>
      <c r="REG11" s="110"/>
      <c r="REH11" s="110"/>
      <c r="REI11" s="110"/>
      <c r="REJ11" s="110"/>
      <c r="REK11" s="110"/>
      <c r="REL11" s="110"/>
      <c r="REM11" s="110"/>
      <c r="REN11" s="110"/>
      <c r="REO11" s="110"/>
      <c r="REP11" s="110"/>
      <c r="REQ11" s="110"/>
      <c r="RER11" s="110"/>
      <c r="RES11" s="110"/>
      <c r="RET11" s="110"/>
      <c r="REU11" s="110"/>
      <c r="REV11" s="110"/>
      <c r="REW11" s="110"/>
      <c r="REX11" s="110"/>
      <c r="REY11" s="110"/>
      <c r="REZ11" s="110"/>
      <c r="RFA11" s="110"/>
      <c r="RFB11" s="110"/>
      <c r="RFC11" s="110"/>
      <c r="RFD11" s="110"/>
      <c r="RFE11" s="110"/>
      <c r="RFF11" s="110"/>
      <c r="RFG11" s="110"/>
      <c r="RFH11" s="110"/>
      <c r="RFI11" s="110"/>
      <c r="RFJ11" s="110"/>
      <c r="RFK11" s="110"/>
      <c r="RFL11" s="110"/>
      <c r="RFM11" s="110"/>
      <c r="RFN11" s="110"/>
      <c r="RFO11" s="110"/>
      <c r="RFP11" s="110"/>
      <c r="RFQ11" s="110"/>
      <c r="RFR11" s="110"/>
      <c r="RFS11" s="110"/>
      <c r="RFT11" s="110"/>
      <c r="RFU11" s="110"/>
      <c r="RFV11" s="110"/>
      <c r="RFW11" s="110"/>
      <c r="RFX11" s="110"/>
      <c r="RFY11" s="110"/>
      <c r="RFZ11" s="110"/>
      <c r="RGA11" s="110"/>
      <c r="RGB11" s="110"/>
      <c r="RGC11" s="110"/>
      <c r="RGD11" s="110"/>
      <c r="RGE11" s="110"/>
      <c r="RGF11" s="110"/>
      <c r="RGG11" s="110"/>
      <c r="RGH11" s="110"/>
      <c r="RGI11" s="110"/>
      <c r="RGJ11" s="110"/>
      <c r="RGK11" s="110"/>
      <c r="RGL11" s="110"/>
      <c r="RGM11" s="110"/>
      <c r="RGN11" s="110"/>
      <c r="RGO11" s="110"/>
      <c r="RGP11" s="110"/>
      <c r="RGQ11" s="110"/>
      <c r="RGR11" s="110"/>
      <c r="RGS11" s="110"/>
      <c r="RGT11" s="110"/>
      <c r="RGU11" s="110"/>
      <c r="RGV11" s="110"/>
      <c r="RGW11" s="110"/>
      <c r="RGX11" s="110"/>
      <c r="RGY11" s="110"/>
      <c r="RGZ11" s="110"/>
      <c r="RHA11" s="110"/>
      <c r="RHB11" s="110"/>
      <c r="RHC11" s="110"/>
      <c r="RHD11" s="110"/>
      <c r="RHE11" s="110"/>
      <c r="RHF11" s="110"/>
      <c r="RHG11" s="110"/>
      <c r="RHH11" s="110"/>
      <c r="RHI11" s="110"/>
      <c r="RHJ11" s="110"/>
      <c r="RHK11" s="110"/>
      <c r="RHL11" s="110"/>
      <c r="RHM11" s="110"/>
      <c r="RHN11" s="110"/>
      <c r="RHO11" s="110"/>
      <c r="RHP11" s="110"/>
      <c r="RHQ11" s="110"/>
      <c r="RHR11" s="110"/>
      <c r="RHS11" s="110"/>
      <c r="RHT11" s="110"/>
      <c r="RHU11" s="110"/>
      <c r="RHV11" s="110"/>
      <c r="RHW11" s="110"/>
      <c r="RHX11" s="110"/>
      <c r="RHY11" s="110"/>
      <c r="RHZ11" s="110"/>
      <c r="RIA11" s="110"/>
      <c r="RIB11" s="110"/>
      <c r="RIC11" s="110"/>
      <c r="RID11" s="110"/>
      <c r="RIE11" s="110"/>
      <c r="RIF11" s="110"/>
      <c r="RIG11" s="110"/>
      <c r="RIH11" s="110"/>
      <c r="RII11" s="110"/>
      <c r="RIJ11" s="110"/>
      <c r="RIK11" s="110"/>
      <c r="RIL11" s="110"/>
      <c r="RIM11" s="110"/>
      <c r="RIN11" s="110"/>
      <c r="RIO11" s="110"/>
      <c r="RIP11" s="110"/>
      <c r="RIQ11" s="110"/>
      <c r="RIR11" s="110"/>
      <c r="RIS11" s="110"/>
      <c r="RIT11" s="110"/>
      <c r="RIU11" s="110"/>
      <c r="RIV11" s="110"/>
      <c r="RIW11" s="110"/>
      <c r="RIX11" s="110"/>
      <c r="RIY11" s="110"/>
      <c r="RIZ11" s="110"/>
      <c r="RJA11" s="110"/>
      <c r="RJB11" s="110"/>
      <c r="RJC11" s="110"/>
      <c r="RJD11" s="110"/>
      <c r="RJE11" s="110"/>
      <c r="RJF11" s="110"/>
      <c r="RJG11" s="110"/>
      <c r="RJH11" s="110"/>
      <c r="RJI11" s="110"/>
      <c r="RJJ11" s="110"/>
      <c r="RJK11" s="110"/>
      <c r="RJL11" s="110"/>
      <c r="RJM11" s="110"/>
      <c r="RJN11" s="110"/>
      <c r="RJO11" s="110"/>
      <c r="RJP11" s="110"/>
      <c r="RJQ11" s="110"/>
      <c r="RJR11" s="110"/>
      <c r="RJS11" s="110"/>
      <c r="RJT11" s="110"/>
      <c r="RJU11" s="110"/>
      <c r="RJV11" s="110"/>
      <c r="RJW11" s="110"/>
      <c r="RJX11" s="110"/>
      <c r="RJY11" s="110"/>
      <c r="RJZ11" s="110"/>
      <c r="RKA11" s="110"/>
      <c r="RKB11" s="110"/>
      <c r="RKC11" s="110"/>
      <c r="RKD11" s="110"/>
      <c r="RKE11" s="110"/>
      <c r="RKF11" s="110"/>
      <c r="RKG11" s="110"/>
      <c r="RKH11" s="110"/>
      <c r="RKI11" s="110"/>
      <c r="RKJ11" s="110"/>
      <c r="RKK11" s="110"/>
      <c r="RKL11" s="110"/>
      <c r="RKM11" s="110"/>
      <c r="RKN11" s="110"/>
      <c r="RKO11" s="110"/>
      <c r="RKP11" s="110"/>
      <c r="RKQ11" s="110"/>
      <c r="RKR11" s="110"/>
      <c r="RKS11" s="110"/>
      <c r="RKT11" s="110"/>
      <c r="RKU11" s="110"/>
      <c r="RKV11" s="110"/>
      <c r="RKW11" s="110"/>
      <c r="RKX11" s="110"/>
      <c r="RKY11" s="110"/>
      <c r="RKZ11" s="110"/>
      <c r="RLA11" s="110"/>
      <c r="RLB11" s="110"/>
      <c r="RLC11" s="110"/>
      <c r="RLD11" s="110"/>
      <c r="RLE11" s="110"/>
      <c r="RLF11" s="110"/>
      <c r="RLG11" s="110"/>
      <c r="RLH11" s="110"/>
      <c r="RLI11" s="110"/>
      <c r="RLJ11" s="110"/>
      <c r="RLK11" s="110"/>
      <c r="RLL11" s="110"/>
      <c r="RLM11" s="110"/>
      <c r="RLN11" s="110"/>
      <c r="RLO11" s="110"/>
      <c r="RLP11" s="110"/>
      <c r="RLQ11" s="110"/>
      <c r="RLR11" s="110"/>
      <c r="RLS11" s="110"/>
      <c r="RLT11" s="110"/>
      <c r="RLU11" s="110"/>
      <c r="RLV11" s="110"/>
      <c r="RLW11" s="110"/>
      <c r="RLX11" s="110"/>
      <c r="RLY11" s="110"/>
      <c r="RLZ11" s="110"/>
      <c r="RMA11" s="110"/>
      <c r="RMB11" s="110"/>
      <c r="RMC11" s="110"/>
      <c r="RMD11" s="110"/>
      <c r="RME11" s="110"/>
      <c r="RMF11" s="110"/>
      <c r="RMG11" s="110"/>
      <c r="RMH11" s="110"/>
      <c r="RMI11" s="110"/>
      <c r="RMJ11" s="110"/>
      <c r="RMK11" s="110"/>
      <c r="RML11" s="110"/>
      <c r="RMM11" s="110"/>
      <c r="RMN11" s="110"/>
      <c r="RMO11" s="110"/>
      <c r="RMP11" s="110"/>
      <c r="RMQ11" s="110"/>
      <c r="RMR11" s="110"/>
      <c r="RMS11" s="110"/>
      <c r="RMT11" s="110"/>
      <c r="RMU11" s="110"/>
      <c r="RMV11" s="110"/>
      <c r="RMW11" s="110"/>
      <c r="RMX11" s="110"/>
      <c r="RMY11" s="110"/>
      <c r="RMZ11" s="110"/>
      <c r="RNA11" s="110"/>
      <c r="RNB11" s="110"/>
      <c r="RNC11" s="110"/>
      <c r="RND11" s="110"/>
      <c r="RNE11" s="110"/>
      <c r="RNF11" s="110"/>
      <c r="RNG11" s="110"/>
      <c r="RNH11" s="110"/>
      <c r="RNI11" s="110"/>
      <c r="RNJ11" s="110"/>
      <c r="RNK11" s="110"/>
      <c r="RNL11" s="110"/>
      <c r="RNM11" s="110"/>
      <c r="RNN11" s="110"/>
      <c r="RNO11" s="110"/>
      <c r="RNP11" s="110"/>
      <c r="RNQ11" s="110"/>
      <c r="RNR11" s="110"/>
      <c r="RNS11" s="110"/>
      <c r="RNT11" s="110"/>
      <c r="RNU11" s="110"/>
      <c r="RNV11" s="110"/>
      <c r="RNW11" s="110"/>
      <c r="RNX11" s="110"/>
      <c r="RNY11" s="110"/>
      <c r="RNZ11" s="110"/>
      <c r="ROA11" s="110"/>
      <c r="ROB11" s="110"/>
      <c r="ROC11" s="110"/>
      <c r="ROD11" s="110"/>
      <c r="ROE11" s="110"/>
      <c r="ROF11" s="110"/>
      <c r="ROG11" s="110"/>
      <c r="ROH11" s="110"/>
      <c r="ROI11" s="110"/>
      <c r="ROJ11" s="110"/>
      <c r="ROK11" s="110"/>
      <c r="ROL11" s="110"/>
      <c r="ROM11" s="110"/>
      <c r="RON11" s="110"/>
      <c r="ROO11" s="110"/>
      <c r="ROP11" s="110"/>
      <c r="ROQ11" s="110"/>
      <c r="ROR11" s="110"/>
      <c r="ROS11" s="110"/>
      <c r="ROT11" s="110"/>
      <c r="ROU11" s="110"/>
      <c r="ROV11" s="110"/>
      <c r="ROW11" s="110"/>
      <c r="ROX11" s="110"/>
      <c r="ROY11" s="110"/>
      <c r="ROZ11" s="110"/>
      <c r="RPA11" s="110"/>
      <c r="RPB11" s="110"/>
      <c r="RPC11" s="110"/>
      <c r="RPD11" s="110"/>
      <c r="RPE11" s="110"/>
      <c r="RPF11" s="110"/>
      <c r="RPG11" s="110"/>
      <c r="RPH11" s="110"/>
      <c r="RPI11" s="110"/>
      <c r="RPJ11" s="110"/>
      <c r="RPK11" s="110"/>
      <c r="RPL11" s="110"/>
      <c r="RPM11" s="110"/>
      <c r="RPN11" s="110"/>
      <c r="RPO11" s="110"/>
      <c r="RPP11" s="110"/>
      <c r="RPQ11" s="110"/>
      <c r="RPR11" s="110"/>
      <c r="RPS11" s="110"/>
      <c r="RPT11" s="110"/>
      <c r="RPU11" s="110"/>
      <c r="RPV11" s="110"/>
      <c r="RPW11" s="110"/>
      <c r="RPX11" s="110"/>
      <c r="RPY11" s="110"/>
      <c r="RPZ11" s="110"/>
      <c r="RQA11" s="110"/>
      <c r="RQB11" s="110"/>
      <c r="RQC11" s="110"/>
      <c r="RQD11" s="110"/>
      <c r="RQE11" s="110"/>
      <c r="RQF11" s="110"/>
      <c r="RQG11" s="110"/>
      <c r="RQH11" s="110"/>
      <c r="RQI11" s="110"/>
      <c r="RQJ11" s="110"/>
      <c r="RQK11" s="110"/>
      <c r="RQL11" s="110"/>
      <c r="RQM11" s="110"/>
      <c r="RQN11" s="110"/>
      <c r="RQO11" s="110"/>
      <c r="RQP11" s="110"/>
      <c r="RQQ11" s="110"/>
      <c r="RQR11" s="110"/>
      <c r="RQS11" s="110"/>
      <c r="RQT11" s="110"/>
      <c r="RQU11" s="110"/>
      <c r="RQV11" s="110"/>
      <c r="RQW11" s="110"/>
      <c r="RQX11" s="110"/>
      <c r="RQY11" s="110"/>
      <c r="RQZ11" s="110"/>
      <c r="RRA11" s="110"/>
      <c r="RRB11" s="110"/>
      <c r="RRC11" s="110"/>
      <c r="RRD11" s="110"/>
      <c r="RRE11" s="110"/>
      <c r="RRF11" s="110"/>
      <c r="RRG11" s="110"/>
      <c r="RRH11" s="110"/>
      <c r="RRI11" s="110"/>
      <c r="RRJ11" s="110"/>
      <c r="RRK11" s="110"/>
      <c r="RRL11" s="110"/>
      <c r="RRM11" s="110"/>
      <c r="RRN11" s="110"/>
      <c r="RRO11" s="110"/>
      <c r="RRP11" s="110"/>
      <c r="RRQ11" s="110"/>
      <c r="RRR11" s="110"/>
      <c r="RRS11" s="110"/>
      <c r="RRT11" s="110"/>
      <c r="RRU11" s="110"/>
      <c r="RRV11" s="110"/>
      <c r="RRW11" s="110"/>
      <c r="RRX11" s="110"/>
      <c r="RRY11" s="110"/>
      <c r="RRZ11" s="110"/>
      <c r="RSA11" s="110"/>
      <c r="RSB11" s="110"/>
      <c r="RSC11" s="110"/>
      <c r="RSD11" s="110"/>
      <c r="RSE11" s="110"/>
      <c r="RSF11" s="110"/>
      <c r="RSG11" s="110"/>
      <c r="RSH11" s="110"/>
      <c r="RSI11" s="110"/>
      <c r="RSJ11" s="110"/>
      <c r="RSK11" s="110"/>
      <c r="RSL11" s="110"/>
      <c r="RSM11" s="110"/>
      <c r="RSN11" s="110"/>
      <c r="RSO11" s="110"/>
      <c r="RSP11" s="110"/>
      <c r="RSQ11" s="110"/>
      <c r="RSR11" s="110"/>
      <c r="RSS11" s="110"/>
      <c r="RST11" s="110"/>
      <c r="RSU11" s="110"/>
      <c r="RSV11" s="110"/>
      <c r="RSW11" s="110"/>
      <c r="RSX11" s="110"/>
      <c r="RSY11" s="110"/>
      <c r="RSZ11" s="110"/>
      <c r="RTA11" s="110"/>
      <c r="RTB11" s="110"/>
      <c r="RTC11" s="110"/>
      <c r="RTD11" s="110"/>
      <c r="RTE11" s="110"/>
      <c r="RTF11" s="110"/>
      <c r="RTG11" s="110"/>
      <c r="RTH11" s="110"/>
      <c r="RTI11" s="110"/>
      <c r="RTJ11" s="110"/>
      <c r="RTK11" s="110"/>
      <c r="RTL11" s="110"/>
      <c r="RTM11" s="110"/>
      <c r="RTN11" s="110"/>
      <c r="RTO11" s="110"/>
      <c r="RTP11" s="110"/>
      <c r="RTQ11" s="110"/>
      <c r="RTR11" s="110"/>
      <c r="RTS11" s="110"/>
      <c r="RTT11" s="110"/>
      <c r="RTU11" s="110"/>
      <c r="RTV11" s="110"/>
      <c r="RTW11" s="110"/>
      <c r="RTX11" s="110"/>
      <c r="RTY11" s="110"/>
      <c r="RTZ11" s="110"/>
      <c r="RUA11" s="110"/>
      <c r="RUB11" s="110"/>
      <c r="RUC11" s="110"/>
      <c r="RUD11" s="110"/>
      <c r="RUE11" s="110"/>
      <c r="RUF11" s="110"/>
      <c r="RUG11" s="110"/>
      <c r="RUH11" s="110"/>
      <c r="RUI11" s="110"/>
      <c r="RUJ11" s="110"/>
      <c r="RUK11" s="110"/>
      <c r="RUL11" s="110"/>
      <c r="RUM11" s="110"/>
      <c r="RUN11" s="110"/>
      <c r="RUO11" s="110"/>
      <c r="RUP11" s="110"/>
      <c r="RUQ11" s="110"/>
      <c r="RUR11" s="110"/>
      <c r="RUS11" s="110"/>
      <c r="RUT11" s="110"/>
      <c r="RUU11" s="110"/>
      <c r="RUV11" s="110"/>
      <c r="RUW11" s="110"/>
      <c r="RUX11" s="110"/>
      <c r="RUY11" s="110"/>
      <c r="RUZ11" s="110"/>
      <c r="RVA11" s="110"/>
      <c r="RVB11" s="110"/>
      <c r="RVC11" s="110"/>
      <c r="RVD11" s="110"/>
      <c r="RVE11" s="110"/>
      <c r="RVF11" s="110"/>
      <c r="RVG11" s="110"/>
      <c r="RVH11" s="110"/>
      <c r="RVI11" s="110"/>
      <c r="RVJ11" s="110"/>
      <c r="RVK11" s="110"/>
      <c r="RVL11" s="110"/>
      <c r="RVM11" s="110"/>
      <c r="RVN11" s="110"/>
      <c r="RVO11" s="110"/>
      <c r="RVP11" s="110"/>
      <c r="RVQ11" s="110"/>
      <c r="RVR11" s="110"/>
      <c r="RVS11" s="110"/>
      <c r="RVT11" s="110"/>
      <c r="RVU11" s="110"/>
      <c r="RVV11" s="110"/>
      <c r="RVW11" s="110"/>
      <c r="RVX11" s="110"/>
      <c r="RVY11" s="110"/>
      <c r="RVZ11" s="110"/>
      <c r="RWA11" s="110"/>
      <c r="RWB11" s="110"/>
      <c r="RWC11" s="110"/>
      <c r="RWD11" s="110"/>
      <c r="RWE11" s="110"/>
      <c r="RWF11" s="110"/>
      <c r="RWG11" s="110"/>
      <c r="RWH11" s="110"/>
      <c r="RWI11" s="110"/>
      <c r="RWJ11" s="110"/>
      <c r="RWK11" s="110"/>
      <c r="RWL11" s="110"/>
      <c r="RWM11" s="110"/>
      <c r="RWN11" s="110"/>
      <c r="RWO11" s="110"/>
      <c r="RWP11" s="110"/>
      <c r="RWQ11" s="110"/>
      <c r="RWR11" s="110"/>
      <c r="RWS11" s="110"/>
      <c r="RWT11" s="110"/>
      <c r="RWU11" s="110"/>
      <c r="RWV11" s="110"/>
      <c r="RWW11" s="110"/>
      <c r="RWX11" s="110"/>
      <c r="RWY11" s="110"/>
      <c r="RWZ11" s="110"/>
      <c r="RXA11" s="110"/>
      <c r="RXB11" s="110"/>
      <c r="RXC11" s="110"/>
      <c r="RXD11" s="110"/>
      <c r="RXE11" s="110"/>
      <c r="RXF11" s="110"/>
      <c r="RXG11" s="110"/>
      <c r="RXH11" s="110"/>
      <c r="RXI11" s="110"/>
      <c r="RXJ11" s="110"/>
      <c r="RXK11" s="110"/>
      <c r="RXL11" s="110"/>
      <c r="RXM11" s="110"/>
      <c r="RXN11" s="110"/>
      <c r="RXO11" s="110"/>
      <c r="RXP11" s="110"/>
      <c r="RXQ11" s="110"/>
      <c r="RXR11" s="110"/>
      <c r="RXS11" s="110"/>
      <c r="RXT11" s="110"/>
      <c r="RXU11" s="110"/>
      <c r="RXV11" s="110"/>
      <c r="RXW11" s="110"/>
      <c r="RXX11" s="110"/>
      <c r="RXY11" s="110"/>
      <c r="RXZ11" s="110"/>
      <c r="RYA11" s="110"/>
      <c r="RYB11" s="110"/>
      <c r="RYC11" s="110"/>
      <c r="RYD11" s="110"/>
      <c r="RYE11" s="110"/>
      <c r="RYF11" s="110"/>
      <c r="RYG11" s="110"/>
      <c r="RYH11" s="110"/>
      <c r="RYI11" s="110"/>
      <c r="RYJ11" s="110"/>
      <c r="RYK11" s="110"/>
      <c r="RYL11" s="110"/>
      <c r="RYM11" s="110"/>
      <c r="RYN11" s="110"/>
      <c r="RYO11" s="110"/>
      <c r="RYP11" s="110"/>
      <c r="RYQ11" s="110"/>
      <c r="RYR11" s="110"/>
      <c r="RYS11" s="110"/>
      <c r="RYT11" s="110"/>
      <c r="RYU11" s="110"/>
      <c r="RYV11" s="110"/>
      <c r="RYW11" s="110"/>
      <c r="RYX11" s="110"/>
      <c r="RYY11" s="110"/>
      <c r="RYZ11" s="110"/>
      <c r="RZA11" s="110"/>
      <c r="RZB11" s="110"/>
      <c r="RZC11" s="110"/>
      <c r="RZD11" s="110"/>
      <c r="RZE11" s="110"/>
      <c r="RZF11" s="110"/>
      <c r="RZG11" s="110"/>
      <c r="RZH11" s="110"/>
      <c r="RZI11" s="110"/>
      <c r="RZJ11" s="110"/>
      <c r="RZK11" s="110"/>
      <c r="RZL11" s="110"/>
      <c r="RZM11" s="110"/>
      <c r="RZN11" s="110"/>
      <c r="RZO11" s="110"/>
      <c r="RZP11" s="110"/>
      <c r="RZQ11" s="110"/>
      <c r="RZR11" s="110"/>
      <c r="RZS11" s="110"/>
      <c r="RZT11" s="110"/>
      <c r="RZU11" s="110"/>
      <c r="RZV11" s="110"/>
      <c r="RZW11" s="110"/>
      <c r="RZX11" s="110"/>
      <c r="RZY11" s="110"/>
      <c r="RZZ11" s="110"/>
      <c r="SAA11" s="110"/>
      <c r="SAB11" s="110"/>
      <c r="SAC11" s="110"/>
      <c r="SAD11" s="110"/>
      <c r="SAE11" s="110"/>
      <c r="SAF11" s="110"/>
      <c r="SAG11" s="110"/>
      <c r="SAH11" s="110"/>
      <c r="SAI11" s="110"/>
      <c r="SAJ11" s="110"/>
      <c r="SAK11" s="110"/>
      <c r="SAL11" s="110"/>
      <c r="SAM11" s="110"/>
      <c r="SAN11" s="110"/>
      <c r="SAO11" s="110"/>
      <c r="SAP11" s="110"/>
      <c r="SAQ11" s="110"/>
      <c r="SAR11" s="110"/>
      <c r="SAS11" s="110"/>
      <c r="SAT11" s="110"/>
      <c r="SAU11" s="110"/>
      <c r="SAV11" s="110"/>
      <c r="SAW11" s="110"/>
      <c r="SAX11" s="110"/>
      <c r="SAY11" s="110"/>
      <c r="SAZ11" s="110"/>
      <c r="SBA11" s="110"/>
      <c r="SBB11" s="110"/>
      <c r="SBC11" s="110"/>
      <c r="SBD11" s="110"/>
      <c r="SBE11" s="110"/>
      <c r="SBF11" s="110"/>
      <c r="SBG11" s="110"/>
      <c r="SBH11" s="110"/>
      <c r="SBI11" s="110"/>
      <c r="SBJ11" s="110"/>
      <c r="SBK11" s="110"/>
      <c r="SBL11" s="110"/>
      <c r="SBM11" s="110"/>
      <c r="SBN11" s="110"/>
      <c r="SBO11" s="110"/>
      <c r="SBP11" s="110"/>
      <c r="SBQ11" s="110"/>
      <c r="SBR11" s="110"/>
      <c r="SBS11" s="110"/>
      <c r="SBT11" s="110"/>
      <c r="SBU11" s="110"/>
      <c r="SBV11" s="110"/>
      <c r="SBW11" s="110"/>
      <c r="SBX11" s="110"/>
      <c r="SBY11" s="110"/>
      <c r="SBZ11" s="110"/>
      <c r="SCA11" s="110"/>
      <c r="SCB11" s="110"/>
      <c r="SCC11" s="110"/>
      <c r="SCD11" s="110"/>
      <c r="SCE11" s="110"/>
      <c r="SCF11" s="110"/>
      <c r="SCG11" s="110"/>
      <c r="SCH11" s="110"/>
      <c r="SCI11" s="110"/>
      <c r="SCJ11" s="110"/>
      <c r="SCK11" s="110"/>
      <c r="SCL11" s="110"/>
      <c r="SCM11" s="110"/>
      <c r="SCN11" s="110"/>
      <c r="SCO11" s="110"/>
      <c r="SCP11" s="110"/>
      <c r="SCQ11" s="110"/>
      <c r="SCR11" s="110"/>
      <c r="SCS11" s="110"/>
      <c r="SCT11" s="110"/>
      <c r="SCU11" s="110"/>
      <c r="SCV11" s="110"/>
      <c r="SCW11" s="110"/>
      <c r="SCX11" s="110"/>
      <c r="SCY11" s="110"/>
      <c r="SCZ11" s="110"/>
      <c r="SDA11" s="110"/>
      <c r="SDB11" s="110"/>
      <c r="SDC11" s="110"/>
      <c r="SDD11" s="110"/>
      <c r="SDE11" s="110"/>
      <c r="SDF11" s="110"/>
      <c r="SDG11" s="110"/>
      <c r="SDH11" s="110"/>
      <c r="SDI11" s="110"/>
      <c r="SDJ11" s="110"/>
      <c r="SDK11" s="110"/>
      <c r="SDL11" s="110"/>
      <c r="SDM11" s="110"/>
      <c r="SDN11" s="110"/>
      <c r="SDO11" s="110"/>
      <c r="SDP11" s="110"/>
      <c r="SDQ11" s="110"/>
      <c r="SDR11" s="110"/>
      <c r="SDS11" s="110"/>
      <c r="SDT11" s="110"/>
      <c r="SDU11" s="110"/>
      <c r="SDV11" s="110"/>
      <c r="SDW11" s="110"/>
      <c r="SDX11" s="110"/>
      <c r="SDY11" s="110"/>
      <c r="SDZ11" s="110"/>
      <c r="SEA11" s="110"/>
      <c r="SEB11" s="110"/>
      <c r="SEC11" s="110"/>
      <c r="SED11" s="110"/>
      <c r="SEE11" s="110"/>
      <c r="SEF11" s="110"/>
      <c r="SEG11" s="110"/>
      <c r="SEH11" s="110"/>
      <c r="SEI11" s="110"/>
      <c r="SEJ11" s="110"/>
      <c r="SEK11" s="110"/>
      <c r="SEL11" s="110"/>
      <c r="SEM11" s="110"/>
      <c r="SEN11" s="110"/>
      <c r="SEO11" s="110"/>
      <c r="SEP11" s="110"/>
      <c r="SEQ11" s="110"/>
      <c r="SER11" s="110"/>
      <c r="SES11" s="110"/>
      <c r="SET11" s="110"/>
      <c r="SEU11" s="110"/>
      <c r="SEV11" s="110"/>
      <c r="SEW11" s="110"/>
      <c r="SEX11" s="110"/>
      <c r="SEY11" s="110"/>
      <c r="SEZ11" s="110"/>
      <c r="SFA11" s="110"/>
      <c r="SFB11" s="110"/>
      <c r="SFC11" s="110"/>
      <c r="SFD11" s="110"/>
      <c r="SFE11" s="110"/>
      <c r="SFF11" s="110"/>
      <c r="SFG11" s="110"/>
      <c r="SFH11" s="110"/>
      <c r="SFI11" s="110"/>
      <c r="SFJ11" s="110"/>
      <c r="SFK11" s="110"/>
      <c r="SFL11" s="110"/>
      <c r="SFM11" s="110"/>
      <c r="SFN11" s="110"/>
      <c r="SFO11" s="110"/>
      <c r="SFP11" s="110"/>
      <c r="SFQ11" s="110"/>
      <c r="SFR11" s="110"/>
      <c r="SFS11" s="110"/>
      <c r="SFT11" s="110"/>
      <c r="SFU11" s="110"/>
      <c r="SFV11" s="110"/>
      <c r="SFW11" s="110"/>
      <c r="SFX11" s="110"/>
      <c r="SFY11" s="110"/>
      <c r="SFZ11" s="110"/>
      <c r="SGA11" s="110"/>
      <c r="SGB11" s="110"/>
      <c r="SGC11" s="110"/>
      <c r="SGD11" s="110"/>
      <c r="SGE11" s="110"/>
      <c r="SGF11" s="110"/>
      <c r="SGG11" s="110"/>
      <c r="SGH11" s="110"/>
      <c r="SGI11" s="110"/>
      <c r="SGJ11" s="110"/>
      <c r="SGK11" s="110"/>
      <c r="SGL11" s="110"/>
      <c r="SGM11" s="110"/>
      <c r="SGN11" s="110"/>
      <c r="SGO11" s="110"/>
      <c r="SGP11" s="110"/>
      <c r="SGQ11" s="110"/>
      <c r="SGR11" s="110"/>
      <c r="SGS11" s="110"/>
      <c r="SGT11" s="110"/>
      <c r="SGU11" s="110"/>
      <c r="SGV11" s="110"/>
      <c r="SGW11" s="110"/>
      <c r="SGX11" s="110"/>
      <c r="SGY11" s="110"/>
      <c r="SGZ11" s="110"/>
      <c r="SHA11" s="110"/>
      <c r="SHB11" s="110"/>
      <c r="SHC11" s="110"/>
      <c r="SHD11" s="110"/>
      <c r="SHE11" s="110"/>
      <c r="SHF11" s="110"/>
      <c r="SHG11" s="110"/>
      <c r="SHH11" s="110"/>
      <c r="SHI11" s="110"/>
      <c r="SHJ11" s="110"/>
      <c r="SHK11" s="110"/>
      <c r="SHL11" s="110"/>
      <c r="SHM11" s="110"/>
      <c r="SHN11" s="110"/>
      <c r="SHO11" s="110"/>
      <c r="SHP11" s="110"/>
      <c r="SHQ11" s="110"/>
      <c r="SHR11" s="110"/>
      <c r="SHS11" s="110"/>
      <c r="SHT11" s="110"/>
      <c r="SHU11" s="110"/>
      <c r="SHV11" s="110"/>
      <c r="SHW11" s="110"/>
      <c r="SHX11" s="110"/>
      <c r="SHY11" s="110"/>
      <c r="SHZ11" s="110"/>
      <c r="SIA11" s="110"/>
      <c r="SIB11" s="110"/>
      <c r="SIC11" s="110"/>
      <c r="SID11" s="110"/>
      <c r="SIE11" s="110"/>
      <c r="SIF11" s="110"/>
      <c r="SIG11" s="110"/>
      <c r="SIH11" s="110"/>
      <c r="SII11" s="110"/>
      <c r="SIJ11" s="110"/>
      <c r="SIK11" s="110"/>
      <c r="SIL11" s="110"/>
      <c r="SIM11" s="110"/>
      <c r="SIN11" s="110"/>
      <c r="SIO11" s="110"/>
      <c r="SIP11" s="110"/>
      <c r="SIQ11" s="110"/>
      <c r="SIR11" s="110"/>
      <c r="SIS11" s="110"/>
      <c r="SIT11" s="110"/>
      <c r="SIU11" s="110"/>
      <c r="SIV11" s="110"/>
      <c r="SIW11" s="110"/>
      <c r="SIX11" s="110"/>
      <c r="SIY11" s="110"/>
      <c r="SIZ11" s="110"/>
      <c r="SJA11" s="110"/>
      <c r="SJB11" s="110"/>
      <c r="SJC11" s="110"/>
      <c r="SJD11" s="110"/>
      <c r="SJE11" s="110"/>
      <c r="SJF11" s="110"/>
      <c r="SJG11" s="110"/>
      <c r="SJH11" s="110"/>
      <c r="SJI11" s="110"/>
      <c r="SJJ11" s="110"/>
      <c r="SJK11" s="110"/>
      <c r="SJL11" s="110"/>
      <c r="SJM11" s="110"/>
      <c r="SJN11" s="110"/>
      <c r="SJO11" s="110"/>
      <c r="SJP11" s="110"/>
      <c r="SJQ11" s="110"/>
      <c r="SJR11" s="110"/>
      <c r="SJS11" s="110"/>
      <c r="SJT11" s="110"/>
      <c r="SJU11" s="110"/>
      <c r="SJV11" s="110"/>
      <c r="SJW11" s="110"/>
      <c r="SJX11" s="110"/>
      <c r="SJY11" s="110"/>
      <c r="SJZ11" s="110"/>
      <c r="SKA11" s="110"/>
      <c r="SKB11" s="110"/>
      <c r="SKC11" s="110"/>
      <c r="SKD11" s="110"/>
      <c r="SKE11" s="110"/>
      <c r="SKF11" s="110"/>
      <c r="SKG11" s="110"/>
      <c r="SKH11" s="110"/>
      <c r="SKI11" s="110"/>
      <c r="SKJ11" s="110"/>
      <c r="SKK11" s="110"/>
      <c r="SKL11" s="110"/>
      <c r="SKM11" s="110"/>
      <c r="SKN11" s="110"/>
      <c r="SKO11" s="110"/>
      <c r="SKP11" s="110"/>
      <c r="SKQ11" s="110"/>
      <c r="SKR11" s="110"/>
      <c r="SKS11" s="110"/>
      <c r="SKT11" s="110"/>
      <c r="SKU11" s="110"/>
      <c r="SKV11" s="110"/>
      <c r="SKW11" s="110"/>
      <c r="SKX11" s="110"/>
      <c r="SKY11" s="110"/>
      <c r="SKZ11" s="110"/>
      <c r="SLA11" s="110"/>
      <c r="SLB11" s="110"/>
      <c r="SLC11" s="110"/>
      <c r="SLD11" s="110"/>
      <c r="SLE11" s="110"/>
      <c r="SLF11" s="110"/>
      <c r="SLG11" s="110"/>
      <c r="SLH11" s="110"/>
      <c r="SLI11" s="110"/>
      <c r="SLJ11" s="110"/>
      <c r="SLK11" s="110"/>
      <c r="SLL11" s="110"/>
      <c r="SLM11" s="110"/>
      <c r="SLN11" s="110"/>
      <c r="SLO11" s="110"/>
      <c r="SLP11" s="110"/>
      <c r="SLQ11" s="110"/>
      <c r="SLR11" s="110"/>
      <c r="SLS11" s="110"/>
      <c r="SLT11" s="110"/>
      <c r="SLU11" s="110"/>
      <c r="SLV11" s="110"/>
      <c r="SLW11" s="110"/>
      <c r="SLX11" s="110"/>
      <c r="SLY11" s="110"/>
      <c r="SLZ11" s="110"/>
      <c r="SMA11" s="110"/>
      <c r="SMB11" s="110"/>
      <c r="SMC11" s="110"/>
      <c r="SMD11" s="110"/>
      <c r="SME11" s="110"/>
      <c r="SMF11" s="110"/>
      <c r="SMG11" s="110"/>
      <c r="SMH11" s="110"/>
      <c r="SMI11" s="110"/>
      <c r="SMJ11" s="110"/>
      <c r="SMK11" s="110"/>
      <c r="SML11" s="110"/>
      <c r="SMM11" s="110"/>
      <c r="SMN11" s="110"/>
      <c r="SMO11" s="110"/>
      <c r="SMP11" s="110"/>
      <c r="SMQ11" s="110"/>
      <c r="SMR11" s="110"/>
      <c r="SMS11" s="110"/>
      <c r="SMT11" s="110"/>
      <c r="SMU11" s="110"/>
      <c r="SMV11" s="110"/>
      <c r="SMW11" s="110"/>
      <c r="SMX11" s="110"/>
      <c r="SMY11" s="110"/>
      <c r="SMZ11" s="110"/>
      <c r="SNA11" s="110"/>
      <c r="SNB11" s="110"/>
      <c r="SNC11" s="110"/>
      <c r="SND11" s="110"/>
      <c r="SNE11" s="110"/>
      <c r="SNF11" s="110"/>
      <c r="SNG11" s="110"/>
      <c r="SNH11" s="110"/>
      <c r="SNI11" s="110"/>
      <c r="SNJ11" s="110"/>
      <c r="SNK11" s="110"/>
      <c r="SNL11" s="110"/>
      <c r="SNM11" s="110"/>
      <c r="SNN11" s="110"/>
      <c r="SNO11" s="110"/>
      <c r="SNP11" s="110"/>
      <c r="SNQ11" s="110"/>
      <c r="SNR11" s="110"/>
      <c r="SNS11" s="110"/>
      <c r="SNT11" s="110"/>
      <c r="SNU11" s="110"/>
      <c r="SNV11" s="110"/>
      <c r="SNW11" s="110"/>
      <c r="SNX11" s="110"/>
      <c r="SNY11" s="110"/>
      <c r="SNZ11" s="110"/>
      <c r="SOA11" s="110"/>
      <c r="SOB11" s="110"/>
      <c r="SOC11" s="110"/>
      <c r="SOD11" s="110"/>
      <c r="SOE11" s="110"/>
      <c r="SOF11" s="110"/>
      <c r="SOG11" s="110"/>
      <c r="SOH11" s="110"/>
      <c r="SOI11" s="110"/>
      <c r="SOJ11" s="110"/>
      <c r="SOK11" s="110"/>
      <c r="SOL11" s="110"/>
      <c r="SOM11" s="110"/>
      <c r="SON11" s="110"/>
      <c r="SOO11" s="110"/>
      <c r="SOP11" s="110"/>
      <c r="SOQ11" s="110"/>
      <c r="SOR11" s="110"/>
      <c r="SOS11" s="110"/>
      <c r="SOT11" s="110"/>
      <c r="SOU11" s="110"/>
      <c r="SOV11" s="110"/>
      <c r="SOW11" s="110"/>
      <c r="SOX11" s="110"/>
      <c r="SOY11" s="110"/>
      <c r="SOZ11" s="110"/>
      <c r="SPA11" s="110"/>
      <c r="SPB11" s="110"/>
      <c r="SPC11" s="110"/>
      <c r="SPD11" s="110"/>
      <c r="SPE11" s="110"/>
      <c r="SPF11" s="110"/>
      <c r="SPG11" s="110"/>
      <c r="SPH11" s="110"/>
      <c r="SPI11" s="110"/>
      <c r="SPJ11" s="110"/>
      <c r="SPK11" s="110"/>
      <c r="SPL11" s="110"/>
      <c r="SPM11" s="110"/>
      <c r="SPN11" s="110"/>
      <c r="SPO11" s="110"/>
      <c r="SPP11" s="110"/>
      <c r="SPQ11" s="110"/>
      <c r="SPR11" s="110"/>
      <c r="SPS11" s="110"/>
      <c r="SPT11" s="110"/>
      <c r="SPU11" s="110"/>
      <c r="SPV11" s="110"/>
      <c r="SPW11" s="110"/>
      <c r="SPX11" s="110"/>
      <c r="SPY11" s="110"/>
      <c r="SPZ11" s="110"/>
      <c r="SQA11" s="110"/>
      <c r="SQB11" s="110"/>
      <c r="SQC11" s="110"/>
      <c r="SQD11" s="110"/>
      <c r="SQE11" s="110"/>
      <c r="SQF11" s="110"/>
      <c r="SQG11" s="110"/>
      <c r="SQH11" s="110"/>
      <c r="SQI11" s="110"/>
      <c r="SQJ11" s="110"/>
      <c r="SQK11" s="110"/>
      <c r="SQL11" s="110"/>
      <c r="SQM11" s="110"/>
      <c r="SQN11" s="110"/>
      <c r="SQO11" s="110"/>
      <c r="SQP11" s="110"/>
      <c r="SQQ11" s="110"/>
      <c r="SQR11" s="110"/>
      <c r="SQS11" s="110"/>
      <c r="SQT11" s="110"/>
      <c r="SQU11" s="110"/>
      <c r="SQV11" s="110"/>
      <c r="SQW11" s="110"/>
      <c r="SQX11" s="110"/>
      <c r="SQY11" s="110"/>
      <c r="SQZ11" s="110"/>
      <c r="SRA11" s="110"/>
      <c r="SRB11" s="110"/>
      <c r="SRC11" s="110"/>
      <c r="SRD11" s="110"/>
      <c r="SRE11" s="110"/>
      <c r="SRF11" s="110"/>
      <c r="SRG11" s="110"/>
      <c r="SRH11" s="110"/>
      <c r="SRI11" s="110"/>
      <c r="SRJ11" s="110"/>
      <c r="SRK11" s="110"/>
      <c r="SRL11" s="110"/>
      <c r="SRM11" s="110"/>
      <c r="SRN11" s="110"/>
      <c r="SRO11" s="110"/>
      <c r="SRP11" s="110"/>
      <c r="SRQ11" s="110"/>
      <c r="SRR11" s="110"/>
      <c r="SRS11" s="110"/>
      <c r="SRT11" s="110"/>
      <c r="SRU11" s="110"/>
      <c r="SRV11" s="110"/>
      <c r="SRW11" s="110"/>
      <c r="SRX11" s="110"/>
      <c r="SRY11" s="110"/>
      <c r="SRZ11" s="110"/>
      <c r="SSA11" s="110"/>
      <c r="SSB11" s="110"/>
      <c r="SSC11" s="110"/>
      <c r="SSD11" s="110"/>
      <c r="SSE11" s="110"/>
      <c r="SSF11" s="110"/>
      <c r="SSG11" s="110"/>
      <c r="SSH11" s="110"/>
      <c r="SSI11" s="110"/>
      <c r="SSJ11" s="110"/>
      <c r="SSK11" s="110"/>
      <c r="SSL11" s="110"/>
      <c r="SSM11" s="110"/>
      <c r="SSN11" s="110"/>
      <c r="SSO11" s="110"/>
      <c r="SSP11" s="110"/>
      <c r="SSQ11" s="110"/>
      <c r="SSR11" s="110"/>
      <c r="SSS11" s="110"/>
      <c r="SST11" s="110"/>
      <c r="SSU11" s="110"/>
      <c r="SSV11" s="110"/>
      <c r="SSW11" s="110"/>
      <c r="SSX11" s="110"/>
      <c r="SSY11" s="110"/>
      <c r="SSZ11" s="110"/>
      <c r="STA11" s="110"/>
      <c r="STB11" s="110"/>
      <c r="STC11" s="110"/>
      <c r="STD11" s="110"/>
      <c r="STE11" s="110"/>
      <c r="STF11" s="110"/>
      <c r="STG11" s="110"/>
      <c r="STH11" s="110"/>
      <c r="STI11" s="110"/>
      <c r="STJ11" s="110"/>
      <c r="STK11" s="110"/>
      <c r="STL11" s="110"/>
      <c r="STM11" s="110"/>
      <c r="STN11" s="110"/>
      <c r="STO11" s="110"/>
      <c r="STP11" s="110"/>
      <c r="STQ11" s="110"/>
      <c r="STR11" s="110"/>
      <c r="STS11" s="110"/>
      <c r="STT11" s="110"/>
      <c r="STU11" s="110"/>
      <c r="STV11" s="110"/>
      <c r="STW11" s="110"/>
      <c r="STX11" s="110"/>
      <c r="STY11" s="110"/>
      <c r="STZ11" s="110"/>
      <c r="SUA11" s="110"/>
      <c r="SUB11" s="110"/>
      <c r="SUC11" s="110"/>
      <c r="SUD11" s="110"/>
      <c r="SUE11" s="110"/>
      <c r="SUF11" s="110"/>
      <c r="SUG11" s="110"/>
      <c r="SUH11" s="110"/>
      <c r="SUI11" s="110"/>
      <c r="SUJ11" s="110"/>
      <c r="SUK11" s="110"/>
      <c r="SUL11" s="110"/>
      <c r="SUM11" s="110"/>
      <c r="SUN11" s="110"/>
      <c r="SUO11" s="110"/>
      <c r="SUP11" s="110"/>
      <c r="SUQ11" s="110"/>
      <c r="SUR11" s="110"/>
      <c r="SUS11" s="110"/>
      <c r="SUT11" s="110"/>
      <c r="SUU11" s="110"/>
      <c r="SUV11" s="110"/>
      <c r="SUW11" s="110"/>
      <c r="SUX11" s="110"/>
      <c r="SUY11" s="110"/>
      <c r="SUZ11" s="110"/>
      <c r="SVA11" s="110"/>
      <c r="SVB11" s="110"/>
      <c r="SVC11" s="110"/>
      <c r="SVD11" s="110"/>
      <c r="SVE11" s="110"/>
      <c r="SVF11" s="110"/>
      <c r="SVG11" s="110"/>
      <c r="SVH11" s="110"/>
      <c r="SVI11" s="110"/>
      <c r="SVJ11" s="110"/>
      <c r="SVK11" s="110"/>
      <c r="SVL11" s="110"/>
      <c r="SVM11" s="110"/>
      <c r="SVN11" s="110"/>
      <c r="SVO11" s="110"/>
      <c r="SVP11" s="110"/>
      <c r="SVQ11" s="110"/>
      <c r="SVR11" s="110"/>
      <c r="SVS11" s="110"/>
      <c r="SVT11" s="110"/>
      <c r="SVU11" s="110"/>
      <c r="SVV11" s="110"/>
      <c r="SVW11" s="110"/>
      <c r="SVX11" s="110"/>
      <c r="SVY11" s="110"/>
      <c r="SVZ11" s="110"/>
      <c r="SWA11" s="110"/>
      <c r="SWB11" s="110"/>
      <c r="SWC11" s="110"/>
      <c r="SWD11" s="110"/>
      <c r="SWE11" s="110"/>
      <c r="SWF11" s="110"/>
      <c r="SWG11" s="110"/>
      <c r="SWH11" s="110"/>
      <c r="SWI11" s="110"/>
      <c r="SWJ11" s="110"/>
      <c r="SWK11" s="110"/>
      <c r="SWL11" s="110"/>
      <c r="SWM11" s="110"/>
      <c r="SWN11" s="110"/>
      <c r="SWO11" s="110"/>
      <c r="SWP11" s="110"/>
      <c r="SWQ11" s="110"/>
      <c r="SWR11" s="110"/>
      <c r="SWS11" s="110"/>
      <c r="SWT11" s="110"/>
      <c r="SWU11" s="110"/>
      <c r="SWV11" s="110"/>
      <c r="SWW11" s="110"/>
      <c r="SWX11" s="110"/>
      <c r="SWY11" s="110"/>
      <c r="SWZ11" s="110"/>
      <c r="SXA11" s="110"/>
      <c r="SXB11" s="110"/>
      <c r="SXC11" s="110"/>
      <c r="SXD11" s="110"/>
      <c r="SXE11" s="110"/>
      <c r="SXF11" s="110"/>
      <c r="SXG11" s="110"/>
      <c r="SXH11" s="110"/>
      <c r="SXI11" s="110"/>
      <c r="SXJ11" s="110"/>
      <c r="SXK11" s="110"/>
      <c r="SXL11" s="110"/>
      <c r="SXM11" s="110"/>
      <c r="SXN11" s="110"/>
      <c r="SXO11" s="110"/>
      <c r="SXP11" s="110"/>
      <c r="SXQ11" s="110"/>
      <c r="SXR11" s="110"/>
      <c r="SXS11" s="110"/>
      <c r="SXT11" s="110"/>
      <c r="SXU11" s="110"/>
      <c r="SXV11" s="110"/>
      <c r="SXW11" s="110"/>
      <c r="SXX11" s="110"/>
      <c r="SXY11" s="110"/>
      <c r="SXZ11" s="110"/>
      <c r="SYA11" s="110"/>
      <c r="SYB11" s="110"/>
      <c r="SYC11" s="110"/>
      <c r="SYD11" s="110"/>
      <c r="SYE11" s="110"/>
      <c r="SYF11" s="110"/>
      <c r="SYG11" s="110"/>
      <c r="SYH11" s="110"/>
      <c r="SYI11" s="110"/>
      <c r="SYJ11" s="110"/>
      <c r="SYK11" s="110"/>
      <c r="SYL11" s="110"/>
      <c r="SYM11" s="110"/>
      <c r="SYN11" s="110"/>
      <c r="SYO11" s="110"/>
      <c r="SYP11" s="110"/>
      <c r="SYQ11" s="110"/>
      <c r="SYR11" s="110"/>
      <c r="SYS11" s="110"/>
      <c r="SYT11" s="110"/>
      <c r="SYU11" s="110"/>
      <c r="SYV11" s="110"/>
      <c r="SYW11" s="110"/>
      <c r="SYX11" s="110"/>
      <c r="SYY11" s="110"/>
      <c r="SYZ11" s="110"/>
      <c r="SZA11" s="110"/>
      <c r="SZB11" s="110"/>
      <c r="SZC11" s="110"/>
      <c r="SZD11" s="110"/>
      <c r="SZE11" s="110"/>
      <c r="SZF11" s="110"/>
      <c r="SZG11" s="110"/>
      <c r="SZH11" s="110"/>
      <c r="SZI11" s="110"/>
      <c r="SZJ11" s="110"/>
      <c r="SZK11" s="110"/>
      <c r="SZL11" s="110"/>
      <c r="SZM11" s="110"/>
      <c r="SZN11" s="110"/>
      <c r="SZO11" s="110"/>
      <c r="SZP11" s="110"/>
      <c r="SZQ11" s="110"/>
      <c r="SZR11" s="110"/>
      <c r="SZS11" s="110"/>
      <c r="SZT11" s="110"/>
      <c r="SZU11" s="110"/>
      <c r="SZV11" s="110"/>
      <c r="SZW11" s="110"/>
      <c r="SZX11" s="110"/>
      <c r="SZY11" s="110"/>
      <c r="SZZ11" s="110"/>
      <c r="TAA11" s="110"/>
      <c r="TAB11" s="110"/>
      <c r="TAC11" s="110"/>
      <c r="TAD11" s="110"/>
      <c r="TAE11" s="110"/>
      <c r="TAF11" s="110"/>
      <c r="TAG11" s="110"/>
      <c r="TAH11" s="110"/>
      <c r="TAI11" s="110"/>
      <c r="TAJ11" s="110"/>
      <c r="TAK11" s="110"/>
      <c r="TAL11" s="110"/>
      <c r="TAM11" s="110"/>
      <c r="TAN11" s="110"/>
      <c r="TAO11" s="110"/>
      <c r="TAP11" s="110"/>
      <c r="TAQ11" s="110"/>
      <c r="TAR11" s="110"/>
      <c r="TAS11" s="110"/>
      <c r="TAT11" s="110"/>
      <c r="TAU11" s="110"/>
      <c r="TAV11" s="110"/>
      <c r="TAW11" s="110"/>
      <c r="TAX11" s="110"/>
      <c r="TAY11" s="110"/>
      <c r="TAZ11" s="110"/>
      <c r="TBA11" s="110"/>
      <c r="TBB11" s="110"/>
      <c r="TBC11" s="110"/>
      <c r="TBD11" s="110"/>
      <c r="TBE11" s="110"/>
      <c r="TBF11" s="110"/>
      <c r="TBG11" s="110"/>
      <c r="TBH11" s="110"/>
      <c r="TBI11" s="110"/>
      <c r="TBJ11" s="110"/>
      <c r="TBK11" s="110"/>
      <c r="TBL11" s="110"/>
      <c r="TBM11" s="110"/>
      <c r="TBN11" s="110"/>
      <c r="TBO11" s="110"/>
      <c r="TBP11" s="110"/>
      <c r="TBQ11" s="110"/>
      <c r="TBR11" s="110"/>
      <c r="TBS11" s="110"/>
      <c r="TBT11" s="110"/>
      <c r="TBU11" s="110"/>
      <c r="TBV11" s="110"/>
      <c r="TBW11" s="110"/>
      <c r="TBX11" s="110"/>
      <c r="TBY11" s="110"/>
      <c r="TBZ11" s="110"/>
      <c r="TCA11" s="110"/>
      <c r="TCB11" s="110"/>
      <c r="TCC11" s="110"/>
      <c r="TCD11" s="110"/>
      <c r="TCE11" s="110"/>
      <c r="TCF11" s="110"/>
      <c r="TCG11" s="110"/>
      <c r="TCH11" s="110"/>
      <c r="TCI11" s="110"/>
      <c r="TCJ11" s="110"/>
      <c r="TCK11" s="110"/>
      <c r="TCL11" s="110"/>
      <c r="TCM11" s="110"/>
      <c r="TCN11" s="110"/>
      <c r="TCO11" s="110"/>
      <c r="TCP11" s="110"/>
      <c r="TCQ11" s="110"/>
      <c r="TCR11" s="110"/>
      <c r="TCS11" s="110"/>
      <c r="TCT11" s="110"/>
      <c r="TCU11" s="110"/>
      <c r="TCV11" s="110"/>
      <c r="TCW11" s="110"/>
      <c r="TCX11" s="110"/>
      <c r="TCY11" s="110"/>
      <c r="TCZ11" s="110"/>
      <c r="TDA11" s="110"/>
      <c r="TDB11" s="110"/>
      <c r="TDC11" s="110"/>
      <c r="TDD11" s="110"/>
      <c r="TDE11" s="110"/>
      <c r="TDF11" s="110"/>
      <c r="TDG11" s="110"/>
      <c r="TDH11" s="110"/>
      <c r="TDI11" s="110"/>
      <c r="TDJ11" s="110"/>
      <c r="TDK11" s="110"/>
      <c r="TDL11" s="110"/>
      <c r="TDM11" s="110"/>
      <c r="TDN11" s="110"/>
      <c r="TDO11" s="110"/>
      <c r="TDP11" s="110"/>
      <c r="TDQ11" s="110"/>
      <c r="TDR11" s="110"/>
      <c r="TDS11" s="110"/>
      <c r="TDT11" s="110"/>
      <c r="TDU11" s="110"/>
      <c r="TDV11" s="110"/>
      <c r="TDW11" s="110"/>
      <c r="TDX11" s="110"/>
      <c r="TDY11" s="110"/>
      <c r="TDZ11" s="110"/>
      <c r="TEA11" s="110"/>
      <c r="TEB11" s="110"/>
      <c r="TEC11" s="110"/>
      <c r="TED11" s="110"/>
      <c r="TEE11" s="110"/>
      <c r="TEF11" s="110"/>
      <c r="TEG11" s="110"/>
      <c r="TEH11" s="110"/>
      <c r="TEI11" s="110"/>
      <c r="TEJ11" s="110"/>
      <c r="TEK11" s="110"/>
      <c r="TEL11" s="110"/>
      <c r="TEM11" s="110"/>
      <c r="TEN11" s="110"/>
      <c r="TEO11" s="110"/>
      <c r="TEP11" s="110"/>
      <c r="TEQ11" s="110"/>
      <c r="TER11" s="110"/>
      <c r="TES11" s="110"/>
      <c r="TET11" s="110"/>
      <c r="TEU11" s="110"/>
      <c r="TEV11" s="110"/>
      <c r="TEW11" s="110"/>
      <c r="TEX11" s="110"/>
      <c r="TEY11" s="110"/>
      <c r="TEZ11" s="110"/>
      <c r="TFA11" s="110"/>
      <c r="TFB11" s="110"/>
      <c r="TFC11" s="110"/>
      <c r="TFD11" s="110"/>
      <c r="TFE11" s="110"/>
      <c r="TFF11" s="110"/>
      <c r="TFG11" s="110"/>
      <c r="TFH11" s="110"/>
      <c r="TFI11" s="110"/>
      <c r="TFJ11" s="110"/>
      <c r="TFK11" s="110"/>
      <c r="TFL11" s="110"/>
      <c r="TFM11" s="110"/>
      <c r="TFN11" s="110"/>
      <c r="TFO11" s="110"/>
      <c r="TFP11" s="110"/>
      <c r="TFQ11" s="110"/>
      <c r="TFR11" s="110"/>
      <c r="TFS11" s="110"/>
      <c r="TFT11" s="110"/>
      <c r="TFU11" s="110"/>
      <c r="TFV11" s="110"/>
      <c r="TFW11" s="110"/>
      <c r="TFX11" s="110"/>
      <c r="TFY11" s="110"/>
      <c r="TFZ11" s="110"/>
      <c r="TGA11" s="110"/>
      <c r="TGB11" s="110"/>
      <c r="TGC11" s="110"/>
      <c r="TGD11" s="110"/>
      <c r="TGE11" s="110"/>
      <c r="TGF11" s="110"/>
      <c r="TGG11" s="110"/>
      <c r="TGH11" s="110"/>
      <c r="TGI11" s="110"/>
      <c r="TGJ11" s="110"/>
      <c r="TGK11" s="110"/>
      <c r="TGL11" s="110"/>
      <c r="TGM11" s="110"/>
      <c r="TGN11" s="110"/>
      <c r="TGO11" s="110"/>
      <c r="TGP11" s="110"/>
      <c r="TGQ11" s="110"/>
      <c r="TGR11" s="110"/>
      <c r="TGS11" s="110"/>
      <c r="TGT11" s="110"/>
      <c r="TGU11" s="110"/>
      <c r="TGV11" s="110"/>
      <c r="TGW11" s="110"/>
      <c r="TGX11" s="110"/>
      <c r="TGY11" s="110"/>
      <c r="TGZ11" s="110"/>
      <c r="THA11" s="110"/>
      <c r="THB11" s="110"/>
      <c r="THC11" s="110"/>
      <c r="THD11" s="110"/>
      <c r="THE11" s="110"/>
      <c r="THF11" s="110"/>
      <c r="THG11" s="110"/>
      <c r="THH11" s="110"/>
      <c r="THI11" s="110"/>
      <c r="THJ11" s="110"/>
      <c r="THK11" s="110"/>
      <c r="THL11" s="110"/>
      <c r="THM11" s="110"/>
      <c r="THN11" s="110"/>
      <c r="THO11" s="110"/>
      <c r="THP11" s="110"/>
      <c r="THQ11" s="110"/>
      <c r="THR11" s="110"/>
      <c r="THS11" s="110"/>
      <c r="THT11" s="110"/>
      <c r="THU11" s="110"/>
      <c r="THV11" s="110"/>
      <c r="THW11" s="110"/>
      <c r="THX11" s="110"/>
      <c r="THY11" s="110"/>
      <c r="THZ11" s="110"/>
      <c r="TIA11" s="110"/>
      <c r="TIB11" s="110"/>
      <c r="TIC11" s="110"/>
      <c r="TID11" s="110"/>
      <c r="TIE11" s="110"/>
      <c r="TIF11" s="110"/>
      <c r="TIG11" s="110"/>
      <c r="TIH11" s="110"/>
      <c r="TII11" s="110"/>
      <c r="TIJ11" s="110"/>
      <c r="TIK11" s="110"/>
      <c r="TIL11" s="110"/>
      <c r="TIM11" s="110"/>
      <c r="TIN11" s="110"/>
      <c r="TIO11" s="110"/>
      <c r="TIP11" s="110"/>
      <c r="TIQ11" s="110"/>
      <c r="TIR11" s="110"/>
      <c r="TIS11" s="110"/>
      <c r="TIT11" s="110"/>
      <c r="TIU11" s="110"/>
      <c r="TIV11" s="110"/>
      <c r="TIW11" s="110"/>
      <c r="TIX11" s="110"/>
      <c r="TIY11" s="110"/>
      <c r="TIZ11" s="110"/>
      <c r="TJA11" s="110"/>
      <c r="TJB11" s="110"/>
      <c r="TJC11" s="110"/>
      <c r="TJD11" s="110"/>
      <c r="TJE11" s="110"/>
      <c r="TJF11" s="110"/>
      <c r="TJG11" s="110"/>
      <c r="TJH11" s="110"/>
      <c r="TJI11" s="110"/>
      <c r="TJJ11" s="110"/>
      <c r="TJK11" s="110"/>
      <c r="TJL11" s="110"/>
      <c r="TJM11" s="110"/>
      <c r="TJN11" s="110"/>
      <c r="TJO11" s="110"/>
      <c r="TJP11" s="110"/>
      <c r="TJQ11" s="110"/>
      <c r="TJR11" s="110"/>
      <c r="TJS11" s="110"/>
      <c r="TJT11" s="110"/>
      <c r="TJU11" s="110"/>
      <c r="TJV11" s="110"/>
      <c r="TJW11" s="110"/>
      <c r="TJX11" s="110"/>
      <c r="TJY11" s="110"/>
      <c r="TJZ11" s="110"/>
      <c r="TKA11" s="110"/>
      <c r="TKB11" s="110"/>
      <c r="TKC11" s="110"/>
      <c r="TKD11" s="110"/>
      <c r="TKE11" s="110"/>
      <c r="TKF11" s="110"/>
      <c r="TKG11" s="110"/>
      <c r="TKH11" s="110"/>
      <c r="TKI11" s="110"/>
      <c r="TKJ11" s="110"/>
      <c r="TKK11" s="110"/>
      <c r="TKL11" s="110"/>
      <c r="TKM11" s="110"/>
      <c r="TKN11" s="110"/>
      <c r="TKO11" s="110"/>
      <c r="TKP11" s="110"/>
      <c r="TKQ11" s="110"/>
      <c r="TKR11" s="110"/>
      <c r="TKS11" s="110"/>
      <c r="TKT11" s="110"/>
      <c r="TKU11" s="110"/>
      <c r="TKV11" s="110"/>
      <c r="TKW11" s="110"/>
      <c r="TKX11" s="110"/>
      <c r="TKY11" s="110"/>
      <c r="TKZ11" s="110"/>
      <c r="TLA11" s="110"/>
      <c r="TLB11" s="110"/>
      <c r="TLC11" s="110"/>
      <c r="TLD11" s="110"/>
      <c r="TLE11" s="110"/>
      <c r="TLF11" s="110"/>
      <c r="TLG11" s="110"/>
      <c r="TLH11" s="110"/>
      <c r="TLI11" s="110"/>
      <c r="TLJ11" s="110"/>
      <c r="TLK11" s="110"/>
      <c r="TLL11" s="110"/>
      <c r="TLM11" s="110"/>
      <c r="TLN11" s="110"/>
      <c r="TLO11" s="110"/>
      <c r="TLP11" s="110"/>
      <c r="TLQ11" s="110"/>
      <c r="TLR11" s="110"/>
      <c r="TLS11" s="110"/>
      <c r="TLT11" s="110"/>
      <c r="TLU11" s="110"/>
      <c r="TLV11" s="110"/>
      <c r="TLW11" s="110"/>
      <c r="TLX11" s="110"/>
      <c r="TLY11" s="110"/>
      <c r="TLZ11" s="110"/>
      <c r="TMA11" s="110"/>
      <c r="TMB11" s="110"/>
      <c r="TMC11" s="110"/>
      <c r="TMD11" s="110"/>
      <c r="TME11" s="110"/>
      <c r="TMF11" s="110"/>
      <c r="TMG11" s="110"/>
      <c r="TMH11" s="110"/>
      <c r="TMI11" s="110"/>
      <c r="TMJ11" s="110"/>
      <c r="TMK11" s="110"/>
      <c r="TML11" s="110"/>
      <c r="TMM11" s="110"/>
      <c r="TMN11" s="110"/>
      <c r="TMO11" s="110"/>
      <c r="TMP11" s="110"/>
      <c r="TMQ11" s="110"/>
      <c r="TMR11" s="110"/>
      <c r="TMS11" s="110"/>
      <c r="TMT11" s="110"/>
      <c r="TMU11" s="110"/>
      <c r="TMV11" s="110"/>
      <c r="TMW11" s="110"/>
      <c r="TMX11" s="110"/>
      <c r="TMY11" s="110"/>
      <c r="TMZ11" s="110"/>
      <c r="TNA11" s="110"/>
      <c r="TNB11" s="110"/>
      <c r="TNC11" s="110"/>
      <c r="TND11" s="110"/>
      <c r="TNE11" s="110"/>
      <c r="TNF11" s="110"/>
      <c r="TNG11" s="110"/>
      <c r="TNH11" s="110"/>
      <c r="TNI11" s="110"/>
      <c r="TNJ11" s="110"/>
      <c r="TNK11" s="110"/>
      <c r="TNL11" s="110"/>
      <c r="TNM11" s="110"/>
      <c r="TNN11" s="110"/>
      <c r="TNO11" s="110"/>
      <c r="TNP11" s="110"/>
      <c r="TNQ11" s="110"/>
      <c r="TNR11" s="110"/>
      <c r="TNS11" s="110"/>
      <c r="TNT11" s="110"/>
      <c r="TNU11" s="110"/>
      <c r="TNV11" s="110"/>
      <c r="TNW11" s="110"/>
      <c r="TNX11" s="110"/>
      <c r="TNY11" s="110"/>
      <c r="TNZ11" s="110"/>
      <c r="TOA11" s="110"/>
      <c r="TOB11" s="110"/>
      <c r="TOC11" s="110"/>
      <c r="TOD11" s="110"/>
      <c r="TOE11" s="110"/>
      <c r="TOF11" s="110"/>
      <c r="TOG11" s="110"/>
      <c r="TOH11" s="110"/>
      <c r="TOI11" s="110"/>
      <c r="TOJ11" s="110"/>
      <c r="TOK11" s="110"/>
      <c r="TOL11" s="110"/>
      <c r="TOM11" s="110"/>
      <c r="TON11" s="110"/>
      <c r="TOO11" s="110"/>
      <c r="TOP11" s="110"/>
      <c r="TOQ11" s="110"/>
      <c r="TOR11" s="110"/>
      <c r="TOS11" s="110"/>
      <c r="TOT11" s="110"/>
      <c r="TOU11" s="110"/>
      <c r="TOV11" s="110"/>
      <c r="TOW11" s="110"/>
      <c r="TOX11" s="110"/>
      <c r="TOY11" s="110"/>
      <c r="TOZ11" s="110"/>
      <c r="TPA11" s="110"/>
      <c r="TPB11" s="110"/>
      <c r="TPC11" s="110"/>
      <c r="TPD11" s="110"/>
      <c r="TPE11" s="110"/>
      <c r="TPF11" s="110"/>
      <c r="TPG11" s="110"/>
      <c r="TPH11" s="110"/>
      <c r="TPI11" s="110"/>
      <c r="TPJ11" s="110"/>
      <c r="TPK11" s="110"/>
      <c r="TPL11" s="110"/>
      <c r="TPM11" s="110"/>
      <c r="TPN11" s="110"/>
      <c r="TPO11" s="110"/>
      <c r="TPP11" s="110"/>
      <c r="TPQ11" s="110"/>
      <c r="TPR11" s="110"/>
      <c r="TPS11" s="110"/>
      <c r="TPT11" s="110"/>
      <c r="TPU11" s="110"/>
      <c r="TPV11" s="110"/>
      <c r="TPW11" s="110"/>
      <c r="TPX11" s="110"/>
      <c r="TPY11" s="110"/>
      <c r="TPZ11" s="110"/>
      <c r="TQA11" s="110"/>
      <c r="TQB11" s="110"/>
      <c r="TQC11" s="110"/>
      <c r="TQD11" s="110"/>
      <c r="TQE11" s="110"/>
      <c r="TQF11" s="110"/>
      <c r="TQG11" s="110"/>
      <c r="TQH11" s="110"/>
      <c r="TQI11" s="110"/>
      <c r="TQJ11" s="110"/>
      <c r="TQK11" s="110"/>
      <c r="TQL11" s="110"/>
      <c r="TQM11" s="110"/>
      <c r="TQN11" s="110"/>
      <c r="TQO11" s="110"/>
      <c r="TQP11" s="110"/>
      <c r="TQQ11" s="110"/>
      <c r="TQR11" s="110"/>
      <c r="TQS11" s="110"/>
      <c r="TQT11" s="110"/>
      <c r="TQU11" s="110"/>
      <c r="TQV11" s="110"/>
      <c r="TQW11" s="110"/>
      <c r="TQX11" s="110"/>
      <c r="TQY11" s="110"/>
      <c r="TQZ11" s="110"/>
      <c r="TRA11" s="110"/>
      <c r="TRB11" s="110"/>
      <c r="TRC11" s="110"/>
      <c r="TRD11" s="110"/>
      <c r="TRE11" s="110"/>
      <c r="TRF11" s="110"/>
      <c r="TRG11" s="110"/>
      <c r="TRH11" s="110"/>
      <c r="TRI11" s="110"/>
      <c r="TRJ11" s="110"/>
      <c r="TRK11" s="110"/>
      <c r="TRL11" s="110"/>
      <c r="TRM11" s="110"/>
      <c r="TRN11" s="110"/>
      <c r="TRO11" s="110"/>
      <c r="TRP11" s="110"/>
      <c r="TRQ11" s="110"/>
      <c r="TRR11" s="110"/>
      <c r="TRS11" s="110"/>
      <c r="TRT11" s="110"/>
      <c r="TRU11" s="110"/>
      <c r="TRV11" s="110"/>
      <c r="TRW11" s="110"/>
      <c r="TRX11" s="110"/>
      <c r="TRY11" s="110"/>
      <c r="TRZ11" s="110"/>
      <c r="TSA11" s="110"/>
      <c r="TSB11" s="110"/>
      <c r="TSC11" s="110"/>
      <c r="TSD11" s="110"/>
      <c r="TSE11" s="110"/>
      <c r="TSF11" s="110"/>
      <c r="TSG11" s="110"/>
      <c r="TSH11" s="110"/>
      <c r="TSI11" s="110"/>
      <c r="TSJ11" s="110"/>
      <c r="TSK11" s="110"/>
      <c r="TSL11" s="110"/>
      <c r="TSM11" s="110"/>
      <c r="TSN11" s="110"/>
      <c r="TSO11" s="110"/>
      <c r="TSP11" s="110"/>
      <c r="TSQ11" s="110"/>
      <c r="TSR11" s="110"/>
      <c r="TSS11" s="110"/>
      <c r="TST11" s="110"/>
      <c r="TSU11" s="110"/>
      <c r="TSV11" s="110"/>
      <c r="TSW11" s="110"/>
      <c r="TSX11" s="110"/>
      <c r="TSY11" s="110"/>
      <c r="TSZ11" s="110"/>
      <c r="TTA11" s="110"/>
      <c r="TTB11" s="110"/>
      <c r="TTC11" s="110"/>
      <c r="TTD11" s="110"/>
      <c r="TTE11" s="110"/>
      <c r="TTF11" s="110"/>
      <c r="TTG11" s="110"/>
      <c r="TTH11" s="110"/>
      <c r="TTI11" s="110"/>
      <c r="TTJ11" s="110"/>
      <c r="TTK11" s="110"/>
      <c r="TTL11" s="110"/>
      <c r="TTM11" s="110"/>
      <c r="TTN11" s="110"/>
      <c r="TTO11" s="110"/>
      <c r="TTP11" s="110"/>
      <c r="TTQ11" s="110"/>
      <c r="TTR11" s="110"/>
      <c r="TTS11" s="110"/>
      <c r="TTT11" s="110"/>
      <c r="TTU11" s="110"/>
      <c r="TTV11" s="110"/>
      <c r="TTW11" s="110"/>
      <c r="TTX11" s="110"/>
      <c r="TTY11" s="110"/>
      <c r="TTZ11" s="110"/>
      <c r="TUA11" s="110"/>
      <c r="TUB11" s="110"/>
      <c r="TUC11" s="110"/>
      <c r="TUD11" s="110"/>
      <c r="TUE11" s="110"/>
      <c r="TUF11" s="110"/>
      <c r="TUG11" s="110"/>
      <c r="TUH11" s="110"/>
      <c r="TUI11" s="110"/>
      <c r="TUJ11" s="110"/>
      <c r="TUK11" s="110"/>
      <c r="TUL11" s="110"/>
      <c r="TUM11" s="110"/>
      <c r="TUN11" s="110"/>
      <c r="TUO11" s="110"/>
      <c r="TUP11" s="110"/>
      <c r="TUQ11" s="110"/>
      <c r="TUR11" s="110"/>
      <c r="TUS11" s="110"/>
      <c r="TUT11" s="110"/>
      <c r="TUU11" s="110"/>
      <c r="TUV11" s="110"/>
      <c r="TUW11" s="110"/>
      <c r="TUX11" s="110"/>
      <c r="TUY11" s="110"/>
      <c r="TUZ11" s="110"/>
      <c r="TVA11" s="110"/>
      <c r="TVB11" s="110"/>
      <c r="TVC11" s="110"/>
      <c r="TVD11" s="110"/>
      <c r="TVE11" s="110"/>
      <c r="TVF11" s="110"/>
      <c r="TVG11" s="110"/>
      <c r="TVH11" s="110"/>
      <c r="TVI11" s="110"/>
      <c r="TVJ11" s="110"/>
      <c r="TVK11" s="110"/>
      <c r="TVL11" s="110"/>
      <c r="TVM11" s="110"/>
      <c r="TVN11" s="110"/>
      <c r="TVO11" s="110"/>
      <c r="TVP11" s="110"/>
      <c r="TVQ11" s="110"/>
      <c r="TVR11" s="110"/>
      <c r="TVS11" s="110"/>
      <c r="TVT11" s="110"/>
      <c r="TVU11" s="110"/>
      <c r="TVV11" s="110"/>
      <c r="TVW11" s="110"/>
      <c r="TVX11" s="110"/>
      <c r="TVY11" s="110"/>
      <c r="TVZ11" s="110"/>
      <c r="TWA11" s="110"/>
      <c r="TWB11" s="110"/>
      <c r="TWC11" s="110"/>
      <c r="TWD11" s="110"/>
      <c r="TWE11" s="110"/>
      <c r="TWF11" s="110"/>
      <c r="TWG11" s="110"/>
      <c r="TWH11" s="110"/>
      <c r="TWI11" s="110"/>
      <c r="TWJ11" s="110"/>
      <c r="TWK11" s="110"/>
      <c r="TWL11" s="110"/>
      <c r="TWM11" s="110"/>
      <c r="TWN11" s="110"/>
      <c r="TWO11" s="110"/>
      <c r="TWP11" s="110"/>
      <c r="TWQ11" s="110"/>
      <c r="TWR11" s="110"/>
      <c r="TWS11" s="110"/>
      <c r="TWT11" s="110"/>
      <c r="TWU11" s="110"/>
      <c r="TWV11" s="110"/>
      <c r="TWW11" s="110"/>
      <c r="TWX11" s="110"/>
      <c r="TWY11" s="110"/>
      <c r="TWZ11" s="110"/>
      <c r="TXA11" s="110"/>
      <c r="TXB11" s="110"/>
      <c r="TXC11" s="110"/>
      <c r="TXD11" s="110"/>
      <c r="TXE11" s="110"/>
      <c r="TXF11" s="110"/>
      <c r="TXG11" s="110"/>
      <c r="TXH11" s="110"/>
      <c r="TXI11" s="110"/>
      <c r="TXJ11" s="110"/>
      <c r="TXK11" s="110"/>
      <c r="TXL11" s="110"/>
      <c r="TXM11" s="110"/>
      <c r="TXN11" s="110"/>
      <c r="TXO11" s="110"/>
      <c r="TXP11" s="110"/>
      <c r="TXQ11" s="110"/>
      <c r="TXR11" s="110"/>
      <c r="TXS11" s="110"/>
      <c r="TXT11" s="110"/>
      <c r="TXU11" s="110"/>
      <c r="TXV11" s="110"/>
      <c r="TXW11" s="110"/>
      <c r="TXX11" s="110"/>
      <c r="TXY11" s="110"/>
      <c r="TXZ11" s="110"/>
      <c r="TYA11" s="110"/>
      <c r="TYB11" s="110"/>
      <c r="TYC11" s="110"/>
      <c r="TYD11" s="110"/>
      <c r="TYE11" s="110"/>
      <c r="TYF11" s="110"/>
      <c r="TYG11" s="110"/>
      <c r="TYH11" s="110"/>
      <c r="TYI11" s="110"/>
      <c r="TYJ11" s="110"/>
      <c r="TYK11" s="110"/>
      <c r="TYL11" s="110"/>
      <c r="TYM11" s="110"/>
      <c r="TYN11" s="110"/>
      <c r="TYO11" s="110"/>
      <c r="TYP11" s="110"/>
      <c r="TYQ11" s="110"/>
      <c r="TYR11" s="110"/>
      <c r="TYS11" s="110"/>
      <c r="TYT11" s="110"/>
      <c r="TYU11" s="110"/>
      <c r="TYV11" s="110"/>
      <c r="TYW11" s="110"/>
      <c r="TYX11" s="110"/>
      <c r="TYY11" s="110"/>
      <c r="TYZ11" s="110"/>
      <c r="TZA11" s="110"/>
      <c r="TZB11" s="110"/>
      <c r="TZC11" s="110"/>
      <c r="TZD11" s="110"/>
      <c r="TZE11" s="110"/>
      <c r="TZF11" s="110"/>
      <c r="TZG11" s="110"/>
      <c r="TZH11" s="110"/>
      <c r="TZI11" s="110"/>
      <c r="TZJ11" s="110"/>
      <c r="TZK11" s="110"/>
      <c r="TZL11" s="110"/>
      <c r="TZM11" s="110"/>
      <c r="TZN11" s="110"/>
      <c r="TZO11" s="110"/>
      <c r="TZP11" s="110"/>
      <c r="TZQ11" s="110"/>
      <c r="TZR11" s="110"/>
      <c r="TZS11" s="110"/>
      <c r="TZT11" s="110"/>
      <c r="TZU11" s="110"/>
      <c r="TZV11" s="110"/>
      <c r="TZW11" s="110"/>
      <c r="TZX11" s="110"/>
      <c r="TZY11" s="110"/>
      <c r="TZZ11" s="110"/>
      <c r="UAA11" s="110"/>
      <c r="UAB11" s="110"/>
      <c r="UAC11" s="110"/>
      <c r="UAD11" s="110"/>
      <c r="UAE11" s="110"/>
      <c r="UAF11" s="110"/>
      <c r="UAG11" s="110"/>
      <c r="UAH11" s="110"/>
      <c r="UAI11" s="110"/>
      <c r="UAJ11" s="110"/>
      <c r="UAK11" s="110"/>
      <c r="UAL11" s="110"/>
      <c r="UAM11" s="110"/>
      <c r="UAN11" s="110"/>
      <c r="UAO11" s="110"/>
      <c r="UAP11" s="110"/>
      <c r="UAQ11" s="110"/>
      <c r="UAR11" s="110"/>
      <c r="UAS11" s="110"/>
      <c r="UAT11" s="110"/>
      <c r="UAU11" s="110"/>
      <c r="UAV11" s="110"/>
      <c r="UAW11" s="110"/>
      <c r="UAX11" s="110"/>
      <c r="UAY11" s="110"/>
      <c r="UAZ11" s="110"/>
      <c r="UBA11" s="110"/>
      <c r="UBB11" s="110"/>
      <c r="UBC11" s="110"/>
      <c r="UBD11" s="110"/>
      <c r="UBE11" s="110"/>
      <c r="UBF11" s="110"/>
      <c r="UBG11" s="110"/>
      <c r="UBH11" s="110"/>
      <c r="UBI11" s="110"/>
      <c r="UBJ11" s="110"/>
      <c r="UBK11" s="110"/>
      <c r="UBL11" s="110"/>
      <c r="UBM11" s="110"/>
      <c r="UBN11" s="110"/>
      <c r="UBO11" s="110"/>
      <c r="UBP11" s="110"/>
      <c r="UBQ11" s="110"/>
      <c r="UBR11" s="110"/>
      <c r="UBS11" s="110"/>
      <c r="UBT11" s="110"/>
      <c r="UBU11" s="110"/>
      <c r="UBV11" s="110"/>
      <c r="UBW11" s="110"/>
      <c r="UBX11" s="110"/>
      <c r="UBY11" s="110"/>
      <c r="UBZ11" s="110"/>
      <c r="UCA11" s="110"/>
      <c r="UCB11" s="110"/>
      <c r="UCC11" s="110"/>
      <c r="UCD11" s="110"/>
      <c r="UCE11" s="110"/>
      <c r="UCF11" s="110"/>
      <c r="UCG11" s="110"/>
      <c r="UCH11" s="110"/>
      <c r="UCI11" s="110"/>
      <c r="UCJ11" s="110"/>
      <c r="UCK11" s="110"/>
      <c r="UCL11" s="110"/>
      <c r="UCM11" s="110"/>
      <c r="UCN11" s="110"/>
      <c r="UCO11" s="110"/>
      <c r="UCP11" s="110"/>
      <c r="UCQ11" s="110"/>
      <c r="UCR11" s="110"/>
      <c r="UCS11" s="110"/>
      <c r="UCT11" s="110"/>
      <c r="UCU11" s="110"/>
      <c r="UCV11" s="110"/>
      <c r="UCW11" s="110"/>
      <c r="UCX11" s="110"/>
      <c r="UCY11" s="110"/>
      <c r="UCZ11" s="110"/>
      <c r="UDA11" s="110"/>
      <c r="UDB11" s="110"/>
      <c r="UDC11" s="110"/>
      <c r="UDD11" s="110"/>
      <c r="UDE11" s="110"/>
      <c r="UDF11" s="110"/>
      <c r="UDG11" s="110"/>
      <c r="UDH11" s="110"/>
      <c r="UDI11" s="110"/>
      <c r="UDJ11" s="110"/>
      <c r="UDK11" s="110"/>
      <c r="UDL11" s="110"/>
      <c r="UDM11" s="110"/>
      <c r="UDN11" s="110"/>
      <c r="UDO11" s="110"/>
      <c r="UDP11" s="110"/>
      <c r="UDQ11" s="110"/>
      <c r="UDR11" s="110"/>
      <c r="UDS11" s="110"/>
      <c r="UDT11" s="110"/>
      <c r="UDU11" s="110"/>
      <c r="UDV11" s="110"/>
      <c r="UDW11" s="110"/>
      <c r="UDX11" s="110"/>
      <c r="UDY11" s="110"/>
      <c r="UDZ11" s="110"/>
      <c r="UEA11" s="110"/>
      <c r="UEB11" s="110"/>
      <c r="UEC11" s="110"/>
      <c r="UED11" s="110"/>
      <c r="UEE11" s="110"/>
      <c r="UEF11" s="110"/>
      <c r="UEG11" s="110"/>
      <c r="UEH11" s="110"/>
      <c r="UEI11" s="110"/>
      <c r="UEJ11" s="110"/>
      <c r="UEK11" s="110"/>
      <c r="UEL11" s="110"/>
      <c r="UEM11" s="110"/>
      <c r="UEN11" s="110"/>
      <c r="UEO11" s="110"/>
      <c r="UEP11" s="110"/>
      <c r="UEQ11" s="110"/>
      <c r="UER11" s="110"/>
      <c r="UES11" s="110"/>
      <c r="UET11" s="110"/>
      <c r="UEU11" s="110"/>
      <c r="UEV11" s="110"/>
      <c r="UEW11" s="110"/>
      <c r="UEX11" s="110"/>
      <c r="UEY11" s="110"/>
      <c r="UEZ11" s="110"/>
      <c r="UFA11" s="110"/>
      <c r="UFB11" s="110"/>
      <c r="UFC11" s="110"/>
      <c r="UFD11" s="110"/>
      <c r="UFE11" s="110"/>
      <c r="UFF11" s="110"/>
      <c r="UFG11" s="110"/>
      <c r="UFH11" s="110"/>
      <c r="UFI11" s="110"/>
      <c r="UFJ11" s="110"/>
      <c r="UFK11" s="110"/>
      <c r="UFL11" s="110"/>
      <c r="UFM11" s="110"/>
      <c r="UFN11" s="110"/>
      <c r="UFO11" s="110"/>
      <c r="UFP11" s="110"/>
      <c r="UFQ11" s="110"/>
      <c r="UFR11" s="110"/>
      <c r="UFS11" s="110"/>
      <c r="UFT11" s="110"/>
      <c r="UFU11" s="110"/>
      <c r="UFV11" s="110"/>
      <c r="UFW11" s="110"/>
      <c r="UFX11" s="110"/>
      <c r="UFY11" s="110"/>
      <c r="UFZ11" s="110"/>
      <c r="UGA11" s="110"/>
      <c r="UGB11" s="110"/>
      <c r="UGC11" s="110"/>
      <c r="UGD11" s="110"/>
      <c r="UGE11" s="110"/>
      <c r="UGF11" s="110"/>
      <c r="UGG11" s="110"/>
      <c r="UGH11" s="110"/>
      <c r="UGI11" s="110"/>
      <c r="UGJ11" s="110"/>
      <c r="UGK11" s="110"/>
      <c r="UGL11" s="110"/>
      <c r="UGM11" s="110"/>
      <c r="UGN11" s="110"/>
      <c r="UGO11" s="110"/>
      <c r="UGP11" s="110"/>
      <c r="UGQ11" s="110"/>
      <c r="UGR11" s="110"/>
      <c r="UGS11" s="110"/>
      <c r="UGT11" s="110"/>
      <c r="UGU11" s="110"/>
      <c r="UGV11" s="110"/>
      <c r="UGW11" s="110"/>
      <c r="UGX11" s="110"/>
      <c r="UGY11" s="110"/>
      <c r="UGZ11" s="110"/>
      <c r="UHA11" s="110"/>
      <c r="UHB11" s="110"/>
      <c r="UHC11" s="110"/>
      <c r="UHD11" s="110"/>
      <c r="UHE11" s="110"/>
      <c r="UHF11" s="110"/>
      <c r="UHG11" s="110"/>
      <c r="UHH11" s="110"/>
      <c r="UHI11" s="110"/>
      <c r="UHJ11" s="110"/>
      <c r="UHK11" s="110"/>
      <c r="UHL11" s="110"/>
      <c r="UHM11" s="110"/>
      <c r="UHN11" s="110"/>
      <c r="UHO11" s="110"/>
      <c r="UHP11" s="110"/>
      <c r="UHQ11" s="110"/>
      <c r="UHR11" s="110"/>
      <c r="UHS11" s="110"/>
      <c r="UHT11" s="110"/>
      <c r="UHU11" s="110"/>
      <c r="UHV11" s="110"/>
      <c r="UHW11" s="110"/>
      <c r="UHX11" s="110"/>
      <c r="UHY11" s="110"/>
      <c r="UHZ11" s="110"/>
      <c r="UIA11" s="110"/>
      <c r="UIB11" s="110"/>
      <c r="UIC11" s="110"/>
      <c r="UID11" s="110"/>
      <c r="UIE11" s="110"/>
      <c r="UIF11" s="110"/>
      <c r="UIG11" s="110"/>
      <c r="UIH11" s="110"/>
      <c r="UII11" s="110"/>
      <c r="UIJ11" s="110"/>
      <c r="UIK11" s="110"/>
      <c r="UIL11" s="110"/>
      <c r="UIM11" s="110"/>
      <c r="UIN11" s="110"/>
      <c r="UIO11" s="110"/>
      <c r="UIP11" s="110"/>
      <c r="UIQ11" s="110"/>
      <c r="UIR11" s="110"/>
      <c r="UIS11" s="110"/>
      <c r="UIT11" s="110"/>
      <c r="UIU11" s="110"/>
      <c r="UIV11" s="110"/>
      <c r="UIW11" s="110"/>
      <c r="UIX11" s="110"/>
      <c r="UIY11" s="110"/>
      <c r="UIZ11" s="110"/>
      <c r="UJA11" s="110"/>
      <c r="UJB11" s="110"/>
      <c r="UJC11" s="110"/>
      <c r="UJD11" s="110"/>
      <c r="UJE11" s="110"/>
      <c r="UJF11" s="110"/>
      <c r="UJG11" s="110"/>
      <c r="UJH11" s="110"/>
      <c r="UJI11" s="110"/>
      <c r="UJJ11" s="110"/>
      <c r="UJK11" s="110"/>
      <c r="UJL11" s="110"/>
      <c r="UJM11" s="110"/>
      <c r="UJN11" s="110"/>
      <c r="UJO11" s="110"/>
      <c r="UJP11" s="110"/>
      <c r="UJQ11" s="110"/>
      <c r="UJR11" s="110"/>
      <c r="UJS11" s="110"/>
      <c r="UJT11" s="110"/>
      <c r="UJU11" s="110"/>
      <c r="UJV11" s="110"/>
      <c r="UJW11" s="110"/>
      <c r="UJX11" s="110"/>
      <c r="UJY11" s="110"/>
      <c r="UJZ11" s="110"/>
      <c r="UKA11" s="110"/>
      <c r="UKB11" s="110"/>
      <c r="UKC11" s="110"/>
      <c r="UKD11" s="110"/>
      <c r="UKE11" s="110"/>
      <c r="UKF11" s="110"/>
      <c r="UKG11" s="110"/>
      <c r="UKH11" s="110"/>
      <c r="UKI11" s="110"/>
      <c r="UKJ11" s="110"/>
      <c r="UKK11" s="110"/>
      <c r="UKL11" s="110"/>
      <c r="UKM11" s="110"/>
      <c r="UKN11" s="110"/>
      <c r="UKO11" s="110"/>
      <c r="UKP11" s="110"/>
      <c r="UKQ11" s="110"/>
      <c r="UKR11" s="110"/>
      <c r="UKS11" s="110"/>
      <c r="UKT11" s="110"/>
      <c r="UKU11" s="110"/>
      <c r="UKV11" s="110"/>
      <c r="UKW11" s="110"/>
      <c r="UKX11" s="110"/>
      <c r="UKY11" s="110"/>
      <c r="UKZ11" s="110"/>
      <c r="ULA11" s="110"/>
      <c r="ULB11" s="110"/>
      <c r="ULC11" s="110"/>
      <c r="ULD11" s="110"/>
      <c r="ULE11" s="110"/>
      <c r="ULF11" s="110"/>
      <c r="ULG11" s="110"/>
      <c r="ULH11" s="110"/>
      <c r="ULI11" s="110"/>
      <c r="ULJ11" s="110"/>
      <c r="ULK11" s="110"/>
      <c r="ULL11" s="110"/>
      <c r="ULM11" s="110"/>
      <c r="ULN11" s="110"/>
      <c r="ULO11" s="110"/>
      <c r="ULP11" s="110"/>
      <c r="ULQ11" s="110"/>
      <c r="ULR11" s="110"/>
      <c r="ULS11" s="110"/>
      <c r="ULT11" s="110"/>
      <c r="ULU11" s="110"/>
      <c r="ULV11" s="110"/>
      <c r="ULW11" s="110"/>
      <c r="ULX11" s="110"/>
      <c r="ULY11" s="110"/>
      <c r="ULZ11" s="110"/>
      <c r="UMA11" s="110"/>
      <c r="UMB11" s="110"/>
      <c r="UMC11" s="110"/>
      <c r="UMD11" s="110"/>
      <c r="UME11" s="110"/>
      <c r="UMF11" s="110"/>
      <c r="UMG11" s="110"/>
      <c r="UMH11" s="110"/>
      <c r="UMI11" s="110"/>
      <c r="UMJ11" s="110"/>
      <c r="UMK11" s="110"/>
      <c r="UML11" s="110"/>
      <c r="UMM11" s="110"/>
      <c r="UMN11" s="110"/>
      <c r="UMO11" s="110"/>
      <c r="UMP11" s="110"/>
      <c r="UMQ11" s="110"/>
      <c r="UMR11" s="110"/>
      <c r="UMS11" s="110"/>
      <c r="UMT11" s="110"/>
      <c r="UMU11" s="110"/>
      <c r="UMV11" s="110"/>
      <c r="UMW11" s="110"/>
      <c r="UMX11" s="110"/>
      <c r="UMY11" s="110"/>
      <c r="UMZ11" s="110"/>
      <c r="UNA11" s="110"/>
      <c r="UNB11" s="110"/>
      <c r="UNC11" s="110"/>
      <c r="UND11" s="110"/>
      <c r="UNE11" s="110"/>
      <c r="UNF11" s="110"/>
      <c r="UNG11" s="110"/>
      <c r="UNH11" s="110"/>
      <c r="UNI11" s="110"/>
      <c r="UNJ11" s="110"/>
      <c r="UNK11" s="110"/>
      <c r="UNL11" s="110"/>
      <c r="UNM11" s="110"/>
      <c r="UNN11" s="110"/>
      <c r="UNO11" s="110"/>
      <c r="UNP11" s="110"/>
      <c r="UNQ11" s="110"/>
      <c r="UNR11" s="110"/>
      <c r="UNS11" s="110"/>
      <c r="UNT11" s="110"/>
      <c r="UNU11" s="110"/>
      <c r="UNV11" s="110"/>
      <c r="UNW11" s="110"/>
      <c r="UNX11" s="110"/>
      <c r="UNY11" s="110"/>
      <c r="UNZ11" s="110"/>
      <c r="UOA11" s="110"/>
      <c r="UOB11" s="110"/>
      <c r="UOC11" s="110"/>
      <c r="UOD11" s="110"/>
      <c r="UOE11" s="110"/>
      <c r="UOF11" s="110"/>
      <c r="UOG11" s="110"/>
      <c r="UOH11" s="110"/>
      <c r="UOI11" s="110"/>
      <c r="UOJ11" s="110"/>
      <c r="UOK11" s="110"/>
      <c r="UOL11" s="110"/>
      <c r="UOM11" s="110"/>
      <c r="UON11" s="110"/>
      <c r="UOO11" s="110"/>
      <c r="UOP11" s="110"/>
      <c r="UOQ11" s="110"/>
      <c r="UOR11" s="110"/>
      <c r="UOS11" s="110"/>
      <c r="UOT11" s="110"/>
      <c r="UOU11" s="110"/>
      <c r="UOV11" s="110"/>
      <c r="UOW11" s="110"/>
      <c r="UOX11" s="110"/>
      <c r="UOY11" s="110"/>
      <c r="UOZ11" s="110"/>
      <c r="UPA11" s="110"/>
      <c r="UPB11" s="110"/>
      <c r="UPC11" s="110"/>
      <c r="UPD11" s="110"/>
      <c r="UPE11" s="110"/>
      <c r="UPF11" s="110"/>
      <c r="UPG11" s="110"/>
      <c r="UPH11" s="110"/>
      <c r="UPI11" s="110"/>
      <c r="UPJ11" s="110"/>
      <c r="UPK11" s="110"/>
      <c r="UPL11" s="110"/>
      <c r="UPM11" s="110"/>
      <c r="UPN11" s="110"/>
      <c r="UPO11" s="110"/>
      <c r="UPP11" s="110"/>
      <c r="UPQ11" s="110"/>
      <c r="UPR11" s="110"/>
      <c r="UPS11" s="110"/>
      <c r="UPT11" s="110"/>
      <c r="UPU11" s="110"/>
      <c r="UPV11" s="110"/>
      <c r="UPW11" s="110"/>
      <c r="UPX11" s="110"/>
      <c r="UPY11" s="110"/>
      <c r="UPZ11" s="110"/>
      <c r="UQA11" s="110"/>
      <c r="UQB11" s="110"/>
      <c r="UQC11" s="110"/>
      <c r="UQD11" s="110"/>
      <c r="UQE11" s="110"/>
      <c r="UQF11" s="110"/>
      <c r="UQG11" s="110"/>
      <c r="UQH11" s="110"/>
      <c r="UQI11" s="110"/>
      <c r="UQJ11" s="110"/>
      <c r="UQK11" s="110"/>
      <c r="UQL11" s="110"/>
      <c r="UQM11" s="110"/>
      <c r="UQN11" s="110"/>
      <c r="UQO11" s="110"/>
      <c r="UQP11" s="110"/>
      <c r="UQQ11" s="110"/>
      <c r="UQR11" s="110"/>
      <c r="UQS11" s="110"/>
      <c r="UQT11" s="110"/>
      <c r="UQU11" s="110"/>
      <c r="UQV11" s="110"/>
      <c r="UQW11" s="110"/>
      <c r="UQX11" s="110"/>
      <c r="UQY11" s="110"/>
      <c r="UQZ11" s="110"/>
      <c r="URA11" s="110"/>
      <c r="URB11" s="110"/>
      <c r="URC11" s="110"/>
      <c r="URD11" s="110"/>
      <c r="URE11" s="110"/>
      <c r="URF11" s="110"/>
      <c r="URG11" s="110"/>
      <c r="URH11" s="110"/>
      <c r="URI11" s="110"/>
      <c r="URJ11" s="110"/>
      <c r="URK11" s="110"/>
      <c r="URL11" s="110"/>
      <c r="URM11" s="110"/>
      <c r="URN11" s="110"/>
      <c r="URO11" s="110"/>
      <c r="URP11" s="110"/>
      <c r="URQ11" s="110"/>
      <c r="URR11" s="110"/>
      <c r="URS11" s="110"/>
      <c r="URT11" s="110"/>
      <c r="URU11" s="110"/>
      <c r="URV11" s="110"/>
      <c r="URW11" s="110"/>
      <c r="URX11" s="110"/>
      <c r="URY11" s="110"/>
      <c r="URZ11" s="110"/>
      <c r="USA11" s="110"/>
      <c r="USB11" s="110"/>
      <c r="USC11" s="110"/>
      <c r="USD11" s="110"/>
      <c r="USE11" s="110"/>
      <c r="USF11" s="110"/>
      <c r="USG11" s="110"/>
      <c r="USH11" s="110"/>
      <c r="USI11" s="110"/>
      <c r="USJ11" s="110"/>
      <c r="USK11" s="110"/>
      <c r="USL11" s="110"/>
      <c r="USM11" s="110"/>
      <c r="USN11" s="110"/>
      <c r="USO11" s="110"/>
      <c r="USP11" s="110"/>
      <c r="USQ11" s="110"/>
      <c r="USR11" s="110"/>
      <c r="USS11" s="110"/>
      <c r="UST11" s="110"/>
      <c r="USU11" s="110"/>
      <c r="USV11" s="110"/>
      <c r="USW11" s="110"/>
      <c r="USX11" s="110"/>
      <c r="USY11" s="110"/>
      <c r="USZ11" s="110"/>
      <c r="UTA11" s="110"/>
      <c r="UTB11" s="110"/>
      <c r="UTC11" s="110"/>
      <c r="UTD11" s="110"/>
      <c r="UTE11" s="110"/>
      <c r="UTF11" s="110"/>
      <c r="UTG11" s="110"/>
      <c r="UTH11" s="110"/>
      <c r="UTI11" s="110"/>
      <c r="UTJ11" s="110"/>
      <c r="UTK11" s="110"/>
      <c r="UTL11" s="110"/>
      <c r="UTM11" s="110"/>
      <c r="UTN11" s="110"/>
      <c r="UTO11" s="110"/>
      <c r="UTP11" s="110"/>
      <c r="UTQ11" s="110"/>
      <c r="UTR11" s="110"/>
      <c r="UTS11" s="110"/>
      <c r="UTT11" s="110"/>
      <c r="UTU11" s="110"/>
      <c r="UTV11" s="110"/>
      <c r="UTW11" s="110"/>
      <c r="UTX11" s="110"/>
      <c r="UTY11" s="110"/>
      <c r="UTZ11" s="110"/>
      <c r="UUA11" s="110"/>
      <c r="UUB11" s="110"/>
      <c r="UUC11" s="110"/>
      <c r="UUD11" s="110"/>
      <c r="UUE11" s="110"/>
      <c r="UUF11" s="110"/>
      <c r="UUG11" s="110"/>
      <c r="UUH11" s="110"/>
      <c r="UUI11" s="110"/>
      <c r="UUJ11" s="110"/>
      <c r="UUK11" s="110"/>
      <c r="UUL11" s="110"/>
      <c r="UUM11" s="110"/>
      <c r="UUN11" s="110"/>
      <c r="UUO11" s="110"/>
      <c r="UUP11" s="110"/>
      <c r="UUQ11" s="110"/>
      <c r="UUR11" s="110"/>
      <c r="UUS11" s="110"/>
      <c r="UUT11" s="110"/>
      <c r="UUU11" s="110"/>
      <c r="UUV11" s="110"/>
      <c r="UUW11" s="110"/>
      <c r="UUX11" s="110"/>
      <c r="UUY11" s="110"/>
      <c r="UUZ11" s="110"/>
      <c r="UVA11" s="110"/>
      <c r="UVB11" s="110"/>
      <c r="UVC11" s="110"/>
      <c r="UVD11" s="110"/>
      <c r="UVE11" s="110"/>
      <c r="UVF11" s="110"/>
      <c r="UVG11" s="110"/>
      <c r="UVH11" s="110"/>
      <c r="UVI11" s="110"/>
      <c r="UVJ11" s="110"/>
      <c r="UVK11" s="110"/>
      <c r="UVL11" s="110"/>
      <c r="UVM11" s="110"/>
      <c r="UVN11" s="110"/>
      <c r="UVO11" s="110"/>
      <c r="UVP11" s="110"/>
      <c r="UVQ11" s="110"/>
      <c r="UVR11" s="110"/>
      <c r="UVS11" s="110"/>
      <c r="UVT11" s="110"/>
      <c r="UVU11" s="110"/>
      <c r="UVV11" s="110"/>
      <c r="UVW11" s="110"/>
      <c r="UVX11" s="110"/>
      <c r="UVY11" s="110"/>
      <c r="UVZ11" s="110"/>
      <c r="UWA11" s="110"/>
      <c r="UWB11" s="110"/>
      <c r="UWC11" s="110"/>
      <c r="UWD11" s="110"/>
      <c r="UWE11" s="110"/>
      <c r="UWF11" s="110"/>
      <c r="UWG11" s="110"/>
      <c r="UWH11" s="110"/>
      <c r="UWI11" s="110"/>
      <c r="UWJ11" s="110"/>
      <c r="UWK11" s="110"/>
      <c r="UWL11" s="110"/>
      <c r="UWM11" s="110"/>
      <c r="UWN11" s="110"/>
      <c r="UWO11" s="110"/>
      <c r="UWP11" s="110"/>
      <c r="UWQ11" s="110"/>
      <c r="UWR11" s="110"/>
      <c r="UWS11" s="110"/>
      <c r="UWT11" s="110"/>
      <c r="UWU11" s="110"/>
      <c r="UWV11" s="110"/>
      <c r="UWW11" s="110"/>
      <c r="UWX11" s="110"/>
      <c r="UWY11" s="110"/>
      <c r="UWZ11" s="110"/>
      <c r="UXA11" s="110"/>
      <c r="UXB11" s="110"/>
      <c r="UXC11" s="110"/>
      <c r="UXD11" s="110"/>
      <c r="UXE11" s="110"/>
      <c r="UXF11" s="110"/>
      <c r="UXG11" s="110"/>
      <c r="UXH11" s="110"/>
      <c r="UXI11" s="110"/>
      <c r="UXJ11" s="110"/>
      <c r="UXK11" s="110"/>
      <c r="UXL11" s="110"/>
      <c r="UXM11" s="110"/>
      <c r="UXN11" s="110"/>
      <c r="UXO11" s="110"/>
      <c r="UXP11" s="110"/>
      <c r="UXQ11" s="110"/>
      <c r="UXR11" s="110"/>
      <c r="UXS11" s="110"/>
      <c r="UXT11" s="110"/>
      <c r="UXU11" s="110"/>
      <c r="UXV11" s="110"/>
      <c r="UXW11" s="110"/>
      <c r="UXX11" s="110"/>
      <c r="UXY11" s="110"/>
      <c r="UXZ11" s="110"/>
      <c r="UYA11" s="110"/>
      <c r="UYB11" s="110"/>
      <c r="UYC11" s="110"/>
      <c r="UYD11" s="110"/>
      <c r="UYE11" s="110"/>
      <c r="UYF11" s="110"/>
      <c r="UYG11" s="110"/>
      <c r="UYH11" s="110"/>
      <c r="UYI11" s="110"/>
      <c r="UYJ11" s="110"/>
      <c r="UYK11" s="110"/>
      <c r="UYL11" s="110"/>
      <c r="UYM11" s="110"/>
      <c r="UYN11" s="110"/>
      <c r="UYO11" s="110"/>
      <c r="UYP11" s="110"/>
      <c r="UYQ11" s="110"/>
      <c r="UYR11" s="110"/>
      <c r="UYS11" s="110"/>
      <c r="UYT11" s="110"/>
      <c r="UYU11" s="110"/>
      <c r="UYV11" s="110"/>
      <c r="UYW11" s="110"/>
      <c r="UYX11" s="110"/>
      <c r="UYY11" s="110"/>
      <c r="UYZ11" s="110"/>
      <c r="UZA11" s="110"/>
      <c r="UZB11" s="110"/>
      <c r="UZC11" s="110"/>
      <c r="UZD11" s="110"/>
      <c r="UZE11" s="110"/>
      <c r="UZF11" s="110"/>
      <c r="UZG11" s="110"/>
      <c r="UZH11" s="110"/>
      <c r="UZI11" s="110"/>
      <c r="UZJ11" s="110"/>
      <c r="UZK11" s="110"/>
      <c r="UZL11" s="110"/>
      <c r="UZM11" s="110"/>
      <c r="UZN11" s="110"/>
      <c r="UZO11" s="110"/>
      <c r="UZP11" s="110"/>
      <c r="UZQ11" s="110"/>
      <c r="UZR11" s="110"/>
      <c r="UZS11" s="110"/>
      <c r="UZT11" s="110"/>
      <c r="UZU11" s="110"/>
      <c r="UZV11" s="110"/>
      <c r="UZW11" s="110"/>
      <c r="UZX11" s="110"/>
      <c r="UZY11" s="110"/>
      <c r="UZZ11" s="110"/>
      <c r="VAA11" s="110"/>
      <c r="VAB11" s="110"/>
      <c r="VAC11" s="110"/>
      <c r="VAD11" s="110"/>
      <c r="VAE11" s="110"/>
      <c r="VAF11" s="110"/>
      <c r="VAG11" s="110"/>
      <c r="VAH11" s="110"/>
      <c r="VAI11" s="110"/>
      <c r="VAJ11" s="110"/>
      <c r="VAK11" s="110"/>
      <c r="VAL11" s="110"/>
      <c r="VAM11" s="110"/>
      <c r="VAN11" s="110"/>
      <c r="VAO11" s="110"/>
      <c r="VAP11" s="110"/>
      <c r="VAQ11" s="110"/>
      <c r="VAR11" s="110"/>
      <c r="VAS11" s="110"/>
      <c r="VAT11" s="110"/>
      <c r="VAU11" s="110"/>
      <c r="VAV11" s="110"/>
      <c r="VAW11" s="110"/>
      <c r="VAX11" s="110"/>
      <c r="VAY11" s="110"/>
      <c r="VAZ11" s="110"/>
      <c r="VBA11" s="110"/>
      <c r="VBB11" s="110"/>
      <c r="VBC11" s="110"/>
      <c r="VBD11" s="110"/>
      <c r="VBE11" s="110"/>
      <c r="VBF11" s="110"/>
      <c r="VBG11" s="110"/>
      <c r="VBH11" s="110"/>
      <c r="VBI11" s="110"/>
      <c r="VBJ11" s="110"/>
      <c r="VBK11" s="110"/>
      <c r="VBL11" s="110"/>
      <c r="VBM11" s="110"/>
      <c r="VBN11" s="110"/>
      <c r="VBO11" s="110"/>
      <c r="VBP11" s="110"/>
      <c r="VBQ11" s="110"/>
      <c r="VBR11" s="110"/>
      <c r="VBS11" s="110"/>
      <c r="VBT11" s="110"/>
      <c r="VBU11" s="110"/>
      <c r="VBV11" s="110"/>
      <c r="VBW11" s="110"/>
      <c r="VBX11" s="110"/>
      <c r="VBY11" s="110"/>
      <c r="VBZ11" s="110"/>
      <c r="VCA11" s="110"/>
      <c r="VCB11" s="110"/>
      <c r="VCC11" s="110"/>
      <c r="VCD11" s="110"/>
      <c r="VCE11" s="110"/>
      <c r="VCF11" s="110"/>
      <c r="VCG11" s="110"/>
      <c r="VCH11" s="110"/>
      <c r="VCI11" s="110"/>
      <c r="VCJ11" s="110"/>
      <c r="VCK11" s="110"/>
      <c r="VCL11" s="110"/>
      <c r="VCM11" s="110"/>
      <c r="VCN11" s="110"/>
      <c r="VCO11" s="110"/>
      <c r="VCP11" s="110"/>
      <c r="VCQ11" s="110"/>
      <c r="VCR11" s="110"/>
      <c r="VCS11" s="110"/>
      <c r="VCT11" s="110"/>
      <c r="VCU11" s="110"/>
      <c r="VCV11" s="110"/>
      <c r="VCW11" s="110"/>
      <c r="VCX11" s="110"/>
      <c r="VCY11" s="110"/>
      <c r="VCZ11" s="110"/>
      <c r="VDA11" s="110"/>
      <c r="VDB11" s="110"/>
      <c r="VDC11" s="110"/>
      <c r="VDD11" s="110"/>
      <c r="VDE11" s="110"/>
      <c r="VDF11" s="110"/>
      <c r="VDG11" s="110"/>
      <c r="VDH11" s="110"/>
      <c r="VDI11" s="110"/>
      <c r="VDJ11" s="110"/>
      <c r="VDK11" s="110"/>
      <c r="VDL11" s="110"/>
      <c r="VDM11" s="110"/>
      <c r="VDN11" s="110"/>
      <c r="VDO11" s="110"/>
      <c r="VDP11" s="110"/>
      <c r="VDQ11" s="110"/>
      <c r="VDR11" s="110"/>
      <c r="VDS11" s="110"/>
      <c r="VDT11" s="110"/>
      <c r="VDU11" s="110"/>
      <c r="VDV11" s="110"/>
      <c r="VDW11" s="110"/>
      <c r="VDX11" s="110"/>
      <c r="VDY11" s="110"/>
      <c r="VDZ11" s="110"/>
      <c r="VEA11" s="110"/>
      <c r="VEB11" s="110"/>
      <c r="VEC11" s="110"/>
      <c r="VED11" s="110"/>
      <c r="VEE11" s="110"/>
      <c r="VEF11" s="110"/>
      <c r="VEG11" s="110"/>
      <c r="VEH11" s="110"/>
      <c r="VEI11" s="110"/>
      <c r="VEJ11" s="110"/>
      <c r="VEK11" s="110"/>
      <c r="VEL11" s="110"/>
      <c r="VEM11" s="110"/>
      <c r="VEN11" s="110"/>
      <c r="VEO11" s="110"/>
      <c r="VEP11" s="110"/>
      <c r="VEQ11" s="110"/>
      <c r="VER11" s="110"/>
      <c r="VES11" s="110"/>
      <c r="VET11" s="110"/>
      <c r="VEU11" s="110"/>
      <c r="VEV11" s="110"/>
      <c r="VEW11" s="110"/>
      <c r="VEX11" s="110"/>
      <c r="VEY11" s="110"/>
      <c r="VEZ11" s="110"/>
      <c r="VFA11" s="110"/>
      <c r="VFB11" s="110"/>
      <c r="VFC11" s="110"/>
      <c r="VFD11" s="110"/>
      <c r="VFE11" s="110"/>
      <c r="VFF11" s="110"/>
      <c r="VFG11" s="110"/>
      <c r="VFH11" s="110"/>
      <c r="VFI11" s="110"/>
      <c r="VFJ11" s="110"/>
      <c r="VFK11" s="110"/>
      <c r="VFL11" s="110"/>
      <c r="VFM11" s="110"/>
      <c r="VFN11" s="110"/>
      <c r="VFO11" s="110"/>
      <c r="VFP11" s="110"/>
      <c r="VFQ11" s="110"/>
      <c r="VFR11" s="110"/>
      <c r="VFS11" s="110"/>
      <c r="VFT11" s="110"/>
      <c r="VFU11" s="110"/>
      <c r="VFV11" s="110"/>
      <c r="VFW11" s="110"/>
      <c r="VFX11" s="110"/>
      <c r="VFY11" s="110"/>
      <c r="VFZ11" s="110"/>
      <c r="VGA11" s="110"/>
      <c r="VGB11" s="110"/>
      <c r="VGC11" s="110"/>
      <c r="VGD11" s="110"/>
      <c r="VGE11" s="110"/>
      <c r="VGF11" s="110"/>
      <c r="VGG11" s="110"/>
      <c r="VGH11" s="110"/>
      <c r="VGI11" s="110"/>
      <c r="VGJ11" s="110"/>
      <c r="VGK11" s="110"/>
      <c r="VGL11" s="110"/>
      <c r="VGM11" s="110"/>
      <c r="VGN11" s="110"/>
      <c r="VGO11" s="110"/>
      <c r="VGP11" s="110"/>
      <c r="VGQ11" s="110"/>
      <c r="VGR11" s="110"/>
      <c r="VGS11" s="110"/>
      <c r="VGT11" s="110"/>
      <c r="VGU11" s="110"/>
      <c r="VGV11" s="110"/>
      <c r="VGW11" s="110"/>
      <c r="VGX11" s="110"/>
      <c r="VGY11" s="110"/>
      <c r="VGZ11" s="110"/>
      <c r="VHA11" s="110"/>
      <c r="VHB11" s="110"/>
      <c r="VHC11" s="110"/>
      <c r="VHD11" s="110"/>
      <c r="VHE11" s="110"/>
      <c r="VHF11" s="110"/>
      <c r="VHG11" s="110"/>
      <c r="VHH11" s="110"/>
      <c r="VHI11" s="110"/>
      <c r="VHJ11" s="110"/>
      <c r="VHK11" s="110"/>
      <c r="VHL11" s="110"/>
      <c r="VHM11" s="110"/>
      <c r="VHN11" s="110"/>
      <c r="VHO11" s="110"/>
      <c r="VHP11" s="110"/>
      <c r="VHQ11" s="110"/>
      <c r="VHR11" s="110"/>
      <c r="VHS11" s="110"/>
      <c r="VHT11" s="110"/>
      <c r="VHU11" s="110"/>
      <c r="VHV11" s="110"/>
      <c r="VHW11" s="110"/>
      <c r="VHX11" s="110"/>
      <c r="VHY11" s="110"/>
      <c r="VHZ11" s="110"/>
      <c r="VIA11" s="110"/>
      <c r="VIB11" s="110"/>
      <c r="VIC11" s="110"/>
      <c r="VID11" s="110"/>
      <c r="VIE11" s="110"/>
      <c r="VIF11" s="110"/>
      <c r="VIG11" s="110"/>
      <c r="VIH11" s="110"/>
      <c r="VII11" s="110"/>
      <c r="VIJ11" s="110"/>
      <c r="VIK11" s="110"/>
      <c r="VIL11" s="110"/>
      <c r="VIM11" s="110"/>
      <c r="VIN11" s="110"/>
      <c r="VIO11" s="110"/>
      <c r="VIP11" s="110"/>
      <c r="VIQ11" s="110"/>
      <c r="VIR11" s="110"/>
      <c r="VIS11" s="110"/>
      <c r="VIT11" s="110"/>
      <c r="VIU11" s="110"/>
      <c r="VIV11" s="110"/>
      <c r="VIW11" s="110"/>
      <c r="VIX11" s="110"/>
      <c r="VIY11" s="110"/>
      <c r="VIZ11" s="110"/>
      <c r="VJA11" s="110"/>
      <c r="VJB11" s="110"/>
      <c r="VJC11" s="110"/>
      <c r="VJD11" s="110"/>
      <c r="VJE11" s="110"/>
      <c r="VJF11" s="110"/>
      <c r="VJG11" s="110"/>
      <c r="VJH11" s="110"/>
      <c r="VJI11" s="110"/>
      <c r="VJJ11" s="110"/>
      <c r="VJK11" s="110"/>
      <c r="VJL11" s="110"/>
      <c r="VJM11" s="110"/>
      <c r="VJN11" s="110"/>
      <c r="VJO11" s="110"/>
      <c r="VJP11" s="110"/>
      <c r="VJQ11" s="110"/>
      <c r="VJR11" s="110"/>
      <c r="VJS11" s="110"/>
      <c r="VJT11" s="110"/>
      <c r="VJU11" s="110"/>
      <c r="VJV11" s="110"/>
      <c r="VJW11" s="110"/>
      <c r="VJX11" s="110"/>
      <c r="VJY11" s="110"/>
      <c r="VJZ11" s="110"/>
      <c r="VKA11" s="110"/>
      <c r="VKB11" s="110"/>
      <c r="VKC11" s="110"/>
      <c r="VKD11" s="110"/>
      <c r="VKE11" s="110"/>
      <c r="VKF11" s="110"/>
      <c r="VKG11" s="110"/>
      <c r="VKH11" s="110"/>
      <c r="VKI11" s="110"/>
      <c r="VKJ11" s="110"/>
      <c r="VKK11" s="110"/>
      <c r="VKL11" s="110"/>
      <c r="VKM11" s="110"/>
      <c r="VKN11" s="110"/>
      <c r="VKO11" s="110"/>
      <c r="VKP11" s="110"/>
      <c r="VKQ11" s="110"/>
      <c r="VKR11" s="110"/>
      <c r="VKS11" s="110"/>
      <c r="VKT11" s="110"/>
      <c r="VKU11" s="110"/>
      <c r="VKV11" s="110"/>
      <c r="VKW11" s="110"/>
      <c r="VKX11" s="110"/>
      <c r="VKY11" s="110"/>
      <c r="VKZ11" s="110"/>
      <c r="VLA11" s="110"/>
      <c r="VLB11" s="110"/>
      <c r="VLC11" s="110"/>
      <c r="VLD11" s="110"/>
      <c r="VLE11" s="110"/>
      <c r="VLF11" s="110"/>
      <c r="VLG11" s="110"/>
      <c r="VLH11" s="110"/>
      <c r="VLI11" s="110"/>
      <c r="VLJ11" s="110"/>
      <c r="VLK11" s="110"/>
      <c r="VLL11" s="110"/>
      <c r="VLM11" s="110"/>
      <c r="VLN11" s="110"/>
      <c r="VLO11" s="110"/>
      <c r="VLP11" s="110"/>
      <c r="VLQ11" s="110"/>
      <c r="VLR11" s="110"/>
      <c r="VLS11" s="110"/>
      <c r="VLT11" s="110"/>
      <c r="VLU11" s="110"/>
      <c r="VLV11" s="110"/>
      <c r="VLW11" s="110"/>
      <c r="VLX11" s="110"/>
      <c r="VLY11" s="110"/>
      <c r="VLZ11" s="110"/>
      <c r="VMA11" s="110"/>
      <c r="VMB11" s="110"/>
      <c r="VMC11" s="110"/>
      <c r="VMD11" s="110"/>
      <c r="VME11" s="110"/>
      <c r="VMF11" s="110"/>
      <c r="VMG11" s="110"/>
      <c r="VMH11" s="110"/>
      <c r="VMI11" s="110"/>
      <c r="VMJ11" s="110"/>
      <c r="VMK11" s="110"/>
      <c r="VML11" s="110"/>
      <c r="VMM11" s="110"/>
      <c r="VMN11" s="110"/>
      <c r="VMO11" s="110"/>
      <c r="VMP11" s="110"/>
      <c r="VMQ11" s="110"/>
      <c r="VMR11" s="110"/>
      <c r="VMS11" s="110"/>
      <c r="VMT11" s="110"/>
      <c r="VMU11" s="110"/>
      <c r="VMV11" s="110"/>
      <c r="VMW11" s="110"/>
      <c r="VMX11" s="110"/>
      <c r="VMY11" s="110"/>
      <c r="VMZ11" s="110"/>
      <c r="VNA11" s="110"/>
      <c r="VNB11" s="110"/>
      <c r="VNC11" s="110"/>
      <c r="VND11" s="110"/>
      <c r="VNE11" s="110"/>
      <c r="VNF11" s="110"/>
      <c r="VNG11" s="110"/>
      <c r="VNH11" s="110"/>
      <c r="VNI11" s="110"/>
      <c r="VNJ11" s="110"/>
      <c r="VNK11" s="110"/>
      <c r="VNL11" s="110"/>
      <c r="VNM11" s="110"/>
      <c r="VNN11" s="110"/>
      <c r="VNO11" s="110"/>
      <c r="VNP11" s="110"/>
      <c r="VNQ11" s="110"/>
      <c r="VNR11" s="110"/>
      <c r="VNS11" s="110"/>
      <c r="VNT11" s="110"/>
      <c r="VNU11" s="110"/>
      <c r="VNV11" s="110"/>
      <c r="VNW11" s="110"/>
      <c r="VNX11" s="110"/>
      <c r="VNY11" s="110"/>
      <c r="VNZ11" s="110"/>
      <c r="VOA11" s="110"/>
      <c r="VOB11" s="110"/>
      <c r="VOC11" s="110"/>
      <c r="VOD11" s="110"/>
      <c r="VOE11" s="110"/>
      <c r="VOF11" s="110"/>
      <c r="VOG11" s="110"/>
      <c r="VOH11" s="110"/>
      <c r="VOI11" s="110"/>
      <c r="VOJ11" s="110"/>
      <c r="VOK11" s="110"/>
      <c r="VOL11" s="110"/>
      <c r="VOM11" s="110"/>
      <c r="VON11" s="110"/>
      <c r="VOO11" s="110"/>
      <c r="VOP11" s="110"/>
      <c r="VOQ11" s="110"/>
      <c r="VOR11" s="110"/>
      <c r="VOS11" s="110"/>
      <c r="VOT11" s="110"/>
      <c r="VOU11" s="110"/>
      <c r="VOV11" s="110"/>
      <c r="VOW11" s="110"/>
      <c r="VOX11" s="110"/>
      <c r="VOY11" s="110"/>
      <c r="VOZ11" s="110"/>
      <c r="VPA11" s="110"/>
      <c r="VPB11" s="110"/>
      <c r="VPC11" s="110"/>
      <c r="VPD11" s="110"/>
      <c r="VPE11" s="110"/>
      <c r="VPF11" s="110"/>
      <c r="VPG11" s="110"/>
      <c r="VPH11" s="110"/>
      <c r="VPI11" s="110"/>
      <c r="VPJ11" s="110"/>
      <c r="VPK11" s="110"/>
      <c r="VPL11" s="110"/>
      <c r="VPM11" s="110"/>
      <c r="VPN11" s="110"/>
      <c r="VPO11" s="110"/>
      <c r="VPP11" s="110"/>
      <c r="VPQ11" s="110"/>
      <c r="VPR11" s="110"/>
      <c r="VPS11" s="110"/>
      <c r="VPT11" s="110"/>
      <c r="VPU11" s="110"/>
      <c r="VPV11" s="110"/>
      <c r="VPW11" s="110"/>
      <c r="VPX11" s="110"/>
      <c r="VPY11" s="110"/>
      <c r="VPZ11" s="110"/>
      <c r="VQA11" s="110"/>
      <c r="VQB11" s="110"/>
      <c r="VQC11" s="110"/>
      <c r="VQD11" s="110"/>
      <c r="VQE11" s="110"/>
      <c r="VQF11" s="110"/>
      <c r="VQG11" s="110"/>
      <c r="VQH11" s="110"/>
      <c r="VQI11" s="110"/>
      <c r="VQJ11" s="110"/>
      <c r="VQK11" s="110"/>
      <c r="VQL11" s="110"/>
      <c r="VQM11" s="110"/>
      <c r="VQN11" s="110"/>
      <c r="VQO11" s="110"/>
      <c r="VQP11" s="110"/>
      <c r="VQQ11" s="110"/>
      <c r="VQR11" s="110"/>
      <c r="VQS11" s="110"/>
      <c r="VQT11" s="110"/>
      <c r="VQU11" s="110"/>
      <c r="VQV11" s="110"/>
      <c r="VQW11" s="110"/>
      <c r="VQX11" s="110"/>
      <c r="VQY11" s="110"/>
      <c r="VQZ11" s="110"/>
      <c r="VRA11" s="110"/>
      <c r="VRB11" s="110"/>
      <c r="VRC11" s="110"/>
      <c r="VRD11" s="110"/>
      <c r="VRE11" s="110"/>
      <c r="VRF11" s="110"/>
      <c r="VRG11" s="110"/>
      <c r="VRH11" s="110"/>
      <c r="VRI11" s="110"/>
      <c r="VRJ11" s="110"/>
      <c r="VRK11" s="110"/>
      <c r="VRL11" s="110"/>
      <c r="VRM11" s="110"/>
      <c r="VRN11" s="110"/>
      <c r="VRO11" s="110"/>
      <c r="VRP11" s="110"/>
      <c r="VRQ11" s="110"/>
      <c r="VRR11" s="110"/>
      <c r="VRS11" s="110"/>
      <c r="VRT11" s="110"/>
      <c r="VRU11" s="110"/>
      <c r="VRV11" s="110"/>
      <c r="VRW11" s="110"/>
      <c r="VRX11" s="110"/>
      <c r="VRY11" s="110"/>
      <c r="VRZ11" s="110"/>
      <c r="VSA11" s="110"/>
      <c r="VSB11" s="110"/>
      <c r="VSC11" s="110"/>
      <c r="VSD11" s="110"/>
      <c r="VSE11" s="110"/>
      <c r="VSF11" s="110"/>
      <c r="VSG11" s="110"/>
      <c r="VSH11" s="110"/>
      <c r="VSI11" s="110"/>
      <c r="VSJ11" s="110"/>
      <c r="VSK11" s="110"/>
      <c r="VSL11" s="110"/>
      <c r="VSM11" s="110"/>
      <c r="VSN11" s="110"/>
      <c r="VSO11" s="110"/>
      <c r="VSP11" s="110"/>
      <c r="VSQ11" s="110"/>
      <c r="VSR11" s="110"/>
      <c r="VSS11" s="110"/>
      <c r="VST11" s="110"/>
      <c r="VSU11" s="110"/>
      <c r="VSV11" s="110"/>
      <c r="VSW11" s="110"/>
      <c r="VSX11" s="110"/>
      <c r="VSY11" s="110"/>
      <c r="VSZ11" s="110"/>
      <c r="VTA11" s="110"/>
      <c r="VTB11" s="110"/>
      <c r="VTC11" s="110"/>
      <c r="VTD11" s="110"/>
      <c r="VTE11" s="110"/>
      <c r="VTF11" s="110"/>
      <c r="VTG11" s="110"/>
      <c r="VTH11" s="110"/>
      <c r="VTI11" s="110"/>
      <c r="VTJ11" s="110"/>
      <c r="VTK11" s="110"/>
      <c r="VTL11" s="110"/>
      <c r="VTM11" s="110"/>
      <c r="VTN11" s="110"/>
      <c r="VTO11" s="110"/>
      <c r="VTP11" s="110"/>
      <c r="VTQ11" s="110"/>
      <c r="VTR11" s="110"/>
      <c r="VTS11" s="110"/>
      <c r="VTT11" s="110"/>
      <c r="VTU11" s="110"/>
      <c r="VTV11" s="110"/>
      <c r="VTW11" s="110"/>
      <c r="VTX11" s="110"/>
      <c r="VTY11" s="110"/>
      <c r="VTZ11" s="110"/>
      <c r="VUA11" s="110"/>
      <c r="VUB11" s="110"/>
      <c r="VUC11" s="110"/>
      <c r="VUD11" s="110"/>
      <c r="VUE11" s="110"/>
      <c r="VUF11" s="110"/>
      <c r="VUG11" s="110"/>
      <c r="VUH11" s="110"/>
      <c r="VUI11" s="110"/>
      <c r="VUJ11" s="110"/>
      <c r="VUK11" s="110"/>
      <c r="VUL11" s="110"/>
      <c r="VUM11" s="110"/>
      <c r="VUN11" s="110"/>
      <c r="VUO11" s="110"/>
      <c r="VUP11" s="110"/>
      <c r="VUQ11" s="110"/>
      <c r="VUR11" s="110"/>
      <c r="VUS11" s="110"/>
      <c r="VUT11" s="110"/>
      <c r="VUU11" s="110"/>
      <c r="VUV11" s="110"/>
      <c r="VUW11" s="110"/>
      <c r="VUX11" s="110"/>
      <c r="VUY11" s="110"/>
      <c r="VUZ11" s="110"/>
      <c r="VVA11" s="110"/>
      <c r="VVB11" s="110"/>
      <c r="VVC11" s="110"/>
      <c r="VVD11" s="110"/>
      <c r="VVE11" s="110"/>
      <c r="VVF11" s="110"/>
      <c r="VVG11" s="110"/>
      <c r="VVH11" s="110"/>
      <c r="VVI11" s="110"/>
      <c r="VVJ11" s="110"/>
      <c r="VVK11" s="110"/>
      <c r="VVL11" s="110"/>
      <c r="VVM11" s="110"/>
      <c r="VVN11" s="110"/>
      <c r="VVO11" s="110"/>
      <c r="VVP11" s="110"/>
      <c r="VVQ11" s="110"/>
      <c r="VVR11" s="110"/>
      <c r="VVS11" s="110"/>
      <c r="VVT11" s="110"/>
      <c r="VVU11" s="110"/>
      <c r="VVV11" s="110"/>
      <c r="VVW11" s="110"/>
      <c r="VVX11" s="110"/>
      <c r="VVY11" s="110"/>
      <c r="VVZ11" s="110"/>
      <c r="VWA11" s="110"/>
      <c r="VWB11" s="110"/>
      <c r="VWC11" s="110"/>
      <c r="VWD11" s="110"/>
      <c r="VWE11" s="110"/>
      <c r="VWF11" s="110"/>
      <c r="VWG11" s="110"/>
      <c r="VWH11" s="110"/>
      <c r="VWI11" s="110"/>
      <c r="VWJ11" s="110"/>
      <c r="VWK11" s="110"/>
      <c r="VWL11" s="110"/>
      <c r="VWM11" s="110"/>
      <c r="VWN11" s="110"/>
      <c r="VWO11" s="110"/>
      <c r="VWP11" s="110"/>
      <c r="VWQ11" s="110"/>
      <c r="VWR11" s="110"/>
      <c r="VWS11" s="110"/>
      <c r="VWT11" s="110"/>
      <c r="VWU11" s="110"/>
      <c r="VWV11" s="110"/>
      <c r="VWW11" s="110"/>
      <c r="VWX11" s="110"/>
      <c r="VWY11" s="110"/>
      <c r="VWZ11" s="110"/>
      <c r="VXA11" s="110"/>
      <c r="VXB11" s="110"/>
      <c r="VXC11" s="110"/>
      <c r="VXD11" s="110"/>
      <c r="VXE11" s="110"/>
      <c r="VXF11" s="110"/>
      <c r="VXG11" s="110"/>
      <c r="VXH11" s="110"/>
      <c r="VXI11" s="110"/>
      <c r="VXJ11" s="110"/>
      <c r="VXK11" s="110"/>
      <c r="VXL11" s="110"/>
      <c r="VXM11" s="110"/>
      <c r="VXN11" s="110"/>
      <c r="VXO11" s="110"/>
      <c r="VXP11" s="110"/>
      <c r="VXQ11" s="110"/>
      <c r="VXR11" s="110"/>
      <c r="VXS11" s="110"/>
      <c r="VXT11" s="110"/>
      <c r="VXU11" s="110"/>
      <c r="VXV11" s="110"/>
      <c r="VXW11" s="110"/>
      <c r="VXX11" s="110"/>
      <c r="VXY11" s="110"/>
      <c r="VXZ11" s="110"/>
      <c r="VYA11" s="110"/>
      <c r="VYB11" s="110"/>
      <c r="VYC11" s="110"/>
      <c r="VYD11" s="110"/>
      <c r="VYE11" s="110"/>
      <c r="VYF11" s="110"/>
      <c r="VYG11" s="110"/>
      <c r="VYH11" s="110"/>
      <c r="VYI11" s="110"/>
      <c r="VYJ11" s="110"/>
      <c r="VYK11" s="110"/>
      <c r="VYL11" s="110"/>
      <c r="VYM11" s="110"/>
      <c r="VYN11" s="110"/>
      <c r="VYO11" s="110"/>
      <c r="VYP11" s="110"/>
      <c r="VYQ11" s="110"/>
      <c r="VYR11" s="110"/>
      <c r="VYS11" s="110"/>
      <c r="VYT11" s="110"/>
      <c r="VYU11" s="110"/>
      <c r="VYV11" s="110"/>
      <c r="VYW11" s="110"/>
      <c r="VYX11" s="110"/>
      <c r="VYY11" s="110"/>
      <c r="VYZ11" s="110"/>
      <c r="VZA11" s="110"/>
      <c r="VZB11" s="110"/>
      <c r="VZC11" s="110"/>
      <c r="VZD11" s="110"/>
      <c r="VZE11" s="110"/>
      <c r="VZF11" s="110"/>
      <c r="VZG11" s="110"/>
      <c r="VZH11" s="110"/>
      <c r="VZI11" s="110"/>
      <c r="VZJ11" s="110"/>
      <c r="VZK11" s="110"/>
      <c r="VZL11" s="110"/>
      <c r="VZM11" s="110"/>
      <c r="VZN11" s="110"/>
      <c r="VZO11" s="110"/>
      <c r="VZP11" s="110"/>
      <c r="VZQ11" s="110"/>
      <c r="VZR11" s="110"/>
      <c r="VZS11" s="110"/>
      <c r="VZT11" s="110"/>
      <c r="VZU11" s="110"/>
      <c r="VZV11" s="110"/>
      <c r="VZW11" s="110"/>
      <c r="VZX11" s="110"/>
      <c r="VZY11" s="110"/>
      <c r="VZZ11" s="110"/>
      <c r="WAA11" s="110"/>
      <c r="WAB11" s="110"/>
      <c r="WAC11" s="110"/>
      <c r="WAD11" s="110"/>
      <c r="WAE11" s="110"/>
      <c r="WAF11" s="110"/>
      <c r="WAG11" s="110"/>
      <c r="WAH11" s="110"/>
      <c r="WAI11" s="110"/>
      <c r="WAJ11" s="110"/>
      <c r="WAK11" s="110"/>
      <c r="WAL11" s="110"/>
      <c r="WAM11" s="110"/>
      <c r="WAN11" s="110"/>
      <c r="WAO11" s="110"/>
      <c r="WAP11" s="110"/>
      <c r="WAQ11" s="110"/>
      <c r="WAR11" s="110"/>
      <c r="WAS11" s="110"/>
      <c r="WAT11" s="110"/>
      <c r="WAU11" s="110"/>
      <c r="WAV11" s="110"/>
      <c r="WAW11" s="110"/>
      <c r="WAX11" s="110"/>
      <c r="WAY11" s="110"/>
      <c r="WAZ11" s="110"/>
      <c r="WBA11" s="110"/>
      <c r="WBB11" s="110"/>
      <c r="WBC11" s="110"/>
      <c r="WBD11" s="110"/>
      <c r="WBE11" s="110"/>
      <c r="WBF11" s="110"/>
      <c r="WBG11" s="110"/>
      <c r="WBH11" s="110"/>
      <c r="WBI11" s="110"/>
      <c r="WBJ11" s="110"/>
      <c r="WBK11" s="110"/>
      <c r="WBL11" s="110"/>
      <c r="WBM11" s="110"/>
      <c r="WBN11" s="110"/>
      <c r="WBO11" s="110"/>
      <c r="WBP11" s="110"/>
      <c r="WBQ11" s="110"/>
      <c r="WBR11" s="110"/>
      <c r="WBS11" s="110"/>
      <c r="WBT11" s="110"/>
      <c r="WBU11" s="110"/>
      <c r="WBV11" s="110"/>
      <c r="WBW11" s="110"/>
      <c r="WBX11" s="110"/>
      <c r="WBY11" s="110"/>
      <c r="WBZ11" s="110"/>
      <c r="WCA11" s="110"/>
      <c r="WCB11" s="110"/>
      <c r="WCC11" s="110"/>
      <c r="WCD11" s="110"/>
      <c r="WCE11" s="110"/>
      <c r="WCF11" s="110"/>
      <c r="WCG11" s="110"/>
      <c r="WCH11" s="110"/>
      <c r="WCI11" s="110"/>
      <c r="WCJ11" s="110"/>
      <c r="WCK11" s="110"/>
      <c r="WCL11" s="110"/>
      <c r="WCM11" s="110"/>
      <c r="WCN11" s="110"/>
      <c r="WCO11" s="110"/>
      <c r="WCP11" s="110"/>
      <c r="WCQ11" s="110"/>
      <c r="WCR11" s="110"/>
      <c r="WCS11" s="110"/>
      <c r="WCT11" s="110"/>
      <c r="WCU11" s="110"/>
      <c r="WCV11" s="110"/>
      <c r="WCW11" s="110"/>
      <c r="WCX11" s="110"/>
      <c r="WCY11" s="110"/>
      <c r="WCZ11" s="110"/>
      <c r="WDA11" s="110"/>
      <c r="WDB11" s="110"/>
      <c r="WDC11" s="110"/>
      <c r="WDD11" s="110"/>
      <c r="WDE11" s="110"/>
      <c r="WDF11" s="110"/>
      <c r="WDG11" s="110"/>
      <c r="WDH11" s="110"/>
      <c r="WDI11" s="110"/>
      <c r="WDJ11" s="110"/>
      <c r="WDK11" s="110"/>
      <c r="WDL11" s="110"/>
      <c r="WDM11" s="110"/>
      <c r="WDN11" s="110"/>
      <c r="WDO11" s="110"/>
      <c r="WDP11" s="110"/>
      <c r="WDQ11" s="110"/>
      <c r="WDR11" s="110"/>
      <c r="WDS11" s="110"/>
      <c r="WDT11" s="110"/>
      <c r="WDU11" s="110"/>
      <c r="WDV11" s="110"/>
      <c r="WDW11" s="110"/>
      <c r="WDX11" s="110"/>
      <c r="WDY11" s="110"/>
      <c r="WDZ11" s="110"/>
      <c r="WEA11" s="110"/>
      <c r="WEB11" s="110"/>
      <c r="WEC11" s="110"/>
      <c r="WED11" s="110"/>
      <c r="WEE11" s="110"/>
      <c r="WEF11" s="110"/>
      <c r="WEG11" s="110"/>
      <c r="WEH11" s="110"/>
      <c r="WEI11" s="110"/>
      <c r="WEJ11" s="110"/>
      <c r="WEK11" s="110"/>
      <c r="WEL11" s="110"/>
      <c r="WEM11" s="110"/>
      <c r="WEN11" s="110"/>
      <c r="WEO11" s="110"/>
      <c r="WEP11" s="110"/>
      <c r="WEQ11" s="110"/>
      <c r="WER11" s="110"/>
      <c r="WES11" s="110"/>
      <c r="WET11" s="110"/>
      <c r="WEU11" s="110"/>
      <c r="WEV11" s="110"/>
      <c r="WEW11" s="110"/>
      <c r="WEX11" s="110"/>
      <c r="WEY11" s="110"/>
      <c r="WEZ11" s="110"/>
      <c r="WFA11" s="110"/>
      <c r="WFB11" s="110"/>
      <c r="WFC11" s="110"/>
      <c r="WFD11" s="110"/>
      <c r="WFE11" s="110"/>
      <c r="WFF11" s="110"/>
      <c r="WFG11" s="110"/>
      <c r="WFH11" s="110"/>
      <c r="WFI11" s="110"/>
      <c r="WFJ11" s="110"/>
      <c r="WFK11" s="110"/>
      <c r="WFL11" s="110"/>
      <c r="WFM11" s="110"/>
      <c r="WFN11" s="110"/>
      <c r="WFO11" s="110"/>
      <c r="WFP11" s="110"/>
      <c r="WFQ11" s="110"/>
      <c r="WFR11" s="110"/>
      <c r="WFS11" s="110"/>
      <c r="WFT11" s="110"/>
      <c r="WFU11" s="110"/>
      <c r="WFV11" s="110"/>
      <c r="WFW11" s="110"/>
      <c r="WFX11" s="110"/>
      <c r="WFY11" s="110"/>
      <c r="WFZ11" s="110"/>
      <c r="WGA11" s="110"/>
      <c r="WGB11" s="110"/>
      <c r="WGC11" s="110"/>
      <c r="WGD11" s="110"/>
      <c r="WGE11" s="110"/>
      <c r="WGF11" s="110"/>
      <c r="WGG11" s="110"/>
      <c r="WGH11" s="110"/>
      <c r="WGI11" s="110"/>
      <c r="WGJ11" s="110"/>
      <c r="WGK11" s="110"/>
      <c r="WGL11" s="110"/>
      <c r="WGM11" s="110"/>
      <c r="WGN11" s="110"/>
      <c r="WGO11" s="110"/>
      <c r="WGP11" s="110"/>
      <c r="WGQ11" s="110"/>
      <c r="WGR11" s="110"/>
      <c r="WGS11" s="110"/>
      <c r="WGT11" s="110"/>
      <c r="WGU11" s="110"/>
      <c r="WGV11" s="110"/>
      <c r="WGW11" s="110"/>
      <c r="WGX11" s="110"/>
      <c r="WGY11" s="110"/>
      <c r="WGZ11" s="110"/>
      <c r="WHA11" s="110"/>
      <c r="WHB11" s="110"/>
      <c r="WHC11" s="110"/>
      <c r="WHD11" s="110"/>
      <c r="WHE11" s="110"/>
      <c r="WHF11" s="110"/>
      <c r="WHG11" s="110"/>
      <c r="WHH11" s="110"/>
      <c r="WHI11" s="110"/>
      <c r="WHJ11" s="110"/>
      <c r="WHK11" s="110"/>
      <c r="WHL11" s="110"/>
      <c r="WHM11" s="110"/>
      <c r="WHN11" s="110"/>
      <c r="WHO11" s="110"/>
      <c r="WHP11" s="110"/>
      <c r="WHQ11" s="110"/>
      <c r="WHR11" s="110"/>
      <c r="WHS11" s="110"/>
      <c r="WHT11" s="110"/>
      <c r="WHU11" s="110"/>
      <c r="WHV11" s="110"/>
      <c r="WHW11" s="110"/>
      <c r="WHX11" s="110"/>
      <c r="WHY11" s="110"/>
      <c r="WHZ11" s="110"/>
      <c r="WIA11" s="110"/>
      <c r="WIB11" s="110"/>
      <c r="WIC11" s="110"/>
      <c r="WID11" s="110"/>
      <c r="WIE11" s="110"/>
      <c r="WIF11" s="110"/>
      <c r="WIG11" s="110"/>
      <c r="WIH11" s="110"/>
      <c r="WII11" s="110"/>
      <c r="WIJ11" s="110"/>
      <c r="WIK11" s="110"/>
      <c r="WIL11" s="110"/>
      <c r="WIM11" s="110"/>
      <c r="WIN11" s="110"/>
      <c r="WIO11" s="110"/>
      <c r="WIP11" s="110"/>
      <c r="WIQ11" s="110"/>
      <c r="WIR11" s="110"/>
      <c r="WIS11" s="110"/>
      <c r="WIT11" s="110"/>
      <c r="WIU11" s="110"/>
      <c r="WIV11" s="110"/>
      <c r="WIW11" s="110"/>
      <c r="WIX11" s="110"/>
      <c r="WIY11" s="110"/>
      <c r="WIZ11" s="110"/>
      <c r="WJA11" s="110"/>
      <c r="WJB11" s="110"/>
      <c r="WJC11" s="110"/>
      <c r="WJD11" s="110"/>
      <c r="WJE11" s="110"/>
      <c r="WJF11" s="110"/>
      <c r="WJG11" s="110"/>
      <c r="WJH11" s="110"/>
      <c r="WJI11" s="110"/>
      <c r="WJJ11" s="110"/>
      <c r="WJK11" s="110"/>
      <c r="WJL11" s="110"/>
      <c r="WJM11" s="110"/>
      <c r="WJN11" s="110"/>
      <c r="WJO11" s="110"/>
      <c r="WJP11" s="110"/>
      <c r="WJQ11" s="110"/>
      <c r="WJR11" s="110"/>
      <c r="WJS11" s="110"/>
      <c r="WJT11" s="110"/>
      <c r="WJU11" s="110"/>
      <c r="WJV11" s="110"/>
      <c r="WJW11" s="110"/>
      <c r="WJX11" s="110"/>
      <c r="WJY11" s="110"/>
      <c r="WJZ11" s="110"/>
      <c r="WKA11" s="110"/>
      <c r="WKB11" s="110"/>
      <c r="WKC11" s="110"/>
      <c r="WKD11" s="110"/>
      <c r="WKE11" s="110"/>
      <c r="WKF11" s="110"/>
      <c r="WKG11" s="110"/>
      <c r="WKH11" s="110"/>
      <c r="WKI11" s="110"/>
      <c r="WKJ11" s="110"/>
      <c r="WKK11" s="110"/>
      <c r="WKL11" s="110"/>
      <c r="WKM11" s="110"/>
      <c r="WKN11" s="110"/>
      <c r="WKO11" s="110"/>
      <c r="WKP11" s="110"/>
      <c r="WKQ11" s="110"/>
      <c r="WKR11" s="110"/>
      <c r="WKS11" s="110"/>
      <c r="WKT11" s="110"/>
      <c r="WKU11" s="110"/>
      <c r="WKV11" s="110"/>
      <c r="WKW11" s="110"/>
      <c r="WKX11" s="110"/>
      <c r="WKY11" s="110"/>
      <c r="WKZ11" s="110"/>
      <c r="WLA11" s="110"/>
      <c r="WLB11" s="110"/>
      <c r="WLC11" s="110"/>
      <c r="WLD11" s="110"/>
      <c r="WLE11" s="110"/>
      <c r="WLF11" s="110"/>
      <c r="WLG11" s="110"/>
      <c r="WLH11" s="110"/>
      <c r="WLI11" s="110"/>
      <c r="WLJ11" s="110"/>
      <c r="WLK11" s="110"/>
      <c r="WLL11" s="110"/>
      <c r="WLM11" s="110"/>
      <c r="WLN11" s="110"/>
      <c r="WLO11" s="110"/>
      <c r="WLP11" s="110"/>
      <c r="WLQ11" s="110"/>
      <c r="WLR11" s="110"/>
      <c r="WLS11" s="110"/>
      <c r="WLT11" s="110"/>
      <c r="WLU11" s="110"/>
      <c r="WLV11" s="110"/>
      <c r="WLW11" s="110"/>
      <c r="WLX11" s="110"/>
      <c r="WLY11" s="110"/>
      <c r="WLZ11" s="110"/>
      <c r="WMA11" s="110"/>
      <c r="WMB11" s="110"/>
      <c r="WMC11" s="110"/>
      <c r="WMD11" s="110"/>
      <c r="WME11" s="110"/>
      <c r="WMF11" s="110"/>
      <c r="WMG11" s="110"/>
      <c r="WMH11" s="110"/>
      <c r="WMI11" s="110"/>
      <c r="WMJ11" s="110"/>
      <c r="WMK11" s="110"/>
      <c r="WML11" s="110"/>
      <c r="WMM11" s="110"/>
      <c r="WMN11" s="110"/>
      <c r="WMO11" s="110"/>
      <c r="WMP11" s="110"/>
      <c r="WMQ11" s="110"/>
      <c r="WMR11" s="110"/>
      <c r="WMS11" s="110"/>
      <c r="WMT11" s="110"/>
      <c r="WMU11" s="110"/>
      <c r="WMV11" s="110"/>
      <c r="WMW11" s="110"/>
      <c r="WMX11" s="110"/>
      <c r="WMY11" s="110"/>
      <c r="WMZ11" s="110"/>
      <c r="WNA11" s="110"/>
      <c r="WNB11" s="110"/>
      <c r="WNC11" s="110"/>
      <c r="WND11" s="110"/>
      <c r="WNE11" s="110"/>
      <c r="WNF11" s="110"/>
      <c r="WNG11" s="110"/>
      <c r="WNH11" s="110"/>
      <c r="WNI11" s="110"/>
      <c r="WNJ11" s="110"/>
      <c r="WNK11" s="110"/>
      <c r="WNL11" s="110"/>
      <c r="WNM11" s="110"/>
      <c r="WNN11" s="110"/>
      <c r="WNO11" s="110"/>
      <c r="WNP11" s="110"/>
      <c r="WNQ11" s="110"/>
      <c r="WNR11" s="110"/>
      <c r="WNS11" s="110"/>
      <c r="WNT11" s="110"/>
      <c r="WNU11" s="110"/>
      <c r="WNV11" s="110"/>
      <c r="WNW11" s="110"/>
      <c r="WNX11" s="110"/>
      <c r="WNY11" s="110"/>
      <c r="WNZ11" s="110"/>
      <c r="WOA11" s="110"/>
      <c r="WOB11" s="110"/>
      <c r="WOC11" s="110"/>
      <c r="WOD11" s="110"/>
      <c r="WOE11" s="110"/>
      <c r="WOF11" s="110"/>
      <c r="WOG11" s="110"/>
      <c r="WOH11" s="110"/>
      <c r="WOI11" s="110"/>
      <c r="WOJ11" s="110"/>
      <c r="WOK11" s="110"/>
      <c r="WOL11" s="110"/>
      <c r="WOM11" s="110"/>
      <c r="WON11" s="110"/>
      <c r="WOO11" s="110"/>
      <c r="WOP11" s="110"/>
      <c r="WOQ11" s="110"/>
      <c r="WOR11" s="110"/>
      <c r="WOS11" s="110"/>
      <c r="WOT11" s="110"/>
      <c r="WOU11" s="110"/>
      <c r="WOV11" s="110"/>
      <c r="WOW11" s="110"/>
      <c r="WOX11" s="110"/>
      <c r="WOY11" s="110"/>
      <c r="WOZ11" s="110"/>
      <c r="WPA11" s="110"/>
      <c r="WPB11" s="110"/>
      <c r="WPC11" s="110"/>
      <c r="WPD11" s="110"/>
      <c r="WPE11" s="110"/>
      <c r="WPF11" s="110"/>
      <c r="WPG11" s="110"/>
      <c r="WPH11" s="110"/>
      <c r="WPI11" s="110"/>
      <c r="WPJ11" s="110"/>
      <c r="WPK11" s="110"/>
      <c r="WPL11" s="110"/>
      <c r="WPM11" s="110"/>
      <c r="WPN11" s="110"/>
      <c r="WPO11" s="110"/>
      <c r="WPP11" s="110"/>
      <c r="WPQ11" s="110"/>
      <c r="WPR11" s="110"/>
      <c r="WPS11" s="110"/>
      <c r="WPT11" s="110"/>
      <c r="WPU11" s="110"/>
      <c r="WPV11" s="110"/>
      <c r="WPW11" s="110"/>
      <c r="WPX11" s="110"/>
      <c r="WPY11" s="110"/>
      <c r="WPZ11" s="110"/>
      <c r="WQA11" s="110"/>
      <c r="WQB11" s="110"/>
      <c r="WQC11" s="110"/>
      <c r="WQD11" s="110"/>
      <c r="WQE11" s="110"/>
      <c r="WQF11" s="110"/>
      <c r="WQG11" s="110"/>
      <c r="WQH11" s="110"/>
      <c r="WQI11" s="110"/>
      <c r="WQJ11" s="110"/>
      <c r="WQK11" s="110"/>
      <c r="WQL11" s="110"/>
      <c r="WQM11" s="110"/>
      <c r="WQN11" s="110"/>
      <c r="WQO11" s="110"/>
      <c r="WQP11" s="110"/>
      <c r="WQQ11" s="110"/>
      <c r="WQR11" s="110"/>
      <c r="WQS11" s="110"/>
      <c r="WQT11" s="110"/>
      <c r="WQU11" s="110"/>
      <c r="WQV11" s="110"/>
      <c r="WQW11" s="110"/>
      <c r="WQX11" s="110"/>
      <c r="WQY11" s="110"/>
      <c r="WQZ11" s="110"/>
      <c r="WRA11" s="110"/>
      <c r="WRB11" s="110"/>
      <c r="WRC11" s="110"/>
      <c r="WRD11" s="110"/>
      <c r="WRE11" s="110"/>
      <c r="WRF11" s="110"/>
      <c r="WRG11" s="110"/>
      <c r="WRH11" s="110"/>
      <c r="WRI11" s="110"/>
      <c r="WRJ11" s="110"/>
      <c r="WRK11" s="110"/>
      <c r="WRL11" s="110"/>
      <c r="WRM11" s="110"/>
      <c r="WRN11" s="110"/>
      <c r="WRO11" s="110"/>
      <c r="WRP11" s="110"/>
      <c r="WRQ11" s="110"/>
      <c r="WRR11" s="110"/>
      <c r="WRS11" s="110"/>
      <c r="WRT11" s="110"/>
      <c r="WRU11" s="110"/>
      <c r="WRV11" s="110"/>
      <c r="WRW11" s="110"/>
      <c r="WRX11" s="110"/>
      <c r="WRY11" s="110"/>
      <c r="WRZ11" s="110"/>
      <c r="WSA11" s="110"/>
      <c r="WSB11" s="110"/>
      <c r="WSC11" s="110"/>
      <c r="WSD11" s="110"/>
      <c r="WSE11" s="110"/>
      <c r="WSF11" s="110"/>
      <c r="WSG11" s="110"/>
      <c r="WSH11" s="110"/>
      <c r="WSI11" s="110"/>
      <c r="WSJ11" s="110"/>
      <c r="WSK11" s="110"/>
      <c r="WSL11" s="110"/>
      <c r="WSM11" s="110"/>
      <c r="WSN11" s="110"/>
      <c r="WSO11" s="110"/>
      <c r="WSP11" s="110"/>
      <c r="WSQ11" s="110"/>
      <c r="WSR11" s="110"/>
      <c r="WSS11" s="110"/>
      <c r="WST11" s="110"/>
      <c r="WSU11" s="110"/>
      <c r="WSV11" s="110"/>
      <c r="WSW11" s="110"/>
      <c r="WSX11" s="110"/>
      <c r="WSY11" s="110"/>
      <c r="WSZ11" s="110"/>
      <c r="WTA11" s="110"/>
      <c r="WTB11" s="110"/>
      <c r="WTC11" s="110"/>
      <c r="WTD11" s="110"/>
      <c r="WTE11" s="110"/>
      <c r="WTF11" s="110"/>
      <c r="WTG11" s="110"/>
      <c r="WTH11" s="110"/>
      <c r="WTI11" s="110"/>
      <c r="WTJ11" s="110"/>
      <c r="WTK11" s="110"/>
      <c r="WTL11" s="110"/>
      <c r="WTM11" s="110"/>
      <c r="WTN11" s="110"/>
      <c r="WTO11" s="110"/>
      <c r="WTP11" s="110"/>
      <c r="WTQ11" s="110"/>
      <c r="WTR11" s="110"/>
      <c r="WTS11" s="110"/>
      <c r="WTT11" s="110"/>
      <c r="WTU11" s="110"/>
      <c r="WTV11" s="110"/>
      <c r="WTW11" s="110"/>
      <c r="WTX11" s="110"/>
      <c r="WTY11" s="110"/>
      <c r="WTZ11" s="110"/>
      <c r="WUA11" s="110"/>
      <c r="WUB11" s="110"/>
      <c r="WUC11" s="110"/>
      <c r="WUD11" s="110"/>
      <c r="WUE11" s="110"/>
      <c r="WUF11" s="110"/>
      <c r="WUG11" s="110"/>
      <c r="WUH11" s="110"/>
      <c r="WUI11" s="110"/>
      <c r="WUJ11" s="110"/>
      <c r="WUK11" s="110"/>
      <c r="WUL11" s="110"/>
      <c r="WUM11" s="110"/>
      <c r="WUN11" s="110"/>
      <c r="WUO11" s="110"/>
      <c r="WUP11" s="110"/>
      <c r="WUQ11" s="110"/>
      <c r="WUR11" s="110"/>
      <c r="WUS11" s="110"/>
      <c r="WUT11" s="110"/>
      <c r="WUU11" s="110"/>
      <c r="WUV11" s="110"/>
      <c r="WUW11" s="110"/>
      <c r="WUX11" s="110"/>
      <c r="WUY11" s="110"/>
      <c r="WUZ11" s="110"/>
      <c r="WVA11" s="110"/>
      <c r="WVB11" s="110"/>
      <c r="WVC11" s="110"/>
      <c r="WVD11" s="110"/>
      <c r="WVE11" s="110"/>
      <c r="WVF11" s="110"/>
      <c r="WVG11" s="110"/>
      <c r="WVH11" s="110"/>
      <c r="WVI11" s="110"/>
      <c r="WVJ11" s="110"/>
      <c r="WVK11" s="110"/>
      <c r="WVL11" s="110"/>
      <c r="WVM11" s="110"/>
      <c r="WVN11" s="110"/>
      <c r="WVO11" s="110"/>
      <c r="WVP11" s="110"/>
      <c r="WVQ11" s="110"/>
      <c r="WVR11" s="110"/>
      <c r="WVS11" s="110"/>
      <c r="WVT11" s="110"/>
      <c r="WVU11" s="110"/>
      <c r="WVV11" s="110"/>
      <c r="WVW11" s="110"/>
      <c r="WVX11" s="110"/>
      <c r="WVY11" s="110"/>
      <c r="WVZ11" s="110"/>
      <c r="WWA11" s="110"/>
      <c r="WWB11" s="110"/>
      <c r="WWC11" s="110"/>
      <c r="WWD11" s="110"/>
      <c r="WWE11" s="110"/>
      <c r="WWF11" s="110"/>
      <c r="WWG11" s="110"/>
      <c r="WWH11" s="110"/>
      <c r="WWI11" s="110"/>
      <c r="WWJ11" s="110"/>
      <c r="WWK11" s="110"/>
      <c r="WWL11" s="110"/>
      <c r="WWM11" s="110"/>
      <c r="WWN11" s="110"/>
      <c r="WWO11" s="110"/>
      <c r="WWP11" s="110"/>
      <c r="WWQ11" s="110"/>
      <c r="WWR11" s="110"/>
      <c r="WWS11" s="110"/>
      <c r="WWT11" s="110"/>
      <c r="WWU11" s="110"/>
      <c r="WWV11" s="110"/>
      <c r="WWW11" s="110"/>
      <c r="WWX11" s="110"/>
      <c r="WWY11" s="110"/>
      <c r="WWZ11" s="110"/>
      <c r="WXA11" s="110"/>
      <c r="WXB11" s="110"/>
      <c r="WXC11" s="110"/>
      <c r="WXD11" s="110"/>
      <c r="WXE11" s="110"/>
      <c r="WXF11" s="110"/>
      <c r="WXG11" s="110"/>
      <c r="WXH11" s="110"/>
      <c r="WXI11" s="110"/>
      <c r="WXJ11" s="110"/>
      <c r="WXK11" s="110"/>
      <c r="WXL11" s="110"/>
      <c r="WXM11" s="110"/>
      <c r="WXN11" s="110"/>
      <c r="WXO11" s="110"/>
      <c r="WXP11" s="110"/>
      <c r="WXQ11" s="110"/>
      <c r="WXR11" s="110"/>
      <c r="WXS11" s="110"/>
      <c r="WXT11" s="110"/>
      <c r="WXU11" s="110"/>
      <c r="WXV11" s="110"/>
      <c r="WXW11" s="110"/>
      <c r="WXX11" s="110"/>
      <c r="WXY11" s="110"/>
      <c r="WXZ11" s="110"/>
      <c r="WYA11" s="110"/>
      <c r="WYB11" s="110"/>
      <c r="WYC11" s="110"/>
      <c r="WYD11" s="110"/>
      <c r="WYE11" s="110"/>
      <c r="WYF11" s="110"/>
      <c r="WYG11" s="110"/>
      <c r="WYH11" s="110"/>
      <c r="WYI11" s="110"/>
      <c r="WYJ11" s="110"/>
      <c r="WYK11" s="110"/>
      <c r="WYL11" s="110"/>
      <c r="WYM11" s="110"/>
      <c r="WYN11" s="110"/>
      <c r="WYO11" s="110"/>
      <c r="WYP11" s="110"/>
      <c r="WYQ11" s="110"/>
      <c r="WYR11" s="110"/>
      <c r="WYS11" s="110"/>
      <c r="WYT11" s="110"/>
      <c r="WYU11" s="110"/>
      <c r="WYV11" s="110"/>
      <c r="WYW11" s="110"/>
      <c r="WYX11" s="110"/>
      <c r="WYY11" s="110"/>
      <c r="WYZ11" s="110"/>
      <c r="WZA11" s="110"/>
      <c r="WZB11" s="110"/>
      <c r="WZC11" s="110"/>
      <c r="WZD11" s="110"/>
      <c r="WZE11" s="110"/>
      <c r="WZF11" s="110"/>
      <c r="WZG11" s="110"/>
      <c r="WZH11" s="110"/>
      <c r="WZI11" s="110"/>
      <c r="WZJ11" s="110"/>
      <c r="WZK11" s="110"/>
      <c r="WZL11" s="110"/>
      <c r="WZM11" s="110"/>
      <c r="WZN11" s="110"/>
      <c r="WZO11" s="110"/>
      <c r="WZP11" s="110"/>
      <c r="WZQ11" s="110"/>
      <c r="WZR11" s="110"/>
      <c r="WZS11" s="110"/>
      <c r="WZT11" s="110"/>
      <c r="WZU11" s="110"/>
      <c r="WZV11" s="110"/>
      <c r="WZW11" s="110"/>
      <c r="WZX11" s="110"/>
      <c r="WZY11" s="110"/>
      <c r="WZZ11" s="110"/>
      <c r="XAA11" s="110"/>
      <c r="XAB11" s="110"/>
      <c r="XAC11" s="110"/>
      <c r="XAD11" s="110"/>
      <c r="XAE11" s="110"/>
      <c r="XAF11" s="110"/>
      <c r="XAG11" s="110"/>
      <c r="XAH11" s="110"/>
      <c r="XAI11" s="110"/>
      <c r="XAJ11" s="110"/>
      <c r="XAK11" s="110"/>
      <c r="XAL11" s="110"/>
      <c r="XAM11" s="110"/>
      <c r="XAN11" s="110"/>
      <c r="XAO11" s="110"/>
      <c r="XAP11" s="110"/>
      <c r="XAQ11" s="110"/>
      <c r="XAR11" s="110"/>
      <c r="XAS11" s="110"/>
      <c r="XAT11" s="110"/>
      <c r="XAU11" s="110"/>
      <c r="XAV11" s="110"/>
      <c r="XAW11" s="110"/>
      <c r="XAX11" s="110"/>
      <c r="XAY11" s="110"/>
      <c r="XAZ11" s="110"/>
      <c r="XBA11" s="110"/>
      <c r="XBB11" s="110"/>
      <c r="XBC11" s="110"/>
      <c r="XBD11" s="110"/>
      <c r="XBE11" s="110"/>
      <c r="XBF11" s="110"/>
      <c r="XBG11" s="110"/>
      <c r="XBH11" s="110"/>
      <c r="XBI11" s="110"/>
      <c r="XBJ11" s="110"/>
      <c r="XBK11" s="110"/>
      <c r="XBL11" s="110"/>
      <c r="XBM11" s="110"/>
      <c r="XBN11" s="110"/>
      <c r="XBO11" s="110"/>
      <c r="XBP11" s="110"/>
      <c r="XBQ11" s="110"/>
      <c r="XBR11" s="110"/>
      <c r="XBS11" s="110"/>
      <c r="XBT11" s="110"/>
      <c r="XBU11" s="110"/>
      <c r="XBV11" s="110"/>
      <c r="XBW11" s="110"/>
      <c r="XBX11" s="110"/>
      <c r="XBY11" s="110"/>
      <c r="XBZ11" s="110"/>
      <c r="XCA11" s="110"/>
      <c r="XCB11" s="110"/>
      <c r="XCC11" s="110"/>
      <c r="XCD11" s="110"/>
      <c r="XCE11" s="110"/>
      <c r="XCF11" s="110"/>
      <c r="XCG11" s="110"/>
      <c r="XCH11" s="110"/>
      <c r="XCI11" s="110"/>
      <c r="XCJ11" s="110"/>
      <c r="XCK11" s="110"/>
      <c r="XCL11" s="110"/>
      <c r="XCM11" s="110"/>
      <c r="XCN11" s="110"/>
      <c r="XCO11" s="110"/>
      <c r="XCP11" s="110"/>
      <c r="XCQ11" s="110"/>
      <c r="XCR11" s="110"/>
      <c r="XCS11" s="110"/>
      <c r="XCT11" s="110"/>
      <c r="XCU11" s="110"/>
      <c r="XCV11" s="110"/>
      <c r="XCW11" s="110"/>
      <c r="XCX11" s="110"/>
      <c r="XCY11" s="110"/>
      <c r="XCZ11" s="110"/>
      <c r="XDA11" s="110"/>
      <c r="XDB11" s="110"/>
      <c r="XDC11" s="110"/>
      <c r="XDD11" s="110"/>
      <c r="XDE11" s="110"/>
      <c r="XDF11" s="110"/>
      <c r="XDG11" s="110"/>
      <c r="XDH11" s="110"/>
      <c r="XDI11" s="110"/>
      <c r="XDJ11" s="110"/>
      <c r="XDK11" s="110"/>
      <c r="XDL11" s="110"/>
      <c r="XDM11" s="110"/>
      <c r="XDN11" s="110"/>
      <c r="XDO11" s="110"/>
      <c r="XDP11" s="110"/>
      <c r="XDQ11" s="110"/>
      <c r="XDR11" s="110"/>
      <c r="XDS11" s="110"/>
      <c r="XDT11" s="110"/>
      <c r="XDU11" s="110"/>
      <c r="XDV11" s="110"/>
      <c r="XDW11" s="110"/>
      <c r="XDX11" s="110"/>
      <c r="XDY11" s="110"/>
      <c r="XDZ11" s="110"/>
      <c r="XEA11" s="110"/>
      <c r="XEB11" s="110"/>
      <c r="XEC11" s="110"/>
      <c r="XED11" s="110"/>
      <c r="XEE11" s="110"/>
      <c r="XEF11" s="110"/>
      <c r="XEG11" s="110"/>
      <c r="XEH11" s="110"/>
      <c r="XEI11" s="110"/>
      <c r="XEJ11" s="110"/>
      <c r="XEK11" s="110"/>
      <c r="XEL11" s="110"/>
      <c r="XEM11" s="110"/>
      <c r="XEN11" s="110"/>
      <c r="XEO11" s="110"/>
      <c r="XEP11" s="110"/>
      <c r="XEQ11" s="110"/>
      <c r="XER11" s="110"/>
      <c r="XES11" s="110"/>
      <c r="XET11" s="110"/>
      <c r="XEU11" s="110"/>
      <c r="XEV11" s="110"/>
      <c r="XEW11" s="110"/>
      <c r="XEX11" s="110"/>
      <c r="XEY11" s="110"/>
      <c r="XEZ11" s="110"/>
      <c r="XFA11" s="110"/>
      <c r="XFB11" s="110"/>
      <c r="XFC11" s="110"/>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16383">
      <c r="A13" s="3"/>
      <c r="B13" s="3" t="s">
        <v>909</v>
      </c>
      <c r="C13" s="3"/>
      <c r="D13" s="3" t="s">
        <v>188</v>
      </c>
      <c r="E13" s="129">
        <f>'3. Input (des)investeringen '!F237</f>
        <v>9.0830073880921361E-2</v>
      </c>
      <c r="F13" s="129">
        <f>'3. Input (des)investeringen '!G237</f>
        <v>3.6254980079681365E-2</v>
      </c>
      <c r="G13" s="129">
        <f>'3. Input (des)investeringen '!H237</f>
        <v>3.5371011149557818E-2</v>
      </c>
      <c r="H13" s="129">
        <f>'3. Input (des)investeringen '!I237</f>
        <v>6.3126624582250282E-2</v>
      </c>
      <c r="I13" s="129">
        <f>'3. Input (des)investeringen '!J237</f>
        <v>9.1163115612993242E-2</v>
      </c>
      <c r="J13" s="129">
        <f>'3. Input (des)investeringen '!K237</f>
        <v>9.6350832266325306E-2</v>
      </c>
      <c r="K13" s="129">
        <f>'3. Input (des)investeringen '!L237</f>
        <v>0</v>
      </c>
      <c r="L13" s="129">
        <f>'3. Input (des)investeringen '!M237</f>
        <v>0</v>
      </c>
      <c r="M13" s="129">
        <f>'3. Input (des)investeringen '!N237</f>
        <v>0.04</v>
      </c>
      <c r="N13" s="129">
        <f>'3. Input (des)investeringen '!O237</f>
        <v>1.909039865244248E-2</v>
      </c>
      <c r="O13" s="129">
        <f>'3. Input (des)investeringen '!P237</f>
        <v>1.9008264462809853E-2</v>
      </c>
      <c r="P13" s="129">
        <f>'3. Input (des)investeringen '!Q237</f>
        <v>6.4882400648824015E-2</v>
      </c>
      <c r="Q13" s="129">
        <f>'3. Input (des)investeringen '!R237</f>
        <v>1.7263264788017294E-2</v>
      </c>
      <c r="R13" s="129">
        <f>'3. Input (des)investeringen '!S237</f>
        <v>8.4851509857749793E-3</v>
      </c>
      <c r="S13" s="129">
        <f>'3. Input (des)investeringen '!T237</f>
        <v>2.5488740410789294E-2</v>
      </c>
      <c r="T13" s="129">
        <f>'3. Input (des)investeringen '!U237</f>
        <v>1.6650579150579235E-2</v>
      </c>
      <c r="U13" s="129">
        <f>'3. Input (des)investeringen '!V237</f>
        <v>1.92262046047946E-2</v>
      </c>
      <c r="V13" s="129">
        <f>'3. Input (des)investeringen '!W237</f>
        <v>3.8192827200745308E-2</v>
      </c>
      <c r="W13" s="129">
        <f>'3. Input (des)investeringen '!X237</f>
        <v>1.9E-2</v>
      </c>
      <c r="X13" s="129">
        <f>'3. Input (des)investeringen '!Y237</f>
        <v>8.4000000000000005E-2</v>
      </c>
      <c r="Y13" s="129">
        <f>'3. Input (des)investeringen '!Z237</f>
        <v>4.2999999999999997E-2</v>
      </c>
      <c r="Z13" s="129">
        <f>'3. Input (des)investeringen '!AA237</f>
        <v>5.7999999999999996E-2</v>
      </c>
      <c r="AA13" s="129">
        <f>'3. Input (des)investeringen '!AB237</f>
        <v>3.9E-2</v>
      </c>
      <c r="AB13" s="129">
        <f>'3. Input (des)investeringen '!AC237</f>
        <v>3.3000000000000002E-2</v>
      </c>
      <c r="AC13" s="129">
        <f>'3. Input (des)investeringen '!AD237</f>
        <v>6.9000000000000006E-2</v>
      </c>
      <c r="AD13" s="129">
        <f>'3. Input (des)investeringen '!AE237</f>
        <v>5.4000000000000006E-2</v>
      </c>
      <c r="AE13" s="129">
        <f>'3. Input (des)investeringen '!AF237</f>
        <v>7.5999999999999998E-2</v>
      </c>
      <c r="AF13" s="129">
        <f>'3. Input (des)investeringen '!AG237</f>
        <v>7.400000000000001E-2</v>
      </c>
      <c r="AG13" s="129">
        <f>'3. Input (des)investeringen '!AH237</f>
        <v>8.1000000000000003E-2</v>
      </c>
      <c r="AH13" s="129">
        <f>'3. Input (des)investeringen '!AI237</f>
        <v>9.8000000000000004E-2</v>
      </c>
      <c r="AI13" s="129">
        <f>'3. Input (des)investeringen '!AJ237</f>
        <v>0.107</v>
      </c>
      <c r="AJ13" s="129">
        <f>'3. Input (des)investeringen '!AK237</f>
        <v>8.3000000000000004E-2</v>
      </c>
      <c r="AK13" s="129">
        <f>'3. Input (des)investeringen '!AL237</f>
        <v>6.8000000000000005E-2</v>
      </c>
      <c r="AL13" s="129">
        <f>'3. Input (des)investeringen '!AM237</f>
        <v>4.2000000000000003E-2</v>
      </c>
      <c r="AM13" s="129">
        <f>'3. Input (des)investeringen '!AN237</f>
        <v>3.7999999999999999E-2</v>
      </c>
      <c r="AN13" s="129">
        <f>'3. Input (des)investeringen '!AO237</f>
        <v>7.0999999999999994E-2</v>
      </c>
      <c r="AO13" s="129">
        <f>'3. Input (des)investeringen '!AP237</f>
        <v>6.4000000000000001E-2</v>
      </c>
      <c r="AP13" s="129">
        <f>'3. Input (des)investeringen '!AQ237</f>
        <v>5.9000000000000004E-2</v>
      </c>
      <c r="AQ13" s="129">
        <f>'3. Input (des)investeringen '!AR237</f>
        <v>2.6000000000000002E-2</v>
      </c>
      <c r="AR13" s="129">
        <f>'3. Input (des)investeringen '!AS237</f>
        <v>2.7999999999999997E-2</v>
      </c>
      <c r="AS13" s="129">
        <f>'3. Input (des)investeringen '!AT237</f>
        <v>2.3E-2</v>
      </c>
      <c r="AT13" s="129">
        <f>'3. Input (des)investeringen '!AU237</f>
        <v>-5.0000000000000001E-3</v>
      </c>
      <c r="AU13" s="129">
        <f>'3. Input (des)investeringen '!AV237</f>
        <v>2E-3</v>
      </c>
      <c r="AV13" s="129">
        <f>'3. Input (des)investeringen '!AW237</f>
        <v>9.0000000000000011E-3</v>
      </c>
      <c r="AW13" s="129">
        <f>'3. Input (des)investeringen '!AX237</f>
        <v>1.1000000000000001E-2</v>
      </c>
      <c r="AX13" s="129">
        <f>'3. Input (des)investeringen '!AY237</f>
        <v>2.4E-2</v>
      </c>
      <c r="AY13" s="129">
        <f>'3. Input (des)investeringen '!AZ237</f>
        <v>4.5999999999999999E-2</v>
      </c>
      <c r="AZ13" s="129">
        <f>'3. Input (des)investeringen '!BA237</f>
        <v>3.5000000000000003E-2</v>
      </c>
      <c r="BA13" s="129">
        <f>'3. Input (des)investeringen '!BB237</f>
        <v>0.02</v>
      </c>
      <c r="BB13" s="129">
        <f>'3. Input (des)investeringen '!BC237</f>
        <v>2.6000000000000002E-2</v>
      </c>
      <c r="BC13" s="129">
        <f>'3. Input (des)investeringen '!BD237</f>
        <v>1.4999999999999999E-2</v>
      </c>
      <c r="BD13" s="129">
        <f>'3. Input (des)investeringen '!BE237</f>
        <v>1.9E-2</v>
      </c>
      <c r="BE13" s="129">
        <f>'3. Input (des)investeringen '!BF237</f>
        <v>2.6000000000000002E-2</v>
      </c>
      <c r="BF13" s="129">
        <f>'3. Input (des)investeringen '!BG237</f>
        <v>1.7000000000000001E-2</v>
      </c>
      <c r="BG13" s="129">
        <f>'3. Input (des)investeringen '!BH237</f>
        <v>2.6000000000000002E-2</v>
      </c>
      <c r="BH13" s="129">
        <f>'3. Input (des)investeringen '!BI237</f>
        <v>2.5000000000000001E-2</v>
      </c>
      <c r="BI13" s="129">
        <f>'3. Input (des)investeringen '!BJ237</f>
        <v>4.7E-2</v>
      </c>
      <c r="BJ13" s="129">
        <f>'3. Input (des)investeringen '!BK237</f>
        <v>3.3000000000000002E-2</v>
      </c>
      <c r="BK13" s="129">
        <f>'3. Input (des)investeringen '!BL237</f>
        <v>2.1000000000000001E-2</v>
      </c>
      <c r="BL13" s="129">
        <f>'3. Input (des)investeringen '!BM237</f>
        <v>1.1000000000000001E-2</v>
      </c>
      <c r="BM13" s="129">
        <f>'3. Input (des)investeringen '!BN237</f>
        <v>1.7999999999999999E-2</v>
      </c>
      <c r="BN13" s="129">
        <f>'3. Input (des)investeringen '!BO237</f>
        <v>1.4E-2</v>
      </c>
      <c r="BO13" s="129">
        <f>'3. Input (des)investeringen '!BP237</f>
        <v>1.0999999999999999E-2</v>
      </c>
      <c r="BP13" s="129">
        <f>'3. Input (des)investeringen '!BQ237</f>
        <v>3.2000000000000001E-2</v>
      </c>
      <c r="BQ13" s="129">
        <f>'3. Input (des)investeringen '!BR237</f>
        <v>3.0000000000000001E-3</v>
      </c>
      <c r="BR13" s="129">
        <f>'3. Input (des)investeringen '!BS237</f>
        <v>1.4999999999999999E-2</v>
      </c>
      <c r="BS13" s="129">
        <f>'3. Input (des)investeringen '!BT237</f>
        <v>2.5999999999999999E-2</v>
      </c>
      <c r="BT13" s="129">
        <f>'3. Input (des)investeringen '!BU237</f>
        <v>2.3E-2</v>
      </c>
      <c r="BU13" s="129">
        <f>'3. Input (des)investeringen '!BV237</f>
        <v>2.8000000000000001E-2</v>
      </c>
      <c r="BV13" s="129">
        <f>'3. Input (des)investeringen '!BW237</f>
        <v>0.01</v>
      </c>
      <c r="BW13" s="129">
        <f>'3. Input (des)investeringen '!BX237</f>
        <v>8.0000000000000002E-3</v>
      </c>
      <c r="BX13" s="129">
        <f>'3. Input (des)investeringen '!BY237</f>
        <v>2E-3</v>
      </c>
      <c r="BY13" s="129">
        <f>'3. Input (des)investeringen '!BZ237</f>
        <v>1.4E-2</v>
      </c>
      <c r="BZ13" s="129">
        <f>'3. Input (des)investeringen '!CA237</f>
        <v>1.2E-2</v>
      </c>
      <c r="CA13" s="129">
        <f>'3. Input (des)investeringen '!CB237</f>
        <v>2.5999999999999999E-2</v>
      </c>
      <c r="CB13" s="129">
        <f>'3. Input (des)investeringen '!CC237</f>
        <v>1.6E-2</v>
      </c>
      <c r="CC13" s="129">
        <f>'3. Input (des)investeringen '!CD237</f>
        <v>1.7999999999999999E-2</v>
      </c>
      <c r="CD13" s="129">
        <f>'3. Input (des)investeringen '!CE237</f>
        <v>6.2E-2</v>
      </c>
      <c r="CE13" s="129">
        <f>'3. Input (des)investeringen '!CF237</f>
        <v>0.08</v>
      </c>
      <c r="CF13" s="129">
        <f>'3. Input (des)investeringen '!CG237</f>
        <v>2.8000000000000001E-2</v>
      </c>
      <c r="CG13" s="129">
        <f>'3. Input (des)investeringen '!CH237</f>
        <v>3.7999999999999999E-2</v>
      </c>
      <c r="CH13" s="3"/>
    </row>
    <row r="14" spans="1:16383" s="120" customFormat="1">
      <c r="A14" s="89"/>
      <c r="B14" s="89"/>
      <c r="C14" s="89"/>
      <c r="D14" s="8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row>
    <row r="15" spans="1:16383" s="33" customFormat="1" ht="13">
      <c r="A15" s="96"/>
      <c r="B15" s="33" t="s">
        <v>910</v>
      </c>
    </row>
    <row r="16" spans="1:16383" s="34" customFormat="1" ht="13">
      <c r="A16" s="97"/>
      <c r="B16" s="34" t="s">
        <v>862</v>
      </c>
      <c r="D16" s="34" t="s">
        <v>274</v>
      </c>
      <c r="E16" s="34" t="s">
        <v>522</v>
      </c>
      <c r="F16" s="34" t="s">
        <v>523</v>
      </c>
      <c r="G16" s="34" t="s">
        <v>897</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8"/>
    </row>
    <row r="425" spans="2:13" s="227"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27"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27"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27"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27"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27"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27"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27"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27"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27"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27"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27"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27"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27"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27"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27"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27"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27"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27"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27"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27"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27"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27"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27"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27"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27"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27"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27"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27"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27"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27"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27"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27"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27"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27"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27"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27"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27"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27"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27"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27"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27"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27"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27"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27"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27"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27"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27"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27"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27"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27"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27"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27"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27"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27"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27"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27"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27"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27"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27"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27"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27"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27"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27"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27"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27"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27"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27"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27"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27"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27"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27"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27"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27"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27"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27"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27"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27"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27"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27"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27"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27"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27"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27"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27"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27"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27"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27"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27"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27"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27"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27"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27"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27"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27"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27"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27"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27"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27"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27"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27"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27"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27"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27"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27"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27"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27"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27"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27"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27"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27"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27"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27"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27"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27"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27"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27"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27"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27"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27"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27"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27"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27"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27"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32" customFormat="1">
      <c r="A549" s="227"/>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32" customFormat="1">
      <c r="A550" s="227"/>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32" customFormat="1">
      <c r="A551" s="227"/>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32" customFormat="1">
      <c r="A552" s="227"/>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32" customFormat="1">
      <c r="A553" s="227"/>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32" customFormat="1">
      <c r="A554" s="227"/>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32" customFormat="1">
      <c r="A555" s="227"/>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32" customFormat="1">
      <c r="A556" s="227"/>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32" customFormat="1">
      <c r="A557" s="227"/>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32" customFormat="1">
      <c r="A558" s="227"/>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32" customFormat="1">
      <c r="A559" s="227"/>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32" customFormat="1">
      <c r="A560" s="227"/>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32" customFormat="1">
      <c r="A561" s="227"/>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32" customFormat="1">
      <c r="A562" s="227"/>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32" customFormat="1">
      <c r="A563" s="227"/>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32" customFormat="1">
      <c r="A564" s="227"/>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32" customFormat="1">
      <c r="A565" s="227"/>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32" customFormat="1">
      <c r="A566" s="227"/>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32" customFormat="1">
      <c r="A567" s="227"/>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32" customFormat="1">
      <c r="A568" s="227"/>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32" customFormat="1">
      <c r="A569" s="227"/>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32" customFormat="1">
      <c r="A570" s="227"/>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32" customFormat="1">
      <c r="A571" s="227"/>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32" customFormat="1">
      <c r="A572" s="227"/>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32" customFormat="1">
      <c r="A573" s="227"/>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32" customFormat="1">
      <c r="A574" s="227"/>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32" customFormat="1">
      <c r="A575" s="227"/>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32" customFormat="1">
      <c r="A576" s="227"/>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32" customFormat="1">
      <c r="A577" s="227"/>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32" customFormat="1">
      <c r="A578" s="227"/>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32" customFormat="1">
      <c r="A579" s="227"/>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32" customFormat="1">
      <c r="A580" s="227"/>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32" customFormat="1">
      <c r="A581" s="227"/>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32" customFormat="1">
      <c r="A582" s="227"/>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32" customFormat="1">
      <c r="A583" s="227"/>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32" customFormat="1">
      <c r="A584" s="227"/>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32" customFormat="1">
      <c r="A585" s="227"/>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32" customFormat="1">
      <c r="A586" s="227"/>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32" customFormat="1">
      <c r="A587" s="227"/>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32" customFormat="1">
      <c r="A588" s="227"/>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32" customFormat="1">
      <c r="A589" s="227"/>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32" customFormat="1">
      <c r="A590" s="227"/>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32" customFormat="1">
      <c r="A591" s="227"/>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32" customFormat="1">
      <c r="A592" s="227"/>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32" customFormat="1">
      <c r="A593" s="227"/>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32" customFormat="1">
      <c r="A594" s="227"/>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32" customFormat="1">
      <c r="A595" s="227"/>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32" customFormat="1">
      <c r="A596" s="227"/>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32" customFormat="1">
      <c r="A597" s="227"/>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32" customFormat="1">
      <c r="A598" s="227"/>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32" customFormat="1">
      <c r="A599" s="227"/>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32" customFormat="1">
      <c r="A600" s="227"/>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32" customFormat="1">
      <c r="A601" s="227"/>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32" customFormat="1">
      <c r="A602" s="227"/>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32" customFormat="1">
      <c r="A603" s="227"/>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32" customFormat="1">
      <c r="A604" s="227"/>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32" customFormat="1">
      <c r="A605" s="227"/>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32" customFormat="1">
      <c r="A606" s="227"/>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32" customFormat="1">
      <c r="A607" s="227"/>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32" customFormat="1">
      <c r="A608" s="227"/>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32" customFormat="1">
      <c r="A609" s="227"/>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32" customFormat="1">
      <c r="A610" s="227"/>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32" customFormat="1">
      <c r="A611" s="227"/>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32" customFormat="1">
      <c r="A612" s="227"/>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32" customFormat="1">
      <c r="A613" s="227"/>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32" customFormat="1">
      <c r="A614" s="227"/>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32" customFormat="1">
      <c r="A615" s="227"/>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32" customFormat="1">
      <c r="A616" s="227"/>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32" customFormat="1">
      <c r="A617" s="227"/>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32" customFormat="1">
      <c r="A618" s="227"/>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32" customFormat="1">
      <c r="A619" s="227"/>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32" customFormat="1">
      <c r="A620" s="227"/>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32" customFormat="1">
      <c r="A621" s="227"/>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32" customFormat="1">
      <c r="A622" s="227"/>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32" customFormat="1">
      <c r="A623" s="227"/>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32" customFormat="1">
      <c r="A624" s="227"/>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32" customFormat="1">
      <c r="A625" s="227"/>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32" customFormat="1">
      <c r="A626" s="227"/>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32" customFormat="1">
      <c r="A627" s="3"/>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32" customFormat="1">
      <c r="A628" s="3"/>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32" customFormat="1">
      <c r="A629" s="3"/>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32" customFormat="1">
      <c r="A630" s="3"/>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32" customFormat="1">
      <c r="A631" s="3"/>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32" customFormat="1">
      <c r="A632" s="3"/>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32" customFormat="1">
      <c r="A633" s="3"/>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32" customFormat="1">
      <c r="A634" s="3"/>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32" customFormat="1">
      <c r="A635" s="3"/>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32" customFormat="1">
      <c r="A636" s="3"/>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32" customFormat="1">
      <c r="A637" s="3"/>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32" customFormat="1">
      <c r="A638" s="3"/>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32" customFormat="1">
      <c r="A639" s="3"/>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32" customFormat="1">
      <c r="A640" s="3"/>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32" customFormat="1">
      <c r="A641" s="3"/>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32" customFormat="1">
      <c r="A642" s="3"/>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32" customFormat="1">
      <c r="A643" s="3"/>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32" customFormat="1">
      <c r="A644" s="3"/>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32" customFormat="1">
      <c r="A645" s="3"/>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32" customFormat="1">
      <c r="A646" s="3"/>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32" customFormat="1">
      <c r="A647" s="3"/>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32" customFormat="1">
      <c r="A648" s="3"/>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32" customFormat="1">
      <c r="A649" s="3"/>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32" customFormat="1">
      <c r="A650" s="3"/>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32" customFormat="1">
      <c r="A651" s="3"/>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32" customFormat="1">
      <c r="A652" s="3"/>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32" customFormat="1">
      <c r="A653" s="3"/>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32" customFormat="1">
      <c r="A654" s="3"/>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32" customFormat="1">
      <c r="A655" s="3"/>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32" customFormat="1">
      <c r="A656" s="3"/>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7" s="332" customFormat="1">
      <c r="A657" s="3"/>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7" s="332" customFormat="1">
      <c r="A658" s="3"/>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7" s="332" customFormat="1">
      <c r="A659" s="3"/>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7" s="332" customFormat="1">
      <c r="A660" s="3"/>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7" s="332" customFormat="1">
      <c r="A661" s="3"/>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7" s="332" customFormat="1">
      <c r="A662" s="3"/>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7" s="332" customFormat="1">
      <c r="A663" s="3"/>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7" s="332" customFormat="1">
      <c r="A664" s="3"/>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7" s="332" customFormat="1">
      <c r="A665" s="3"/>
      <c r="B665" s="37">
        <f>'13. Desinvesteringen'!B667</f>
        <v>648</v>
      </c>
      <c r="C665" s="3"/>
      <c r="D665" s="37" t="str">
        <f>'13. Desinvesteringen'!C667</f>
        <v>35 Injectiestations</v>
      </c>
      <c r="E665" s="37">
        <f>'13. Desinvesteringen'!D667</f>
        <v>1998</v>
      </c>
      <c r="F665" s="42">
        <f>'13. Desinvesteringen'!E667</f>
        <v>13173</v>
      </c>
      <c r="G665" s="37">
        <f>'13. Desinvesteringen'!G667</f>
        <v>2024</v>
      </c>
    </row>
    <row r="666" spans="1:7" s="332" customFormat="1">
      <c r="A666" s="3"/>
      <c r="B666" s="37">
        <f>'13. Desinvesteringen'!B668</f>
        <v>649</v>
      </c>
      <c r="C666" s="3"/>
      <c r="D666" s="37" t="str">
        <f>'13. Desinvesteringen'!C668</f>
        <v>01 Regionale leidingen</v>
      </c>
      <c r="E666" s="37">
        <f>'13. Desinvesteringen'!D668</f>
        <v>1955</v>
      </c>
      <c r="F666" s="42">
        <f>'13. Desinvesteringen'!E668</f>
        <v>0.01</v>
      </c>
      <c r="G666" s="37">
        <f>'13. Desinvesteringen'!G668</f>
        <v>2025</v>
      </c>
    </row>
    <row r="667" spans="1:7" s="332" customFormat="1">
      <c r="A667" s="3"/>
      <c r="B667" s="37">
        <f>'13. Desinvesteringen'!B669</f>
        <v>650</v>
      </c>
      <c r="C667" s="3"/>
      <c r="D667" s="37" t="str">
        <f>'13. Desinvesteringen'!C669</f>
        <v>01 Regionale leidingen</v>
      </c>
      <c r="E667" s="37">
        <f>'13. Desinvesteringen'!D669</f>
        <v>1958</v>
      </c>
      <c r="F667" s="42">
        <f>'13. Desinvesteringen'!E669</f>
        <v>59582.83</v>
      </c>
      <c r="G667" s="37">
        <f>'13. Desinvesteringen'!G669</f>
        <v>2025</v>
      </c>
    </row>
    <row r="668" spans="1:7" s="332" customFormat="1">
      <c r="A668" s="3"/>
      <c r="B668" s="37">
        <f>'13. Desinvesteringen'!B670</f>
        <v>651</v>
      </c>
      <c r="C668" s="3"/>
      <c r="D668" s="37" t="str">
        <f>'13. Desinvesteringen'!C670</f>
        <v>01 Regionale leidingen</v>
      </c>
      <c r="E668" s="37">
        <f>'13. Desinvesteringen'!D670</f>
        <v>1959</v>
      </c>
      <c r="F668" s="42">
        <f>'13. Desinvesteringen'!E670</f>
        <v>44892</v>
      </c>
      <c r="G668" s="37">
        <f>'13. Desinvesteringen'!G670</f>
        <v>2025</v>
      </c>
    </row>
    <row r="669" spans="1:7" s="332" customFormat="1">
      <c r="A669" s="3"/>
      <c r="B669" s="37">
        <f>'13. Desinvesteringen'!B671</f>
        <v>652</v>
      </c>
      <c r="C669" s="3"/>
      <c r="D669" s="37" t="str">
        <f>'13. Desinvesteringen'!C671</f>
        <v>01 Regionale leidingen</v>
      </c>
      <c r="E669" s="37">
        <f>'13. Desinvesteringen'!D671</f>
        <v>1960</v>
      </c>
      <c r="F669" s="42">
        <f>'13. Desinvesteringen'!E671</f>
        <v>5478.6</v>
      </c>
      <c r="G669" s="37">
        <f>'13. Desinvesteringen'!G671</f>
        <v>2025</v>
      </c>
    </row>
    <row r="670" spans="1:7" s="332" customFormat="1">
      <c r="A670" s="3"/>
      <c r="B670" s="37">
        <f>'13. Desinvesteringen'!B672</f>
        <v>653</v>
      </c>
      <c r="C670" s="3"/>
      <c r="D670" s="37" t="str">
        <f>'13. Desinvesteringen'!C672</f>
        <v>01 Regionale leidingen</v>
      </c>
      <c r="E670" s="37">
        <f>'13. Desinvesteringen'!D672</f>
        <v>1962</v>
      </c>
      <c r="F670" s="42">
        <f>'13. Desinvesteringen'!E672</f>
        <v>40000</v>
      </c>
      <c r="G670" s="37">
        <f>'13. Desinvesteringen'!G672</f>
        <v>2025</v>
      </c>
    </row>
    <row r="671" spans="1:7" s="332" customFormat="1">
      <c r="A671" s="3"/>
      <c r="B671" s="37">
        <f>'13. Desinvesteringen'!B673</f>
        <v>654</v>
      </c>
      <c r="C671" s="3"/>
      <c r="D671" s="37" t="str">
        <f>'13. Desinvesteringen'!C673</f>
        <v>01 Regionale leidingen</v>
      </c>
      <c r="E671" s="37">
        <f>'13. Desinvesteringen'!D673</f>
        <v>1964</v>
      </c>
      <c r="F671" s="42">
        <f>'13. Desinvesteringen'!E673</f>
        <v>9532.64</v>
      </c>
      <c r="G671" s="37">
        <f>'13. Desinvesteringen'!G673</f>
        <v>2025</v>
      </c>
    </row>
    <row r="672" spans="1:7" s="332" customFormat="1">
      <c r="A672" s="3"/>
      <c r="B672" s="37">
        <f>'13. Desinvesteringen'!B674</f>
        <v>655</v>
      </c>
      <c r="C672" s="3"/>
      <c r="D672" s="37" t="str">
        <f>'13. Desinvesteringen'!C674</f>
        <v>01 Regionale leidingen</v>
      </c>
      <c r="E672" s="37">
        <f>'13. Desinvesteringen'!D674</f>
        <v>1965</v>
      </c>
      <c r="F672" s="42">
        <f>'13. Desinvesteringen'!E674</f>
        <v>96092.19</v>
      </c>
      <c r="G672" s="37">
        <f>'13. Desinvesteringen'!G674</f>
        <v>2025</v>
      </c>
    </row>
    <row r="673" spans="1:7" s="332" customFormat="1">
      <c r="A673" s="3"/>
      <c r="B673" s="37">
        <f>'13. Desinvesteringen'!B675</f>
        <v>656</v>
      </c>
      <c r="C673" s="3"/>
      <c r="D673" s="37" t="str">
        <f>'13. Desinvesteringen'!C675</f>
        <v>01 Regionale leidingen</v>
      </c>
      <c r="E673" s="37">
        <f>'13. Desinvesteringen'!D675</f>
        <v>1966</v>
      </c>
      <c r="F673" s="42">
        <f>'13. Desinvesteringen'!E675</f>
        <v>22198.9</v>
      </c>
      <c r="G673" s="37">
        <f>'13. Desinvesteringen'!G675</f>
        <v>2025</v>
      </c>
    </row>
    <row r="674" spans="1:7" s="332" customFormat="1">
      <c r="A674" s="3"/>
      <c r="B674" s="37">
        <f>'13. Desinvesteringen'!B676</f>
        <v>657</v>
      </c>
      <c r="C674" s="3"/>
      <c r="D674" s="37" t="str">
        <f>'13. Desinvesteringen'!C676</f>
        <v>01 Regionale leidingen</v>
      </c>
      <c r="E674" s="37">
        <f>'13. Desinvesteringen'!D676</f>
        <v>1967</v>
      </c>
      <c r="F674" s="42">
        <f>'13. Desinvesteringen'!E676</f>
        <v>127525.68</v>
      </c>
      <c r="G674" s="37">
        <f>'13. Desinvesteringen'!G676</f>
        <v>2025</v>
      </c>
    </row>
    <row r="675" spans="1:7" s="332" customFormat="1">
      <c r="A675" s="3"/>
      <c r="B675" s="37">
        <f>'13. Desinvesteringen'!B677</f>
        <v>658</v>
      </c>
      <c r="C675" s="3"/>
      <c r="D675" s="37" t="str">
        <f>'13. Desinvesteringen'!C677</f>
        <v>01 Regionale leidingen</v>
      </c>
      <c r="E675" s="37">
        <f>'13. Desinvesteringen'!D677</f>
        <v>1968</v>
      </c>
      <c r="F675" s="42">
        <f>'13. Desinvesteringen'!E677</f>
        <v>94809.16</v>
      </c>
      <c r="G675" s="37">
        <f>'13. Desinvesteringen'!G677</f>
        <v>2025</v>
      </c>
    </row>
    <row r="676" spans="1:7" s="332" customFormat="1">
      <c r="A676" s="3"/>
      <c r="B676" s="37">
        <f>'13. Desinvesteringen'!B678</f>
        <v>659</v>
      </c>
      <c r="C676" s="3"/>
      <c r="D676" s="37" t="str">
        <f>'13. Desinvesteringen'!C678</f>
        <v>01 Regionale leidingen</v>
      </c>
      <c r="E676" s="37">
        <f>'13. Desinvesteringen'!D678</f>
        <v>1969</v>
      </c>
      <c r="F676" s="42">
        <f>'13. Desinvesteringen'!E678</f>
        <v>384260.95</v>
      </c>
      <c r="G676" s="37">
        <f>'13. Desinvesteringen'!G678</f>
        <v>2025</v>
      </c>
    </row>
    <row r="677" spans="1:7" s="332" customFormat="1">
      <c r="A677" s="3"/>
      <c r="B677" s="37">
        <f>'13. Desinvesteringen'!B679</f>
        <v>660</v>
      </c>
      <c r="C677" s="3"/>
      <c r="D677" s="37" t="str">
        <f>'13. Desinvesteringen'!C679</f>
        <v>01 Regionale leidingen</v>
      </c>
      <c r="E677" s="37">
        <f>'13. Desinvesteringen'!D679</f>
        <v>1970</v>
      </c>
      <c r="F677" s="42">
        <f>'13. Desinvesteringen'!E679</f>
        <v>56836.09</v>
      </c>
      <c r="G677" s="37">
        <f>'13. Desinvesteringen'!G679</f>
        <v>2025</v>
      </c>
    </row>
    <row r="678" spans="1:7" s="332" customFormat="1">
      <c r="A678" s="3"/>
      <c r="B678" s="37">
        <f>'13. Desinvesteringen'!B680</f>
        <v>661</v>
      </c>
      <c r="C678" s="3"/>
      <c r="D678" s="37" t="str">
        <f>'13. Desinvesteringen'!C680</f>
        <v>01 Regionale leidingen</v>
      </c>
      <c r="E678" s="37">
        <f>'13. Desinvesteringen'!D680</f>
        <v>1971</v>
      </c>
      <c r="F678" s="42">
        <f>'13. Desinvesteringen'!E680</f>
        <v>40095.18</v>
      </c>
      <c r="G678" s="37">
        <f>'13. Desinvesteringen'!G680</f>
        <v>2025</v>
      </c>
    </row>
    <row r="679" spans="1:7" s="332" customFormat="1">
      <c r="A679" s="3"/>
      <c r="B679" s="37">
        <f>'13. Desinvesteringen'!B681</f>
        <v>662</v>
      </c>
      <c r="C679" s="3"/>
      <c r="D679" s="37" t="str">
        <f>'13. Desinvesteringen'!C681</f>
        <v>01 Regionale leidingen</v>
      </c>
      <c r="E679" s="37">
        <f>'13. Desinvesteringen'!D681</f>
        <v>1972</v>
      </c>
      <c r="F679" s="42">
        <f>'13. Desinvesteringen'!E681</f>
        <v>80611.679999999993</v>
      </c>
      <c r="G679" s="37">
        <f>'13. Desinvesteringen'!G681</f>
        <v>2025</v>
      </c>
    </row>
    <row r="680" spans="1:7" s="332" customFormat="1">
      <c r="A680" s="3"/>
      <c r="B680" s="37">
        <f>'13. Desinvesteringen'!B682</f>
        <v>663</v>
      </c>
      <c r="C680" s="3"/>
      <c r="D680" s="37" t="str">
        <f>'13. Desinvesteringen'!C682</f>
        <v>01 Regionale leidingen</v>
      </c>
      <c r="E680" s="37">
        <f>'13. Desinvesteringen'!D682</f>
        <v>1973</v>
      </c>
      <c r="F680" s="42">
        <f>'13. Desinvesteringen'!E682</f>
        <v>39463.9</v>
      </c>
      <c r="G680" s="37">
        <f>'13. Desinvesteringen'!G682</f>
        <v>2025</v>
      </c>
    </row>
    <row r="681" spans="1:7" s="332" customFormat="1">
      <c r="A681" s="3"/>
      <c r="B681" s="37">
        <f>'13. Desinvesteringen'!B683</f>
        <v>664</v>
      </c>
      <c r="C681" s="3"/>
      <c r="D681" s="37" t="str">
        <f>'13. Desinvesteringen'!C683</f>
        <v>01 Regionale leidingen</v>
      </c>
      <c r="E681" s="37">
        <f>'13. Desinvesteringen'!D683</f>
        <v>1974</v>
      </c>
      <c r="F681" s="42">
        <f>'13. Desinvesteringen'!E683</f>
        <v>40000</v>
      </c>
      <c r="G681" s="37">
        <f>'13. Desinvesteringen'!G683</f>
        <v>2025</v>
      </c>
    </row>
    <row r="682" spans="1:7" s="332" customFormat="1">
      <c r="A682" s="3"/>
      <c r="B682" s="37">
        <f>'13. Desinvesteringen'!B684</f>
        <v>665</v>
      </c>
      <c r="C682" s="3"/>
      <c r="D682" s="37" t="str">
        <f>'13. Desinvesteringen'!C684</f>
        <v>01 Regionale leidingen</v>
      </c>
      <c r="E682" s="37">
        <f>'13. Desinvesteringen'!D684</f>
        <v>1975</v>
      </c>
      <c r="F682" s="42">
        <f>'13. Desinvesteringen'!E684</f>
        <v>40000</v>
      </c>
      <c r="G682" s="37">
        <f>'13. Desinvesteringen'!G684</f>
        <v>2025</v>
      </c>
    </row>
    <row r="683" spans="1:7" s="332" customFormat="1">
      <c r="A683" s="3"/>
      <c r="B683" s="37">
        <f>'13. Desinvesteringen'!B685</f>
        <v>666</v>
      </c>
      <c r="C683" s="3"/>
      <c r="D683" s="37" t="str">
        <f>'13. Desinvesteringen'!C685</f>
        <v>01 Regionale leidingen</v>
      </c>
      <c r="E683" s="37">
        <f>'13. Desinvesteringen'!D685</f>
        <v>1977</v>
      </c>
      <c r="F683" s="42">
        <f>'13. Desinvesteringen'!E685</f>
        <v>40000</v>
      </c>
      <c r="G683" s="37">
        <f>'13. Desinvesteringen'!G685</f>
        <v>2025</v>
      </c>
    </row>
    <row r="684" spans="1:7" s="332" customFormat="1">
      <c r="A684" s="3"/>
      <c r="B684" s="37">
        <f>'13. Desinvesteringen'!B686</f>
        <v>667</v>
      </c>
      <c r="C684" s="3"/>
      <c r="D684" s="37" t="str">
        <f>'13. Desinvesteringen'!C686</f>
        <v>01 Regionale leidingen</v>
      </c>
      <c r="E684" s="37">
        <f>'13. Desinvesteringen'!D686</f>
        <v>1978</v>
      </c>
      <c r="F684" s="42">
        <f>'13. Desinvesteringen'!E686</f>
        <v>40000</v>
      </c>
      <c r="G684" s="37">
        <f>'13. Desinvesteringen'!G686</f>
        <v>2025</v>
      </c>
    </row>
    <row r="685" spans="1:7" s="332" customFormat="1">
      <c r="A685" s="3"/>
      <c r="B685" s="37">
        <f>'13. Desinvesteringen'!B687</f>
        <v>668</v>
      </c>
      <c r="C685" s="3"/>
      <c r="D685" s="37" t="str">
        <f>'13. Desinvesteringen'!C687</f>
        <v>01 Regionale leidingen</v>
      </c>
      <c r="E685" s="37">
        <f>'13. Desinvesteringen'!D687</f>
        <v>1980</v>
      </c>
      <c r="F685" s="42">
        <f>'13. Desinvesteringen'!E687</f>
        <v>39612.29</v>
      </c>
      <c r="G685" s="37">
        <f>'13. Desinvesteringen'!G687</f>
        <v>2025</v>
      </c>
    </row>
    <row r="686" spans="1:7" s="332" customFormat="1">
      <c r="A686" s="3"/>
      <c r="B686" s="37">
        <f>'13. Desinvesteringen'!B688</f>
        <v>669</v>
      </c>
      <c r="C686" s="3"/>
      <c r="D686" s="37" t="str">
        <f>'13. Desinvesteringen'!C688</f>
        <v>01 Regionale leidingen</v>
      </c>
      <c r="E686" s="37">
        <f>'13. Desinvesteringen'!D688</f>
        <v>1986</v>
      </c>
      <c r="F686" s="42">
        <f>'13. Desinvesteringen'!E688</f>
        <v>50000</v>
      </c>
      <c r="G686" s="37">
        <f>'13. Desinvesteringen'!G688</f>
        <v>2025</v>
      </c>
    </row>
    <row r="687" spans="1:7" s="332" customFormat="1">
      <c r="A687" s="3"/>
      <c r="B687" s="37">
        <f>'13. Desinvesteringen'!B689</f>
        <v>670</v>
      </c>
      <c r="C687" s="3"/>
      <c r="D687" s="37" t="str">
        <f>'13. Desinvesteringen'!C689</f>
        <v>01 Regionale leidingen</v>
      </c>
      <c r="E687" s="37">
        <f>'13. Desinvesteringen'!D689</f>
        <v>1987</v>
      </c>
      <c r="F687" s="42">
        <f>'13. Desinvesteringen'!E689</f>
        <v>21032.32</v>
      </c>
      <c r="G687" s="37">
        <f>'13. Desinvesteringen'!G689</f>
        <v>2025</v>
      </c>
    </row>
    <row r="688" spans="1:7" s="332" customFormat="1">
      <c r="A688" s="3"/>
      <c r="B688" s="37">
        <f>'13. Desinvesteringen'!B690</f>
        <v>671</v>
      </c>
      <c r="C688" s="3"/>
      <c r="D688" s="37" t="str">
        <f>'13. Desinvesteringen'!C690</f>
        <v>01 Regionale leidingen</v>
      </c>
      <c r="E688" s="37">
        <f>'13. Desinvesteringen'!D690</f>
        <v>1992</v>
      </c>
      <c r="F688" s="42">
        <f>'13. Desinvesteringen'!E690</f>
        <v>26948.39</v>
      </c>
      <c r="G688" s="37">
        <f>'13. Desinvesteringen'!G690</f>
        <v>2025</v>
      </c>
    </row>
    <row r="689" spans="1:7" s="332" customFormat="1">
      <c r="A689" s="3"/>
      <c r="B689" s="37">
        <f>'13. Desinvesteringen'!B691</f>
        <v>672</v>
      </c>
      <c r="C689" s="3"/>
      <c r="D689" s="37" t="str">
        <f>'13. Desinvesteringen'!C691</f>
        <v>01 Regionale leidingen</v>
      </c>
      <c r="E689" s="37">
        <f>'13. Desinvesteringen'!D691</f>
        <v>1993</v>
      </c>
      <c r="F689" s="42">
        <f>'13. Desinvesteringen'!E691</f>
        <v>40734.44</v>
      </c>
      <c r="G689" s="37">
        <f>'13. Desinvesteringen'!G691</f>
        <v>2025</v>
      </c>
    </row>
    <row r="690" spans="1:7" s="332" customFormat="1">
      <c r="A690" s="3"/>
      <c r="B690" s="37">
        <f>'13. Desinvesteringen'!B692</f>
        <v>673</v>
      </c>
      <c r="C690" s="3"/>
      <c r="D690" s="37" t="str">
        <f>'13. Desinvesteringen'!C692</f>
        <v>01 Regionale leidingen</v>
      </c>
      <c r="E690" s="37">
        <f>'13. Desinvesteringen'!D692</f>
        <v>1995</v>
      </c>
      <c r="F690" s="42">
        <f>'13. Desinvesteringen'!E692</f>
        <v>17597.68</v>
      </c>
      <c r="G690" s="37">
        <f>'13. Desinvesteringen'!G692</f>
        <v>2025</v>
      </c>
    </row>
    <row r="691" spans="1:7" s="332" customFormat="1">
      <c r="A691" s="3"/>
      <c r="B691" s="37">
        <f>'13. Desinvesteringen'!B693</f>
        <v>674</v>
      </c>
      <c r="C691" s="3"/>
      <c r="D691" s="37" t="str">
        <f>'13. Desinvesteringen'!C693</f>
        <v>01 Regionale leidingen</v>
      </c>
      <c r="E691" s="37">
        <f>'13. Desinvesteringen'!D693</f>
        <v>1998</v>
      </c>
      <c r="F691" s="42">
        <f>'13. Desinvesteringen'!E693</f>
        <v>6240.6</v>
      </c>
      <c r="G691" s="37">
        <f>'13. Desinvesteringen'!G693</f>
        <v>2025</v>
      </c>
    </row>
    <row r="692" spans="1:7" s="332" customFormat="1">
      <c r="A692" s="3"/>
      <c r="B692" s="37">
        <f>'13. Desinvesteringen'!B694</f>
        <v>675</v>
      </c>
      <c r="C692" s="3"/>
      <c r="D692" s="37" t="str">
        <f>'13. Desinvesteringen'!C694</f>
        <v>01 Regionale leidingen</v>
      </c>
      <c r="E692" s="37">
        <f>'13. Desinvesteringen'!D694</f>
        <v>2004</v>
      </c>
      <c r="F692" s="42">
        <f>'13. Desinvesteringen'!E694</f>
        <v>7506.82</v>
      </c>
      <c r="G692" s="37">
        <f>'13. Desinvesteringen'!G694</f>
        <v>2025</v>
      </c>
    </row>
    <row r="693" spans="1:7" s="332" customFormat="1">
      <c r="A693" s="3"/>
      <c r="B693" s="37">
        <f>'13. Desinvesteringen'!B695</f>
        <v>676</v>
      </c>
      <c r="C693" s="3"/>
      <c r="D693" s="37" t="str">
        <f>'13. Desinvesteringen'!C695</f>
        <v>01 Regionale leidingen</v>
      </c>
      <c r="E693" s="37">
        <f>'13. Desinvesteringen'!D695</f>
        <v>2005</v>
      </c>
      <c r="F693" s="42">
        <f>'13. Desinvesteringen'!E695</f>
        <v>500909.4</v>
      </c>
      <c r="G693" s="37">
        <f>'13. Desinvesteringen'!G695</f>
        <v>2025</v>
      </c>
    </row>
    <row r="694" spans="1:7" s="332" customFormat="1">
      <c r="A694" s="3"/>
      <c r="B694" s="37">
        <f>'13. Desinvesteringen'!B696</f>
        <v>677</v>
      </c>
      <c r="C694" s="3"/>
      <c r="D694" s="37" t="str">
        <f>'13. Desinvesteringen'!C696</f>
        <v>01 Regionale leidingen</v>
      </c>
      <c r="E694" s="37">
        <f>'13. Desinvesteringen'!D696</f>
        <v>2008</v>
      </c>
      <c r="F694" s="42">
        <f>'13. Desinvesteringen'!E696</f>
        <v>232021.77</v>
      </c>
      <c r="G694" s="37">
        <f>'13. Desinvesteringen'!G696</f>
        <v>2025</v>
      </c>
    </row>
    <row r="695" spans="1:7" s="332" customFormat="1">
      <c r="A695" s="3"/>
      <c r="B695" s="37">
        <f>'13. Desinvesteringen'!B697</f>
        <v>678</v>
      </c>
      <c r="C695" s="3"/>
      <c r="D695" s="37" t="str">
        <f>'13. Desinvesteringen'!C697</f>
        <v>01 Regionale leidingen</v>
      </c>
      <c r="E695" s="37">
        <f>'13. Desinvesteringen'!D697</f>
        <v>2010</v>
      </c>
      <c r="F695" s="42">
        <f>'13. Desinvesteringen'!E697</f>
        <v>1064522.73</v>
      </c>
      <c r="G695" s="37">
        <f>'13. Desinvesteringen'!G697</f>
        <v>2025</v>
      </c>
    </row>
    <row r="696" spans="1:7" s="332" customFormat="1">
      <c r="A696" s="3"/>
      <c r="B696" s="37">
        <f>'13. Desinvesteringen'!B698</f>
        <v>679</v>
      </c>
      <c r="C696" s="3"/>
      <c r="D696" s="37" t="str">
        <f>'13. Desinvesteringen'!C698</f>
        <v>01 Regionale leidingen</v>
      </c>
      <c r="E696" s="37">
        <f>'13. Desinvesteringen'!D698</f>
        <v>2011</v>
      </c>
      <c r="F696" s="42">
        <f>'13. Desinvesteringen'!E698</f>
        <v>89555.22</v>
      </c>
      <c r="G696" s="37">
        <f>'13. Desinvesteringen'!G698</f>
        <v>2025</v>
      </c>
    </row>
    <row r="697" spans="1:7" s="332" customFormat="1">
      <c r="A697" s="3"/>
      <c r="B697" s="37">
        <f>'13. Desinvesteringen'!B699</f>
        <v>680</v>
      </c>
      <c r="C697" s="3"/>
      <c r="D697" s="37" t="str">
        <f>'13. Desinvesteringen'!C699</f>
        <v>01 Regionale leidingen</v>
      </c>
      <c r="E697" s="37">
        <f>'13. Desinvesteringen'!D699</f>
        <v>2012</v>
      </c>
      <c r="F697" s="42">
        <f>'13. Desinvesteringen'!E699</f>
        <v>609557.21</v>
      </c>
      <c r="G697" s="37">
        <f>'13. Desinvesteringen'!G699</f>
        <v>2025</v>
      </c>
    </row>
    <row r="698" spans="1:7" s="332" customFormat="1">
      <c r="A698" s="3"/>
      <c r="B698" s="37">
        <f>'13. Desinvesteringen'!B700</f>
        <v>681</v>
      </c>
      <c r="C698" s="3"/>
      <c r="D698" s="37" t="str">
        <f>'13. Desinvesteringen'!C700</f>
        <v>01 Regionale leidingen</v>
      </c>
      <c r="E698" s="37">
        <f>'13. Desinvesteringen'!D700</f>
        <v>2016</v>
      </c>
      <c r="F698" s="42">
        <f>'13. Desinvesteringen'!E700</f>
        <v>190476.55</v>
      </c>
      <c r="G698" s="37">
        <f>'13. Desinvesteringen'!G700</f>
        <v>2025</v>
      </c>
    </row>
    <row r="699" spans="1:7" s="332" customFormat="1">
      <c r="A699" s="3"/>
      <c r="B699" s="37">
        <f>'13. Desinvesteringen'!B701</f>
        <v>682</v>
      </c>
      <c r="C699" s="3"/>
      <c r="D699" s="37" t="str">
        <f>'13. Desinvesteringen'!C701</f>
        <v>01 Regionale leidingen</v>
      </c>
      <c r="E699" s="37">
        <f>'13. Desinvesteringen'!D701</f>
        <v>2017</v>
      </c>
      <c r="F699" s="42">
        <f>'13. Desinvesteringen'!E701</f>
        <v>439054.05</v>
      </c>
      <c r="G699" s="37">
        <f>'13. Desinvesteringen'!G701</f>
        <v>2025</v>
      </c>
    </row>
    <row r="700" spans="1:7" s="332" customFormat="1">
      <c r="A700" s="3"/>
      <c r="B700" s="37">
        <f>'13. Desinvesteringen'!B702</f>
        <v>683</v>
      </c>
      <c r="C700" s="3"/>
      <c r="D700" s="37" t="str">
        <f>'13. Desinvesteringen'!C702</f>
        <v>01 Regionale leidingen</v>
      </c>
      <c r="E700" s="37">
        <f>'13. Desinvesteringen'!D702</f>
        <v>2018</v>
      </c>
      <c r="F700" s="42">
        <f>'13. Desinvesteringen'!E702</f>
        <v>-2874.02</v>
      </c>
      <c r="G700" s="37">
        <f>'13. Desinvesteringen'!G702</f>
        <v>2025</v>
      </c>
    </row>
    <row r="701" spans="1:7" s="332" customFormat="1">
      <c r="A701" s="3"/>
      <c r="B701" s="37">
        <f>'13. Desinvesteringen'!B703</f>
        <v>684</v>
      </c>
      <c r="C701" s="3"/>
      <c r="D701" s="37" t="str">
        <f>'13. Desinvesteringen'!C703</f>
        <v>02 Gasontvangststations</v>
      </c>
      <c r="E701" s="37">
        <f>'13. Desinvesteringen'!D703</f>
        <v>1966</v>
      </c>
      <c r="F701" s="42">
        <f>'13. Desinvesteringen'!E703</f>
        <v>20442.080000000002</v>
      </c>
      <c r="G701" s="37">
        <f>'13. Desinvesteringen'!G703</f>
        <v>2025</v>
      </c>
    </row>
    <row r="702" spans="1:7" s="332" customFormat="1">
      <c r="A702" s="3"/>
      <c r="B702" s="37">
        <f>'13. Desinvesteringen'!B704</f>
        <v>685</v>
      </c>
      <c r="C702" s="3"/>
      <c r="D702" s="37" t="str">
        <f>'13. Desinvesteringen'!C704</f>
        <v>02 Gasontvangststations</v>
      </c>
      <c r="E702" s="37">
        <f>'13. Desinvesteringen'!D704</f>
        <v>1967</v>
      </c>
      <c r="F702" s="42">
        <f>'13. Desinvesteringen'!E704</f>
        <v>70722.649999999994</v>
      </c>
      <c r="G702" s="37">
        <f>'13. Desinvesteringen'!G704</f>
        <v>2025</v>
      </c>
    </row>
    <row r="703" spans="1:7" s="332" customFormat="1">
      <c r="A703" s="3"/>
      <c r="B703" s="37">
        <f>'13. Desinvesteringen'!B705</f>
        <v>686</v>
      </c>
      <c r="C703" s="3"/>
      <c r="D703" s="37" t="str">
        <f>'13. Desinvesteringen'!C705</f>
        <v>02 Gasontvangststations</v>
      </c>
      <c r="E703" s="37">
        <f>'13. Desinvesteringen'!D705</f>
        <v>1968</v>
      </c>
      <c r="F703" s="42">
        <f>'13. Desinvesteringen'!E705</f>
        <v>142783</v>
      </c>
      <c r="G703" s="37">
        <f>'13. Desinvesteringen'!G705</f>
        <v>2025</v>
      </c>
    </row>
    <row r="704" spans="1:7" s="332" customFormat="1">
      <c r="A704" s="3"/>
      <c r="B704" s="37">
        <f>'13. Desinvesteringen'!B706</f>
        <v>687</v>
      </c>
      <c r="C704" s="3"/>
      <c r="D704" s="37" t="str">
        <f>'13. Desinvesteringen'!C706</f>
        <v>02 Gasontvangststations</v>
      </c>
      <c r="E704" s="37">
        <f>'13. Desinvesteringen'!D706</f>
        <v>1969</v>
      </c>
      <c r="F704" s="42">
        <f>'13. Desinvesteringen'!E706</f>
        <v>243331.28</v>
      </c>
      <c r="G704" s="37">
        <f>'13. Desinvesteringen'!G706</f>
        <v>2025</v>
      </c>
    </row>
    <row r="705" spans="1:7" s="332" customFormat="1">
      <c r="A705" s="3"/>
      <c r="B705" s="37">
        <f>'13. Desinvesteringen'!B707</f>
        <v>688</v>
      </c>
      <c r="C705" s="3"/>
      <c r="D705" s="37" t="str">
        <f>'13. Desinvesteringen'!C707</f>
        <v>02 Gasontvangststations</v>
      </c>
      <c r="E705" s="37">
        <f>'13. Desinvesteringen'!D707</f>
        <v>1970</v>
      </c>
      <c r="F705" s="42">
        <f>'13. Desinvesteringen'!E707</f>
        <v>249536.62</v>
      </c>
      <c r="G705" s="37">
        <f>'13. Desinvesteringen'!G707</f>
        <v>2025</v>
      </c>
    </row>
    <row r="706" spans="1:7" s="332" customFormat="1">
      <c r="A706" s="3"/>
      <c r="B706" s="37">
        <f>'13. Desinvesteringen'!B708</f>
        <v>689</v>
      </c>
      <c r="C706" s="3"/>
      <c r="D706" s="37" t="str">
        <f>'13. Desinvesteringen'!C708</f>
        <v>02 Gasontvangststations</v>
      </c>
      <c r="E706" s="37">
        <f>'13. Desinvesteringen'!D708</f>
        <v>1971</v>
      </c>
      <c r="F706" s="42">
        <f>'13. Desinvesteringen'!E708</f>
        <v>141153.21</v>
      </c>
      <c r="G706" s="37">
        <f>'13. Desinvesteringen'!G708</f>
        <v>2025</v>
      </c>
    </row>
    <row r="707" spans="1:7" s="332" customFormat="1">
      <c r="A707" s="3"/>
      <c r="B707" s="37">
        <f>'13. Desinvesteringen'!B709</f>
        <v>690</v>
      </c>
      <c r="C707" s="3"/>
      <c r="D707" s="37" t="str">
        <f>'13. Desinvesteringen'!C709</f>
        <v>02 Gasontvangststations</v>
      </c>
      <c r="E707" s="37">
        <f>'13. Desinvesteringen'!D709</f>
        <v>1972</v>
      </c>
      <c r="F707" s="42">
        <f>'13. Desinvesteringen'!E709</f>
        <v>112822.17</v>
      </c>
      <c r="G707" s="37">
        <f>'13. Desinvesteringen'!G709</f>
        <v>2025</v>
      </c>
    </row>
    <row r="708" spans="1:7" s="332" customFormat="1">
      <c r="A708" s="3"/>
      <c r="B708" s="37">
        <f>'13. Desinvesteringen'!B710</f>
        <v>691</v>
      </c>
      <c r="C708" s="3"/>
      <c r="D708" s="37" t="str">
        <f>'13. Desinvesteringen'!C710</f>
        <v>02 Gasontvangststations</v>
      </c>
      <c r="E708" s="37">
        <f>'13. Desinvesteringen'!D710</f>
        <v>1973</v>
      </c>
      <c r="F708" s="42">
        <f>'13. Desinvesteringen'!E710</f>
        <v>21109.19</v>
      </c>
      <c r="G708" s="37">
        <f>'13. Desinvesteringen'!G710</f>
        <v>2025</v>
      </c>
    </row>
    <row r="709" spans="1:7" s="332" customFormat="1">
      <c r="A709" s="3"/>
      <c r="B709" s="37">
        <f>'13. Desinvesteringen'!B711</f>
        <v>692</v>
      </c>
      <c r="C709" s="3"/>
      <c r="D709" s="37" t="str">
        <f>'13. Desinvesteringen'!C711</f>
        <v>02 Gasontvangststations</v>
      </c>
      <c r="E709" s="37">
        <f>'13. Desinvesteringen'!D711</f>
        <v>1974</v>
      </c>
      <c r="F709" s="42">
        <f>'13. Desinvesteringen'!E711</f>
        <v>66336.070000000007</v>
      </c>
      <c r="G709" s="37">
        <f>'13. Desinvesteringen'!G711</f>
        <v>2025</v>
      </c>
    </row>
    <row r="710" spans="1:7" s="332" customFormat="1">
      <c r="A710" s="3"/>
      <c r="B710" s="37">
        <f>'13. Desinvesteringen'!B712</f>
        <v>693</v>
      </c>
      <c r="C710" s="3"/>
      <c r="D710" s="37" t="str">
        <f>'13. Desinvesteringen'!C712</f>
        <v>02 Gasontvangststations</v>
      </c>
      <c r="E710" s="37">
        <f>'13. Desinvesteringen'!D712</f>
        <v>1975</v>
      </c>
      <c r="F710" s="42">
        <f>'13. Desinvesteringen'!E712</f>
        <v>116217.54</v>
      </c>
      <c r="G710" s="37">
        <f>'13. Desinvesteringen'!G712</f>
        <v>2025</v>
      </c>
    </row>
    <row r="711" spans="1:7" s="332" customFormat="1">
      <c r="A711" s="3"/>
      <c r="B711" s="37">
        <f>'13. Desinvesteringen'!B713</f>
        <v>694</v>
      </c>
      <c r="C711" s="3"/>
      <c r="D711" s="37" t="str">
        <f>'13. Desinvesteringen'!C713</f>
        <v>02 Gasontvangststations</v>
      </c>
      <c r="E711" s="37">
        <f>'13. Desinvesteringen'!D713</f>
        <v>1976</v>
      </c>
      <c r="F711" s="42">
        <f>'13. Desinvesteringen'!E713</f>
        <v>112997.91</v>
      </c>
      <c r="G711" s="37">
        <f>'13. Desinvesteringen'!G713</f>
        <v>2025</v>
      </c>
    </row>
    <row r="712" spans="1:7" s="332" customFormat="1">
      <c r="A712" s="3"/>
      <c r="B712" s="37">
        <f>'13. Desinvesteringen'!B714</f>
        <v>695</v>
      </c>
      <c r="C712" s="3"/>
      <c r="D712" s="37" t="str">
        <f>'13. Desinvesteringen'!C714</f>
        <v>02 Gasontvangststations</v>
      </c>
      <c r="E712" s="37">
        <f>'13. Desinvesteringen'!D714</f>
        <v>1977</v>
      </c>
      <c r="F712" s="42">
        <f>'13. Desinvesteringen'!E714</f>
        <v>102021.61</v>
      </c>
      <c r="G712" s="37">
        <f>'13. Desinvesteringen'!G714</f>
        <v>2025</v>
      </c>
    </row>
    <row r="713" spans="1:7" s="332" customFormat="1">
      <c r="A713" s="3"/>
      <c r="B713" s="37">
        <f>'13. Desinvesteringen'!B715</f>
        <v>696</v>
      </c>
      <c r="C713" s="3"/>
      <c r="D713" s="37" t="str">
        <f>'13. Desinvesteringen'!C715</f>
        <v>02 Gasontvangststations</v>
      </c>
      <c r="E713" s="37">
        <f>'13. Desinvesteringen'!D715</f>
        <v>1978</v>
      </c>
      <c r="F713" s="42">
        <f>'13. Desinvesteringen'!E715</f>
        <v>29172.21</v>
      </c>
      <c r="G713" s="37">
        <f>'13. Desinvesteringen'!G715</f>
        <v>2025</v>
      </c>
    </row>
    <row r="714" spans="1:7" s="332" customFormat="1">
      <c r="A714" s="3"/>
      <c r="B714" s="37">
        <f>'13. Desinvesteringen'!B716</f>
        <v>697</v>
      </c>
      <c r="C714" s="3"/>
      <c r="D714" s="37" t="str">
        <f>'13. Desinvesteringen'!C716</f>
        <v>02 Gasontvangststations</v>
      </c>
      <c r="E714" s="37">
        <f>'13. Desinvesteringen'!D716</f>
        <v>1980</v>
      </c>
      <c r="F714" s="42">
        <f>'13. Desinvesteringen'!E716</f>
        <v>15011.07</v>
      </c>
      <c r="G714" s="37">
        <f>'13. Desinvesteringen'!G716</f>
        <v>2025</v>
      </c>
    </row>
    <row r="715" spans="1:7" s="332" customFormat="1">
      <c r="A715" s="3"/>
      <c r="B715" s="37">
        <f>'13. Desinvesteringen'!B717</f>
        <v>698</v>
      </c>
      <c r="C715" s="3"/>
      <c r="D715" s="37" t="str">
        <f>'13. Desinvesteringen'!C717</f>
        <v>02 Gasontvangststations</v>
      </c>
      <c r="E715" s="37">
        <f>'13. Desinvesteringen'!D717</f>
        <v>1982</v>
      </c>
      <c r="F715" s="42">
        <f>'13. Desinvesteringen'!E717</f>
        <v>44175.28</v>
      </c>
      <c r="G715" s="37">
        <f>'13. Desinvesteringen'!G717</f>
        <v>2025</v>
      </c>
    </row>
    <row r="716" spans="1:7" s="332" customFormat="1">
      <c r="A716" s="3"/>
      <c r="B716" s="37">
        <f>'13. Desinvesteringen'!B718</f>
        <v>699</v>
      </c>
      <c r="C716" s="3"/>
      <c r="D716" s="37" t="str">
        <f>'13. Desinvesteringen'!C718</f>
        <v>02 Gasontvangststations</v>
      </c>
      <c r="E716" s="37">
        <f>'13. Desinvesteringen'!D718</f>
        <v>1984</v>
      </c>
      <c r="F716" s="42">
        <f>'13. Desinvesteringen'!E718</f>
        <v>17043.580000000002</v>
      </c>
      <c r="G716" s="37">
        <f>'13. Desinvesteringen'!G718</f>
        <v>2025</v>
      </c>
    </row>
    <row r="717" spans="1:7" s="332" customFormat="1">
      <c r="A717" s="3"/>
      <c r="B717" s="37">
        <f>'13. Desinvesteringen'!B719</f>
        <v>700</v>
      </c>
      <c r="C717" s="3"/>
      <c r="D717" s="37" t="str">
        <f>'13. Desinvesteringen'!C719</f>
        <v>02 Gasontvangststations</v>
      </c>
      <c r="E717" s="37">
        <f>'13. Desinvesteringen'!D719</f>
        <v>1985</v>
      </c>
      <c r="F717" s="42">
        <f>'13. Desinvesteringen'!E719</f>
        <v>19671.18</v>
      </c>
      <c r="G717" s="37">
        <f>'13. Desinvesteringen'!G719</f>
        <v>2025</v>
      </c>
    </row>
    <row r="718" spans="1:7" s="332" customFormat="1">
      <c r="A718" s="3"/>
      <c r="B718" s="37">
        <f>'13. Desinvesteringen'!B720</f>
        <v>701</v>
      </c>
      <c r="C718" s="3"/>
      <c r="D718" s="37" t="str">
        <f>'13. Desinvesteringen'!C720</f>
        <v>02 Gasontvangststations</v>
      </c>
      <c r="E718" s="37">
        <f>'13. Desinvesteringen'!D720</f>
        <v>1987</v>
      </c>
      <c r="F718" s="42">
        <f>'13. Desinvesteringen'!E720</f>
        <v>20031.16</v>
      </c>
      <c r="G718" s="37">
        <f>'13. Desinvesteringen'!G720</f>
        <v>2025</v>
      </c>
    </row>
    <row r="719" spans="1:7" s="332" customFormat="1">
      <c r="A719" s="3"/>
      <c r="B719" s="37">
        <f>'13. Desinvesteringen'!B721</f>
        <v>702</v>
      </c>
      <c r="C719" s="3"/>
      <c r="D719" s="37" t="str">
        <f>'13. Desinvesteringen'!C721</f>
        <v>02 Gasontvangststations</v>
      </c>
      <c r="E719" s="37">
        <f>'13. Desinvesteringen'!D721</f>
        <v>1988</v>
      </c>
      <c r="F719" s="42">
        <f>'13. Desinvesteringen'!E721</f>
        <v>73937.05</v>
      </c>
      <c r="G719" s="37">
        <f>'13. Desinvesteringen'!G721</f>
        <v>2025</v>
      </c>
    </row>
    <row r="720" spans="1:7" s="332" customFormat="1">
      <c r="A720" s="3"/>
      <c r="B720" s="37">
        <f>'13. Desinvesteringen'!B722</f>
        <v>703</v>
      </c>
      <c r="C720" s="3"/>
      <c r="D720" s="37" t="str">
        <f>'13. Desinvesteringen'!C722</f>
        <v>02 Gasontvangststations</v>
      </c>
      <c r="E720" s="37">
        <f>'13. Desinvesteringen'!D722</f>
        <v>1989</v>
      </c>
      <c r="F720" s="42">
        <f>'13. Desinvesteringen'!E722</f>
        <v>45174.17</v>
      </c>
      <c r="G720" s="37">
        <f>'13. Desinvesteringen'!G722</f>
        <v>2025</v>
      </c>
    </row>
    <row r="721" spans="1:7" s="332" customFormat="1">
      <c r="A721" s="3"/>
      <c r="B721" s="37">
        <f>'13. Desinvesteringen'!B723</f>
        <v>704</v>
      </c>
      <c r="C721" s="3"/>
      <c r="D721" s="37" t="str">
        <f>'13. Desinvesteringen'!C723</f>
        <v>02 Gasontvangststations</v>
      </c>
      <c r="E721" s="37">
        <f>'13. Desinvesteringen'!D723</f>
        <v>1992</v>
      </c>
      <c r="F721" s="42">
        <f>'13. Desinvesteringen'!E723</f>
        <v>81859.009999999995</v>
      </c>
      <c r="G721" s="37">
        <f>'13. Desinvesteringen'!G723</f>
        <v>2025</v>
      </c>
    </row>
    <row r="722" spans="1:7" s="332" customFormat="1">
      <c r="A722" s="3"/>
      <c r="B722" s="37">
        <f>'13. Desinvesteringen'!B724</f>
        <v>705</v>
      </c>
      <c r="C722" s="3"/>
      <c r="D722" s="37" t="str">
        <f>'13. Desinvesteringen'!C724</f>
        <v>02 Gasontvangststations</v>
      </c>
      <c r="E722" s="37">
        <f>'13. Desinvesteringen'!D724</f>
        <v>1993</v>
      </c>
      <c r="F722" s="42">
        <f>'13. Desinvesteringen'!E724</f>
        <v>157381.32</v>
      </c>
      <c r="G722" s="37">
        <f>'13. Desinvesteringen'!G724</f>
        <v>2025</v>
      </c>
    </row>
    <row r="723" spans="1:7" s="332" customFormat="1">
      <c r="A723" s="3"/>
      <c r="B723" s="37">
        <f>'13. Desinvesteringen'!B725</f>
        <v>706</v>
      </c>
      <c r="C723" s="3"/>
      <c r="D723" s="37" t="str">
        <f>'13. Desinvesteringen'!C725</f>
        <v>02 Gasontvangststations</v>
      </c>
      <c r="E723" s="37">
        <f>'13. Desinvesteringen'!D725</f>
        <v>1994</v>
      </c>
      <c r="F723" s="42">
        <f>'13. Desinvesteringen'!E725</f>
        <v>65700.2</v>
      </c>
      <c r="G723" s="37">
        <f>'13. Desinvesteringen'!G725</f>
        <v>2025</v>
      </c>
    </row>
    <row r="724" spans="1:7" s="332" customFormat="1">
      <c r="A724" s="3"/>
      <c r="B724" s="37">
        <f>'13. Desinvesteringen'!B726</f>
        <v>707</v>
      </c>
      <c r="C724" s="3"/>
      <c r="D724" s="37" t="str">
        <f>'13. Desinvesteringen'!C726</f>
        <v>02 Gasontvangststations</v>
      </c>
      <c r="E724" s="37">
        <f>'13. Desinvesteringen'!D726</f>
        <v>1995</v>
      </c>
      <c r="F724" s="42">
        <f>'13. Desinvesteringen'!E726</f>
        <v>155979.47</v>
      </c>
      <c r="G724" s="37">
        <f>'13. Desinvesteringen'!G726</f>
        <v>2025</v>
      </c>
    </row>
    <row r="725" spans="1:7" s="332" customFormat="1">
      <c r="A725" s="3"/>
      <c r="B725" s="37">
        <f>'13. Desinvesteringen'!B727</f>
        <v>708</v>
      </c>
      <c r="C725" s="3"/>
      <c r="D725" s="37" t="str">
        <f>'13. Desinvesteringen'!C727</f>
        <v>02 Gasontvangststations</v>
      </c>
      <c r="E725" s="37">
        <f>'13. Desinvesteringen'!D727</f>
        <v>1997</v>
      </c>
      <c r="F725" s="42">
        <f>'13. Desinvesteringen'!E727</f>
        <v>23723.48</v>
      </c>
      <c r="G725" s="37">
        <f>'13. Desinvesteringen'!G727</f>
        <v>2025</v>
      </c>
    </row>
    <row r="726" spans="1:7" s="332" customFormat="1">
      <c r="A726" s="3"/>
      <c r="B726" s="37">
        <f>'13. Desinvesteringen'!B728</f>
        <v>709</v>
      </c>
      <c r="C726" s="3"/>
      <c r="D726" s="37" t="str">
        <f>'13. Desinvesteringen'!C728</f>
        <v>02 Gasontvangststations</v>
      </c>
      <c r="E726" s="37">
        <f>'13. Desinvesteringen'!D728</f>
        <v>1998</v>
      </c>
      <c r="F726" s="42">
        <f>'13. Desinvesteringen'!E728</f>
        <v>70555.61</v>
      </c>
      <c r="G726" s="37">
        <f>'13. Desinvesteringen'!G728</f>
        <v>2025</v>
      </c>
    </row>
    <row r="727" spans="1:7" s="332" customFormat="1">
      <c r="A727" s="3"/>
      <c r="B727" s="37">
        <f>'13. Desinvesteringen'!B729</f>
        <v>710</v>
      </c>
      <c r="C727" s="3"/>
      <c r="D727" s="37" t="str">
        <f>'13. Desinvesteringen'!C729</f>
        <v>02 Gasontvangststations</v>
      </c>
      <c r="E727" s="37">
        <f>'13. Desinvesteringen'!D729</f>
        <v>2000</v>
      </c>
      <c r="F727" s="42">
        <f>'13. Desinvesteringen'!E729</f>
        <v>25047.81</v>
      </c>
      <c r="G727" s="37">
        <f>'13. Desinvesteringen'!G729</f>
        <v>2025</v>
      </c>
    </row>
    <row r="728" spans="1:7" s="332" customFormat="1">
      <c r="A728" s="3"/>
      <c r="B728" s="37">
        <f>'13. Desinvesteringen'!B730</f>
        <v>711</v>
      </c>
      <c r="C728" s="3"/>
      <c r="D728" s="37" t="str">
        <f>'13. Desinvesteringen'!C730</f>
        <v>02 Gasontvangststations</v>
      </c>
      <c r="E728" s="37">
        <f>'13. Desinvesteringen'!D730</f>
        <v>2002</v>
      </c>
      <c r="F728" s="42">
        <f>'13. Desinvesteringen'!E730</f>
        <v>26302.54</v>
      </c>
      <c r="G728" s="37">
        <f>'13. Desinvesteringen'!G730</f>
        <v>2025</v>
      </c>
    </row>
    <row r="729" spans="1:7" s="332" customFormat="1">
      <c r="A729" s="3"/>
      <c r="B729" s="37">
        <f>'13. Desinvesteringen'!B731</f>
        <v>712</v>
      </c>
      <c r="C729" s="3"/>
      <c r="D729" s="37" t="str">
        <f>'13. Desinvesteringen'!C731</f>
        <v>02 Gasontvangststations</v>
      </c>
      <c r="E729" s="37">
        <f>'13. Desinvesteringen'!D731</f>
        <v>2003</v>
      </c>
      <c r="F729" s="42">
        <f>'13. Desinvesteringen'!E731</f>
        <v>34546.400000000001</v>
      </c>
      <c r="G729" s="37">
        <f>'13. Desinvesteringen'!G731</f>
        <v>2025</v>
      </c>
    </row>
    <row r="730" spans="1:7" s="332" customFormat="1">
      <c r="A730" s="3"/>
      <c r="B730" s="37">
        <f>'13. Desinvesteringen'!B732</f>
        <v>713</v>
      </c>
      <c r="C730" s="3"/>
      <c r="D730" s="37" t="str">
        <f>'13. Desinvesteringen'!C732</f>
        <v>02 Gasontvangststations</v>
      </c>
      <c r="E730" s="37">
        <f>'13. Desinvesteringen'!D732</f>
        <v>2005</v>
      </c>
      <c r="F730" s="42">
        <f>'13. Desinvesteringen'!E732</f>
        <v>93426.13</v>
      </c>
      <c r="G730" s="37">
        <f>'13. Desinvesteringen'!G732</f>
        <v>2025</v>
      </c>
    </row>
    <row r="731" spans="1:7" s="332" customFormat="1">
      <c r="A731" s="3"/>
      <c r="B731" s="37">
        <f>'13. Desinvesteringen'!B733</f>
        <v>714</v>
      </c>
      <c r="C731" s="3"/>
      <c r="D731" s="37" t="str">
        <f>'13. Desinvesteringen'!C733</f>
        <v>02 Gasontvangststations</v>
      </c>
      <c r="E731" s="37">
        <f>'13. Desinvesteringen'!D733</f>
        <v>2006</v>
      </c>
      <c r="F731" s="42">
        <f>'13. Desinvesteringen'!E733</f>
        <v>55849.25</v>
      </c>
      <c r="G731" s="37">
        <f>'13. Desinvesteringen'!G733</f>
        <v>2025</v>
      </c>
    </row>
    <row r="732" spans="1:7" s="332" customFormat="1">
      <c r="A732" s="3"/>
      <c r="B732" s="37">
        <f>'13. Desinvesteringen'!B734</f>
        <v>715</v>
      </c>
      <c r="C732" s="3"/>
      <c r="D732" s="37" t="str">
        <f>'13. Desinvesteringen'!C734</f>
        <v>02 Gasontvangststations</v>
      </c>
      <c r="E732" s="37">
        <f>'13. Desinvesteringen'!D734</f>
        <v>2007</v>
      </c>
      <c r="F732" s="42">
        <f>'13. Desinvesteringen'!E734</f>
        <v>27068.3</v>
      </c>
      <c r="G732" s="37">
        <f>'13. Desinvesteringen'!G734</f>
        <v>2025</v>
      </c>
    </row>
    <row r="733" spans="1:7" s="332" customFormat="1">
      <c r="A733" s="3"/>
      <c r="B733" s="37">
        <f>'13. Desinvesteringen'!B735</f>
        <v>716</v>
      </c>
      <c r="C733" s="3"/>
      <c r="D733" s="37" t="str">
        <f>'13. Desinvesteringen'!C735</f>
        <v>02 Gasontvangststations</v>
      </c>
      <c r="E733" s="37">
        <f>'13. Desinvesteringen'!D735</f>
        <v>2009</v>
      </c>
      <c r="F733" s="42">
        <f>'13. Desinvesteringen'!E735</f>
        <v>84141.16</v>
      </c>
      <c r="G733" s="37">
        <f>'13. Desinvesteringen'!G735</f>
        <v>2025</v>
      </c>
    </row>
    <row r="734" spans="1:7" s="332" customFormat="1">
      <c r="A734" s="3"/>
      <c r="B734" s="37">
        <f>'13. Desinvesteringen'!B736</f>
        <v>717</v>
      </c>
      <c r="C734" s="3"/>
      <c r="D734" s="37" t="str">
        <f>'13. Desinvesteringen'!C736</f>
        <v>02 Gasontvangststations</v>
      </c>
      <c r="E734" s="37">
        <f>'13. Desinvesteringen'!D736</f>
        <v>2011</v>
      </c>
      <c r="F734" s="42">
        <f>'13. Desinvesteringen'!E736</f>
        <v>32415.49</v>
      </c>
      <c r="G734" s="37">
        <f>'13. Desinvesteringen'!G736</f>
        <v>2025</v>
      </c>
    </row>
    <row r="735" spans="1:7" s="332" customFormat="1">
      <c r="A735" s="3"/>
      <c r="B735" s="37">
        <f>'13. Desinvesteringen'!B737</f>
        <v>718</v>
      </c>
      <c r="C735" s="3"/>
      <c r="D735" s="37" t="str">
        <f>'13. Desinvesteringen'!C737</f>
        <v>02 Gasontvangststations</v>
      </c>
      <c r="E735" s="37">
        <f>'13. Desinvesteringen'!D737</f>
        <v>2017</v>
      </c>
      <c r="F735" s="42">
        <f>'13. Desinvesteringen'!E737</f>
        <v>63625.98</v>
      </c>
      <c r="G735" s="37">
        <f>'13. Desinvesteringen'!G737</f>
        <v>2025</v>
      </c>
    </row>
    <row r="736" spans="1:7" s="332" customFormat="1">
      <c r="A736" s="3"/>
      <c r="B736" s="37">
        <f>'13. Desinvesteringen'!B738</f>
        <v>719</v>
      </c>
      <c r="C736" s="3"/>
      <c r="D736" s="37" t="str">
        <f>'13. Desinvesteringen'!C738</f>
        <v>02 Gasontvangststations</v>
      </c>
      <c r="E736" s="37">
        <f>'13. Desinvesteringen'!D738</f>
        <v>2018</v>
      </c>
      <c r="F736" s="42">
        <f>'13. Desinvesteringen'!E738</f>
        <v>-1236.18</v>
      </c>
      <c r="G736" s="37">
        <f>'13. Desinvesteringen'!G738</f>
        <v>2025</v>
      </c>
    </row>
    <row r="737" spans="1:7" s="332" customFormat="1">
      <c r="A737" s="3"/>
      <c r="B737" s="37">
        <f>'13. Desinvesteringen'!B739</f>
        <v>720</v>
      </c>
      <c r="C737" s="3"/>
      <c r="D737" s="37" t="str">
        <f>'13. Desinvesteringen'!C739</f>
        <v>02 Gasontvangststations</v>
      </c>
      <c r="E737" s="37">
        <f>'13. Desinvesteringen'!D739</f>
        <v>2019</v>
      </c>
      <c r="F737" s="42">
        <f>'13. Desinvesteringen'!E739</f>
        <v>21322.87</v>
      </c>
      <c r="G737" s="37">
        <f>'13. Desinvesteringen'!G739</f>
        <v>2025</v>
      </c>
    </row>
    <row r="738" spans="1:7" s="332" customFormat="1">
      <c r="A738" s="3"/>
      <c r="B738" s="37">
        <f>'13. Desinvesteringen'!B740</f>
        <v>721</v>
      </c>
      <c r="C738" s="3"/>
      <c r="D738" s="37" t="str">
        <f>'13. Desinvesteringen'!C740</f>
        <v>02 Gasontvangststations</v>
      </c>
      <c r="E738" s="37">
        <f>'13. Desinvesteringen'!D740</f>
        <v>2020</v>
      </c>
      <c r="F738" s="42">
        <f>'13. Desinvesteringen'!E740</f>
        <v>57793.46</v>
      </c>
      <c r="G738" s="37">
        <f>'13. Desinvesteringen'!G740</f>
        <v>2025</v>
      </c>
    </row>
    <row r="739" spans="1:7" s="332" customFormat="1">
      <c r="A739" s="3"/>
      <c r="B739" s="37">
        <f>'13. Desinvesteringen'!B741</f>
        <v>722</v>
      </c>
      <c r="C739" s="3"/>
      <c r="D739" s="37" t="str">
        <f>'13. Desinvesteringen'!C741</f>
        <v>04 Terreinen</v>
      </c>
      <c r="E739" s="37">
        <f>'13. Desinvesteringen'!D741</f>
        <v>1996</v>
      </c>
      <c r="F739" s="42">
        <f>'13. Desinvesteringen'!E741</f>
        <v>0</v>
      </c>
      <c r="G739" s="37">
        <f>'13. Desinvesteringen'!G741</f>
        <v>2025</v>
      </c>
    </row>
    <row r="740" spans="1:7" s="332" customFormat="1">
      <c r="A740" s="3"/>
      <c r="B740" s="37">
        <f>'13. Desinvesteringen'!B742</f>
        <v>723</v>
      </c>
      <c r="C740" s="3"/>
      <c r="D740" s="37" t="str">
        <f>'13. Desinvesteringen'!C742</f>
        <v>04 Terreinen</v>
      </c>
      <c r="E740" s="37">
        <f>'13. Desinvesteringen'!D742</f>
        <v>2007</v>
      </c>
      <c r="F740" s="42">
        <f>'13. Desinvesteringen'!E742</f>
        <v>7351.24</v>
      </c>
      <c r="G740" s="37">
        <f>'13. Desinvesteringen'!G742</f>
        <v>2025</v>
      </c>
    </row>
    <row r="741" spans="1:7" s="332" customFormat="1">
      <c r="A741" s="3"/>
      <c r="B741" s="37">
        <f>'13. Desinvesteringen'!B743</f>
        <v>724</v>
      </c>
      <c r="C741" s="3"/>
      <c r="D741" s="37" t="str">
        <f>'13. Desinvesteringen'!C743</f>
        <v>06 Utiliteitsgebouwen</v>
      </c>
      <c r="E741" s="37">
        <f>'13. Desinvesteringen'!D743</f>
        <v>2005</v>
      </c>
      <c r="F741" s="42">
        <f>'13. Desinvesteringen'!E743</f>
        <v>73548.490000000005</v>
      </c>
      <c r="G741" s="37">
        <f>'13. Desinvesteringen'!G743</f>
        <v>2025</v>
      </c>
    </row>
    <row r="742" spans="1:7" s="332" customFormat="1">
      <c r="A742" s="3"/>
      <c r="B742" s="37">
        <f>'13. Desinvesteringen'!B744</f>
        <v>725</v>
      </c>
      <c r="C742" s="3"/>
      <c r="D742" s="37" t="str">
        <f>'13. Desinvesteringen'!C744</f>
        <v>06 Utiliteitsgebouwen</v>
      </c>
      <c r="E742" s="37">
        <f>'13. Desinvesteringen'!D744</f>
        <v>2008</v>
      </c>
      <c r="F742" s="42">
        <f>'13. Desinvesteringen'!E744</f>
        <v>0</v>
      </c>
      <c r="G742" s="37">
        <f>'13. Desinvesteringen'!G744</f>
        <v>2025</v>
      </c>
    </row>
    <row r="743" spans="1:7" s="332" customFormat="1">
      <c r="A743" s="3"/>
      <c r="B743" s="37">
        <f>'13. Desinvesteringen'!B745</f>
        <v>726</v>
      </c>
      <c r="C743" s="3"/>
      <c r="D743" s="37" t="str">
        <f>'13. Desinvesteringen'!C745</f>
        <v>06 Utiliteitsgebouwen</v>
      </c>
      <c r="E743" s="37">
        <f>'13. Desinvesteringen'!D745</f>
        <v>2010</v>
      </c>
      <c r="F743" s="42">
        <f>'13. Desinvesteringen'!E745</f>
        <v>33850.980000000003</v>
      </c>
      <c r="G743" s="37">
        <f>'13. Desinvesteringen'!G745</f>
        <v>2025</v>
      </c>
    </row>
    <row r="744" spans="1:7" s="332" customFormat="1">
      <c r="A744" s="3"/>
      <c r="B744" s="37">
        <f>'13. Desinvesteringen'!B746</f>
        <v>727</v>
      </c>
      <c r="C744" s="3"/>
      <c r="D744" s="37" t="str">
        <f>'13. Desinvesteringen'!C746</f>
        <v>08 Inrichting gebouwen</v>
      </c>
      <c r="E744" s="37">
        <f>'13. Desinvesteringen'!D746</f>
        <v>1970</v>
      </c>
      <c r="F744" s="42">
        <f>'13. Desinvesteringen'!E746</f>
        <v>12465.83</v>
      </c>
      <c r="G744" s="37">
        <f>'13. Desinvesteringen'!G746</f>
        <v>2025</v>
      </c>
    </row>
    <row r="745" spans="1:7" s="332" customFormat="1">
      <c r="A745" s="3"/>
      <c r="B745" s="37">
        <f>'13. Desinvesteringen'!B747</f>
        <v>728</v>
      </c>
      <c r="C745" s="3"/>
      <c r="D745" s="37" t="str">
        <f>'13. Desinvesteringen'!C747</f>
        <v>15 Compressorstations (KC)</v>
      </c>
      <c r="E745" s="37">
        <f>'13. Desinvesteringen'!D747</f>
        <v>1970</v>
      </c>
      <c r="F745" s="42">
        <f>'13. Desinvesteringen'!E747</f>
        <v>1226.22</v>
      </c>
      <c r="G745" s="37">
        <f>'13. Desinvesteringen'!G747</f>
        <v>2025</v>
      </c>
    </row>
    <row r="746" spans="1:7" s="332" customFormat="1">
      <c r="A746" s="3"/>
      <c r="B746" s="37">
        <f>'13. Desinvesteringen'!B748</f>
        <v>729</v>
      </c>
      <c r="C746" s="3"/>
      <c r="D746" s="37" t="str">
        <f>'13. Desinvesteringen'!C748</f>
        <v>15 Compressorstations (KC)</v>
      </c>
      <c r="E746" s="37">
        <f>'13. Desinvesteringen'!D748</f>
        <v>1971</v>
      </c>
      <c r="F746" s="42">
        <f>'13. Desinvesteringen'!E748</f>
        <v>21145.83</v>
      </c>
      <c r="G746" s="37">
        <f>'13. Desinvesteringen'!G748</f>
        <v>2025</v>
      </c>
    </row>
    <row r="747" spans="1:7" s="332" customFormat="1">
      <c r="A747" s="3"/>
      <c r="B747" s="37">
        <f>'13. Desinvesteringen'!B749</f>
        <v>730</v>
      </c>
      <c r="C747" s="3"/>
      <c r="D747" s="37" t="str">
        <f>'13. Desinvesteringen'!C749</f>
        <v>15 Compressorstations (KC)</v>
      </c>
      <c r="E747" s="37">
        <f>'13. Desinvesteringen'!D749</f>
        <v>1972</v>
      </c>
      <c r="F747" s="42">
        <f>'13. Desinvesteringen'!E749</f>
        <v>415.23</v>
      </c>
      <c r="G747" s="37">
        <f>'13. Desinvesteringen'!G749</f>
        <v>2025</v>
      </c>
    </row>
    <row r="748" spans="1:7" s="332" customFormat="1">
      <c r="A748" s="3"/>
      <c r="B748" s="37">
        <f>'13. Desinvesteringen'!B750</f>
        <v>731</v>
      </c>
      <c r="C748" s="3"/>
      <c r="D748" s="37" t="str">
        <f>'13. Desinvesteringen'!C750</f>
        <v>15 Compressorstations (KC)</v>
      </c>
      <c r="E748" s="37">
        <f>'13. Desinvesteringen'!D750</f>
        <v>2010</v>
      </c>
      <c r="F748" s="42">
        <f>'13. Desinvesteringen'!E750</f>
        <v>31970.31</v>
      </c>
      <c r="G748" s="37">
        <f>'13. Desinvesteringen'!G750</f>
        <v>2025</v>
      </c>
    </row>
    <row r="749" spans="1:7" s="332" customFormat="1">
      <c r="A749" s="3"/>
      <c r="B749" s="37">
        <f>'13. Desinvesteringen'!B751</f>
        <v>732</v>
      </c>
      <c r="C749" s="3"/>
      <c r="D749" s="37" t="str">
        <f>'13. Desinvesteringen'!C751</f>
        <v>15 Compressorstations (TT-BT-AT)</v>
      </c>
      <c r="E749" s="37">
        <f>'13. Desinvesteringen'!D751</f>
        <v>1970</v>
      </c>
      <c r="F749" s="42">
        <f>'13. Desinvesteringen'!E751</f>
        <v>19829.099999999999</v>
      </c>
      <c r="G749" s="37">
        <f>'13. Desinvesteringen'!G751</f>
        <v>2025</v>
      </c>
    </row>
    <row r="750" spans="1:7" s="332" customFormat="1">
      <c r="A750" s="3"/>
      <c r="B750" s="37">
        <f>'13. Desinvesteringen'!B752</f>
        <v>733</v>
      </c>
      <c r="C750" s="3"/>
      <c r="D750" s="37" t="str">
        <f>'13. Desinvesteringen'!C752</f>
        <v>15 Compressorstations (TT-BT-AT)</v>
      </c>
      <c r="E750" s="37">
        <f>'13. Desinvesteringen'!D752</f>
        <v>1971</v>
      </c>
      <c r="F750" s="42">
        <f>'13. Desinvesteringen'!E752</f>
        <v>68455.149999999994</v>
      </c>
      <c r="G750" s="37">
        <f>'13. Desinvesteringen'!G752</f>
        <v>2025</v>
      </c>
    </row>
    <row r="751" spans="1:7" s="332" customFormat="1">
      <c r="A751" s="3"/>
      <c r="B751" s="37">
        <f>'13. Desinvesteringen'!B753</f>
        <v>734</v>
      </c>
      <c r="C751" s="3"/>
      <c r="D751" s="37" t="str">
        <f>'13. Desinvesteringen'!C753</f>
        <v>15 Compressorstations (TT-BT-AT)</v>
      </c>
      <c r="E751" s="37">
        <f>'13. Desinvesteringen'!D753</f>
        <v>1972</v>
      </c>
      <c r="F751" s="42">
        <f>'13. Desinvesteringen'!E753</f>
        <v>4002.08</v>
      </c>
      <c r="G751" s="37">
        <f>'13. Desinvesteringen'!G753</f>
        <v>2025</v>
      </c>
    </row>
    <row r="752" spans="1:7" s="332" customFormat="1">
      <c r="A752" s="3"/>
      <c r="B752" s="37">
        <f>'13. Desinvesteringen'!B754</f>
        <v>735</v>
      </c>
      <c r="C752" s="3"/>
      <c r="D752" s="37" t="str">
        <f>'13. Desinvesteringen'!C754</f>
        <v>15 Compressorstations (TT-BT-AT)</v>
      </c>
      <c r="E752" s="37">
        <f>'13. Desinvesteringen'!D754</f>
        <v>2007</v>
      </c>
      <c r="F752" s="42">
        <f>'13. Desinvesteringen'!E754</f>
        <v>500384.61</v>
      </c>
      <c r="G752" s="37">
        <f>'13. Desinvesteringen'!G754</f>
        <v>2025</v>
      </c>
    </row>
    <row r="753" spans="1:7" s="332" customFormat="1">
      <c r="A753" s="3"/>
      <c r="B753" s="37">
        <f>'13. Desinvesteringen'!B755</f>
        <v>736</v>
      </c>
      <c r="C753" s="3"/>
      <c r="D753" s="37" t="str">
        <f>'13. Desinvesteringen'!C755</f>
        <v>15 Compressorstations (TT-BT-AT)</v>
      </c>
      <c r="E753" s="37">
        <f>'13. Desinvesteringen'!D755</f>
        <v>2010</v>
      </c>
      <c r="F753" s="42">
        <f>'13. Desinvesteringen'!E755</f>
        <v>1009667.61</v>
      </c>
      <c r="G753" s="37">
        <f>'13. Desinvesteringen'!G755</f>
        <v>2025</v>
      </c>
    </row>
    <row r="754" spans="1:7" s="332" customFormat="1">
      <c r="A754" s="3"/>
      <c r="B754" s="37">
        <f>'13. Desinvesteringen'!B756</f>
        <v>737</v>
      </c>
      <c r="C754" s="3"/>
      <c r="D754" s="37" t="str">
        <f>'13. Desinvesteringen'!C756</f>
        <v>15 Compressorstations (TT-BT-AT)</v>
      </c>
      <c r="E754" s="37">
        <f>'13. Desinvesteringen'!D756</f>
        <v>2011</v>
      </c>
      <c r="F754" s="42">
        <f>'13. Desinvesteringen'!E756</f>
        <v>200273.91999999998</v>
      </c>
      <c r="G754" s="37">
        <f>'13. Desinvesteringen'!G756</f>
        <v>2025</v>
      </c>
    </row>
    <row r="755" spans="1:7" s="332" customFormat="1">
      <c r="A755" s="3"/>
      <c r="B755" s="37">
        <f>'13. Desinvesteringen'!B757</f>
        <v>738</v>
      </c>
      <c r="C755" s="3"/>
      <c r="D755" s="37" t="str">
        <f>'13. Desinvesteringen'!C757</f>
        <v>16 LNG installaties</v>
      </c>
      <c r="E755" s="37">
        <f>'13. Desinvesteringen'!D757</f>
        <v>1977</v>
      </c>
      <c r="F755" s="42">
        <f>'13. Desinvesteringen'!E757</f>
        <v>501531.13</v>
      </c>
      <c r="G755" s="37">
        <f>'13. Desinvesteringen'!G757</f>
        <v>2025</v>
      </c>
    </row>
    <row r="756" spans="1:7" s="332" customFormat="1">
      <c r="A756" s="3"/>
      <c r="B756" s="37">
        <f>'13. Desinvesteringen'!B758</f>
        <v>739</v>
      </c>
      <c r="C756" s="3"/>
      <c r="D756" s="37" t="str">
        <f>'13. Desinvesteringen'!C758</f>
        <v>17 Mengstations</v>
      </c>
      <c r="E756" s="37">
        <f>'13. Desinvesteringen'!D758</f>
        <v>1978</v>
      </c>
      <c r="F756" s="42">
        <f>'13. Desinvesteringen'!E758</f>
        <v>5765991.25</v>
      </c>
      <c r="G756" s="37">
        <f>'13. Desinvesteringen'!G758</f>
        <v>2025</v>
      </c>
    </row>
    <row r="757" spans="1:7" s="332" customFormat="1">
      <c r="A757" s="3"/>
      <c r="B757" s="37">
        <f>'13. Desinvesteringen'!B759</f>
        <v>740</v>
      </c>
      <c r="C757" s="3"/>
      <c r="D757" s="37" t="str">
        <f>'13. Desinvesteringen'!C759</f>
        <v>17 Mengstations</v>
      </c>
      <c r="E757" s="37">
        <f>'13. Desinvesteringen'!D759</f>
        <v>1979</v>
      </c>
      <c r="F757" s="42">
        <f>'13. Desinvesteringen'!E759</f>
        <v>12064.52</v>
      </c>
      <c r="G757" s="37">
        <f>'13. Desinvesteringen'!G759</f>
        <v>2025</v>
      </c>
    </row>
    <row r="758" spans="1:7" s="332" customFormat="1">
      <c r="A758" s="3"/>
      <c r="B758" s="37">
        <f>'13. Desinvesteringen'!B760</f>
        <v>741</v>
      </c>
      <c r="C758" s="3"/>
      <c r="D758" s="37" t="str">
        <f>'13. Desinvesteringen'!C760</f>
        <v>17 Mengstations</v>
      </c>
      <c r="E758" s="37">
        <f>'13. Desinvesteringen'!D760</f>
        <v>1985</v>
      </c>
      <c r="F758" s="42">
        <f>'13. Desinvesteringen'!E760</f>
        <v>0</v>
      </c>
      <c r="G758" s="37">
        <f>'13. Desinvesteringen'!G760</f>
        <v>2025</v>
      </c>
    </row>
    <row r="759" spans="1:7" s="332" customFormat="1">
      <c r="A759" s="3"/>
      <c r="B759" s="37">
        <f>'13. Desinvesteringen'!B761</f>
        <v>742</v>
      </c>
      <c r="C759" s="3"/>
      <c r="D759" s="37" t="str">
        <f>'13. Desinvesteringen'!C761</f>
        <v>17 Mengstations</v>
      </c>
      <c r="E759" s="37">
        <f>'13. Desinvesteringen'!D761</f>
        <v>1990</v>
      </c>
      <c r="F759" s="42">
        <f>'13. Desinvesteringen'!E761</f>
        <v>60239.68</v>
      </c>
      <c r="G759" s="37">
        <f>'13. Desinvesteringen'!G761</f>
        <v>2025</v>
      </c>
    </row>
    <row r="760" spans="1:7" s="332" customFormat="1">
      <c r="A760" s="3"/>
      <c r="B760" s="37">
        <f>'13. Desinvesteringen'!B762</f>
        <v>743</v>
      </c>
      <c r="C760" s="3"/>
      <c r="D760" s="37" t="str">
        <f>'13. Desinvesteringen'!C762</f>
        <v>17 Mengstations</v>
      </c>
      <c r="E760" s="37">
        <f>'13. Desinvesteringen'!D762</f>
        <v>1992</v>
      </c>
      <c r="F760" s="42">
        <f>'13. Desinvesteringen'!E762</f>
        <v>477787.53</v>
      </c>
      <c r="G760" s="37">
        <f>'13. Desinvesteringen'!G762</f>
        <v>2025</v>
      </c>
    </row>
    <row r="761" spans="1:7" s="332" customFormat="1">
      <c r="A761" s="3"/>
      <c r="B761" s="37">
        <f>'13. Desinvesteringen'!B763</f>
        <v>744</v>
      </c>
      <c r="C761" s="3"/>
      <c r="D761" s="37" t="str">
        <f>'13. Desinvesteringen'!C763</f>
        <v>17 Mengstations</v>
      </c>
      <c r="E761" s="37">
        <f>'13. Desinvesteringen'!D763</f>
        <v>2003</v>
      </c>
      <c r="F761" s="42">
        <f>'13. Desinvesteringen'!E763</f>
        <v>803.59</v>
      </c>
      <c r="G761" s="37">
        <f>'13. Desinvesteringen'!G763</f>
        <v>2025</v>
      </c>
    </row>
    <row r="762" spans="1:7" s="332" customFormat="1">
      <c r="A762" s="3"/>
      <c r="B762" s="37">
        <f>'13. Desinvesteringen'!B764</f>
        <v>745</v>
      </c>
      <c r="C762" s="3"/>
      <c r="D762" s="37" t="str">
        <f>'13. Desinvesteringen'!C764</f>
        <v>17 Mengstations</v>
      </c>
      <c r="E762" s="37">
        <f>'13. Desinvesteringen'!D764</f>
        <v>2011</v>
      </c>
      <c r="F762" s="42">
        <f>'13. Desinvesteringen'!E764</f>
        <v>390154.47</v>
      </c>
      <c r="G762" s="37">
        <f>'13. Desinvesteringen'!G764</f>
        <v>2025</v>
      </c>
    </row>
    <row r="763" spans="1:7" s="332" customFormat="1">
      <c r="A763" s="3"/>
      <c r="B763" s="37">
        <f>'13. Desinvesteringen'!B765</f>
        <v>746</v>
      </c>
      <c r="C763" s="3"/>
      <c r="D763" s="37" t="str">
        <f>'13. Desinvesteringen'!C765</f>
        <v>17 Mengstations</v>
      </c>
      <c r="E763" s="37">
        <f>'13. Desinvesteringen'!D765</f>
        <v>2013</v>
      </c>
      <c r="F763" s="42">
        <f>'13. Desinvesteringen'!E765</f>
        <v>1165099.05</v>
      </c>
      <c r="G763" s="37">
        <f>'13. Desinvesteringen'!G765</f>
        <v>2025</v>
      </c>
    </row>
    <row r="764" spans="1:7" s="332" customFormat="1">
      <c r="A764" s="3"/>
      <c r="B764" s="37">
        <f>'13. Desinvesteringen'!B766</f>
        <v>747</v>
      </c>
      <c r="C764" s="3"/>
      <c r="D764" s="37" t="str">
        <f>'13. Desinvesteringen'!C766</f>
        <v>17 Mengstations</v>
      </c>
      <c r="E764" s="37">
        <f>'13. Desinvesteringen'!D766</f>
        <v>2016</v>
      </c>
      <c r="F764" s="42">
        <f>'13. Desinvesteringen'!E766</f>
        <v>119449.71</v>
      </c>
      <c r="G764" s="37">
        <f>'13. Desinvesteringen'!G766</f>
        <v>2025</v>
      </c>
    </row>
    <row r="765" spans="1:7" s="332" customFormat="1">
      <c r="A765" s="3"/>
      <c r="B765" s="37">
        <f>'13. Desinvesteringen'!B767</f>
        <v>748</v>
      </c>
      <c r="C765" s="3"/>
      <c r="D765" s="37" t="str">
        <f>'13. Desinvesteringen'!C767</f>
        <v>17 Mengstations</v>
      </c>
      <c r="E765" s="37">
        <f>'13. Desinvesteringen'!D767</f>
        <v>2018</v>
      </c>
      <c r="F765" s="42">
        <f>'13. Desinvesteringen'!E767</f>
        <v>95300.17</v>
      </c>
      <c r="G765" s="37">
        <f>'13. Desinvesteringen'!G767</f>
        <v>2025</v>
      </c>
    </row>
    <row r="766" spans="1:7" s="332" customFormat="1">
      <c r="A766" s="3"/>
      <c r="B766" s="37">
        <f>'13. Desinvesteringen'!B768</f>
        <v>749</v>
      </c>
      <c r="C766" s="3"/>
      <c r="D766" s="37" t="str">
        <f>'13. Desinvesteringen'!C768</f>
        <v>21 Hoofdtransportleiding</v>
      </c>
      <c r="E766" s="37">
        <f>'13. Desinvesteringen'!D768</f>
        <v>1964</v>
      </c>
      <c r="F766" s="42">
        <f>'13. Desinvesteringen'!E768</f>
        <v>77865.440000000002</v>
      </c>
      <c r="G766" s="37">
        <f>'13. Desinvesteringen'!G768</f>
        <v>2025</v>
      </c>
    </row>
    <row r="767" spans="1:7" s="332" customFormat="1">
      <c r="A767" s="3"/>
      <c r="B767" s="37">
        <f>'13. Desinvesteringen'!B769</f>
        <v>750</v>
      </c>
      <c r="C767" s="3"/>
      <c r="D767" s="37" t="str">
        <f>'13. Desinvesteringen'!C769</f>
        <v>21 Hoofdtransportleiding</v>
      </c>
      <c r="E767" s="37">
        <f>'13. Desinvesteringen'!D769</f>
        <v>1966</v>
      </c>
      <c r="F767" s="42">
        <f>'13. Desinvesteringen'!E769</f>
        <v>99174.45</v>
      </c>
      <c r="G767" s="37">
        <f>'13. Desinvesteringen'!G769</f>
        <v>2025</v>
      </c>
    </row>
    <row r="768" spans="1:7" s="332" customFormat="1">
      <c r="A768" s="3"/>
      <c r="B768" s="37">
        <f>'13. Desinvesteringen'!B770</f>
        <v>751</v>
      </c>
      <c r="C768" s="3"/>
      <c r="D768" s="37" t="str">
        <f>'13. Desinvesteringen'!C770</f>
        <v>21 Hoofdtransportleiding</v>
      </c>
      <c r="E768" s="37">
        <f>'13. Desinvesteringen'!D770</f>
        <v>1968</v>
      </c>
      <c r="F768" s="42">
        <f>'13. Desinvesteringen'!E770</f>
        <v>7832.59</v>
      </c>
      <c r="G768" s="37">
        <f>'13. Desinvesteringen'!G770</f>
        <v>2025</v>
      </c>
    </row>
    <row r="769" spans="1:7" s="332" customFormat="1">
      <c r="A769" s="3"/>
      <c r="B769" s="37">
        <f>'13. Desinvesteringen'!B771</f>
        <v>752</v>
      </c>
      <c r="C769" s="3"/>
      <c r="D769" s="37" t="str">
        <f>'13. Desinvesteringen'!C771</f>
        <v>21 Hoofdtransportleiding</v>
      </c>
      <c r="E769" s="37">
        <f>'13. Desinvesteringen'!D771</f>
        <v>1970</v>
      </c>
      <c r="F769" s="42">
        <f>'13. Desinvesteringen'!E771</f>
        <v>70000</v>
      </c>
      <c r="G769" s="37">
        <f>'13. Desinvesteringen'!G771</f>
        <v>2025</v>
      </c>
    </row>
    <row r="770" spans="1:7" s="332" customFormat="1">
      <c r="A770" s="3"/>
      <c r="B770" s="37">
        <f>'13. Desinvesteringen'!B772</f>
        <v>753</v>
      </c>
      <c r="C770" s="3"/>
      <c r="D770" s="37" t="str">
        <f>'13. Desinvesteringen'!C772</f>
        <v>21 Hoofdtransportleiding</v>
      </c>
      <c r="E770" s="37">
        <f>'13. Desinvesteringen'!D772</f>
        <v>1971</v>
      </c>
      <c r="F770" s="42">
        <f>'13. Desinvesteringen'!E772</f>
        <v>2807.5</v>
      </c>
      <c r="G770" s="37">
        <f>'13. Desinvesteringen'!G772</f>
        <v>2025</v>
      </c>
    </row>
    <row r="771" spans="1:7" s="332" customFormat="1">
      <c r="A771" s="3"/>
      <c r="B771" s="37">
        <f>'13. Desinvesteringen'!B773</f>
        <v>754</v>
      </c>
      <c r="C771" s="3"/>
      <c r="D771" s="37" t="str">
        <f>'13. Desinvesteringen'!C773</f>
        <v>21 Hoofdtransportleiding</v>
      </c>
      <c r="E771" s="37">
        <f>'13. Desinvesteringen'!D773</f>
        <v>1972</v>
      </c>
      <c r="F771" s="42">
        <f>'13. Desinvesteringen'!E773</f>
        <v>170910.43</v>
      </c>
      <c r="G771" s="37">
        <f>'13. Desinvesteringen'!G773</f>
        <v>2025</v>
      </c>
    </row>
    <row r="772" spans="1:7" s="332" customFormat="1">
      <c r="A772" s="3"/>
      <c r="B772" s="37">
        <f>'13. Desinvesteringen'!B774</f>
        <v>755</v>
      </c>
      <c r="C772" s="3"/>
      <c r="D772" s="37" t="str">
        <f>'13. Desinvesteringen'!C774</f>
        <v>21 Hoofdtransportleiding</v>
      </c>
      <c r="E772" s="37">
        <f>'13. Desinvesteringen'!D774</f>
        <v>1973</v>
      </c>
      <c r="F772" s="42">
        <f>'13. Desinvesteringen'!E774</f>
        <v>148797.57999999999</v>
      </c>
      <c r="G772" s="37">
        <f>'13. Desinvesteringen'!G774</f>
        <v>2025</v>
      </c>
    </row>
    <row r="773" spans="1:7" s="332" customFormat="1">
      <c r="A773" s="3"/>
      <c r="B773" s="37">
        <f>'13. Desinvesteringen'!B775</f>
        <v>756</v>
      </c>
      <c r="C773" s="3"/>
      <c r="D773" s="37" t="str">
        <f>'13. Desinvesteringen'!C775</f>
        <v>21 Hoofdtransportleiding</v>
      </c>
      <c r="E773" s="37">
        <f>'13. Desinvesteringen'!D775</f>
        <v>1975</v>
      </c>
      <c r="F773" s="42">
        <f>'13. Desinvesteringen'!E775</f>
        <v>18564.669999999998</v>
      </c>
      <c r="G773" s="37">
        <f>'13. Desinvesteringen'!G775</f>
        <v>2025</v>
      </c>
    </row>
    <row r="774" spans="1:7" s="332" customFormat="1">
      <c r="A774" s="3"/>
      <c r="B774" s="37">
        <f>'13. Desinvesteringen'!B776</f>
        <v>757</v>
      </c>
      <c r="C774" s="3"/>
      <c r="D774" s="37" t="str">
        <f>'13. Desinvesteringen'!C776</f>
        <v>21 Hoofdtransportleiding</v>
      </c>
      <c r="E774" s="37">
        <f>'13. Desinvesteringen'!D776</f>
        <v>1978</v>
      </c>
      <c r="F774" s="42">
        <f>'13. Desinvesteringen'!E776</f>
        <v>89246.22</v>
      </c>
      <c r="G774" s="37">
        <f>'13. Desinvesteringen'!G776</f>
        <v>2025</v>
      </c>
    </row>
    <row r="775" spans="1:7" s="332" customFormat="1">
      <c r="A775" s="3"/>
      <c r="B775" s="37">
        <f>'13. Desinvesteringen'!B777</f>
        <v>758</v>
      </c>
      <c r="C775" s="3"/>
      <c r="D775" s="37" t="str">
        <f>'13. Desinvesteringen'!C777</f>
        <v>21 Hoofdtransportleiding</v>
      </c>
      <c r="E775" s="37">
        <f>'13. Desinvesteringen'!D777</f>
        <v>1979</v>
      </c>
      <c r="F775" s="42">
        <f>'13. Desinvesteringen'!E777</f>
        <v>91234.26</v>
      </c>
      <c r="G775" s="37">
        <f>'13. Desinvesteringen'!G777</f>
        <v>2025</v>
      </c>
    </row>
    <row r="776" spans="1:7" s="332" customFormat="1">
      <c r="A776" s="3"/>
      <c r="B776" s="37">
        <f>'13. Desinvesteringen'!B778</f>
        <v>759</v>
      </c>
      <c r="C776" s="3"/>
      <c r="D776" s="37" t="str">
        <f>'13. Desinvesteringen'!C778</f>
        <v>21 Hoofdtransportleiding</v>
      </c>
      <c r="E776" s="37">
        <f>'13. Desinvesteringen'!D778</f>
        <v>1980</v>
      </c>
      <c r="F776" s="42">
        <f>'13. Desinvesteringen'!E778</f>
        <v>232659.4</v>
      </c>
      <c r="G776" s="37">
        <f>'13. Desinvesteringen'!G778</f>
        <v>2025</v>
      </c>
    </row>
    <row r="777" spans="1:7" s="332" customFormat="1">
      <c r="A777" s="3"/>
      <c r="B777" s="37">
        <f>'13. Desinvesteringen'!B779</f>
        <v>760</v>
      </c>
      <c r="C777" s="3"/>
      <c r="D777" s="37" t="str">
        <f>'13. Desinvesteringen'!C779</f>
        <v>21 Hoofdtransportleiding</v>
      </c>
      <c r="E777" s="37">
        <f>'13. Desinvesteringen'!D779</f>
        <v>1984</v>
      </c>
      <c r="F777" s="42">
        <f>'13. Desinvesteringen'!E779</f>
        <v>261656.56</v>
      </c>
      <c r="G777" s="37">
        <f>'13. Desinvesteringen'!G779</f>
        <v>2025</v>
      </c>
    </row>
    <row r="778" spans="1:7" s="332" customFormat="1">
      <c r="A778" s="3"/>
      <c r="B778" s="37">
        <f>'13. Desinvesteringen'!B780</f>
        <v>761</v>
      </c>
      <c r="C778" s="3"/>
      <c r="D778" s="37" t="str">
        <f>'13. Desinvesteringen'!C780</f>
        <v>21 Hoofdtransportleiding</v>
      </c>
      <c r="E778" s="37">
        <f>'13. Desinvesteringen'!D780</f>
        <v>1985</v>
      </c>
      <c r="F778" s="42">
        <f>'13. Desinvesteringen'!E780</f>
        <v>27354.11</v>
      </c>
      <c r="G778" s="37">
        <f>'13. Desinvesteringen'!G780</f>
        <v>2025</v>
      </c>
    </row>
    <row r="779" spans="1:7" s="332" customFormat="1">
      <c r="A779" s="3"/>
      <c r="B779" s="37">
        <f>'13. Desinvesteringen'!B781</f>
        <v>762</v>
      </c>
      <c r="C779" s="3"/>
      <c r="D779" s="37" t="str">
        <f>'13. Desinvesteringen'!C781</f>
        <v>21 Hoofdtransportleiding</v>
      </c>
      <c r="E779" s="37">
        <f>'13. Desinvesteringen'!D781</f>
        <v>1996</v>
      </c>
      <c r="F779" s="42">
        <f>'13. Desinvesteringen'!E781</f>
        <v>9238.51</v>
      </c>
      <c r="G779" s="37">
        <f>'13. Desinvesteringen'!G781</f>
        <v>2025</v>
      </c>
    </row>
    <row r="780" spans="1:7" s="332" customFormat="1">
      <c r="A780" s="3"/>
      <c r="B780" s="37">
        <f>'13. Desinvesteringen'!B782</f>
        <v>763</v>
      </c>
      <c r="C780" s="3"/>
      <c r="D780" s="37" t="str">
        <f>'13. Desinvesteringen'!C782</f>
        <v>21 Hoofdtransportleiding</v>
      </c>
      <c r="E780" s="37">
        <f>'13. Desinvesteringen'!D782</f>
        <v>2005</v>
      </c>
      <c r="F780" s="42">
        <f>'13. Desinvesteringen'!E782</f>
        <v>13067.35</v>
      </c>
      <c r="G780" s="37">
        <f>'13. Desinvesteringen'!G782</f>
        <v>2025</v>
      </c>
    </row>
    <row r="781" spans="1:7" s="332" customFormat="1">
      <c r="A781" s="3"/>
      <c r="B781" s="37">
        <f>'13. Desinvesteringen'!B783</f>
        <v>764</v>
      </c>
      <c r="C781" s="3"/>
      <c r="D781" s="37" t="str">
        <f>'13. Desinvesteringen'!C783</f>
        <v>21 Hoofdtransportleiding</v>
      </c>
      <c r="E781" s="37">
        <f>'13. Desinvesteringen'!D783</f>
        <v>2010</v>
      </c>
      <c r="F781" s="42">
        <f>'13. Desinvesteringen'!E783</f>
        <v>94765.099999999991</v>
      </c>
      <c r="G781" s="37">
        <f>'13. Desinvesteringen'!G783</f>
        <v>2025</v>
      </c>
    </row>
    <row r="782" spans="1:7" s="332" customFormat="1">
      <c r="A782" s="3"/>
      <c r="B782" s="37">
        <f>'13. Desinvesteringen'!B784</f>
        <v>765</v>
      </c>
      <c r="C782" s="3"/>
      <c r="D782" s="37" t="str">
        <f>'13. Desinvesteringen'!C784</f>
        <v>21 Hoofdtransportleiding</v>
      </c>
      <c r="E782" s="37">
        <f>'13. Desinvesteringen'!D784</f>
        <v>2015</v>
      </c>
      <c r="F782" s="42">
        <f>'13. Desinvesteringen'!E784</f>
        <v>5962.19</v>
      </c>
      <c r="G782" s="37">
        <f>'13. Desinvesteringen'!G784</f>
        <v>2025</v>
      </c>
    </row>
    <row r="783" spans="1:7" s="332" customFormat="1">
      <c r="A783" s="3"/>
      <c r="B783" s="37">
        <f>'13. Desinvesteringen'!B785</f>
        <v>766</v>
      </c>
      <c r="C783" s="3"/>
      <c r="D783" s="37" t="str">
        <f>'13. Desinvesteringen'!C785</f>
        <v>21 Hoofdtransportleiding</v>
      </c>
      <c r="E783" s="37">
        <f>'13. Desinvesteringen'!D785</f>
        <v>2016</v>
      </c>
      <c r="F783" s="42">
        <f>'13. Desinvesteringen'!E785</f>
        <v>104948.47</v>
      </c>
      <c r="G783" s="37">
        <f>'13. Desinvesteringen'!G785</f>
        <v>2025</v>
      </c>
    </row>
    <row r="784" spans="1:7" s="332" customFormat="1">
      <c r="A784" s="3"/>
      <c r="B784" s="37">
        <f>'13. Desinvesteringen'!B786</f>
        <v>767</v>
      </c>
      <c r="C784" s="3"/>
      <c r="D784" s="37" t="str">
        <f>'13. Desinvesteringen'!C786</f>
        <v>21 Hoofdtransportleiding</v>
      </c>
      <c r="E784" s="37">
        <f>'13. Desinvesteringen'!D786</f>
        <v>2018</v>
      </c>
      <c r="F784" s="42">
        <f>'13. Desinvesteringen'!E786</f>
        <v>54575.82</v>
      </c>
      <c r="G784" s="37">
        <f>'13. Desinvesteringen'!G786</f>
        <v>2025</v>
      </c>
    </row>
    <row r="785" spans="1:7" s="332" customFormat="1">
      <c r="A785" s="3"/>
      <c r="B785" s="37">
        <f>'13. Desinvesteringen'!B787</f>
        <v>768</v>
      </c>
      <c r="C785" s="3"/>
      <c r="D785" s="37" t="str">
        <f>'13. Desinvesteringen'!C787</f>
        <v>21 Hoofdtransportleiding</v>
      </c>
      <c r="E785" s="37">
        <f>'13. Desinvesteringen'!D787</f>
        <v>2021</v>
      </c>
      <c r="F785" s="42">
        <f>'13. Desinvesteringen'!E787</f>
        <v>45.76</v>
      </c>
      <c r="G785" s="37">
        <f>'13. Desinvesteringen'!G787</f>
        <v>2025</v>
      </c>
    </row>
    <row r="786" spans="1:7" s="332" customFormat="1">
      <c r="A786" s="3"/>
      <c r="B786" s="37">
        <f>'13. Desinvesteringen'!B788</f>
        <v>769</v>
      </c>
      <c r="C786" s="3"/>
      <c r="D786" s="37" t="str">
        <f>'13. Desinvesteringen'!C788</f>
        <v>21 Hoofdtransportleiding</v>
      </c>
      <c r="E786" s="37">
        <f>'13. Desinvesteringen'!D788</f>
        <v>2022</v>
      </c>
      <c r="F786" s="42">
        <f>'13. Desinvesteringen'!E788</f>
        <v>217452.82</v>
      </c>
      <c r="G786" s="37">
        <f>'13. Desinvesteringen'!G788</f>
        <v>2025</v>
      </c>
    </row>
    <row r="787" spans="1:7" s="332" customFormat="1">
      <c r="A787" s="3"/>
      <c r="B787" s="37">
        <f>'13. Desinvesteringen'!B789</f>
        <v>770</v>
      </c>
      <c r="C787" s="3"/>
      <c r="D787" s="37" t="str">
        <f>'13. Desinvesteringen'!C789</f>
        <v>32 M&amp;R stations</v>
      </c>
      <c r="E787" s="37">
        <f>'13. Desinvesteringen'!D789</f>
        <v>1966</v>
      </c>
      <c r="F787" s="42">
        <f>'13. Desinvesteringen'!E789</f>
        <v>1942.4</v>
      </c>
      <c r="G787" s="37">
        <f>'13. Desinvesteringen'!G789</f>
        <v>2025</v>
      </c>
    </row>
    <row r="788" spans="1:7" s="332" customFormat="1">
      <c r="A788" s="3"/>
      <c r="B788" s="37">
        <f>'13. Desinvesteringen'!B790</f>
        <v>771</v>
      </c>
      <c r="C788" s="3"/>
      <c r="D788" s="37" t="str">
        <f>'13. Desinvesteringen'!C790</f>
        <v>32 M&amp;R stations</v>
      </c>
      <c r="E788" s="37">
        <f>'13. Desinvesteringen'!D790</f>
        <v>2006</v>
      </c>
      <c r="F788" s="42">
        <f>'13. Desinvesteringen'!E790</f>
        <v>28075.7</v>
      </c>
      <c r="G788" s="37">
        <f>'13. Desinvesteringen'!G790</f>
        <v>2025</v>
      </c>
    </row>
    <row r="789" spans="1:7" s="332" customFormat="1">
      <c r="A789" s="3"/>
      <c r="B789" s="37">
        <f>'13. Desinvesteringen'!B791</f>
        <v>772</v>
      </c>
      <c r="C789" s="3"/>
      <c r="D789" s="37" t="str">
        <f>'13. Desinvesteringen'!C791</f>
        <v>33 Exportstations</v>
      </c>
      <c r="E789" s="37">
        <f>'13. Desinvesteringen'!D791</f>
        <v>1966</v>
      </c>
      <c r="F789" s="42">
        <f>'13. Desinvesteringen'!E791</f>
        <v>379080.76</v>
      </c>
      <c r="G789" s="37">
        <f>'13. Desinvesteringen'!G791</f>
        <v>2025</v>
      </c>
    </row>
    <row r="790" spans="1:7" s="332" customFormat="1">
      <c r="A790" s="3"/>
      <c r="B790" s="37">
        <f>'13. Desinvesteringen'!B792</f>
        <v>773</v>
      </c>
      <c r="C790" s="3"/>
      <c r="D790" s="37" t="str">
        <f>'13. Desinvesteringen'!C792</f>
        <v>33 Exportstations</v>
      </c>
      <c r="E790" s="37">
        <f>'13. Desinvesteringen'!D792</f>
        <v>1980</v>
      </c>
      <c r="F790" s="42">
        <f>'13. Desinvesteringen'!E792</f>
        <v>84708.06</v>
      </c>
      <c r="G790" s="37">
        <f>'13. Desinvesteringen'!G792</f>
        <v>2025</v>
      </c>
    </row>
    <row r="791" spans="1:7" s="332" customFormat="1">
      <c r="A791" s="3"/>
      <c r="B791" s="37">
        <f>'13. Desinvesteringen'!B793</f>
        <v>774</v>
      </c>
      <c r="C791" s="3"/>
      <c r="D791" s="37" t="str">
        <f>'13. Desinvesteringen'!C793</f>
        <v>33 Exportstations</v>
      </c>
      <c r="E791" s="37">
        <f>'13. Desinvesteringen'!D793</f>
        <v>1982</v>
      </c>
      <c r="F791" s="42">
        <f>'13. Desinvesteringen'!E793</f>
        <v>30674.639999999999</v>
      </c>
      <c r="G791" s="37">
        <f>'13. Desinvesteringen'!G793</f>
        <v>2025</v>
      </c>
    </row>
    <row r="792" spans="1:7" s="332" customFormat="1">
      <c r="A792" s="3"/>
      <c r="B792" s="37">
        <f>'13. Desinvesteringen'!B794</f>
        <v>775</v>
      </c>
      <c r="C792" s="3"/>
      <c r="D792" s="37" t="str">
        <f>'13. Desinvesteringen'!C794</f>
        <v>33 Exportstations</v>
      </c>
      <c r="E792" s="37">
        <f>'13. Desinvesteringen'!D794</f>
        <v>1998</v>
      </c>
      <c r="F792" s="42">
        <f>'13. Desinvesteringen'!E794</f>
        <v>43038.32</v>
      </c>
      <c r="G792" s="37">
        <f>'13. Desinvesteringen'!G794</f>
        <v>2025</v>
      </c>
    </row>
    <row r="793" spans="1:7" s="332" customFormat="1">
      <c r="A793" s="3"/>
      <c r="B793" s="37">
        <f>'13. Desinvesteringen'!B795</f>
        <v>776</v>
      </c>
      <c r="C793" s="3"/>
      <c r="D793" s="37" t="str">
        <f>'13. Desinvesteringen'!C795</f>
        <v>33 Exportstations</v>
      </c>
      <c r="E793" s="37">
        <f>'13. Desinvesteringen'!D795</f>
        <v>2005</v>
      </c>
      <c r="F793" s="42">
        <f>'13. Desinvesteringen'!E795</f>
        <v>173542.6</v>
      </c>
      <c r="G793" s="37">
        <f>'13. Desinvesteringen'!G795</f>
        <v>2025</v>
      </c>
    </row>
    <row r="794" spans="1:7" s="332" customFormat="1">
      <c r="A794" s="3"/>
      <c r="B794" s="37">
        <f>'13. Desinvesteringen'!B796</f>
        <v>777</v>
      </c>
      <c r="C794" s="3"/>
      <c r="D794" s="37" t="str">
        <f>'13. Desinvesteringen'!C796</f>
        <v>33 Exportstations</v>
      </c>
      <c r="E794" s="37">
        <f>'13. Desinvesteringen'!D796</f>
        <v>2006</v>
      </c>
      <c r="F794" s="42">
        <f>'13. Desinvesteringen'!E796</f>
        <v>13931.96</v>
      </c>
      <c r="G794" s="37">
        <f>'13. Desinvesteringen'!G796</f>
        <v>2025</v>
      </c>
    </row>
    <row r="795" spans="1:7" s="332" customFormat="1">
      <c r="A795" s="3"/>
      <c r="B795" s="37">
        <f>'13. Desinvesteringen'!B797</f>
        <v>778</v>
      </c>
      <c r="C795" s="3"/>
      <c r="D795" s="37" t="str">
        <f>'13. Desinvesteringen'!C797</f>
        <v>33 Exportstations</v>
      </c>
      <c r="E795" s="37">
        <f>'13. Desinvesteringen'!D797</f>
        <v>2009</v>
      </c>
      <c r="F795" s="42">
        <f>'13. Desinvesteringen'!E797</f>
        <v>20943.189999999999</v>
      </c>
      <c r="G795" s="37">
        <f>'13. Desinvesteringen'!G797</f>
        <v>2025</v>
      </c>
    </row>
    <row r="796" spans="1:7" s="332" customFormat="1">
      <c r="A796" s="3"/>
      <c r="B796" s="37">
        <f>'13. Desinvesteringen'!B798</f>
        <v>779</v>
      </c>
      <c r="C796" s="3"/>
      <c r="D796" s="37" t="str">
        <f>'13. Desinvesteringen'!C798</f>
        <v>33 Exportstations</v>
      </c>
      <c r="E796" s="37">
        <f>'13. Desinvesteringen'!D798</f>
        <v>2011</v>
      </c>
      <c r="F796" s="42">
        <f>'13. Desinvesteringen'!E798</f>
        <v>299723.8</v>
      </c>
      <c r="G796" s="37">
        <f>'13. Desinvesteringen'!G798</f>
        <v>2025</v>
      </c>
    </row>
    <row r="797" spans="1:7" s="332" customFormat="1">
      <c r="A797" s="3"/>
      <c r="B797" s="37">
        <f>'13. Desinvesteringen'!B799</f>
        <v>780</v>
      </c>
      <c r="C797" s="3"/>
      <c r="D797" s="37" t="str">
        <f>'13. Desinvesteringen'!C799</f>
        <v>33 Exportstations</v>
      </c>
      <c r="E797" s="37">
        <f>'13. Desinvesteringen'!D799</f>
        <v>2016</v>
      </c>
      <c r="F797" s="42">
        <f>'13. Desinvesteringen'!E799</f>
        <v>139526.74</v>
      </c>
      <c r="G797" s="37">
        <f>'13. Desinvesteringen'!G799</f>
        <v>2025</v>
      </c>
    </row>
    <row r="798" spans="1:7" s="332" customFormat="1">
      <c r="A798" s="3"/>
      <c r="B798" s="37">
        <f>'13. Desinvesteringen'!B800</f>
        <v>781</v>
      </c>
      <c r="C798" s="3"/>
      <c r="D798" s="37" t="str">
        <f>'13. Desinvesteringen'!C800</f>
        <v>33 Exportstations</v>
      </c>
      <c r="E798" s="37">
        <f>'13. Desinvesteringen'!D800</f>
        <v>2023</v>
      </c>
      <c r="F798" s="42">
        <f>'13. Desinvesteringen'!E800</f>
        <v>33018.629999999997</v>
      </c>
      <c r="G798" s="37">
        <f>'13. Desinvesteringen'!G800</f>
        <v>2025</v>
      </c>
    </row>
    <row r="799" spans="1:7" s="332" customFormat="1">
      <c r="A799" s="3"/>
      <c r="B799" s="37">
        <f>'13. Desinvesteringen'!B801</f>
        <v>782</v>
      </c>
      <c r="C799" s="3"/>
      <c r="D799" s="37" t="str">
        <f>'13. Desinvesteringen'!C801</f>
        <v>34 Reduceerstations</v>
      </c>
      <c r="E799" s="37">
        <f>'13. Desinvesteringen'!D801</f>
        <v>1979</v>
      </c>
      <c r="F799" s="42">
        <f>'13. Desinvesteringen'!E801</f>
        <v>423038.97</v>
      </c>
      <c r="G799" s="37">
        <f>'13. Desinvesteringen'!G801</f>
        <v>2025</v>
      </c>
    </row>
    <row r="800" spans="1:7" s="332" customFormat="1">
      <c r="A800" s="3"/>
      <c r="B800" s="37">
        <f>'13. Desinvesteringen'!B802</f>
        <v>783</v>
      </c>
      <c r="C800" s="3"/>
      <c r="D800" s="37" t="str">
        <f>'13. Desinvesteringen'!C802</f>
        <v>34 Reduceerstations</v>
      </c>
      <c r="E800" s="37">
        <f>'13. Desinvesteringen'!D802</f>
        <v>1998</v>
      </c>
      <c r="F800" s="42">
        <f>'13. Desinvesteringen'!E802</f>
        <v>277145.73</v>
      </c>
      <c r="G800" s="37">
        <f>'13. Desinvesteringen'!G802</f>
        <v>2025</v>
      </c>
    </row>
    <row r="801" spans="1:16383" s="332" customFormat="1">
      <c r="A801" s="3"/>
      <c r="B801" s="37">
        <f>'13. Desinvesteringen'!B803</f>
        <v>784</v>
      </c>
      <c r="C801" s="3"/>
      <c r="D801" s="37" t="str">
        <f>'13. Desinvesteringen'!C803</f>
        <v>34 Reduceerstations</v>
      </c>
      <c r="E801" s="37">
        <f>'13. Desinvesteringen'!D803</f>
        <v>2010</v>
      </c>
      <c r="F801" s="42">
        <f>'13. Desinvesteringen'!E803</f>
        <v>183780.12</v>
      </c>
      <c r="G801" s="37">
        <f>'13. Desinvesteringen'!G803</f>
        <v>2025</v>
      </c>
    </row>
    <row r="802" spans="1:16383" s="332" customFormat="1">
      <c r="A802" s="3"/>
      <c r="B802" s="37">
        <f>'13. Desinvesteringen'!B804</f>
        <v>785</v>
      </c>
      <c r="C802" s="3"/>
      <c r="D802" s="37" t="str">
        <f>'13. Desinvesteringen'!C804</f>
        <v>36 Luchtscheidingsunit</v>
      </c>
      <c r="E802" s="37">
        <f>'13. Desinvesteringen'!D804</f>
        <v>1988</v>
      </c>
      <c r="F802" s="42">
        <f>'13. Desinvesteringen'!E804</f>
        <v>28938.61</v>
      </c>
      <c r="G802" s="37">
        <f>'13. Desinvesteringen'!G804</f>
        <v>2025</v>
      </c>
    </row>
    <row r="804" spans="1:16383" ht="13">
      <c r="A804" s="8"/>
      <c r="B804" s="8" t="s">
        <v>911</v>
      </c>
      <c r="C804" s="8"/>
      <c r="D804" s="8"/>
      <c r="E804" s="110">
        <v>1946</v>
      </c>
      <c r="F804" s="110">
        <v>1947</v>
      </c>
      <c r="G804" s="110">
        <v>1948</v>
      </c>
      <c r="H804" s="110">
        <v>1949</v>
      </c>
      <c r="I804" s="110">
        <v>1950</v>
      </c>
      <c r="J804" s="110">
        <v>1951</v>
      </c>
      <c r="K804" s="110">
        <v>1952</v>
      </c>
      <c r="L804" s="110">
        <v>1953</v>
      </c>
      <c r="M804" s="110">
        <v>1954</v>
      </c>
      <c r="N804" s="110">
        <v>1955</v>
      </c>
      <c r="O804" s="110">
        <v>1956</v>
      </c>
      <c r="P804" s="110">
        <v>1957</v>
      </c>
      <c r="Q804" s="110">
        <v>1958</v>
      </c>
      <c r="R804" s="110">
        <v>1959</v>
      </c>
      <c r="S804" s="110">
        <v>1960</v>
      </c>
      <c r="T804" s="110">
        <v>1961</v>
      </c>
      <c r="U804" s="110">
        <v>1962</v>
      </c>
      <c r="V804" s="110">
        <v>1963</v>
      </c>
      <c r="W804" s="110">
        <v>1964</v>
      </c>
      <c r="X804" s="110">
        <v>1965</v>
      </c>
      <c r="Y804" s="110">
        <v>1966</v>
      </c>
      <c r="Z804" s="110">
        <v>1967</v>
      </c>
      <c r="AA804" s="110">
        <v>1968</v>
      </c>
      <c r="AB804" s="110">
        <v>1969</v>
      </c>
      <c r="AC804" s="110">
        <v>1970</v>
      </c>
      <c r="AD804" s="110">
        <v>1971</v>
      </c>
      <c r="AE804" s="110">
        <v>1972</v>
      </c>
      <c r="AF804" s="110">
        <v>1973</v>
      </c>
      <c r="AG804" s="110">
        <v>1974</v>
      </c>
      <c r="AH804" s="110">
        <v>1975</v>
      </c>
      <c r="AI804" s="110">
        <v>1976</v>
      </c>
      <c r="AJ804" s="8">
        <v>1977</v>
      </c>
      <c r="AK804" s="8">
        <v>1978</v>
      </c>
      <c r="AL804" s="8">
        <v>1979</v>
      </c>
      <c r="AM804" s="8">
        <v>1980</v>
      </c>
      <c r="AN804" s="8">
        <v>1981</v>
      </c>
      <c r="AO804" s="8">
        <v>1982</v>
      </c>
      <c r="AP804" s="8">
        <v>1983</v>
      </c>
      <c r="AQ804" s="8">
        <v>1984</v>
      </c>
      <c r="AR804" s="8">
        <v>1985</v>
      </c>
      <c r="AS804" s="8">
        <v>1986</v>
      </c>
      <c r="AT804" s="8">
        <v>1987</v>
      </c>
      <c r="AU804" s="8">
        <v>1988</v>
      </c>
      <c r="AV804" s="8">
        <v>1989</v>
      </c>
      <c r="AW804" s="8">
        <v>1990</v>
      </c>
      <c r="AX804" s="8">
        <v>1991</v>
      </c>
      <c r="AY804" s="8">
        <v>1992</v>
      </c>
      <c r="AZ804" s="8">
        <v>1993</v>
      </c>
      <c r="BA804" s="8">
        <v>1994</v>
      </c>
      <c r="BB804" s="8">
        <v>1995</v>
      </c>
      <c r="BC804" s="8">
        <v>1996</v>
      </c>
      <c r="BD804" s="8">
        <v>1997</v>
      </c>
      <c r="BE804" s="8">
        <v>1998</v>
      </c>
      <c r="BF804" s="8">
        <v>1999</v>
      </c>
      <c r="BG804" s="8">
        <v>2000</v>
      </c>
      <c r="BH804" s="8">
        <v>2001</v>
      </c>
      <c r="BI804" s="8">
        <v>2002</v>
      </c>
      <c r="BJ804" s="8">
        <v>2003</v>
      </c>
      <c r="BK804" s="8">
        <v>2004</v>
      </c>
      <c r="BL804" s="8">
        <v>2005</v>
      </c>
      <c r="BM804" s="8">
        <v>2006</v>
      </c>
      <c r="BN804" s="8">
        <v>2007</v>
      </c>
      <c r="BO804" s="8">
        <v>2008</v>
      </c>
      <c r="BP804" s="8">
        <v>2009</v>
      </c>
      <c r="BQ804" s="8">
        <v>2010</v>
      </c>
      <c r="BR804" s="8">
        <v>2011</v>
      </c>
      <c r="BS804" s="8">
        <v>2012</v>
      </c>
      <c r="BT804" s="8">
        <v>2013</v>
      </c>
      <c r="BU804" s="8">
        <v>2014</v>
      </c>
      <c r="BV804" s="8">
        <v>2015</v>
      </c>
      <c r="BW804" s="8">
        <v>2016</v>
      </c>
      <c r="BX804" s="8">
        <v>2017</v>
      </c>
      <c r="BY804" s="8">
        <v>2018</v>
      </c>
      <c r="BZ804" s="8">
        <v>2019</v>
      </c>
      <c r="CA804" s="8">
        <v>2020</v>
      </c>
      <c r="CB804" s="8">
        <v>2021</v>
      </c>
      <c r="CC804" s="8">
        <v>2022</v>
      </c>
      <c r="CD804" s="8">
        <v>2023</v>
      </c>
      <c r="CE804" s="8">
        <v>2024</v>
      </c>
      <c r="CF804" s="8">
        <v>2025</v>
      </c>
      <c r="CG804" s="8">
        <v>2026</v>
      </c>
      <c r="CH804" s="110"/>
      <c r="CI804" s="110"/>
      <c r="CJ804" s="110"/>
      <c r="CK804" s="110"/>
      <c r="CL804" s="110"/>
      <c r="CM804" s="110"/>
      <c r="CN804" s="110"/>
      <c r="CO804" s="110"/>
      <c r="CP804" s="110"/>
      <c r="CQ804" s="110"/>
      <c r="CR804" s="110"/>
      <c r="CS804" s="110"/>
      <c r="CT804" s="110"/>
      <c r="CU804" s="110"/>
      <c r="CV804" s="110"/>
      <c r="CW804" s="110"/>
      <c r="CX804" s="110"/>
      <c r="CY804" s="110"/>
      <c r="CZ804" s="110"/>
      <c r="DA804" s="110"/>
      <c r="DB804" s="110"/>
      <c r="DC804" s="110"/>
      <c r="DD804" s="110"/>
      <c r="DE804" s="110"/>
      <c r="DF804" s="110"/>
      <c r="DG804" s="110"/>
      <c r="DH804" s="110"/>
      <c r="DI804" s="110"/>
      <c r="DJ804" s="110"/>
      <c r="DK804" s="110"/>
      <c r="DL804" s="110"/>
      <c r="DM804" s="110"/>
      <c r="DN804" s="110"/>
      <c r="DO804" s="110"/>
      <c r="DP804" s="110"/>
      <c r="DQ804" s="110"/>
      <c r="DR804" s="110"/>
      <c r="DS804" s="110"/>
      <c r="DT804" s="110"/>
      <c r="DU804" s="110"/>
      <c r="DV804" s="110"/>
      <c r="DW804" s="110"/>
      <c r="DX804" s="110"/>
      <c r="DY804" s="110"/>
      <c r="DZ804" s="110"/>
      <c r="EA804" s="110"/>
      <c r="EB804" s="110"/>
      <c r="EC804" s="110"/>
      <c r="ED804" s="110"/>
      <c r="EE804" s="110"/>
      <c r="EF804" s="110"/>
      <c r="EG804" s="110"/>
      <c r="EH804" s="110"/>
      <c r="EI804" s="110"/>
      <c r="EJ804" s="110"/>
      <c r="EK804" s="110"/>
      <c r="EL804" s="110"/>
      <c r="EM804" s="110"/>
      <c r="EN804" s="110"/>
      <c r="EO804" s="110"/>
      <c r="EP804" s="110"/>
      <c r="EQ804" s="110"/>
      <c r="ER804" s="110"/>
      <c r="ES804" s="110"/>
      <c r="ET804" s="110"/>
      <c r="EU804" s="110"/>
      <c r="EV804" s="110"/>
      <c r="EW804" s="110"/>
      <c r="EX804" s="110"/>
      <c r="EY804" s="110"/>
      <c r="EZ804" s="110"/>
      <c r="FA804" s="110"/>
      <c r="FB804" s="110"/>
      <c r="FC804" s="110"/>
      <c r="FD804" s="110"/>
      <c r="FE804" s="110"/>
      <c r="FF804" s="110"/>
      <c r="FG804" s="110"/>
      <c r="FH804" s="110"/>
      <c r="FI804" s="110"/>
      <c r="FJ804" s="110"/>
      <c r="FK804" s="110"/>
      <c r="FL804" s="110"/>
      <c r="FM804" s="110"/>
      <c r="FN804" s="110"/>
      <c r="FO804" s="110"/>
      <c r="FP804" s="110"/>
      <c r="FQ804" s="110"/>
      <c r="FR804" s="110"/>
      <c r="FS804" s="110"/>
      <c r="FT804" s="110"/>
      <c r="FU804" s="110"/>
      <c r="FV804" s="110"/>
      <c r="FW804" s="110"/>
      <c r="FX804" s="110"/>
      <c r="FY804" s="110"/>
      <c r="FZ804" s="110"/>
      <c r="GA804" s="110"/>
      <c r="GB804" s="110"/>
      <c r="GC804" s="110"/>
      <c r="GD804" s="110"/>
      <c r="GE804" s="110"/>
      <c r="GF804" s="110"/>
      <c r="GG804" s="110"/>
      <c r="GH804" s="110"/>
      <c r="GI804" s="110"/>
      <c r="GJ804" s="110"/>
      <c r="GK804" s="110"/>
      <c r="GL804" s="110"/>
      <c r="GM804" s="110"/>
      <c r="GN804" s="110"/>
      <c r="GO804" s="110"/>
      <c r="GP804" s="110"/>
      <c r="GQ804" s="110"/>
      <c r="GR804" s="110"/>
      <c r="GS804" s="110"/>
      <c r="GT804" s="110"/>
      <c r="GU804" s="110"/>
      <c r="GV804" s="110"/>
      <c r="GW804" s="110"/>
      <c r="GX804" s="110"/>
      <c r="GY804" s="110"/>
      <c r="GZ804" s="110"/>
      <c r="HA804" s="110"/>
      <c r="HB804" s="110"/>
      <c r="HC804" s="110"/>
      <c r="HD804" s="110"/>
      <c r="HE804" s="110"/>
      <c r="HF804" s="110"/>
      <c r="HG804" s="110"/>
      <c r="HH804" s="110"/>
      <c r="HI804" s="110"/>
      <c r="HJ804" s="110"/>
      <c r="HK804" s="110"/>
      <c r="HL804" s="110"/>
      <c r="HM804" s="110"/>
      <c r="HN804" s="110"/>
      <c r="HO804" s="110"/>
      <c r="HP804" s="110"/>
      <c r="HQ804" s="110"/>
      <c r="HR804" s="110"/>
      <c r="HS804" s="110"/>
      <c r="HT804" s="110"/>
      <c r="HU804" s="110"/>
      <c r="HV804" s="110"/>
      <c r="HW804" s="110"/>
      <c r="HX804" s="110"/>
      <c r="HY804" s="110"/>
      <c r="HZ804" s="110"/>
      <c r="IA804" s="110"/>
      <c r="IB804" s="110"/>
      <c r="IC804" s="110"/>
      <c r="ID804" s="110"/>
      <c r="IE804" s="110"/>
      <c r="IF804" s="110"/>
      <c r="IG804" s="110"/>
      <c r="IH804" s="110"/>
      <c r="II804" s="110"/>
      <c r="IJ804" s="110"/>
      <c r="IK804" s="110"/>
      <c r="IL804" s="110"/>
      <c r="IM804" s="110"/>
      <c r="IN804" s="110"/>
      <c r="IO804" s="110"/>
      <c r="IP804" s="110"/>
      <c r="IQ804" s="110"/>
      <c r="IR804" s="110"/>
      <c r="IS804" s="110"/>
      <c r="IT804" s="110"/>
      <c r="IU804" s="110"/>
      <c r="IV804" s="110"/>
      <c r="IW804" s="110"/>
      <c r="IX804" s="110"/>
      <c r="IY804" s="110"/>
      <c r="IZ804" s="110"/>
      <c r="JA804" s="110"/>
      <c r="JB804" s="110"/>
      <c r="JC804" s="110"/>
      <c r="JD804" s="110"/>
      <c r="JE804" s="110"/>
      <c r="JF804" s="110"/>
      <c r="JG804" s="110"/>
      <c r="JH804" s="110"/>
      <c r="JI804" s="110"/>
      <c r="JJ804" s="110"/>
      <c r="JK804" s="110"/>
      <c r="JL804" s="110"/>
      <c r="JM804" s="110"/>
      <c r="JN804" s="110"/>
      <c r="JO804" s="110"/>
      <c r="JP804" s="110"/>
      <c r="JQ804" s="110"/>
      <c r="JR804" s="110"/>
      <c r="JS804" s="110"/>
      <c r="JT804" s="110"/>
      <c r="JU804" s="110"/>
      <c r="JV804" s="110"/>
      <c r="JW804" s="110"/>
      <c r="JX804" s="110"/>
      <c r="JY804" s="110"/>
      <c r="JZ804" s="110"/>
      <c r="KA804" s="110"/>
      <c r="KB804" s="110"/>
      <c r="KC804" s="110"/>
      <c r="KD804" s="110"/>
      <c r="KE804" s="110"/>
      <c r="KF804" s="110"/>
      <c r="KG804" s="110"/>
      <c r="KH804" s="110"/>
      <c r="KI804" s="110"/>
      <c r="KJ804" s="110"/>
      <c r="KK804" s="110"/>
      <c r="KL804" s="110"/>
      <c r="KM804" s="110"/>
      <c r="KN804" s="110"/>
      <c r="KO804" s="110"/>
      <c r="KP804" s="110"/>
      <c r="KQ804" s="110"/>
      <c r="KR804" s="110"/>
      <c r="KS804" s="110"/>
      <c r="KT804" s="110"/>
      <c r="KU804" s="110"/>
      <c r="KV804" s="110"/>
      <c r="KW804" s="110"/>
      <c r="KX804" s="110"/>
      <c r="KY804" s="110"/>
      <c r="KZ804" s="110"/>
      <c r="LA804" s="110"/>
      <c r="LB804" s="110"/>
      <c r="LC804" s="110"/>
      <c r="LD804" s="110"/>
      <c r="LE804" s="110"/>
      <c r="LF804" s="110"/>
      <c r="LG804" s="110"/>
      <c r="LH804" s="110"/>
      <c r="LI804" s="110"/>
      <c r="LJ804" s="110"/>
      <c r="LK804" s="110"/>
      <c r="LL804" s="110"/>
      <c r="LM804" s="110"/>
      <c r="LN804" s="110"/>
      <c r="LO804" s="110"/>
      <c r="LP804" s="110"/>
      <c r="LQ804" s="110"/>
      <c r="LR804" s="110"/>
      <c r="LS804" s="110"/>
      <c r="LT804" s="110"/>
      <c r="LU804" s="110"/>
      <c r="LV804" s="110"/>
      <c r="LW804" s="110"/>
      <c r="LX804" s="110"/>
      <c r="LY804" s="110"/>
      <c r="LZ804" s="110"/>
      <c r="MA804" s="110"/>
      <c r="MB804" s="110"/>
      <c r="MC804" s="110"/>
      <c r="MD804" s="110"/>
      <c r="ME804" s="110"/>
      <c r="MF804" s="110"/>
      <c r="MG804" s="110"/>
      <c r="MH804" s="110"/>
      <c r="MI804" s="110"/>
      <c r="MJ804" s="110"/>
      <c r="MK804" s="110"/>
      <c r="ML804" s="110"/>
      <c r="MM804" s="110"/>
      <c r="MN804" s="110"/>
      <c r="MO804" s="110"/>
      <c r="MP804" s="110"/>
      <c r="MQ804" s="110"/>
      <c r="MR804" s="110"/>
      <c r="MS804" s="110"/>
      <c r="MT804" s="110"/>
      <c r="MU804" s="110"/>
      <c r="MV804" s="110"/>
      <c r="MW804" s="110"/>
      <c r="MX804" s="110"/>
      <c r="MY804" s="110"/>
      <c r="MZ804" s="110"/>
      <c r="NA804" s="110"/>
      <c r="NB804" s="110"/>
      <c r="NC804" s="110"/>
      <c r="ND804" s="110"/>
      <c r="NE804" s="110"/>
      <c r="NF804" s="110"/>
      <c r="NG804" s="110"/>
      <c r="NH804" s="110"/>
      <c r="NI804" s="110"/>
      <c r="NJ804" s="110"/>
      <c r="NK804" s="110"/>
      <c r="NL804" s="110"/>
      <c r="NM804" s="110"/>
      <c r="NN804" s="110"/>
      <c r="NO804" s="110"/>
      <c r="NP804" s="110"/>
      <c r="NQ804" s="110"/>
      <c r="NR804" s="110"/>
      <c r="NS804" s="110"/>
      <c r="NT804" s="110"/>
      <c r="NU804" s="110"/>
      <c r="NV804" s="110"/>
      <c r="NW804" s="110"/>
      <c r="NX804" s="110"/>
      <c r="NY804" s="110"/>
      <c r="NZ804" s="110"/>
      <c r="OA804" s="110"/>
      <c r="OB804" s="110"/>
      <c r="OC804" s="110"/>
      <c r="OD804" s="110"/>
      <c r="OE804" s="110"/>
      <c r="OF804" s="110"/>
      <c r="OG804" s="110"/>
      <c r="OH804" s="110"/>
      <c r="OI804" s="110"/>
      <c r="OJ804" s="110"/>
      <c r="OK804" s="110"/>
      <c r="OL804" s="110"/>
      <c r="OM804" s="110"/>
      <c r="ON804" s="110"/>
      <c r="OO804" s="110"/>
      <c r="OP804" s="110"/>
      <c r="OQ804" s="110"/>
      <c r="OR804" s="110"/>
      <c r="OS804" s="110"/>
      <c r="OT804" s="110"/>
      <c r="OU804" s="110"/>
      <c r="OV804" s="110"/>
      <c r="OW804" s="110"/>
      <c r="OX804" s="110"/>
      <c r="OY804" s="110"/>
      <c r="OZ804" s="110"/>
      <c r="PA804" s="110"/>
      <c r="PB804" s="110"/>
      <c r="PC804" s="110"/>
      <c r="PD804" s="110"/>
      <c r="PE804" s="110"/>
      <c r="PF804" s="110"/>
      <c r="PG804" s="110"/>
      <c r="PH804" s="110"/>
      <c r="PI804" s="110"/>
      <c r="PJ804" s="110"/>
      <c r="PK804" s="110"/>
      <c r="PL804" s="110"/>
      <c r="PM804" s="110"/>
      <c r="PN804" s="110"/>
      <c r="PO804" s="110"/>
      <c r="PP804" s="110"/>
      <c r="PQ804" s="110"/>
      <c r="PR804" s="110"/>
      <c r="PS804" s="110"/>
      <c r="PT804" s="110"/>
      <c r="PU804" s="110"/>
      <c r="PV804" s="110"/>
      <c r="PW804" s="110"/>
      <c r="PX804" s="110"/>
      <c r="PY804" s="110"/>
      <c r="PZ804" s="110"/>
      <c r="QA804" s="110"/>
      <c r="QB804" s="110"/>
      <c r="QC804" s="110"/>
      <c r="QD804" s="110"/>
      <c r="QE804" s="110"/>
      <c r="QF804" s="110"/>
      <c r="QG804" s="110"/>
      <c r="QH804" s="110"/>
      <c r="QI804" s="110"/>
      <c r="QJ804" s="110"/>
      <c r="QK804" s="110"/>
      <c r="QL804" s="110"/>
      <c r="QM804" s="110"/>
      <c r="QN804" s="110"/>
      <c r="QO804" s="110"/>
      <c r="QP804" s="110"/>
      <c r="QQ804" s="110"/>
      <c r="QR804" s="110"/>
      <c r="QS804" s="110"/>
      <c r="QT804" s="110"/>
      <c r="QU804" s="110"/>
      <c r="QV804" s="110"/>
      <c r="QW804" s="110"/>
      <c r="QX804" s="110"/>
      <c r="QY804" s="110"/>
      <c r="QZ804" s="110"/>
      <c r="RA804" s="110"/>
      <c r="RB804" s="110"/>
      <c r="RC804" s="110"/>
      <c r="RD804" s="110"/>
      <c r="RE804" s="110"/>
      <c r="RF804" s="110"/>
      <c r="RG804" s="110"/>
      <c r="RH804" s="110"/>
      <c r="RI804" s="110"/>
      <c r="RJ804" s="110"/>
      <c r="RK804" s="110"/>
      <c r="RL804" s="110"/>
      <c r="RM804" s="110"/>
      <c r="RN804" s="110"/>
      <c r="RO804" s="110"/>
      <c r="RP804" s="110"/>
      <c r="RQ804" s="110"/>
      <c r="RR804" s="110"/>
      <c r="RS804" s="110"/>
      <c r="RT804" s="110"/>
      <c r="RU804" s="110"/>
      <c r="RV804" s="110"/>
      <c r="RW804" s="110"/>
      <c r="RX804" s="110"/>
      <c r="RY804" s="110"/>
      <c r="RZ804" s="110"/>
      <c r="SA804" s="110"/>
      <c r="SB804" s="110"/>
      <c r="SC804" s="110"/>
      <c r="SD804" s="110"/>
      <c r="SE804" s="110"/>
      <c r="SF804" s="110"/>
      <c r="SG804" s="110"/>
      <c r="SH804" s="110"/>
      <c r="SI804" s="110"/>
      <c r="SJ804" s="110"/>
      <c r="SK804" s="110"/>
      <c r="SL804" s="110"/>
      <c r="SM804" s="110"/>
      <c r="SN804" s="110"/>
      <c r="SO804" s="110"/>
      <c r="SP804" s="110"/>
      <c r="SQ804" s="110"/>
      <c r="SR804" s="110"/>
      <c r="SS804" s="110"/>
      <c r="ST804" s="110"/>
      <c r="SU804" s="110"/>
      <c r="SV804" s="110"/>
      <c r="SW804" s="110"/>
      <c r="SX804" s="110"/>
      <c r="SY804" s="110"/>
      <c r="SZ804" s="110"/>
      <c r="TA804" s="110"/>
      <c r="TB804" s="110"/>
      <c r="TC804" s="110"/>
      <c r="TD804" s="110"/>
      <c r="TE804" s="110"/>
      <c r="TF804" s="110"/>
      <c r="TG804" s="110"/>
      <c r="TH804" s="110"/>
      <c r="TI804" s="110"/>
      <c r="TJ804" s="110"/>
      <c r="TK804" s="110"/>
      <c r="TL804" s="110"/>
      <c r="TM804" s="110"/>
      <c r="TN804" s="110"/>
      <c r="TO804" s="110"/>
      <c r="TP804" s="110"/>
      <c r="TQ804" s="110"/>
      <c r="TR804" s="110"/>
      <c r="TS804" s="110"/>
      <c r="TT804" s="110"/>
      <c r="TU804" s="110"/>
      <c r="TV804" s="110"/>
      <c r="TW804" s="110"/>
      <c r="TX804" s="110"/>
      <c r="TY804" s="110"/>
      <c r="TZ804" s="110"/>
      <c r="UA804" s="110"/>
      <c r="UB804" s="110"/>
      <c r="UC804" s="110"/>
      <c r="UD804" s="110"/>
      <c r="UE804" s="110"/>
      <c r="UF804" s="110"/>
      <c r="UG804" s="110"/>
      <c r="UH804" s="110"/>
      <c r="UI804" s="110"/>
      <c r="UJ804" s="110"/>
      <c r="UK804" s="110"/>
      <c r="UL804" s="110"/>
      <c r="UM804" s="110"/>
      <c r="UN804" s="110"/>
      <c r="UO804" s="110"/>
      <c r="UP804" s="110"/>
      <c r="UQ804" s="110"/>
      <c r="UR804" s="110"/>
      <c r="US804" s="110"/>
      <c r="UT804" s="110"/>
      <c r="UU804" s="110"/>
      <c r="UV804" s="110"/>
      <c r="UW804" s="110"/>
      <c r="UX804" s="110"/>
      <c r="UY804" s="110"/>
      <c r="UZ804" s="110"/>
      <c r="VA804" s="110"/>
      <c r="VB804" s="110"/>
      <c r="VC804" s="110"/>
      <c r="VD804" s="110"/>
      <c r="VE804" s="110"/>
      <c r="VF804" s="110"/>
      <c r="VG804" s="110"/>
      <c r="VH804" s="110"/>
      <c r="VI804" s="110"/>
      <c r="VJ804" s="110"/>
      <c r="VK804" s="110"/>
      <c r="VL804" s="110"/>
      <c r="VM804" s="110"/>
      <c r="VN804" s="110"/>
      <c r="VO804" s="110"/>
      <c r="VP804" s="110"/>
      <c r="VQ804" s="110"/>
      <c r="VR804" s="110"/>
      <c r="VS804" s="110"/>
      <c r="VT804" s="110"/>
      <c r="VU804" s="110"/>
      <c r="VV804" s="110"/>
      <c r="VW804" s="110"/>
      <c r="VX804" s="110"/>
      <c r="VY804" s="110"/>
      <c r="VZ804" s="110"/>
      <c r="WA804" s="110"/>
      <c r="WB804" s="110"/>
      <c r="WC804" s="110"/>
      <c r="WD804" s="110"/>
      <c r="WE804" s="110"/>
      <c r="WF804" s="110"/>
      <c r="WG804" s="110"/>
      <c r="WH804" s="110"/>
      <c r="WI804" s="110"/>
      <c r="WJ804" s="110"/>
      <c r="WK804" s="110"/>
      <c r="WL804" s="110"/>
      <c r="WM804" s="110"/>
      <c r="WN804" s="110"/>
      <c r="WO804" s="110"/>
      <c r="WP804" s="110"/>
      <c r="WQ804" s="110"/>
      <c r="WR804" s="110"/>
      <c r="WS804" s="110"/>
      <c r="WT804" s="110"/>
      <c r="WU804" s="110"/>
      <c r="WV804" s="110"/>
      <c r="WW804" s="110"/>
      <c r="WX804" s="110"/>
      <c r="WY804" s="110"/>
      <c r="WZ804" s="110"/>
      <c r="XA804" s="110"/>
      <c r="XB804" s="110"/>
      <c r="XC804" s="110"/>
      <c r="XD804" s="110"/>
      <c r="XE804" s="110"/>
      <c r="XF804" s="110"/>
      <c r="XG804" s="110"/>
      <c r="XH804" s="110"/>
      <c r="XI804" s="110"/>
      <c r="XJ804" s="110"/>
      <c r="XK804" s="110"/>
      <c r="XL804" s="110"/>
      <c r="XM804" s="110"/>
      <c r="XN804" s="110"/>
      <c r="XO804" s="110"/>
      <c r="XP804" s="110"/>
      <c r="XQ804" s="110"/>
      <c r="XR804" s="110"/>
      <c r="XS804" s="110"/>
      <c r="XT804" s="110"/>
      <c r="XU804" s="110"/>
      <c r="XV804" s="110"/>
      <c r="XW804" s="110"/>
      <c r="XX804" s="110"/>
      <c r="XY804" s="110"/>
      <c r="XZ804" s="110"/>
      <c r="YA804" s="110"/>
      <c r="YB804" s="110"/>
      <c r="YC804" s="110"/>
      <c r="YD804" s="110"/>
      <c r="YE804" s="110"/>
      <c r="YF804" s="110"/>
      <c r="YG804" s="110"/>
      <c r="YH804" s="110"/>
      <c r="YI804" s="110"/>
      <c r="YJ804" s="110"/>
      <c r="YK804" s="110"/>
      <c r="YL804" s="110"/>
      <c r="YM804" s="110"/>
      <c r="YN804" s="110"/>
      <c r="YO804" s="110"/>
      <c r="YP804" s="110"/>
      <c r="YQ804" s="110"/>
      <c r="YR804" s="110"/>
      <c r="YS804" s="110"/>
      <c r="YT804" s="110"/>
      <c r="YU804" s="110"/>
      <c r="YV804" s="110"/>
      <c r="YW804" s="110"/>
      <c r="YX804" s="110"/>
      <c r="YY804" s="110"/>
      <c r="YZ804" s="110"/>
      <c r="ZA804" s="110"/>
      <c r="ZB804" s="110"/>
      <c r="ZC804" s="110"/>
      <c r="ZD804" s="110"/>
      <c r="ZE804" s="110"/>
      <c r="ZF804" s="110"/>
      <c r="ZG804" s="110"/>
      <c r="ZH804" s="110"/>
      <c r="ZI804" s="110"/>
      <c r="ZJ804" s="110"/>
      <c r="ZK804" s="110"/>
      <c r="ZL804" s="110"/>
      <c r="ZM804" s="110"/>
      <c r="ZN804" s="110"/>
      <c r="ZO804" s="110"/>
      <c r="ZP804" s="110"/>
      <c r="ZQ804" s="110"/>
      <c r="ZR804" s="110"/>
      <c r="ZS804" s="110"/>
      <c r="ZT804" s="110"/>
      <c r="ZU804" s="110"/>
      <c r="ZV804" s="110"/>
      <c r="ZW804" s="110"/>
      <c r="ZX804" s="110"/>
      <c r="ZY804" s="110"/>
      <c r="ZZ804" s="110"/>
      <c r="AAA804" s="110"/>
      <c r="AAB804" s="110"/>
      <c r="AAC804" s="110"/>
      <c r="AAD804" s="110"/>
      <c r="AAE804" s="110"/>
      <c r="AAF804" s="110"/>
      <c r="AAG804" s="110"/>
      <c r="AAH804" s="110"/>
      <c r="AAI804" s="110"/>
      <c r="AAJ804" s="110"/>
      <c r="AAK804" s="110"/>
      <c r="AAL804" s="110"/>
      <c r="AAM804" s="110"/>
      <c r="AAN804" s="110"/>
      <c r="AAO804" s="110"/>
      <c r="AAP804" s="110"/>
      <c r="AAQ804" s="110"/>
      <c r="AAR804" s="110"/>
      <c r="AAS804" s="110"/>
      <c r="AAT804" s="110"/>
      <c r="AAU804" s="110"/>
      <c r="AAV804" s="110"/>
      <c r="AAW804" s="110"/>
      <c r="AAX804" s="110"/>
      <c r="AAY804" s="110"/>
      <c r="AAZ804" s="110"/>
      <c r="ABA804" s="110"/>
      <c r="ABB804" s="110"/>
      <c r="ABC804" s="110"/>
      <c r="ABD804" s="110"/>
      <c r="ABE804" s="110"/>
      <c r="ABF804" s="110"/>
      <c r="ABG804" s="110"/>
      <c r="ABH804" s="110"/>
      <c r="ABI804" s="110"/>
      <c r="ABJ804" s="110"/>
      <c r="ABK804" s="110"/>
      <c r="ABL804" s="110"/>
      <c r="ABM804" s="110"/>
      <c r="ABN804" s="110"/>
      <c r="ABO804" s="110"/>
      <c r="ABP804" s="110"/>
      <c r="ABQ804" s="110"/>
      <c r="ABR804" s="110"/>
      <c r="ABS804" s="110"/>
      <c r="ABT804" s="110"/>
      <c r="ABU804" s="110"/>
      <c r="ABV804" s="110"/>
      <c r="ABW804" s="110"/>
      <c r="ABX804" s="110"/>
      <c r="ABY804" s="110"/>
      <c r="ABZ804" s="110"/>
      <c r="ACA804" s="110"/>
      <c r="ACB804" s="110"/>
      <c r="ACC804" s="110"/>
      <c r="ACD804" s="110"/>
      <c r="ACE804" s="110"/>
      <c r="ACF804" s="110"/>
      <c r="ACG804" s="110"/>
      <c r="ACH804" s="110"/>
      <c r="ACI804" s="110"/>
      <c r="ACJ804" s="110"/>
      <c r="ACK804" s="110"/>
      <c r="ACL804" s="110"/>
      <c r="ACM804" s="110"/>
      <c r="ACN804" s="110"/>
      <c r="ACO804" s="110"/>
      <c r="ACP804" s="110"/>
      <c r="ACQ804" s="110"/>
      <c r="ACR804" s="110"/>
      <c r="ACS804" s="110"/>
      <c r="ACT804" s="110"/>
      <c r="ACU804" s="110"/>
      <c r="ACV804" s="110"/>
      <c r="ACW804" s="110"/>
      <c r="ACX804" s="110"/>
      <c r="ACY804" s="110"/>
      <c r="ACZ804" s="110"/>
      <c r="ADA804" s="110"/>
      <c r="ADB804" s="110"/>
      <c r="ADC804" s="110"/>
      <c r="ADD804" s="110"/>
      <c r="ADE804" s="110"/>
      <c r="ADF804" s="110"/>
      <c r="ADG804" s="110"/>
      <c r="ADH804" s="110"/>
      <c r="ADI804" s="110"/>
      <c r="ADJ804" s="110"/>
      <c r="ADK804" s="110"/>
      <c r="ADL804" s="110"/>
      <c r="ADM804" s="110"/>
      <c r="ADN804" s="110"/>
      <c r="ADO804" s="110"/>
      <c r="ADP804" s="110"/>
      <c r="ADQ804" s="110"/>
      <c r="ADR804" s="110"/>
      <c r="ADS804" s="110"/>
      <c r="ADT804" s="110"/>
      <c r="ADU804" s="110"/>
      <c r="ADV804" s="110"/>
      <c r="ADW804" s="110"/>
      <c r="ADX804" s="110"/>
      <c r="ADY804" s="110"/>
      <c r="ADZ804" s="110"/>
      <c r="AEA804" s="110"/>
      <c r="AEB804" s="110"/>
      <c r="AEC804" s="110"/>
      <c r="AED804" s="110"/>
      <c r="AEE804" s="110"/>
      <c r="AEF804" s="110"/>
      <c r="AEG804" s="110"/>
      <c r="AEH804" s="110"/>
      <c r="AEI804" s="110"/>
      <c r="AEJ804" s="110"/>
      <c r="AEK804" s="110"/>
      <c r="AEL804" s="110"/>
      <c r="AEM804" s="110"/>
      <c r="AEN804" s="110"/>
      <c r="AEO804" s="110"/>
      <c r="AEP804" s="110"/>
      <c r="AEQ804" s="110"/>
      <c r="AER804" s="110"/>
      <c r="AES804" s="110"/>
      <c r="AET804" s="110"/>
      <c r="AEU804" s="110"/>
      <c r="AEV804" s="110"/>
      <c r="AEW804" s="110"/>
      <c r="AEX804" s="110"/>
      <c r="AEY804" s="110"/>
      <c r="AEZ804" s="110"/>
      <c r="AFA804" s="110"/>
      <c r="AFB804" s="110"/>
      <c r="AFC804" s="110"/>
      <c r="AFD804" s="110"/>
      <c r="AFE804" s="110"/>
      <c r="AFF804" s="110"/>
      <c r="AFG804" s="110"/>
      <c r="AFH804" s="110"/>
      <c r="AFI804" s="110"/>
      <c r="AFJ804" s="110"/>
      <c r="AFK804" s="110"/>
      <c r="AFL804" s="110"/>
      <c r="AFM804" s="110"/>
      <c r="AFN804" s="110"/>
      <c r="AFO804" s="110"/>
      <c r="AFP804" s="110"/>
      <c r="AFQ804" s="110"/>
      <c r="AFR804" s="110"/>
      <c r="AFS804" s="110"/>
      <c r="AFT804" s="110"/>
      <c r="AFU804" s="110"/>
      <c r="AFV804" s="110"/>
      <c r="AFW804" s="110"/>
      <c r="AFX804" s="110"/>
      <c r="AFY804" s="110"/>
      <c r="AFZ804" s="110"/>
      <c r="AGA804" s="110"/>
      <c r="AGB804" s="110"/>
      <c r="AGC804" s="110"/>
      <c r="AGD804" s="110"/>
      <c r="AGE804" s="110"/>
      <c r="AGF804" s="110"/>
      <c r="AGG804" s="110"/>
      <c r="AGH804" s="110"/>
      <c r="AGI804" s="110"/>
      <c r="AGJ804" s="110"/>
      <c r="AGK804" s="110"/>
      <c r="AGL804" s="110"/>
      <c r="AGM804" s="110"/>
      <c r="AGN804" s="110"/>
      <c r="AGO804" s="110"/>
      <c r="AGP804" s="110"/>
      <c r="AGQ804" s="110"/>
      <c r="AGR804" s="110"/>
      <c r="AGS804" s="110"/>
      <c r="AGT804" s="110"/>
      <c r="AGU804" s="110"/>
      <c r="AGV804" s="110"/>
      <c r="AGW804" s="110"/>
      <c r="AGX804" s="110"/>
      <c r="AGY804" s="110"/>
      <c r="AGZ804" s="110"/>
      <c r="AHA804" s="110"/>
      <c r="AHB804" s="110"/>
      <c r="AHC804" s="110"/>
      <c r="AHD804" s="110"/>
      <c r="AHE804" s="110"/>
      <c r="AHF804" s="110"/>
      <c r="AHG804" s="110"/>
      <c r="AHH804" s="110"/>
      <c r="AHI804" s="110"/>
      <c r="AHJ804" s="110"/>
      <c r="AHK804" s="110"/>
      <c r="AHL804" s="110"/>
      <c r="AHM804" s="110"/>
      <c r="AHN804" s="110"/>
      <c r="AHO804" s="110"/>
      <c r="AHP804" s="110"/>
      <c r="AHQ804" s="110"/>
      <c r="AHR804" s="110"/>
      <c r="AHS804" s="110"/>
      <c r="AHT804" s="110"/>
      <c r="AHU804" s="110"/>
      <c r="AHV804" s="110"/>
      <c r="AHW804" s="110"/>
      <c r="AHX804" s="110"/>
      <c r="AHY804" s="110"/>
      <c r="AHZ804" s="110"/>
      <c r="AIA804" s="110"/>
      <c r="AIB804" s="110"/>
      <c r="AIC804" s="110"/>
      <c r="AID804" s="110"/>
      <c r="AIE804" s="110"/>
      <c r="AIF804" s="110"/>
      <c r="AIG804" s="110"/>
      <c r="AIH804" s="110"/>
      <c r="AII804" s="110"/>
      <c r="AIJ804" s="110"/>
      <c r="AIK804" s="110"/>
      <c r="AIL804" s="110"/>
      <c r="AIM804" s="110"/>
      <c r="AIN804" s="110"/>
      <c r="AIO804" s="110"/>
      <c r="AIP804" s="110"/>
      <c r="AIQ804" s="110"/>
      <c r="AIR804" s="110"/>
      <c r="AIS804" s="110"/>
      <c r="AIT804" s="110"/>
      <c r="AIU804" s="110"/>
      <c r="AIV804" s="110"/>
      <c r="AIW804" s="110"/>
      <c r="AIX804" s="110"/>
      <c r="AIY804" s="110"/>
      <c r="AIZ804" s="110"/>
      <c r="AJA804" s="110"/>
      <c r="AJB804" s="110"/>
      <c r="AJC804" s="110"/>
      <c r="AJD804" s="110"/>
      <c r="AJE804" s="110"/>
      <c r="AJF804" s="110"/>
      <c r="AJG804" s="110"/>
      <c r="AJH804" s="110"/>
      <c r="AJI804" s="110"/>
      <c r="AJJ804" s="110"/>
      <c r="AJK804" s="110"/>
      <c r="AJL804" s="110"/>
      <c r="AJM804" s="110"/>
      <c r="AJN804" s="110"/>
      <c r="AJO804" s="110"/>
      <c r="AJP804" s="110"/>
      <c r="AJQ804" s="110"/>
      <c r="AJR804" s="110"/>
      <c r="AJS804" s="110"/>
      <c r="AJT804" s="110"/>
      <c r="AJU804" s="110"/>
      <c r="AJV804" s="110"/>
      <c r="AJW804" s="110"/>
      <c r="AJX804" s="110"/>
      <c r="AJY804" s="110"/>
      <c r="AJZ804" s="110"/>
      <c r="AKA804" s="110"/>
      <c r="AKB804" s="110"/>
      <c r="AKC804" s="110"/>
      <c r="AKD804" s="110"/>
      <c r="AKE804" s="110"/>
      <c r="AKF804" s="110"/>
      <c r="AKG804" s="110"/>
      <c r="AKH804" s="110"/>
      <c r="AKI804" s="110"/>
      <c r="AKJ804" s="110"/>
      <c r="AKK804" s="110"/>
      <c r="AKL804" s="110"/>
      <c r="AKM804" s="110"/>
      <c r="AKN804" s="110"/>
      <c r="AKO804" s="110"/>
      <c r="AKP804" s="110"/>
      <c r="AKQ804" s="110"/>
      <c r="AKR804" s="110"/>
      <c r="AKS804" s="110"/>
      <c r="AKT804" s="110"/>
      <c r="AKU804" s="110"/>
      <c r="AKV804" s="110"/>
      <c r="AKW804" s="110"/>
      <c r="AKX804" s="110"/>
      <c r="AKY804" s="110"/>
      <c r="AKZ804" s="110"/>
      <c r="ALA804" s="110"/>
      <c r="ALB804" s="110"/>
      <c r="ALC804" s="110"/>
      <c r="ALD804" s="110"/>
      <c r="ALE804" s="110"/>
      <c r="ALF804" s="110"/>
      <c r="ALG804" s="110"/>
      <c r="ALH804" s="110"/>
      <c r="ALI804" s="110"/>
      <c r="ALJ804" s="110"/>
      <c r="ALK804" s="110"/>
      <c r="ALL804" s="110"/>
      <c r="ALM804" s="110"/>
      <c r="ALN804" s="110"/>
      <c r="ALO804" s="110"/>
      <c r="ALP804" s="110"/>
      <c r="ALQ804" s="110"/>
      <c r="ALR804" s="110"/>
      <c r="ALS804" s="110"/>
      <c r="ALT804" s="110"/>
      <c r="ALU804" s="110"/>
      <c r="ALV804" s="110"/>
      <c r="ALW804" s="110"/>
      <c r="ALX804" s="110"/>
      <c r="ALY804" s="110"/>
      <c r="ALZ804" s="110"/>
      <c r="AMA804" s="110"/>
      <c r="AMB804" s="110"/>
      <c r="AMC804" s="110"/>
      <c r="AMD804" s="110"/>
      <c r="AME804" s="110"/>
      <c r="AMF804" s="110"/>
      <c r="AMG804" s="110"/>
      <c r="AMH804" s="110"/>
      <c r="AMI804" s="110"/>
      <c r="AMJ804" s="110"/>
      <c r="AMK804" s="110"/>
      <c r="AML804" s="110"/>
      <c r="AMM804" s="110"/>
      <c r="AMN804" s="110"/>
      <c r="AMO804" s="110"/>
      <c r="AMP804" s="110"/>
      <c r="AMQ804" s="110"/>
      <c r="AMR804" s="110"/>
      <c r="AMS804" s="110"/>
      <c r="AMT804" s="110"/>
      <c r="AMU804" s="110"/>
      <c r="AMV804" s="110"/>
      <c r="AMW804" s="110"/>
      <c r="AMX804" s="110"/>
      <c r="AMY804" s="110"/>
      <c r="AMZ804" s="110"/>
      <c r="ANA804" s="110"/>
      <c r="ANB804" s="110"/>
      <c r="ANC804" s="110"/>
      <c r="AND804" s="110"/>
      <c r="ANE804" s="110"/>
      <c r="ANF804" s="110"/>
      <c r="ANG804" s="110"/>
      <c r="ANH804" s="110"/>
      <c r="ANI804" s="110"/>
      <c r="ANJ804" s="110"/>
      <c r="ANK804" s="110"/>
      <c r="ANL804" s="110"/>
      <c r="ANM804" s="110"/>
      <c r="ANN804" s="110"/>
      <c r="ANO804" s="110"/>
      <c r="ANP804" s="110"/>
      <c r="ANQ804" s="110"/>
      <c r="ANR804" s="110"/>
      <c r="ANS804" s="110"/>
      <c r="ANT804" s="110"/>
      <c r="ANU804" s="110"/>
      <c r="ANV804" s="110"/>
      <c r="ANW804" s="110"/>
      <c r="ANX804" s="110"/>
      <c r="ANY804" s="110"/>
      <c r="ANZ804" s="110"/>
      <c r="AOA804" s="110"/>
      <c r="AOB804" s="110"/>
      <c r="AOC804" s="110"/>
      <c r="AOD804" s="110"/>
      <c r="AOE804" s="110"/>
      <c r="AOF804" s="110"/>
      <c r="AOG804" s="110"/>
      <c r="AOH804" s="110"/>
      <c r="AOI804" s="110"/>
      <c r="AOJ804" s="110"/>
      <c r="AOK804" s="110"/>
      <c r="AOL804" s="110"/>
      <c r="AOM804" s="110"/>
      <c r="AON804" s="110"/>
      <c r="AOO804" s="110"/>
      <c r="AOP804" s="110"/>
      <c r="AOQ804" s="110"/>
      <c r="AOR804" s="110"/>
      <c r="AOS804" s="110"/>
      <c r="AOT804" s="110"/>
      <c r="AOU804" s="110"/>
      <c r="AOV804" s="110"/>
      <c r="AOW804" s="110"/>
      <c r="AOX804" s="110"/>
      <c r="AOY804" s="110"/>
      <c r="AOZ804" s="110"/>
      <c r="APA804" s="110"/>
      <c r="APB804" s="110"/>
      <c r="APC804" s="110"/>
      <c r="APD804" s="110"/>
      <c r="APE804" s="110"/>
      <c r="APF804" s="110"/>
      <c r="APG804" s="110"/>
      <c r="APH804" s="110"/>
      <c r="API804" s="110"/>
      <c r="APJ804" s="110"/>
      <c r="APK804" s="110"/>
      <c r="APL804" s="110"/>
      <c r="APM804" s="110"/>
      <c r="APN804" s="110"/>
      <c r="APO804" s="110"/>
      <c r="APP804" s="110"/>
      <c r="APQ804" s="110"/>
      <c r="APR804" s="110"/>
      <c r="APS804" s="110"/>
      <c r="APT804" s="110"/>
      <c r="APU804" s="110"/>
      <c r="APV804" s="110"/>
      <c r="APW804" s="110"/>
      <c r="APX804" s="110"/>
      <c r="APY804" s="110"/>
      <c r="APZ804" s="110"/>
      <c r="AQA804" s="110"/>
      <c r="AQB804" s="110"/>
      <c r="AQC804" s="110"/>
      <c r="AQD804" s="110"/>
      <c r="AQE804" s="110"/>
      <c r="AQF804" s="110"/>
      <c r="AQG804" s="110"/>
      <c r="AQH804" s="110"/>
      <c r="AQI804" s="110"/>
      <c r="AQJ804" s="110"/>
      <c r="AQK804" s="110"/>
      <c r="AQL804" s="110"/>
      <c r="AQM804" s="110"/>
      <c r="AQN804" s="110"/>
      <c r="AQO804" s="110"/>
      <c r="AQP804" s="110"/>
      <c r="AQQ804" s="110"/>
      <c r="AQR804" s="110"/>
      <c r="AQS804" s="110"/>
      <c r="AQT804" s="110"/>
      <c r="AQU804" s="110"/>
      <c r="AQV804" s="110"/>
      <c r="AQW804" s="110"/>
      <c r="AQX804" s="110"/>
      <c r="AQY804" s="110"/>
      <c r="AQZ804" s="110"/>
      <c r="ARA804" s="110"/>
      <c r="ARB804" s="110"/>
      <c r="ARC804" s="110"/>
      <c r="ARD804" s="110"/>
      <c r="ARE804" s="110"/>
      <c r="ARF804" s="110"/>
      <c r="ARG804" s="110"/>
      <c r="ARH804" s="110"/>
      <c r="ARI804" s="110"/>
      <c r="ARJ804" s="110"/>
      <c r="ARK804" s="110"/>
      <c r="ARL804" s="110"/>
      <c r="ARM804" s="110"/>
      <c r="ARN804" s="110"/>
      <c r="ARO804" s="110"/>
      <c r="ARP804" s="110"/>
      <c r="ARQ804" s="110"/>
      <c r="ARR804" s="110"/>
      <c r="ARS804" s="110"/>
      <c r="ART804" s="110"/>
      <c r="ARU804" s="110"/>
      <c r="ARV804" s="110"/>
      <c r="ARW804" s="110"/>
      <c r="ARX804" s="110"/>
      <c r="ARY804" s="110"/>
      <c r="ARZ804" s="110"/>
      <c r="ASA804" s="110"/>
      <c r="ASB804" s="110"/>
      <c r="ASC804" s="110"/>
      <c r="ASD804" s="110"/>
      <c r="ASE804" s="110"/>
      <c r="ASF804" s="110"/>
      <c r="ASG804" s="110"/>
      <c r="ASH804" s="110"/>
      <c r="ASI804" s="110"/>
      <c r="ASJ804" s="110"/>
      <c r="ASK804" s="110"/>
      <c r="ASL804" s="110"/>
      <c r="ASM804" s="110"/>
      <c r="ASN804" s="110"/>
      <c r="ASO804" s="110"/>
      <c r="ASP804" s="110"/>
      <c r="ASQ804" s="110"/>
      <c r="ASR804" s="110"/>
      <c r="ASS804" s="110"/>
      <c r="AST804" s="110"/>
      <c r="ASU804" s="110"/>
      <c r="ASV804" s="110"/>
      <c r="ASW804" s="110"/>
      <c r="ASX804" s="110"/>
      <c r="ASY804" s="110"/>
      <c r="ASZ804" s="110"/>
      <c r="ATA804" s="110"/>
      <c r="ATB804" s="110"/>
      <c r="ATC804" s="110"/>
      <c r="ATD804" s="110"/>
      <c r="ATE804" s="110"/>
      <c r="ATF804" s="110"/>
      <c r="ATG804" s="110"/>
      <c r="ATH804" s="110"/>
      <c r="ATI804" s="110"/>
      <c r="ATJ804" s="110"/>
      <c r="ATK804" s="110"/>
      <c r="ATL804" s="110"/>
      <c r="ATM804" s="110"/>
      <c r="ATN804" s="110"/>
      <c r="ATO804" s="110"/>
      <c r="ATP804" s="110"/>
      <c r="ATQ804" s="110"/>
      <c r="ATR804" s="110"/>
      <c r="ATS804" s="110"/>
      <c r="ATT804" s="110"/>
      <c r="ATU804" s="110"/>
      <c r="ATV804" s="110"/>
      <c r="ATW804" s="110"/>
      <c r="ATX804" s="110"/>
      <c r="ATY804" s="110"/>
      <c r="ATZ804" s="110"/>
      <c r="AUA804" s="110"/>
      <c r="AUB804" s="110"/>
      <c r="AUC804" s="110"/>
      <c r="AUD804" s="110"/>
      <c r="AUE804" s="110"/>
      <c r="AUF804" s="110"/>
      <c r="AUG804" s="110"/>
      <c r="AUH804" s="110"/>
      <c r="AUI804" s="110"/>
      <c r="AUJ804" s="110"/>
      <c r="AUK804" s="110"/>
      <c r="AUL804" s="110"/>
      <c r="AUM804" s="110"/>
      <c r="AUN804" s="110"/>
      <c r="AUO804" s="110"/>
      <c r="AUP804" s="110"/>
      <c r="AUQ804" s="110"/>
      <c r="AUR804" s="110"/>
      <c r="AUS804" s="110"/>
      <c r="AUT804" s="110"/>
      <c r="AUU804" s="110"/>
      <c r="AUV804" s="110"/>
      <c r="AUW804" s="110"/>
      <c r="AUX804" s="110"/>
      <c r="AUY804" s="110"/>
      <c r="AUZ804" s="110"/>
      <c r="AVA804" s="110"/>
      <c r="AVB804" s="110"/>
      <c r="AVC804" s="110"/>
      <c r="AVD804" s="110"/>
      <c r="AVE804" s="110"/>
      <c r="AVF804" s="110"/>
      <c r="AVG804" s="110"/>
      <c r="AVH804" s="110"/>
      <c r="AVI804" s="110"/>
      <c r="AVJ804" s="110"/>
      <c r="AVK804" s="110"/>
      <c r="AVL804" s="110"/>
      <c r="AVM804" s="110"/>
      <c r="AVN804" s="110"/>
      <c r="AVO804" s="110"/>
      <c r="AVP804" s="110"/>
      <c r="AVQ804" s="110"/>
      <c r="AVR804" s="110"/>
      <c r="AVS804" s="110"/>
      <c r="AVT804" s="110"/>
      <c r="AVU804" s="110"/>
      <c r="AVV804" s="110"/>
      <c r="AVW804" s="110"/>
      <c r="AVX804" s="110"/>
      <c r="AVY804" s="110"/>
      <c r="AVZ804" s="110"/>
      <c r="AWA804" s="110"/>
      <c r="AWB804" s="110"/>
      <c r="AWC804" s="110"/>
      <c r="AWD804" s="110"/>
      <c r="AWE804" s="110"/>
      <c r="AWF804" s="110"/>
      <c r="AWG804" s="110"/>
      <c r="AWH804" s="110"/>
      <c r="AWI804" s="110"/>
      <c r="AWJ804" s="110"/>
      <c r="AWK804" s="110"/>
      <c r="AWL804" s="110"/>
      <c r="AWM804" s="110"/>
      <c r="AWN804" s="110"/>
      <c r="AWO804" s="110"/>
      <c r="AWP804" s="110"/>
      <c r="AWQ804" s="110"/>
      <c r="AWR804" s="110"/>
      <c r="AWS804" s="110"/>
      <c r="AWT804" s="110"/>
      <c r="AWU804" s="110"/>
      <c r="AWV804" s="110"/>
      <c r="AWW804" s="110"/>
      <c r="AWX804" s="110"/>
      <c r="AWY804" s="110"/>
      <c r="AWZ804" s="110"/>
      <c r="AXA804" s="110"/>
      <c r="AXB804" s="110"/>
      <c r="AXC804" s="110"/>
      <c r="AXD804" s="110"/>
      <c r="AXE804" s="110"/>
      <c r="AXF804" s="110"/>
      <c r="AXG804" s="110"/>
      <c r="AXH804" s="110"/>
      <c r="AXI804" s="110"/>
      <c r="AXJ804" s="110"/>
      <c r="AXK804" s="110"/>
      <c r="AXL804" s="110"/>
      <c r="AXM804" s="110"/>
      <c r="AXN804" s="110"/>
      <c r="AXO804" s="110"/>
      <c r="AXP804" s="110"/>
      <c r="AXQ804" s="110"/>
      <c r="AXR804" s="110"/>
      <c r="AXS804" s="110"/>
      <c r="AXT804" s="110"/>
      <c r="AXU804" s="110"/>
      <c r="AXV804" s="110"/>
      <c r="AXW804" s="110"/>
      <c r="AXX804" s="110"/>
      <c r="AXY804" s="110"/>
      <c r="AXZ804" s="110"/>
      <c r="AYA804" s="110"/>
      <c r="AYB804" s="110"/>
      <c r="AYC804" s="110"/>
      <c r="AYD804" s="110"/>
      <c r="AYE804" s="110"/>
      <c r="AYF804" s="110"/>
      <c r="AYG804" s="110"/>
      <c r="AYH804" s="110"/>
      <c r="AYI804" s="110"/>
      <c r="AYJ804" s="110"/>
      <c r="AYK804" s="110"/>
      <c r="AYL804" s="110"/>
      <c r="AYM804" s="110"/>
      <c r="AYN804" s="110"/>
      <c r="AYO804" s="110"/>
      <c r="AYP804" s="110"/>
      <c r="AYQ804" s="110"/>
      <c r="AYR804" s="110"/>
      <c r="AYS804" s="110"/>
      <c r="AYT804" s="110"/>
      <c r="AYU804" s="110"/>
      <c r="AYV804" s="110"/>
      <c r="AYW804" s="110"/>
      <c r="AYX804" s="110"/>
      <c r="AYY804" s="110"/>
      <c r="AYZ804" s="110"/>
      <c r="AZA804" s="110"/>
      <c r="AZB804" s="110"/>
      <c r="AZC804" s="110"/>
      <c r="AZD804" s="110"/>
      <c r="AZE804" s="110"/>
      <c r="AZF804" s="110"/>
      <c r="AZG804" s="110"/>
      <c r="AZH804" s="110"/>
      <c r="AZI804" s="110"/>
      <c r="AZJ804" s="110"/>
      <c r="AZK804" s="110"/>
      <c r="AZL804" s="110"/>
      <c r="AZM804" s="110"/>
      <c r="AZN804" s="110"/>
      <c r="AZO804" s="110"/>
      <c r="AZP804" s="110"/>
      <c r="AZQ804" s="110"/>
      <c r="AZR804" s="110"/>
      <c r="AZS804" s="110"/>
      <c r="AZT804" s="110"/>
      <c r="AZU804" s="110"/>
      <c r="AZV804" s="110"/>
      <c r="AZW804" s="110"/>
      <c r="AZX804" s="110"/>
      <c r="AZY804" s="110"/>
      <c r="AZZ804" s="110"/>
      <c r="BAA804" s="110"/>
      <c r="BAB804" s="110"/>
      <c r="BAC804" s="110"/>
      <c r="BAD804" s="110"/>
      <c r="BAE804" s="110"/>
      <c r="BAF804" s="110"/>
      <c r="BAG804" s="110"/>
      <c r="BAH804" s="110"/>
      <c r="BAI804" s="110"/>
      <c r="BAJ804" s="110"/>
      <c r="BAK804" s="110"/>
      <c r="BAL804" s="110"/>
      <c r="BAM804" s="110"/>
      <c r="BAN804" s="110"/>
      <c r="BAO804" s="110"/>
      <c r="BAP804" s="110"/>
      <c r="BAQ804" s="110"/>
      <c r="BAR804" s="110"/>
      <c r="BAS804" s="110"/>
      <c r="BAT804" s="110"/>
      <c r="BAU804" s="110"/>
      <c r="BAV804" s="110"/>
      <c r="BAW804" s="110"/>
      <c r="BAX804" s="110"/>
      <c r="BAY804" s="110"/>
      <c r="BAZ804" s="110"/>
      <c r="BBA804" s="110"/>
      <c r="BBB804" s="110"/>
      <c r="BBC804" s="110"/>
      <c r="BBD804" s="110"/>
      <c r="BBE804" s="110"/>
      <c r="BBF804" s="110"/>
      <c r="BBG804" s="110"/>
      <c r="BBH804" s="110"/>
      <c r="BBI804" s="110"/>
      <c r="BBJ804" s="110"/>
      <c r="BBK804" s="110"/>
      <c r="BBL804" s="110"/>
      <c r="BBM804" s="110"/>
      <c r="BBN804" s="110"/>
      <c r="BBO804" s="110"/>
      <c r="BBP804" s="110"/>
      <c r="BBQ804" s="110"/>
      <c r="BBR804" s="110"/>
      <c r="BBS804" s="110"/>
      <c r="BBT804" s="110"/>
      <c r="BBU804" s="110"/>
      <c r="BBV804" s="110"/>
      <c r="BBW804" s="110"/>
      <c r="BBX804" s="110"/>
      <c r="BBY804" s="110"/>
      <c r="BBZ804" s="110"/>
      <c r="BCA804" s="110"/>
      <c r="BCB804" s="110"/>
      <c r="BCC804" s="110"/>
      <c r="BCD804" s="110"/>
      <c r="BCE804" s="110"/>
      <c r="BCF804" s="110"/>
      <c r="BCG804" s="110"/>
      <c r="BCH804" s="110"/>
      <c r="BCI804" s="110"/>
      <c r="BCJ804" s="110"/>
      <c r="BCK804" s="110"/>
      <c r="BCL804" s="110"/>
      <c r="BCM804" s="110"/>
      <c r="BCN804" s="110"/>
      <c r="BCO804" s="110"/>
      <c r="BCP804" s="110"/>
      <c r="BCQ804" s="110"/>
      <c r="BCR804" s="110"/>
      <c r="BCS804" s="110"/>
      <c r="BCT804" s="110"/>
      <c r="BCU804" s="110"/>
      <c r="BCV804" s="110"/>
      <c r="BCW804" s="110"/>
      <c r="BCX804" s="110"/>
      <c r="BCY804" s="110"/>
      <c r="BCZ804" s="110"/>
      <c r="BDA804" s="110"/>
      <c r="BDB804" s="110"/>
      <c r="BDC804" s="110"/>
      <c r="BDD804" s="110"/>
      <c r="BDE804" s="110"/>
      <c r="BDF804" s="110"/>
      <c r="BDG804" s="110"/>
      <c r="BDH804" s="110"/>
      <c r="BDI804" s="110"/>
      <c r="BDJ804" s="110"/>
      <c r="BDK804" s="110"/>
      <c r="BDL804" s="110"/>
      <c r="BDM804" s="110"/>
      <c r="BDN804" s="110"/>
      <c r="BDO804" s="110"/>
      <c r="BDP804" s="110"/>
      <c r="BDQ804" s="110"/>
      <c r="BDR804" s="110"/>
      <c r="BDS804" s="110"/>
      <c r="BDT804" s="110"/>
      <c r="BDU804" s="110"/>
      <c r="BDV804" s="110"/>
      <c r="BDW804" s="110"/>
      <c r="BDX804" s="110"/>
      <c r="BDY804" s="110"/>
      <c r="BDZ804" s="110"/>
      <c r="BEA804" s="110"/>
      <c r="BEB804" s="110"/>
      <c r="BEC804" s="110"/>
      <c r="BED804" s="110"/>
      <c r="BEE804" s="110"/>
      <c r="BEF804" s="110"/>
      <c r="BEG804" s="110"/>
      <c r="BEH804" s="110"/>
      <c r="BEI804" s="110"/>
      <c r="BEJ804" s="110"/>
      <c r="BEK804" s="110"/>
      <c r="BEL804" s="110"/>
      <c r="BEM804" s="110"/>
      <c r="BEN804" s="110"/>
      <c r="BEO804" s="110"/>
      <c r="BEP804" s="110"/>
      <c r="BEQ804" s="110"/>
      <c r="BER804" s="110"/>
      <c r="BES804" s="110"/>
      <c r="BET804" s="110"/>
      <c r="BEU804" s="110"/>
      <c r="BEV804" s="110"/>
      <c r="BEW804" s="110"/>
      <c r="BEX804" s="110"/>
      <c r="BEY804" s="110"/>
      <c r="BEZ804" s="110"/>
      <c r="BFA804" s="110"/>
      <c r="BFB804" s="110"/>
      <c r="BFC804" s="110"/>
      <c r="BFD804" s="110"/>
      <c r="BFE804" s="110"/>
      <c r="BFF804" s="110"/>
      <c r="BFG804" s="110"/>
      <c r="BFH804" s="110"/>
      <c r="BFI804" s="110"/>
      <c r="BFJ804" s="110"/>
      <c r="BFK804" s="110"/>
      <c r="BFL804" s="110"/>
      <c r="BFM804" s="110"/>
      <c r="BFN804" s="110"/>
      <c r="BFO804" s="110"/>
      <c r="BFP804" s="110"/>
      <c r="BFQ804" s="110"/>
      <c r="BFR804" s="110"/>
      <c r="BFS804" s="110"/>
      <c r="BFT804" s="110"/>
      <c r="BFU804" s="110"/>
      <c r="BFV804" s="110"/>
      <c r="BFW804" s="110"/>
      <c r="BFX804" s="110"/>
      <c r="BFY804" s="110"/>
      <c r="BFZ804" s="110"/>
      <c r="BGA804" s="110"/>
      <c r="BGB804" s="110"/>
      <c r="BGC804" s="110"/>
      <c r="BGD804" s="110"/>
      <c r="BGE804" s="110"/>
      <c r="BGF804" s="110"/>
      <c r="BGG804" s="110"/>
      <c r="BGH804" s="110"/>
      <c r="BGI804" s="110"/>
      <c r="BGJ804" s="110"/>
      <c r="BGK804" s="110"/>
      <c r="BGL804" s="110"/>
      <c r="BGM804" s="110"/>
      <c r="BGN804" s="110"/>
      <c r="BGO804" s="110"/>
      <c r="BGP804" s="110"/>
      <c r="BGQ804" s="110"/>
      <c r="BGR804" s="110"/>
      <c r="BGS804" s="110"/>
      <c r="BGT804" s="110"/>
      <c r="BGU804" s="110"/>
      <c r="BGV804" s="110"/>
      <c r="BGW804" s="110"/>
      <c r="BGX804" s="110"/>
      <c r="BGY804" s="110"/>
      <c r="BGZ804" s="110"/>
      <c r="BHA804" s="110"/>
      <c r="BHB804" s="110"/>
      <c r="BHC804" s="110"/>
      <c r="BHD804" s="110"/>
      <c r="BHE804" s="110"/>
      <c r="BHF804" s="110"/>
      <c r="BHG804" s="110"/>
      <c r="BHH804" s="110"/>
      <c r="BHI804" s="110"/>
      <c r="BHJ804" s="110"/>
      <c r="BHK804" s="110"/>
      <c r="BHL804" s="110"/>
      <c r="BHM804" s="110"/>
      <c r="BHN804" s="110"/>
      <c r="BHO804" s="110"/>
      <c r="BHP804" s="110"/>
      <c r="BHQ804" s="110"/>
      <c r="BHR804" s="110"/>
      <c r="BHS804" s="110"/>
      <c r="BHT804" s="110"/>
      <c r="BHU804" s="110"/>
      <c r="BHV804" s="110"/>
      <c r="BHW804" s="110"/>
      <c r="BHX804" s="110"/>
      <c r="BHY804" s="110"/>
      <c r="BHZ804" s="110"/>
      <c r="BIA804" s="110"/>
      <c r="BIB804" s="110"/>
      <c r="BIC804" s="110"/>
      <c r="BID804" s="110"/>
      <c r="BIE804" s="110"/>
      <c r="BIF804" s="110"/>
      <c r="BIG804" s="110"/>
      <c r="BIH804" s="110"/>
      <c r="BII804" s="110"/>
      <c r="BIJ804" s="110"/>
      <c r="BIK804" s="110"/>
      <c r="BIL804" s="110"/>
      <c r="BIM804" s="110"/>
      <c r="BIN804" s="110"/>
      <c r="BIO804" s="110"/>
      <c r="BIP804" s="110"/>
      <c r="BIQ804" s="110"/>
      <c r="BIR804" s="110"/>
      <c r="BIS804" s="110"/>
      <c r="BIT804" s="110"/>
      <c r="BIU804" s="110"/>
      <c r="BIV804" s="110"/>
      <c r="BIW804" s="110"/>
      <c r="BIX804" s="110"/>
      <c r="BIY804" s="110"/>
      <c r="BIZ804" s="110"/>
      <c r="BJA804" s="110"/>
      <c r="BJB804" s="110"/>
      <c r="BJC804" s="110"/>
      <c r="BJD804" s="110"/>
      <c r="BJE804" s="110"/>
      <c r="BJF804" s="110"/>
      <c r="BJG804" s="110"/>
      <c r="BJH804" s="110"/>
      <c r="BJI804" s="110"/>
      <c r="BJJ804" s="110"/>
      <c r="BJK804" s="110"/>
      <c r="BJL804" s="110"/>
      <c r="BJM804" s="110"/>
      <c r="BJN804" s="110"/>
      <c r="BJO804" s="110"/>
      <c r="BJP804" s="110"/>
      <c r="BJQ804" s="110"/>
      <c r="BJR804" s="110"/>
      <c r="BJS804" s="110"/>
      <c r="BJT804" s="110"/>
      <c r="BJU804" s="110"/>
      <c r="BJV804" s="110"/>
      <c r="BJW804" s="110"/>
      <c r="BJX804" s="110"/>
      <c r="BJY804" s="110"/>
      <c r="BJZ804" s="110"/>
      <c r="BKA804" s="110"/>
      <c r="BKB804" s="110"/>
      <c r="BKC804" s="110"/>
      <c r="BKD804" s="110"/>
      <c r="BKE804" s="110"/>
      <c r="BKF804" s="110"/>
      <c r="BKG804" s="110"/>
      <c r="BKH804" s="110"/>
      <c r="BKI804" s="110"/>
      <c r="BKJ804" s="110"/>
      <c r="BKK804" s="110"/>
      <c r="BKL804" s="110"/>
      <c r="BKM804" s="110"/>
      <c r="BKN804" s="110"/>
      <c r="BKO804" s="110"/>
      <c r="BKP804" s="110"/>
      <c r="BKQ804" s="110"/>
      <c r="BKR804" s="110"/>
      <c r="BKS804" s="110"/>
      <c r="BKT804" s="110"/>
      <c r="BKU804" s="110"/>
      <c r="BKV804" s="110"/>
      <c r="BKW804" s="110"/>
      <c r="BKX804" s="110"/>
      <c r="BKY804" s="110"/>
      <c r="BKZ804" s="110"/>
      <c r="BLA804" s="110"/>
      <c r="BLB804" s="110"/>
      <c r="BLC804" s="110"/>
      <c r="BLD804" s="110"/>
      <c r="BLE804" s="110"/>
      <c r="BLF804" s="110"/>
      <c r="BLG804" s="110"/>
      <c r="BLH804" s="110"/>
      <c r="BLI804" s="110"/>
      <c r="BLJ804" s="110"/>
      <c r="BLK804" s="110"/>
      <c r="BLL804" s="110"/>
      <c r="BLM804" s="110"/>
      <c r="BLN804" s="110"/>
      <c r="BLO804" s="110"/>
      <c r="BLP804" s="110"/>
      <c r="BLQ804" s="110"/>
      <c r="BLR804" s="110"/>
      <c r="BLS804" s="110"/>
      <c r="BLT804" s="110"/>
      <c r="BLU804" s="110"/>
      <c r="BLV804" s="110"/>
      <c r="BLW804" s="110"/>
      <c r="BLX804" s="110"/>
      <c r="BLY804" s="110"/>
      <c r="BLZ804" s="110"/>
      <c r="BMA804" s="110"/>
      <c r="BMB804" s="110"/>
      <c r="BMC804" s="110"/>
      <c r="BMD804" s="110"/>
      <c r="BME804" s="110"/>
      <c r="BMF804" s="110"/>
      <c r="BMG804" s="110"/>
      <c r="BMH804" s="110"/>
      <c r="BMI804" s="110"/>
      <c r="BMJ804" s="110"/>
      <c r="BMK804" s="110"/>
      <c r="BML804" s="110"/>
      <c r="BMM804" s="110"/>
      <c r="BMN804" s="110"/>
      <c r="BMO804" s="110"/>
      <c r="BMP804" s="110"/>
      <c r="BMQ804" s="110"/>
      <c r="BMR804" s="110"/>
      <c r="BMS804" s="110"/>
      <c r="BMT804" s="110"/>
      <c r="BMU804" s="110"/>
      <c r="BMV804" s="110"/>
      <c r="BMW804" s="110"/>
      <c r="BMX804" s="110"/>
      <c r="BMY804" s="110"/>
      <c r="BMZ804" s="110"/>
      <c r="BNA804" s="110"/>
      <c r="BNB804" s="110"/>
      <c r="BNC804" s="110"/>
      <c r="BND804" s="110"/>
      <c r="BNE804" s="110"/>
      <c r="BNF804" s="110"/>
      <c r="BNG804" s="110"/>
      <c r="BNH804" s="110"/>
      <c r="BNI804" s="110"/>
      <c r="BNJ804" s="110"/>
      <c r="BNK804" s="110"/>
      <c r="BNL804" s="110"/>
      <c r="BNM804" s="110"/>
      <c r="BNN804" s="110"/>
      <c r="BNO804" s="110"/>
      <c r="BNP804" s="110"/>
      <c r="BNQ804" s="110"/>
      <c r="BNR804" s="110"/>
      <c r="BNS804" s="110"/>
      <c r="BNT804" s="110"/>
      <c r="BNU804" s="110"/>
      <c r="BNV804" s="110"/>
      <c r="BNW804" s="110"/>
      <c r="BNX804" s="110"/>
      <c r="BNY804" s="110"/>
      <c r="BNZ804" s="110"/>
      <c r="BOA804" s="110"/>
      <c r="BOB804" s="110"/>
      <c r="BOC804" s="110"/>
      <c r="BOD804" s="110"/>
      <c r="BOE804" s="110"/>
      <c r="BOF804" s="110"/>
      <c r="BOG804" s="110"/>
      <c r="BOH804" s="110"/>
      <c r="BOI804" s="110"/>
      <c r="BOJ804" s="110"/>
      <c r="BOK804" s="110"/>
      <c r="BOL804" s="110"/>
      <c r="BOM804" s="110"/>
      <c r="BON804" s="110"/>
      <c r="BOO804" s="110"/>
      <c r="BOP804" s="110"/>
      <c r="BOQ804" s="110"/>
      <c r="BOR804" s="110"/>
      <c r="BOS804" s="110"/>
      <c r="BOT804" s="110"/>
      <c r="BOU804" s="110"/>
      <c r="BOV804" s="110"/>
      <c r="BOW804" s="110"/>
      <c r="BOX804" s="110"/>
      <c r="BOY804" s="110"/>
      <c r="BOZ804" s="110"/>
      <c r="BPA804" s="110"/>
      <c r="BPB804" s="110"/>
      <c r="BPC804" s="110"/>
      <c r="BPD804" s="110"/>
      <c r="BPE804" s="110"/>
      <c r="BPF804" s="110"/>
      <c r="BPG804" s="110"/>
      <c r="BPH804" s="110"/>
      <c r="BPI804" s="110"/>
      <c r="BPJ804" s="110"/>
      <c r="BPK804" s="110"/>
      <c r="BPL804" s="110"/>
      <c r="BPM804" s="110"/>
      <c r="BPN804" s="110"/>
      <c r="BPO804" s="110"/>
      <c r="BPP804" s="110"/>
      <c r="BPQ804" s="110"/>
      <c r="BPR804" s="110"/>
      <c r="BPS804" s="110"/>
      <c r="BPT804" s="110"/>
      <c r="BPU804" s="110"/>
      <c r="BPV804" s="110"/>
      <c r="BPW804" s="110"/>
      <c r="BPX804" s="110"/>
      <c r="BPY804" s="110"/>
      <c r="BPZ804" s="110"/>
      <c r="BQA804" s="110"/>
      <c r="BQB804" s="110"/>
      <c r="BQC804" s="110"/>
      <c r="BQD804" s="110"/>
      <c r="BQE804" s="110"/>
      <c r="BQF804" s="110"/>
      <c r="BQG804" s="110"/>
      <c r="BQH804" s="110"/>
      <c r="BQI804" s="110"/>
      <c r="BQJ804" s="110"/>
      <c r="BQK804" s="110"/>
      <c r="BQL804" s="110"/>
      <c r="BQM804" s="110"/>
      <c r="BQN804" s="110"/>
      <c r="BQO804" s="110"/>
      <c r="BQP804" s="110"/>
      <c r="BQQ804" s="110"/>
      <c r="BQR804" s="110"/>
      <c r="BQS804" s="110"/>
      <c r="BQT804" s="110"/>
      <c r="BQU804" s="110"/>
      <c r="BQV804" s="110"/>
      <c r="BQW804" s="110"/>
      <c r="BQX804" s="110"/>
      <c r="BQY804" s="110"/>
      <c r="BQZ804" s="110"/>
      <c r="BRA804" s="110"/>
      <c r="BRB804" s="110"/>
      <c r="BRC804" s="110"/>
      <c r="BRD804" s="110"/>
      <c r="BRE804" s="110"/>
      <c r="BRF804" s="110"/>
      <c r="BRG804" s="110"/>
      <c r="BRH804" s="110"/>
      <c r="BRI804" s="110"/>
      <c r="BRJ804" s="110"/>
      <c r="BRK804" s="110"/>
      <c r="BRL804" s="110"/>
      <c r="BRM804" s="110"/>
      <c r="BRN804" s="110"/>
      <c r="BRO804" s="110"/>
      <c r="BRP804" s="110"/>
      <c r="BRQ804" s="110"/>
      <c r="BRR804" s="110"/>
      <c r="BRS804" s="110"/>
      <c r="BRT804" s="110"/>
      <c r="BRU804" s="110"/>
      <c r="BRV804" s="110"/>
      <c r="BRW804" s="110"/>
      <c r="BRX804" s="110"/>
      <c r="BRY804" s="110"/>
      <c r="BRZ804" s="110"/>
      <c r="BSA804" s="110"/>
      <c r="BSB804" s="110"/>
      <c r="BSC804" s="110"/>
      <c r="BSD804" s="110"/>
      <c r="BSE804" s="110"/>
      <c r="BSF804" s="110"/>
      <c r="BSG804" s="110"/>
      <c r="BSH804" s="110"/>
      <c r="BSI804" s="110"/>
      <c r="BSJ804" s="110"/>
      <c r="BSK804" s="110"/>
      <c r="BSL804" s="110"/>
      <c r="BSM804" s="110"/>
      <c r="BSN804" s="110"/>
      <c r="BSO804" s="110"/>
      <c r="BSP804" s="110"/>
      <c r="BSQ804" s="110"/>
      <c r="BSR804" s="110"/>
      <c r="BSS804" s="110"/>
      <c r="BST804" s="110"/>
      <c r="BSU804" s="110"/>
      <c r="BSV804" s="110"/>
      <c r="BSW804" s="110"/>
      <c r="BSX804" s="110"/>
      <c r="BSY804" s="110"/>
      <c r="BSZ804" s="110"/>
      <c r="BTA804" s="110"/>
      <c r="BTB804" s="110"/>
      <c r="BTC804" s="110"/>
      <c r="BTD804" s="110"/>
      <c r="BTE804" s="110"/>
      <c r="BTF804" s="110"/>
      <c r="BTG804" s="110"/>
      <c r="BTH804" s="110"/>
      <c r="BTI804" s="110"/>
      <c r="BTJ804" s="110"/>
      <c r="BTK804" s="110"/>
      <c r="BTL804" s="110"/>
      <c r="BTM804" s="110"/>
      <c r="BTN804" s="110"/>
      <c r="BTO804" s="110"/>
      <c r="BTP804" s="110"/>
      <c r="BTQ804" s="110"/>
      <c r="BTR804" s="110"/>
      <c r="BTS804" s="110"/>
      <c r="BTT804" s="110"/>
      <c r="BTU804" s="110"/>
      <c r="BTV804" s="110"/>
      <c r="BTW804" s="110"/>
      <c r="BTX804" s="110"/>
      <c r="BTY804" s="110"/>
      <c r="BTZ804" s="110"/>
      <c r="BUA804" s="110"/>
      <c r="BUB804" s="110"/>
      <c r="BUC804" s="110"/>
      <c r="BUD804" s="110"/>
      <c r="BUE804" s="110"/>
      <c r="BUF804" s="110"/>
      <c r="BUG804" s="110"/>
      <c r="BUH804" s="110"/>
      <c r="BUI804" s="110"/>
      <c r="BUJ804" s="110"/>
      <c r="BUK804" s="110"/>
      <c r="BUL804" s="110"/>
      <c r="BUM804" s="110"/>
      <c r="BUN804" s="110"/>
      <c r="BUO804" s="110"/>
      <c r="BUP804" s="110"/>
      <c r="BUQ804" s="110"/>
      <c r="BUR804" s="110"/>
      <c r="BUS804" s="110"/>
      <c r="BUT804" s="110"/>
      <c r="BUU804" s="110"/>
      <c r="BUV804" s="110"/>
      <c r="BUW804" s="110"/>
      <c r="BUX804" s="110"/>
      <c r="BUY804" s="110"/>
      <c r="BUZ804" s="110"/>
      <c r="BVA804" s="110"/>
      <c r="BVB804" s="110"/>
      <c r="BVC804" s="110"/>
      <c r="BVD804" s="110"/>
      <c r="BVE804" s="110"/>
      <c r="BVF804" s="110"/>
      <c r="BVG804" s="110"/>
      <c r="BVH804" s="110"/>
      <c r="BVI804" s="110"/>
      <c r="BVJ804" s="110"/>
      <c r="BVK804" s="110"/>
      <c r="BVL804" s="110"/>
      <c r="BVM804" s="110"/>
      <c r="BVN804" s="110"/>
      <c r="BVO804" s="110"/>
      <c r="BVP804" s="110"/>
      <c r="BVQ804" s="110"/>
      <c r="BVR804" s="110"/>
      <c r="BVS804" s="110"/>
      <c r="BVT804" s="110"/>
      <c r="BVU804" s="110"/>
      <c r="BVV804" s="110"/>
      <c r="BVW804" s="110"/>
      <c r="BVX804" s="110"/>
      <c r="BVY804" s="110"/>
      <c r="BVZ804" s="110"/>
      <c r="BWA804" s="110"/>
      <c r="BWB804" s="110"/>
      <c r="BWC804" s="110"/>
      <c r="BWD804" s="110"/>
      <c r="BWE804" s="110"/>
      <c r="BWF804" s="110"/>
      <c r="BWG804" s="110"/>
      <c r="BWH804" s="110"/>
      <c r="BWI804" s="110"/>
      <c r="BWJ804" s="110"/>
      <c r="BWK804" s="110"/>
      <c r="BWL804" s="110"/>
      <c r="BWM804" s="110"/>
      <c r="BWN804" s="110"/>
      <c r="BWO804" s="110"/>
      <c r="BWP804" s="110"/>
      <c r="BWQ804" s="110"/>
      <c r="BWR804" s="110"/>
      <c r="BWS804" s="110"/>
      <c r="BWT804" s="110"/>
      <c r="BWU804" s="110"/>
      <c r="BWV804" s="110"/>
      <c r="BWW804" s="110"/>
      <c r="BWX804" s="110"/>
      <c r="BWY804" s="110"/>
      <c r="BWZ804" s="110"/>
      <c r="BXA804" s="110"/>
      <c r="BXB804" s="110"/>
      <c r="BXC804" s="110"/>
      <c r="BXD804" s="110"/>
      <c r="BXE804" s="110"/>
      <c r="BXF804" s="110"/>
      <c r="BXG804" s="110"/>
      <c r="BXH804" s="110"/>
      <c r="BXI804" s="110"/>
      <c r="BXJ804" s="110"/>
      <c r="BXK804" s="110"/>
      <c r="BXL804" s="110"/>
      <c r="BXM804" s="110"/>
      <c r="BXN804" s="110"/>
      <c r="BXO804" s="110"/>
      <c r="BXP804" s="110"/>
      <c r="BXQ804" s="110"/>
      <c r="BXR804" s="110"/>
      <c r="BXS804" s="110"/>
      <c r="BXT804" s="110"/>
      <c r="BXU804" s="110"/>
      <c r="BXV804" s="110"/>
      <c r="BXW804" s="110"/>
      <c r="BXX804" s="110"/>
      <c r="BXY804" s="110"/>
      <c r="BXZ804" s="110"/>
      <c r="BYA804" s="110"/>
      <c r="BYB804" s="110"/>
      <c r="BYC804" s="110"/>
      <c r="BYD804" s="110"/>
      <c r="BYE804" s="110"/>
      <c r="BYF804" s="110"/>
      <c r="BYG804" s="110"/>
      <c r="BYH804" s="110"/>
      <c r="BYI804" s="110"/>
      <c r="BYJ804" s="110"/>
      <c r="BYK804" s="110"/>
      <c r="BYL804" s="110"/>
      <c r="BYM804" s="110"/>
      <c r="BYN804" s="110"/>
      <c r="BYO804" s="110"/>
      <c r="BYP804" s="110"/>
      <c r="BYQ804" s="110"/>
      <c r="BYR804" s="110"/>
      <c r="BYS804" s="110"/>
      <c r="BYT804" s="110"/>
      <c r="BYU804" s="110"/>
      <c r="BYV804" s="110"/>
      <c r="BYW804" s="110"/>
      <c r="BYX804" s="110"/>
      <c r="BYY804" s="110"/>
      <c r="BYZ804" s="110"/>
      <c r="BZA804" s="110"/>
      <c r="BZB804" s="110"/>
      <c r="BZC804" s="110"/>
      <c r="BZD804" s="110"/>
      <c r="BZE804" s="110"/>
      <c r="BZF804" s="110"/>
      <c r="BZG804" s="110"/>
      <c r="BZH804" s="110"/>
      <c r="BZI804" s="110"/>
      <c r="BZJ804" s="110"/>
      <c r="BZK804" s="110"/>
      <c r="BZL804" s="110"/>
      <c r="BZM804" s="110"/>
      <c r="BZN804" s="110"/>
      <c r="BZO804" s="110"/>
      <c r="BZP804" s="110"/>
      <c r="BZQ804" s="110"/>
      <c r="BZR804" s="110"/>
      <c r="BZS804" s="110"/>
      <c r="BZT804" s="110"/>
      <c r="BZU804" s="110"/>
      <c r="BZV804" s="110"/>
      <c r="BZW804" s="110"/>
      <c r="BZX804" s="110"/>
      <c r="BZY804" s="110"/>
      <c r="BZZ804" s="110"/>
      <c r="CAA804" s="110"/>
      <c r="CAB804" s="110"/>
      <c r="CAC804" s="110"/>
      <c r="CAD804" s="110"/>
      <c r="CAE804" s="110"/>
      <c r="CAF804" s="110"/>
      <c r="CAG804" s="110"/>
      <c r="CAH804" s="110"/>
      <c r="CAI804" s="110"/>
      <c r="CAJ804" s="110"/>
      <c r="CAK804" s="110"/>
      <c r="CAL804" s="110"/>
      <c r="CAM804" s="110"/>
      <c r="CAN804" s="110"/>
      <c r="CAO804" s="110"/>
      <c r="CAP804" s="110"/>
      <c r="CAQ804" s="110"/>
      <c r="CAR804" s="110"/>
      <c r="CAS804" s="110"/>
      <c r="CAT804" s="110"/>
      <c r="CAU804" s="110"/>
      <c r="CAV804" s="110"/>
      <c r="CAW804" s="110"/>
      <c r="CAX804" s="110"/>
      <c r="CAY804" s="110"/>
      <c r="CAZ804" s="110"/>
      <c r="CBA804" s="110"/>
      <c r="CBB804" s="110"/>
      <c r="CBC804" s="110"/>
      <c r="CBD804" s="110"/>
      <c r="CBE804" s="110"/>
      <c r="CBF804" s="110"/>
      <c r="CBG804" s="110"/>
      <c r="CBH804" s="110"/>
      <c r="CBI804" s="110"/>
      <c r="CBJ804" s="110"/>
      <c r="CBK804" s="110"/>
      <c r="CBL804" s="110"/>
      <c r="CBM804" s="110"/>
      <c r="CBN804" s="110"/>
      <c r="CBO804" s="110"/>
      <c r="CBP804" s="110"/>
      <c r="CBQ804" s="110"/>
      <c r="CBR804" s="110"/>
      <c r="CBS804" s="110"/>
      <c r="CBT804" s="110"/>
      <c r="CBU804" s="110"/>
      <c r="CBV804" s="110"/>
      <c r="CBW804" s="110"/>
      <c r="CBX804" s="110"/>
      <c r="CBY804" s="110"/>
      <c r="CBZ804" s="110"/>
      <c r="CCA804" s="110"/>
      <c r="CCB804" s="110"/>
      <c r="CCC804" s="110"/>
      <c r="CCD804" s="110"/>
      <c r="CCE804" s="110"/>
      <c r="CCF804" s="110"/>
      <c r="CCG804" s="110"/>
      <c r="CCH804" s="110"/>
      <c r="CCI804" s="110"/>
      <c r="CCJ804" s="110"/>
      <c r="CCK804" s="110"/>
      <c r="CCL804" s="110"/>
      <c r="CCM804" s="110"/>
      <c r="CCN804" s="110"/>
      <c r="CCO804" s="110"/>
      <c r="CCP804" s="110"/>
      <c r="CCQ804" s="110"/>
      <c r="CCR804" s="110"/>
      <c r="CCS804" s="110"/>
      <c r="CCT804" s="110"/>
      <c r="CCU804" s="110"/>
      <c r="CCV804" s="110"/>
      <c r="CCW804" s="110"/>
      <c r="CCX804" s="110"/>
      <c r="CCY804" s="110"/>
      <c r="CCZ804" s="110"/>
      <c r="CDA804" s="110"/>
      <c r="CDB804" s="110"/>
      <c r="CDC804" s="110"/>
      <c r="CDD804" s="110"/>
      <c r="CDE804" s="110"/>
      <c r="CDF804" s="110"/>
      <c r="CDG804" s="110"/>
      <c r="CDH804" s="110"/>
      <c r="CDI804" s="110"/>
      <c r="CDJ804" s="110"/>
      <c r="CDK804" s="110"/>
      <c r="CDL804" s="110"/>
      <c r="CDM804" s="110"/>
      <c r="CDN804" s="110"/>
      <c r="CDO804" s="110"/>
      <c r="CDP804" s="110"/>
      <c r="CDQ804" s="110"/>
      <c r="CDR804" s="110"/>
      <c r="CDS804" s="110"/>
      <c r="CDT804" s="110"/>
      <c r="CDU804" s="110"/>
      <c r="CDV804" s="110"/>
      <c r="CDW804" s="110"/>
      <c r="CDX804" s="110"/>
      <c r="CDY804" s="110"/>
      <c r="CDZ804" s="110"/>
      <c r="CEA804" s="110"/>
      <c r="CEB804" s="110"/>
      <c r="CEC804" s="110"/>
      <c r="CED804" s="110"/>
      <c r="CEE804" s="110"/>
      <c r="CEF804" s="110"/>
      <c r="CEG804" s="110"/>
      <c r="CEH804" s="110"/>
      <c r="CEI804" s="110"/>
      <c r="CEJ804" s="110"/>
      <c r="CEK804" s="110"/>
      <c r="CEL804" s="110"/>
      <c r="CEM804" s="110"/>
      <c r="CEN804" s="110"/>
      <c r="CEO804" s="110"/>
      <c r="CEP804" s="110"/>
      <c r="CEQ804" s="110"/>
      <c r="CER804" s="110"/>
      <c r="CES804" s="110"/>
      <c r="CET804" s="110"/>
      <c r="CEU804" s="110"/>
      <c r="CEV804" s="110"/>
      <c r="CEW804" s="110"/>
      <c r="CEX804" s="110"/>
      <c r="CEY804" s="110"/>
      <c r="CEZ804" s="110"/>
      <c r="CFA804" s="110"/>
      <c r="CFB804" s="110"/>
      <c r="CFC804" s="110"/>
      <c r="CFD804" s="110"/>
      <c r="CFE804" s="110"/>
      <c r="CFF804" s="110"/>
      <c r="CFG804" s="110"/>
      <c r="CFH804" s="110"/>
      <c r="CFI804" s="110"/>
      <c r="CFJ804" s="110"/>
      <c r="CFK804" s="110"/>
      <c r="CFL804" s="110"/>
      <c r="CFM804" s="110"/>
      <c r="CFN804" s="110"/>
      <c r="CFO804" s="110"/>
      <c r="CFP804" s="110"/>
      <c r="CFQ804" s="110"/>
      <c r="CFR804" s="110"/>
      <c r="CFS804" s="110"/>
      <c r="CFT804" s="110"/>
      <c r="CFU804" s="110"/>
      <c r="CFV804" s="110"/>
      <c r="CFW804" s="110"/>
      <c r="CFX804" s="110"/>
      <c r="CFY804" s="110"/>
      <c r="CFZ804" s="110"/>
      <c r="CGA804" s="110"/>
      <c r="CGB804" s="110"/>
      <c r="CGC804" s="110"/>
      <c r="CGD804" s="110"/>
      <c r="CGE804" s="110"/>
      <c r="CGF804" s="110"/>
      <c r="CGG804" s="110"/>
      <c r="CGH804" s="110"/>
      <c r="CGI804" s="110"/>
      <c r="CGJ804" s="110"/>
      <c r="CGK804" s="110"/>
      <c r="CGL804" s="110"/>
      <c r="CGM804" s="110"/>
      <c r="CGN804" s="110"/>
      <c r="CGO804" s="110"/>
      <c r="CGP804" s="110"/>
      <c r="CGQ804" s="110"/>
      <c r="CGR804" s="110"/>
      <c r="CGS804" s="110"/>
      <c r="CGT804" s="110"/>
      <c r="CGU804" s="110"/>
      <c r="CGV804" s="110"/>
      <c r="CGW804" s="110"/>
      <c r="CGX804" s="110"/>
      <c r="CGY804" s="110"/>
      <c r="CGZ804" s="110"/>
      <c r="CHA804" s="110"/>
      <c r="CHB804" s="110"/>
      <c r="CHC804" s="110"/>
      <c r="CHD804" s="110"/>
      <c r="CHE804" s="110"/>
      <c r="CHF804" s="110"/>
      <c r="CHG804" s="110"/>
      <c r="CHH804" s="110"/>
      <c r="CHI804" s="110"/>
      <c r="CHJ804" s="110"/>
      <c r="CHK804" s="110"/>
      <c r="CHL804" s="110"/>
      <c r="CHM804" s="110"/>
      <c r="CHN804" s="110"/>
      <c r="CHO804" s="110"/>
      <c r="CHP804" s="110"/>
      <c r="CHQ804" s="110"/>
      <c r="CHR804" s="110"/>
      <c r="CHS804" s="110"/>
      <c r="CHT804" s="110"/>
      <c r="CHU804" s="110"/>
      <c r="CHV804" s="110"/>
      <c r="CHW804" s="110"/>
      <c r="CHX804" s="110"/>
      <c r="CHY804" s="110"/>
      <c r="CHZ804" s="110"/>
      <c r="CIA804" s="110"/>
      <c r="CIB804" s="110"/>
      <c r="CIC804" s="110"/>
      <c r="CID804" s="110"/>
      <c r="CIE804" s="110"/>
      <c r="CIF804" s="110"/>
      <c r="CIG804" s="110"/>
      <c r="CIH804" s="110"/>
      <c r="CII804" s="110"/>
      <c r="CIJ804" s="110"/>
      <c r="CIK804" s="110"/>
      <c r="CIL804" s="110"/>
      <c r="CIM804" s="110"/>
      <c r="CIN804" s="110"/>
      <c r="CIO804" s="110"/>
      <c r="CIP804" s="110"/>
      <c r="CIQ804" s="110"/>
      <c r="CIR804" s="110"/>
      <c r="CIS804" s="110"/>
      <c r="CIT804" s="110"/>
      <c r="CIU804" s="110"/>
      <c r="CIV804" s="110"/>
      <c r="CIW804" s="110"/>
      <c r="CIX804" s="110"/>
      <c r="CIY804" s="110"/>
      <c r="CIZ804" s="110"/>
      <c r="CJA804" s="110"/>
      <c r="CJB804" s="110"/>
      <c r="CJC804" s="110"/>
      <c r="CJD804" s="110"/>
      <c r="CJE804" s="110"/>
      <c r="CJF804" s="110"/>
      <c r="CJG804" s="110"/>
      <c r="CJH804" s="110"/>
      <c r="CJI804" s="110"/>
      <c r="CJJ804" s="110"/>
      <c r="CJK804" s="110"/>
      <c r="CJL804" s="110"/>
      <c r="CJM804" s="110"/>
      <c r="CJN804" s="110"/>
      <c r="CJO804" s="110"/>
      <c r="CJP804" s="110"/>
      <c r="CJQ804" s="110"/>
      <c r="CJR804" s="110"/>
      <c r="CJS804" s="110"/>
      <c r="CJT804" s="110"/>
      <c r="CJU804" s="110"/>
      <c r="CJV804" s="110"/>
      <c r="CJW804" s="110"/>
      <c r="CJX804" s="110"/>
      <c r="CJY804" s="110"/>
      <c r="CJZ804" s="110"/>
      <c r="CKA804" s="110"/>
      <c r="CKB804" s="110"/>
      <c r="CKC804" s="110"/>
      <c r="CKD804" s="110"/>
      <c r="CKE804" s="110"/>
      <c r="CKF804" s="110"/>
      <c r="CKG804" s="110"/>
      <c r="CKH804" s="110"/>
      <c r="CKI804" s="110"/>
      <c r="CKJ804" s="110"/>
      <c r="CKK804" s="110"/>
      <c r="CKL804" s="110"/>
      <c r="CKM804" s="110"/>
      <c r="CKN804" s="110"/>
      <c r="CKO804" s="110"/>
      <c r="CKP804" s="110"/>
      <c r="CKQ804" s="110"/>
      <c r="CKR804" s="110"/>
      <c r="CKS804" s="110"/>
      <c r="CKT804" s="110"/>
      <c r="CKU804" s="110"/>
      <c r="CKV804" s="110"/>
      <c r="CKW804" s="110"/>
      <c r="CKX804" s="110"/>
      <c r="CKY804" s="110"/>
      <c r="CKZ804" s="110"/>
      <c r="CLA804" s="110"/>
      <c r="CLB804" s="110"/>
      <c r="CLC804" s="110"/>
      <c r="CLD804" s="110"/>
      <c r="CLE804" s="110"/>
      <c r="CLF804" s="110"/>
      <c r="CLG804" s="110"/>
      <c r="CLH804" s="110"/>
      <c r="CLI804" s="110"/>
      <c r="CLJ804" s="110"/>
      <c r="CLK804" s="110"/>
      <c r="CLL804" s="110"/>
      <c r="CLM804" s="110"/>
      <c r="CLN804" s="110"/>
      <c r="CLO804" s="110"/>
      <c r="CLP804" s="110"/>
      <c r="CLQ804" s="110"/>
      <c r="CLR804" s="110"/>
      <c r="CLS804" s="110"/>
      <c r="CLT804" s="110"/>
      <c r="CLU804" s="110"/>
      <c r="CLV804" s="110"/>
      <c r="CLW804" s="110"/>
      <c r="CLX804" s="110"/>
      <c r="CLY804" s="110"/>
      <c r="CLZ804" s="110"/>
      <c r="CMA804" s="110"/>
      <c r="CMB804" s="110"/>
      <c r="CMC804" s="110"/>
      <c r="CMD804" s="110"/>
      <c r="CME804" s="110"/>
      <c r="CMF804" s="110"/>
      <c r="CMG804" s="110"/>
      <c r="CMH804" s="110"/>
      <c r="CMI804" s="110"/>
      <c r="CMJ804" s="110"/>
      <c r="CMK804" s="110"/>
      <c r="CML804" s="110"/>
      <c r="CMM804" s="110"/>
      <c r="CMN804" s="110"/>
      <c r="CMO804" s="110"/>
      <c r="CMP804" s="110"/>
      <c r="CMQ804" s="110"/>
      <c r="CMR804" s="110"/>
      <c r="CMS804" s="110"/>
      <c r="CMT804" s="110"/>
      <c r="CMU804" s="110"/>
      <c r="CMV804" s="110"/>
      <c r="CMW804" s="110"/>
      <c r="CMX804" s="110"/>
      <c r="CMY804" s="110"/>
      <c r="CMZ804" s="110"/>
      <c r="CNA804" s="110"/>
      <c r="CNB804" s="110"/>
      <c r="CNC804" s="110"/>
      <c r="CND804" s="110"/>
      <c r="CNE804" s="110"/>
      <c r="CNF804" s="110"/>
      <c r="CNG804" s="110"/>
      <c r="CNH804" s="110"/>
      <c r="CNI804" s="110"/>
      <c r="CNJ804" s="110"/>
      <c r="CNK804" s="110"/>
      <c r="CNL804" s="110"/>
      <c r="CNM804" s="110"/>
      <c r="CNN804" s="110"/>
      <c r="CNO804" s="110"/>
      <c r="CNP804" s="110"/>
      <c r="CNQ804" s="110"/>
      <c r="CNR804" s="110"/>
      <c r="CNS804" s="110"/>
      <c r="CNT804" s="110"/>
      <c r="CNU804" s="110"/>
      <c r="CNV804" s="110"/>
      <c r="CNW804" s="110"/>
      <c r="CNX804" s="110"/>
      <c r="CNY804" s="110"/>
      <c r="CNZ804" s="110"/>
      <c r="COA804" s="110"/>
      <c r="COB804" s="110"/>
      <c r="COC804" s="110"/>
      <c r="COD804" s="110"/>
      <c r="COE804" s="110"/>
      <c r="COF804" s="110"/>
      <c r="COG804" s="110"/>
      <c r="COH804" s="110"/>
      <c r="COI804" s="110"/>
      <c r="COJ804" s="110"/>
      <c r="COK804" s="110"/>
      <c r="COL804" s="110"/>
      <c r="COM804" s="110"/>
      <c r="CON804" s="110"/>
      <c r="COO804" s="110"/>
      <c r="COP804" s="110"/>
      <c r="COQ804" s="110"/>
      <c r="COR804" s="110"/>
      <c r="COS804" s="110"/>
      <c r="COT804" s="110"/>
      <c r="COU804" s="110"/>
      <c r="COV804" s="110"/>
      <c r="COW804" s="110"/>
      <c r="COX804" s="110"/>
      <c r="COY804" s="110"/>
      <c r="COZ804" s="110"/>
      <c r="CPA804" s="110"/>
      <c r="CPB804" s="110"/>
      <c r="CPC804" s="110"/>
      <c r="CPD804" s="110"/>
      <c r="CPE804" s="110"/>
      <c r="CPF804" s="110"/>
      <c r="CPG804" s="110"/>
      <c r="CPH804" s="110"/>
      <c r="CPI804" s="110"/>
      <c r="CPJ804" s="110"/>
      <c r="CPK804" s="110"/>
      <c r="CPL804" s="110"/>
      <c r="CPM804" s="110"/>
      <c r="CPN804" s="110"/>
      <c r="CPO804" s="110"/>
      <c r="CPP804" s="110"/>
      <c r="CPQ804" s="110"/>
      <c r="CPR804" s="110"/>
      <c r="CPS804" s="110"/>
      <c r="CPT804" s="110"/>
      <c r="CPU804" s="110"/>
      <c r="CPV804" s="110"/>
      <c r="CPW804" s="110"/>
      <c r="CPX804" s="110"/>
      <c r="CPY804" s="110"/>
      <c r="CPZ804" s="110"/>
      <c r="CQA804" s="110"/>
      <c r="CQB804" s="110"/>
      <c r="CQC804" s="110"/>
      <c r="CQD804" s="110"/>
      <c r="CQE804" s="110"/>
      <c r="CQF804" s="110"/>
      <c r="CQG804" s="110"/>
      <c r="CQH804" s="110"/>
      <c r="CQI804" s="110"/>
      <c r="CQJ804" s="110"/>
      <c r="CQK804" s="110"/>
      <c r="CQL804" s="110"/>
      <c r="CQM804" s="110"/>
      <c r="CQN804" s="110"/>
      <c r="CQO804" s="110"/>
      <c r="CQP804" s="110"/>
      <c r="CQQ804" s="110"/>
      <c r="CQR804" s="110"/>
      <c r="CQS804" s="110"/>
      <c r="CQT804" s="110"/>
      <c r="CQU804" s="110"/>
      <c r="CQV804" s="110"/>
      <c r="CQW804" s="110"/>
      <c r="CQX804" s="110"/>
      <c r="CQY804" s="110"/>
      <c r="CQZ804" s="110"/>
      <c r="CRA804" s="110"/>
      <c r="CRB804" s="110"/>
      <c r="CRC804" s="110"/>
      <c r="CRD804" s="110"/>
      <c r="CRE804" s="110"/>
      <c r="CRF804" s="110"/>
      <c r="CRG804" s="110"/>
      <c r="CRH804" s="110"/>
      <c r="CRI804" s="110"/>
      <c r="CRJ804" s="110"/>
      <c r="CRK804" s="110"/>
      <c r="CRL804" s="110"/>
      <c r="CRM804" s="110"/>
      <c r="CRN804" s="110"/>
      <c r="CRO804" s="110"/>
      <c r="CRP804" s="110"/>
      <c r="CRQ804" s="110"/>
      <c r="CRR804" s="110"/>
      <c r="CRS804" s="110"/>
      <c r="CRT804" s="110"/>
      <c r="CRU804" s="110"/>
      <c r="CRV804" s="110"/>
      <c r="CRW804" s="110"/>
      <c r="CRX804" s="110"/>
      <c r="CRY804" s="110"/>
      <c r="CRZ804" s="110"/>
      <c r="CSA804" s="110"/>
      <c r="CSB804" s="110"/>
      <c r="CSC804" s="110"/>
      <c r="CSD804" s="110"/>
      <c r="CSE804" s="110"/>
      <c r="CSF804" s="110"/>
      <c r="CSG804" s="110"/>
      <c r="CSH804" s="110"/>
      <c r="CSI804" s="110"/>
      <c r="CSJ804" s="110"/>
      <c r="CSK804" s="110"/>
      <c r="CSL804" s="110"/>
      <c r="CSM804" s="110"/>
      <c r="CSN804" s="110"/>
      <c r="CSO804" s="110"/>
      <c r="CSP804" s="110"/>
      <c r="CSQ804" s="110"/>
      <c r="CSR804" s="110"/>
      <c r="CSS804" s="110"/>
      <c r="CST804" s="110"/>
      <c r="CSU804" s="110"/>
      <c r="CSV804" s="110"/>
      <c r="CSW804" s="110"/>
      <c r="CSX804" s="110"/>
      <c r="CSY804" s="110"/>
      <c r="CSZ804" s="110"/>
      <c r="CTA804" s="110"/>
      <c r="CTB804" s="110"/>
      <c r="CTC804" s="110"/>
      <c r="CTD804" s="110"/>
      <c r="CTE804" s="110"/>
      <c r="CTF804" s="110"/>
      <c r="CTG804" s="110"/>
      <c r="CTH804" s="110"/>
      <c r="CTI804" s="110"/>
      <c r="CTJ804" s="110"/>
      <c r="CTK804" s="110"/>
      <c r="CTL804" s="110"/>
      <c r="CTM804" s="110"/>
      <c r="CTN804" s="110"/>
      <c r="CTO804" s="110"/>
      <c r="CTP804" s="110"/>
      <c r="CTQ804" s="110"/>
      <c r="CTR804" s="110"/>
      <c r="CTS804" s="110"/>
      <c r="CTT804" s="110"/>
      <c r="CTU804" s="110"/>
      <c r="CTV804" s="110"/>
      <c r="CTW804" s="110"/>
      <c r="CTX804" s="110"/>
      <c r="CTY804" s="110"/>
      <c r="CTZ804" s="110"/>
      <c r="CUA804" s="110"/>
      <c r="CUB804" s="110"/>
      <c r="CUC804" s="110"/>
      <c r="CUD804" s="110"/>
      <c r="CUE804" s="110"/>
      <c r="CUF804" s="110"/>
      <c r="CUG804" s="110"/>
      <c r="CUH804" s="110"/>
      <c r="CUI804" s="110"/>
      <c r="CUJ804" s="110"/>
      <c r="CUK804" s="110"/>
      <c r="CUL804" s="110"/>
      <c r="CUM804" s="110"/>
      <c r="CUN804" s="110"/>
      <c r="CUO804" s="110"/>
      <c r="CUP804" s="110"/>
      <c r="CUQ804" s="110"/>
      <c r="CUR804" s="110"/>
      <c r="CUS804" s="110"/>
      <c r="CUT804" s="110"/>
      <c r="CUU804" s="110"/>
      <c r="CUV804" s="110"/>
      <c r="CUW804" s="110"/>
      <c r="CUX804" s="110"/>
      <c r="CUY804" s="110"/>
      <c r="CUZ804" s="110"/>
      <c r="CVA804" s="110"/>
      <c r="CVB804" s="110"/>
      <c r="CVC804" s="110"/>
      <c r="CVD804" s="110"/>
      <c r="CVE804" s="110"/>
      <c r="CVF804" s="110"/>
      <c r="CVG804" s="110"/>
      <c r="CVH804" s="110"/>
      <c r="CVI804" s="110"/>
      <c r="CVJ804" s="110"/>
      <c r="CVK804" s="110"/>
      <c r="CVL804" s="110"/>
      <c r="CVM804" s="110"/>
      <c r="CVN804" s="110"/>
      <c r="CVO804" s="110"/>
      <c r="CVP804" s="110"/>
      <c r="CVQ804" s="110"/>
      <c r="CVR804" s="110"/>
      <c r="CVS804" s="110"/>
      <c r="CVT804" s="110"/>
      <c r="CVU804" s="110"/>
      <c r="CVV804" s="110"/>
      <c r="CVW804" s="110"/>
      <c r="CVX804" s="110"/>
      <c r="CVY804" s="110"/>
      <c r="CVZ804" s="110"/>
      <c r="CWA804" s="110"/>
      <c r="CWB804" s="110"/>
      <c r="CWC804" s="110"/>
      <c r="CWD804" s="110"/>
      <c r="CWE804" s="110"/>
      <c r="CWF804" s="110"/>
      <c r="CWG804" s="110"/>
      <c r="CWH804" s="110"/>
      <c r="CWI804" s="110"/>
      <c r="CWJ804" s="110"/>
      <c r="CWK804" s="110"/>
      <c r="CWL804" s="110"/>
      <c r="CWM804" s="110"/>
      <c r="CWN804" s="110"/>
      <c r="CWO804" s="110"/>
      <c r="CWP804" s="110"/>
      <c r="CWQ804" s="110"/>
      <c r="CWR804" s="110"/>
      <c r="CWS804" s="110"/>
      <c r="CWT804" s="110"/>
      <c r="CWU804" s="110"/>
      <c r="CWV804" s="110"/>
      <c r="CWW804" s="110"/>
      <c r="CWX804" s="110"/>
      <c r="CWY804" s="110"/>
      <c r="CWZ804" s="110"/>
      <c r="CXA804" s="110"/>
      <c r="CXB804" s="110"/>
      <c r="CXC804" s="110"/>
      <c r="CXD804" s="110"/>
      <c r="CXE804" s="110"/>
      <c r="CXF804" s="110"/>
      <c r="CXG804" s="110"/>
      <c r="CXH804" s="110"/>
      <c r="CXI804" s="110"/>
      <c r="CXJ804" s="110"/>
      <c r="CXK804" s="110"/>
      <c r="CXL804" s="110"/>
      <c r="CXM804" s="110"/>
      <c r="CXN804" s="110"/>
      <c r="CXO804" s="110"/>
      <c r="CXP804" s="110"/>
      <c r="CXQ804" s="110"/>
      <c r="CXR804" s="110"/>
      <c r="CXS804" s="110"/>
      <c r="CXT804" s="110"/>
      <c r="CXU804" s="110"/>
      <c r="CXV804" s="110"/>
      <c r="CXW804" s="110"/>
      <c r="CXX804" s="110"/>
      <c r="CXY804" s="110"/>
      <c r="CXZ804" s="110"/>
      <c r="CYA804" s="110"/>
      <c r="CYB804" s="110"/>
      <c r="CYC804" s="110"/>
      <c r="CYD804" s="110"/>
      <c r="CYE804" s="110"/>
      <c r="CYF804" s="110"/>
      <c r="CYG804" s="110"/>
      <c r="CYH804" s="110"/>
      <c r="CYI804" s="110"/>
      <c r="CYJ804" s="110"/>
      <c r="CYK804" s="110"/>
      <c r="CYL804" s="110"/>
      <c r="CYM804" s="110"/>
      <c r="CYN804" s="110"/>
      <c r="CYO804" s="110"/>
      <c r="CYP804" s="110"/>
      <c r="CYQ804" s="110"/>
      <c r="CYR804" s="110"/>
      <c r="CYS804" s="110"/>
      <c r="CYT804" s="110"/>
      <c r="CYU804" s="110"/>
      <c r="CYV804" s="110"/>
      <c r="CYW804" s="110"/>
      <c r="CYX804" s="110"/>
      <c r="CYY804" s="110"/>
      <c r="CYZ804" s="110"/>
      <c r="CZA804" s="110"/>
      <c r="CZB804" s="110"/>
      <c r="CZC804" s="110"/>
      <c r="CZD804" s="110"/>
      <c r="CZE804" s="110"/>
      <c r="CZF804" s="110"/>
      <c r="CZG804" s="110"/>
      <c r="CZH804" s="110"/>
      <c r="CZI804" s="110"/>
      <c r="CZJ804" s="110"/>
      <c r="CZK804" s="110"/>
      <c r="CZL804" s="110"/>
      <c r="CZM804" s="110"/>
      <c r="CZN804" s="110"/>
      <c r="CZO804" s="110"/>
      <c r="CZP804" s="110"/>
      <c r="CZQ804" s="110"/>
      <c r="CZR804" s="110"/>
      <c r="CZS804" s="110"/>
      <c r="CZT804" s="110"/>
      <c r="CZU804" s="110"/>
      <c r="CZV804" s="110"/>
      <c r="CZW804" s="110"/>
      <c r="CZX804" s="110"/>
      <c r="CZY804" s="110"/>
      <c r="CZZ804" s="110"/>
      <c r="DAA804" s="110"/>
      <c r="DAB804" s="110"/>
      <c r="DAC804" s="110"/>
      <c r="DAD804" s="110"/>
      <c r="DAE804" s="110"/>
      <c r="DAF804" s="110"/>
      <c r="DAG804" s="110"/>
      <c r="DAH804" s="110"/>
      <c r="DAI804" s="110"/>
      <c r="DAJ804" s="110"/>
      <c r="DAK804" s="110"/>
      <c r="DAL804" s="110"/>
      <c r="DAM804" s="110"/>
      <c r="DAN804" s="110"/>
      <c r="DAO804" s="110"/>
      <c r="DAP804" s="110"/>
      <c r="DAQ804" s="110"/>
      <c r="DAR804" s="110"/>
      <c r="DAS804" s="110"/>
      <c r="DAT804" s="110"/>
      <c r="DAU804" s="110"/>
      <c r="DAV804" s="110"/>
      <c r="DAW804" s="110"/>
      <c r="DAX804" s="110"/>
      <c r="DAY804" s="110"/>
      <c r="DAZ804" s="110"/>
      <c r="DBA804" s="110"/>
      <c r="DBB804" s="110"/>
      <c r="DBC804" s="110"/>
      <c r="DBD804" s="110"/>
      <c r="DBE804" s="110"/>
      <c r="DBF804" s="110"/>
      <c r="DBG804" s="110"/>
      <c r="DBH804" s="110"/>
      <c r="DBI804" s="110"/>
      <c r="DBJ804" s="110"/>
      <c r="DBK804" s="110"/>
      <c r="DBL804" s="110"/>
      <c r="DBM804" s="110"/>
      <c r="DBN804" s="110"/>
      <c r="DBO804" s="110"/>
      <c r="DBP804" s="110"/>
      <c r="DBQ804" s="110"/>
      <c r="DBR804" s="110"/>
      <c r="DBS804" s="110"/>
      <c r="DBT804" s="110"/>
      <c r="DBU804" s="110"/>
      <c r="DBV804" s="110"/>
      <c r="DBW804" s="110"/>
      <c r="DBX804" s="110"/>
      <c r="DBY804" s="110"/>
      <c r="DBZ804" s="110"/>
      <c r="DCA804" s="110"/>
      <c r="DCB804" s="110"/>
      <c r="DCC804" s="110"/>
      <c r="DCD804" s="110"/>
      <c r="DCE804" s="110"/>
      <c r="DCF804" s="110"/>
      <c r="DCG804" s="110"/>
      <c r="DCH804" s="110"/>
      <c r="DCI804" s="110"/>
      <c r="DCJ804" s="110"/>
      <c r="DCK804" s="110"/>
      <c r="DCL804" s="110"/>
      <c r="DCM804" s="110"/>
      <c r="DCN804" s="110"/>
      <c r="DCO804" s="110"/>
      <c r="DCP804" s="110"/>
      <c r="DCQ804" s="110"/>
      <c r="DCR804" s="110"/>
      <c r="DCS804" s="110"/>
      <c r="DCT804" s="110"/>
      <c r="DCU804" s="110"/>
      <c r="DCV804" s="110"/>
      <c r="DCW804" s="110"/>
      <c r="DCX804" s="110"/>
      <c r="DCY804" s="110"/>
      <c r="DCZ804" s="110"/>
      <c r="DDA804" s="110"/>
      <c r="DDB804" s="110"/>
      <c r="DDC804" s="110"/>
      <c r="DDD804" s="110"/>
      <c r="DDE804" s="110"/>
      <c r="DDF804" s="110"/>
      <c r="DDG804" s="110"/>
      <c r="DDH804" s="110"/>
      <c r="DDI804" s="110"/>
      <c r="DDJ804" s="110"/>
      <c r="DDK804" s="110"/>
      <c r="DDL804" s="110"/>
      <c r="DDM804" s="110"/>
      <c r="DDN804" s="110"/>
      <c r="DDO804" s="110"/>
      <c r="DDP804" s="110"/>
      <c r="DDQ804" s="110"/>
      <c r="DDR804" s="110"/>
      <c r="DDS804" s="110"/>
      <c r="DDT804" s="110"/>
      <c r="DDU804" s="110"/>
      <c r="DDV804" s="110"/>
      <c r="DDW804" s="110"/>
      <c r="DDX804" s="110"/>
      <c r="DDY804" s="110"/>
      <c r="DDZ804" s="110"/>
      <c r="DEA804" s="110"/>
      <c r="DEB804" s="110"/>
      <c r="DEC804" s="110"/>
      <c r="DED804" s="110"/>
      <c r="DEE804" s="110"/>
      <c r="DEF804" s="110"/>
      <c r="DEG804" s="110"/>
      <c r="DEH804" s="110"/>
      <c r="DEI804" s="110"/>
      <c r="DEJ804" s="110"/>
      <c r="DEK804" s="110"/>
      <c r="DEL804" s="110"/>
      <c r="DEM804" s="110"/>
      <c r="DEN804" s="110"/>
      <c r="DEO804" s="110"/>
      <c r="DEP804" s="110"/>
      <c r="DEQ804" s="110"/>
      <c r="DER804" s="110"/>
      <c r="DES804" s="110"/>
      <c r="DET804" s="110"/>
      <c r="DEU804" s="110"/>
      <c r="DEV804" s="110"/>
      <c r="DEW804" s="110"/>
      <c r="DEX804" s="110"/>
      <c r="DEY804" s="110"/>
      <c r="DEZ804" s="110"/>
      <c r="DFA804" s="110"/>
      <c r="DFB804" s="110"/>
      <c r="DFC804" s="110"/>
      <c r="DFD804" s="110"/>
      <c r="DFE804" s="110"/>
      <c r="DFF804" s="110"/>
      <c r="DFG804" s="110"/>
      <c r="DFH804" s="110"/>
      <c r="DFI804" s="110"/>
      <c r="DFJ804" s="110"/>
      <c r="DFK804" s="110"/>
      <c r="DFL804" s="110"/>
      <c r="DFM804" s="110"/>
      <c r="DFN804" s="110"/>
      <c r="DFO804" s="110"/>
      <c r="DFP804" s="110"/>
      <c r="DFQ804" s="110"/>
      <c r="DFR804" s="110"/>
      <c r="DFS804" s="110"/>
      <c r="DFT804" s="110"/>
      <c r="DFU804" s="110"/>
      <c r="DFV804" s="110"/>
      <c r="DFW804" s="110"/>
      <c r="DFX804" s="110"/>
      <c r="DFY804" s="110"/>
      <c r="DFZ804" s="110"/>
      <c r="DGA804" s="110"/>
      <c r="DGB804" s="110"/>
      <c r="DGC804" s="110"/>
      <c r="DGD804" s="110"/>
      <c r="DGE804" s="110"/>
      <c r="DGF804" s="110"/>
      <c r="DGG804" s="110"/>
      <c r="DGH804" s="110"/>
      <c r="DGI804" s="110"/>
      <c r="DGJ804" s="110"/>
      <c r="DGK804" s="110"/>
      <c r="DGL804" s="110"/>
      <c r="DGM804" s="110"/>
      <c r="DGN804" s="110"/>
      <c r="DGO804" s="110"/>
      <c r="DGP804" s="110"/>
      <c r="DGQ804" s="110"/>
      <c r="DGR804" s="110"/>
      <c r="DGS804" s="110"/>
      <c r="DGT804" s="110"/>
      <c r="DGU804" s="110"/>
      <c r="DGV804" s="110"/>
      <c r="DGW804" s="110"/>
      <c r="DGX804" s="110"/>
      <c r="DGY804" s="110"/>
      <c r="DGZ804" s="110"/>
      <c r="DHA804" s="110"/>
      <c r="DHB804" s="110"/>
      <c r="DHC804" s="110"/>
      <c r="DHD804" s="110"/>
      <c r="DHE804" s="110"/>
      <c r="DHF804" s="110"/>
      <c r="DHG804" s="110"/>
      <c r="DHH804" s="110"/>
      <c r="DHI804" s="110"/>
      <c r="DHJ804" s="110"/>
      <c r="DHK804" s="110"/>
      <c r="DHL804" s="110"/>
      <c r="DHM804" s="110"/>
      <c r="DHN804" s="110"/>
      <c r="DHO804" s="110"/>
      <c r="DHP804" s="110"/>
      <c r="DHQ804" s="110"/>
      <c r="DHR804" s="110"/>
      <c r="DHS804" s="110"/>
      <c r="DHT804" s="110"/>
      <c r="DHU804" s="110"/>
      <c r="DHV804" s="110"/>
      <c r="DHW804" s="110"/>
      <c r="DHX804" s="110"/>
      <c r="DHY804" s="110"/>
      <c r="DHZ804" s="110"/>
      <c r="DIA804" s="110"/>
      <c r="DIB804" s="110"/>
      <c r="DIC804" s="110"/>
      <c r="DID804" s="110"/>
      <c r="DIE804" s="110"/>
      <c r="DIF804" s="110"/>
      <c r="DIG804" s="110"/>
      <c r="DIH804" s="110"/>
      <c r="DII804" s="110"/>
      <c r="DIJ804" s="110"/>
      <c r="DIK804" s="110"/>
      <c r="DIL804" s="110"/>
      <c r="DIM804" s="110"/>
      <c r="DIN804" s="110"/>
      <c r="DIO804" s="110"/>
      <c r="DIP804" s="110"/>
      <c r="DIQ804" s="110"/>
      <c r="DIR804" s="110"/>
      <c r="DIS804" s="110"/>
      <c r="DIT804" s="110"/>
      <c r="DIU804" s="110"/>
      <c r="DIV804" s="110"/>
      <c r="DIW804" s="110"/>
      <c r="DIX804" s="110"/>
      <c r="DIY804" s="110"/>
      <c r="DIZ804" s="110"/>
      <c r="DJA804" s="110"/>
      <c r="DJB804" s="110"/>
      <c r="DJC804" s="110"/>
      <c r="DJD804" s="110"/>
      <c r="DJE804" s="110"/>
      <c r="DJF804" s="110"/>
      <c r="DJG804" s="110"/>
      <c r="DJH804" s="110"/>
      <c r="DJI804" s="110"/>
      <c r="DJJ804" s="110"/>
      <c r="DJK804" s="110"/>
      <c r="DJL804" s="110"/>
      <c r="DJM804" s="110"/>
      <c r="DJN804" s="110"/>
      <c r="DJO804" s="110"/>
      <c r="DJP804" s="110"/>
      <c r="DJQ804" s="110"/>
      <c r="DJR804" s="110"/>
      <c r="DJS804" s="110"/>
      <c r="DJT804" s="110"/>
      <c r="DJU804" s="110"/>
      <c r="DJV804" s="110"/>
      <c r="DJW804" s="110"/>
      <c r="DJX804" s="110"/>
      <c r="DJY804" s="110"/>
      <c r="DJZ804" s="110"/>
      <c r="DKA804" s="110"/>
      <c r="DKB804" s="110"/>
      <c r="DKC804" s="110"/>
      <c r="DKD804" s="110"/>
      <c r="DKE804" s="110"/>
      <c r="DKF804" s="110"/>
      <c r="DKG804" s="110"/>
      <c r="DKH804" s="110"/>
      <c r="DKI804" s="110"/>
      <c r="DKJ804" s="110"/>
      <c r="DKK804" s="110"/>
      <c r="DKL804" s="110"/>
      <c r="DKM804" s="110"/>
      <c r="DKN804" s="110"/>
      <c r="DKO804" s="110"/>
      <c r="DKP804" s="110"/>
      <c r="DKQ804" s="110"/>
      <c r="DKR804" s="110"/>
      <c r="DKS804" s="110"/>
      <c r="DKT804" s="110"/>
      <c r="DKU804" s="110"/>
      <c r="DKV804" s="110"/>
      <c r="DKW804" s="110"/>
      <c r="DKX804" s="110"/>
      <c r="DKY804" s="110"/>
      <c r="DKZ804" s="110"/>
      <c r="DLA804" s="110"/>
      <c r="DLB804" s="110"/>
      <c r="DLC804" s="110"/>
      <c r="DLD804" s="110"/>
      <c r="DLE804" s="110"/>
      <c r="DLF804" s="110"/>
      <c r="DLG804" s="110"/>
      <c r="DLH804" s="110"/>
      <c r="DLI804" s="110"/>
      <c r="DLJ804" s="110"/>
      <c r="DLK804" s="110"/>
      <c r="DLL804" s="110"/>
      <c r="DLM804" s="110"/>
      <c r="DLN804" s="110"/>
      <c r="DLO804" s="110"/>
      <c r="DLP804" s="110"/>
      <c r="DLQ804" s="110"/>
      <c r="DLR804" s="110"/>
      <c r="DLS804" s="110"/>
      <c r="DLT804" s="110"/>
      <c r="DLU804" s="110"/>
      <c r="DLV804" s="110"/>
      <c r="DLW804" s="110"/>
      <c r="DLX804" s="110"/>
      <c r="DLY804" s="110"/>
      <c r="DLZ804" s="110"/>
      <c r="DMA804" s="110"/>
      <c r="DMB804" s="110"/>
      <c r="DMC804" s="110"/>
      <c r="DMD804" s="110"/>
      <c r="DME804" s="110"/>
      <c r="DMF804" s="110"/>
      <c r="DMG804" s="110"/>
      <c r="DMH804" s="110"/>
      <c r="DMI804" s="110"/>
      <c r="DMJ804" s="110"/>
      <c r="DMK804" s="110"/>
      <c r="DML804" s="110"/>
      <c r="DMM804" s="110"/>
      <c r="DMN804" s="110"/>
      <c r="DMO804" s="110"/>
      <c r="DMP804" s="110"/>
      <c r="DMQ804" s="110"/>
      <c r="DMR804" s="110"/>
      <c r="DMS804" s="110"/>
      <c r="DMT804" s="110"/>
      <c r="DMU804" s="110"/>
      <c r="DMV804" s="110"/>
      <c r="DMW804" s="110"/>
      <c r="DMX804" s="110"/>
      <c r="DMY804" s="110"/>
      <c r="DMZ804" s="110"/>
      <c r="DNA804" s="110"/>
      <c r="DNB804" s="110"/>
      <c r="DNC804" s="110"/>
      <c r="DND804" s="110"/>
      <c r="DNE804" s="110"/>
      <c r="DNF804" s="110"/>
      <c r="DNG804" s="110"/>
      <c r="DNH804" s="110"/>
      <c r="DNI804" s="110"/>
      <c r="DNJ804" s="110"/>
      <c r="DNK804" s="110"/>
      <c r="DNL804" s="110"/>
      <c r="DNM804" s="110"/>
      <c r="DNN804" s="110"/>
      <c r="DNO804" s="110"/>
      <c r="DNP804" s="110"/>
      <c r="DNQ804" s="110"/>
      <c r="DNR804" s="110"/>
      <c r="DNS804" s="110"/>
      <c r="DNT804" s="110"/>
      <c r="DNU804" s="110"/>
      <c r="DNV804" s="110"/>
      <c r="DNW804" s="110"/>
      <c r="DNX804" s="110"/>
      <c r="DNY804" s="110"/>
      <c r="DNZ804" s="110"/>
      <c r="DOA804" s="110"/>
      <c r="DOB804" s="110"/>
      <c r="DOC804" s="110"/>
      <c r="DOD804" s="110"/>
      <c r="DOE804" s="110"/>
      <c r="DOF804" s="110"/>
      <c r="DOG804" s="110"/>
      <c r="DOH804" s="110"/>
      <c r="DOI804" s="110"/>
      <c r="DOJ804" s="110"/>
      <c r="DOK804" s="110"/>
      <c r="DOL804" s="110"/>
      <c r="DOM804" s="110"/>
      <c r="DON804" s="110"/>
      <c r="DOO804" s="110"/>
      <c r="DOP804" s="110"/>
      <c r="DOQ804" s="110"/>
      <c r="DOR804" s="110"/>
      <c r="DOS804" s="110"/>
      <c r="DOT804" s="110"/>
      <c r="DOU804" s="110"/>
      <c r="DOV804" s="110"/>
      <c r="DOW804" s="110"/>
      <c r="DOX804" s="110"/>
      <c r="DOY804" s="110"/>
      <c r="DOZ804" s="110"/>
      <c r="DPA804" s="110"/>
      <c r="DPB804" s="110"/>
      <c r="DPC804" s="110"/>
      <c r="DPD804" s="110"/>
      <c r="DPE804" s="110"/>
      <c r="DPF804" s="110"/>
      <c r="DPG804" s="110"/>
      <c r="DPH804" s="110"/>
      <c r="DPI804" s="110"/>
      <c r="DPJ804" s="110"/>
      <c r="DPK804" s="110"/>
      <c r="DPL804" s="110"/>
      <c r="DPM804" s="110"/>
      <c r="DPN804" s="110"/>
      <c r="DPO804" s="110"/>
      <c r="DPP804" s="110"/>
      <c r="DPQ804" s="110"/>
      <c r="DPR804" s="110"/>
      <c r="DPS804" s="110"/>
      <c r="DPT804" s="110"/>
      <c r="DPU804" s="110"/>
      <c r="DPV804" s="110"/>
      <c r="DPW804" s="110"/>
      <c r="DPX804" s="110"/>
      <c r="DPY804" s="110"/>
      <c r="DPZ804" s="110"/>
      <c r="DQA804" s="110"/>
      <c r="DQB804" s="110"/>
      <c r="DQC804" s="110"/>
      <c r="DQD804" s="110"/>
      <c r="DQE804" s="110"/>
      <c r="DQF804" s="110"/>
      <c r="DQG804" s="110"/>
      <c r="DQH804" s="110"/>
      <c r="DQI804" s="110"/>
      <c r="DQJ804" s="110"/>
      <c r="DQK804" s="110"/>
      <c r="DQL804" s="110"/>
      <c r="DQM804" s="110"/>
      <c r="DQN804" s="110"/>
      <c r="DQO804" s="110"/>
      <c r="DQP804" s="110"/>
      <c r="DQQ804" s="110"/>
      <c r="DQR804" s="110"/>
      <c r="DQS804" s="110"/>
      <c r="DQT804" s="110"/>
      <c r="DQU804" s="110"/>
      <c r="DQV804" s="110"/>
      <c r="DQW804" s="110"/>
      <c r="DQX804" s="110"/>
      <c r="DQY804" s="110"/>
      <c r="DQZ804" s="110"/>
      <c r="DRA804" s="110"/>
      <c r="DRB804" s="110"/>
      <c r="DRC804" s="110"/>
      <c r="DRD804" s="110"/>
      <c r="DRE804" s="110"/>
      <c r="DRF804" s="110"/>
      <c r="DRG804" s="110"/>
      <c r="DRH804" s="110"/>
      <c r="DRI804" s="110"/>
      <c r="DRJ804" s="110"/>
      <c r="DRK804" s="110"/>
      <c r="DRL804" s="110"/>
      <c r="DRM804" s="110"/>
      <c r="DRN804" s="110"/>
      <c r="DRO804" s="110"/>
      <c r="DRP804" s="110"/>
      <c r="DRQ804" s="110"/>
      <c r="DRR804" s="110"/>
      <c r="DRS804" s="110"/>
      <c r="DRT804" s="110"/>
      <c r="DRU804" s="110"/>
      <c r="DRV804" s="110"/>
      <c r="DRW804" s="110"/>
      <c r="DRX804" s="110"/>
      <c r="DRY804" s="110"/>
      <c r="DRZ804" s="110"/>
      <c r="DSA804" s="110"/>
      <c r="DSB804" s="110"/>
      <c r="DSC804" s="110"/>
      <c r="DSD804" s="110"/>
      <c r="DSE804" s="110"/>
      <c r="DSF804" s="110"/>
      <c r="DSG804" s="110"/>
      <c r="DSH804" s="110"/>
      <c r="DSI804" s="110"/>
      <c r="DSJ804" s="110"/>
      <c r="DSK804" s="110"/>
      <c r="DSL804" s="110"/>
      <c r="DSM804" s="110"/>
      <c r="DSN804" s="110"/>
      <c r="DSO804" s="110"/>
      <c r="DSP804" s="110"/>
      <c r="DSQ804" s="110"/>
      <c r="DSR804" s="110"/>
      <c r="DSS804" s="110"/>
      <c r="DST804" s="110"/>
      <c r="DSU804" s="110"/>
      <c r="DSV804" s="110"/>
      <c r="DSW804" s="110"/>
      <c r="DSX804" s="110"/>
      <c r="DSY804" s="110"/>
      <c r="DSZ804" s="110"/>
      <c r="DTA804" s="110"/>
      <c r="DTB804" s="110"/>
      <c r="DTC804" s="110"/>
      <c r="DTD804" s="110"/>
      <c r="DTE804" s="110"/>
      <c r="DTF804" s="110"/>
      <c r="DTG804" s="110"/>
      <c r="DTH804" s="110"/>
      <c r="DTI804" s="110"/>
      <c r="DTJ804" s="110"/>
      <c r="DTK804" s="110"/>
      <c r="DTL804" s="110"/>
      <c r="DTM804" s="110"/>
      <c r="DTN804" s="110"/>
      <c r="DTO804" s="110"/>
      <c r="DTP804" s="110"/>
      <c r="DTQ804" s="110"/>
      <c r="DTR804" s="110"/>
      <c r="DTS804" s="110"/>
      <c r="DTT804" s="110"/>
      <c r="DTU804" s="110"/>
      <c r="DTV804" s="110"/>
      <c r="DTW804" s="110"/>
      <c r="DTX804" s="110"/>
      <c r="DTY804" s="110"/>
      <c r="DTZ804" s="110"/>
      <c r="DUA804" s="110"/>
      <c r="DUB804" s="110"/>
      <c r="DUC804" s="110"/>
      <c r="DUD804" s="110"/>
      <c r="DUE804" s="110"/>
      <c r="DUF804" s="110"/>
      <c r="DUG804" s="110"/>
      <c r="DUH804" s="110"/>
      <c r="DUI804" s="110"/>
      <c r="DUJ804" s="110"/>
      <c r="DUK804" s="110"/>
      <c r="DUL804" s="110"/>
      <c r="DUM804" s="110"/>
      <c r="DUN804" s="110"/>
      <c r="DUO804" s="110"/>
      <c r="DUP804" s="110"/>
      <c r="DUQ804" s="110"/>
      <c r="DUR804" s="110"/>
      <c r="DUS804" s="110"/>
      <c r="DUT804" s="110"/>
      <c r="DUU804" s="110"/>
      <c r="DUV804" s="110"/>
      <c r="DUW804" s="110"/>
      <c r="DUX804" s="110"/>
      <c r="DUY804" s="110"/>
      <c r="DUZ804" s="110"/>
      <c r="DVA804" s="110"/>
      <c r="DVB804" s="110"/>
      <c r="DVC804" s="110"/>
      <c r="DVD804" s="110"/>
      <c r="DVE804" s="110"/>
      <c r="DVF804" s="110"/>
      <c r="DVG804" s="110"/>
      <c r="DVH804" s="110"/>
      <c r="DVI804" s="110"/>
      <c r="DVJ804" s="110"/>
      <c r="DVK804" s="110"/>
      <c r="DVL804" s="110"/>
      <c r="DVM804" s="110"/>
      <c r="DVN804" s="110"/>
      <c r="DVO804" s="110"/>
      <c r="DVP804" s="110"/>
      <c r="DVQ804" s="110"/>
      <c r="DVR804" s="110"/>
      <c r="DVS804" s="110"/>
      <c r="DVT804" s="110"/>
      <c r="DVU804" s="110"/>
      <c r="DVV804" s="110"/>
      <c r="DVW804" s="110"/>
      <c r="DVX804" s="110"/>
      <c r="DVY804" s="110"/>
      <c r="DVZ804" s="110"/>
      <c r="DWA804" s="110"/>
      <c r="DWB804" s="110"/>
      <c r="DWC804" s="110"/>
      <c r="DWD804" s="110"/>
      <c r="DWE804" s="110"/>
      <c r="DWF804" s="110"/>
      <c r="DWG804" s="110"/>
      <c r="DWH804" s="110"/>
      <c r="DWI804" s="110"/>
      <c r="DWJ804" s="110"/>
      <c r="DWK804" s="110"/>
      <c r="DWL804" s="110"/>
      <c r="DWM804" s="110"/>
      <c r="DWN804" s="110"/>
      <c r="DWO804" s="110"/>
      <c r="DWP804" s="110"/>
      <c r="DWQ804" s="110"/>
      <c r="DWR804" s="110"/>
      <c r="DWS804" s="110"/>
      <c r="DWT804" s="110"/>
      <c r="DWU804" s="110"/>
      <c r="DWV804" s="110"/>
      <c r="DWW804" s="110"/>
      <c r="DWX804" s="110"/>
      <c r="DWY804" s="110"/>
      <c r="DWZ804" s="110"/>
      <c r="DXA804" s="110"/>
      <c r="DXB804" s="110"/>
      <c r="DXC804" s="110"/>
      <c r="DXD804" s="110"/>
      <c r="DXE804" s="110"/>
      <c r="DXF804" s="110"/>
      <c r="DXG804" s="110"/>
      <c r="DXH804" s="110"/>
      <c r="DXI804" s="110"/>
      <c r="DXJ804" s="110"/>
      <c r="DXK804" s="110"/>
      <c r="DXL804" s="110"/>
      <c r="DXM804" s="110"/>
      <c r="DXN804" s="110"/>
      <c r="DXO804" s="110"/>
      <c r="DXP804" s="110"/>
      <c r="DXQ804" s="110"/>
      <c r="DXR804" s="110"/>
      <c r="DXS804" s="110"/>
      <c r="DXT804" s="110"/>
      <c r="DXU804" s="110"/>
      <c r="DXV804" s="110"/>
      <c r="DXW804" s="110"/>
      <c r="DXX804" s="110"/>
      <c r="DXY804" s="110"/>
      <c r="DXZ804" s="110"/>
      <c r="DYA804" s="110"/>
      <c r="DYB804" s="110"/>
      <c r="DYC804" s="110"/>
      <c r="DYD804" s="110"/>
      <c r="DYE804" s="110"/>
      <c r="DYF804" s="110"/>
      <c r="DYG804" s="110"/>
      <c r="DYH804" s="110"/>
      <c r="DYI804" s="110"/>
      <c r="DYJ804" s="110"/>
      <c r="DYK804" s="110"/>
      <c r="DYL804" s="110"/>
      <c r="DYM804" s="110"/>
      <c r="DYN804" s="110"/>
      <c r="DYO804" s="110"/>
      <c r="DYP804" s="110"/>
      <c r="DYQ804" s="110"/>
      <c r="DYR804" s="110"/>
      <c r="DYS804" s="110"/>
      <c r="DYT804" s="110"/>
      <c r="DYU804" s="110"/>
      <c r="DYV804" s="110"/>
      <c r="DYW804" s="110"/>
      <c r="DYX804" s="110"/>
      <c r="DYY804" s="110"/>
      <c r="DYZ804" s="110"/>
      <c r="DZA804" s="110"/>
      <c r="DZB804" s="110"/>
      <c r="DZC804" s="110"/>
      <c r="DZD804" s="110"/>
      <c r="DZE804" s="110"/>
      <c r="DZF804" s="110"/>
      <c r="DZG804" s="110"/>
      <c r="DZH804" s="110"/>
      <c r="DZI804" s="110"/>
      <c r="DZJ804" s="110"/>
      <c r="DZK804" s="110"/>
      <c r="DZL804" s="110"/>
      <c r="DZM804" s="110"/>
      <c r="DZN804" s="110"/>
      <c r="DZO804" s="110"/>
      <c r="DZP804" s="110"/>
      <c r="DZQ804" s="110"/>
      <c r="DZR804" s="110"/>
      <c r="DZS804" s="110"/>
      <c r="DZT804" s="110"/>
      <c r="DZU804" s="110"/>
      <c r="DZV804" s="110"/>
      <c r="DZW804" s="110"/>
      <c r="DZX804" s="110"/>
      <c r="DZY804" s="110"/>
      <c r="DZZ804" s="110"/>
      <c r="EAA804" s="110"/>
      <c r="EAB804" s="110"/>
      <c r="EAC804" s="110"/>
      <c r="EAD804" s="110"/>
      <c r="EAE804" s="110"/>
      <c r="EAF804" s="110"/>
      <c r="EAG804" s="110"/>
      <c r="EAH804" s="110"/>
      <c r="EAI804" s="110"/>
      <c r="EAJ804" s="110"/>
      <c r="EAK804" s="110"/>
      <c r="EAL804" s="110"/>
      <c r="EAM804" s="110"/>
      <c r="EAN804" s="110"/>
      <c r="EAO804" s="110"/>
      <c r="EAP804" s="110"/>
      <c r="EAQ804" s="110"/>
      <c r="EAR804" s="110"/>
      <c r="EAS804" s="110"/>
      <c r="EAT804" s="110"/>
      <c r="EAU804" s="110"/>
      <c r="EAV804" s="110"/>
      <c r="EAW804" s="110"/>
      <c r="EAX804" s="110"/>
      <c r="EAY804" s="110"/>
      <c r="EAZ804" s="110"/>
      <c r="EBA804" s="110"/>
      <c r="EBB804" s="110"/>
      <c r="EBC804" s="110"/>
      <c r="EBD804" s="110"/>
      <c r="EBE804" s="110"/>
      <c r="EBF804" s="110"/>
      <c r="EBG804" s="110"/>
      <c r="EBH804" s="110"/>
      <c r="EBI804" s="110"/>
      <c r="EBJ804" s="110"/>
      <c r="EBK804" s="110"/>
      <c r="EBL804" s="110"/>
      <c r="EBM804" s="110"/>
      <c r="EBN804" s="110"/>
      <c r="EBO804" s="110"/>
      <c r="EBP804" s="110"/>
      <c r="EBQ804" s="110"/>
      <c r="EBR804" s="110"/>
      <c r="EBS804" s="110"/>
      <c r="EBT804" s="110"/>
      <c r="EBU804" s="110"/>
      <c r="EBV804" s="110"/>
      <c r="EBW804" s="110"/>
      <c r="EBX804" s="110"/>
      <c r="EBY804" s="110"/>
      <c r="EBZ804" s="110"/>
      <c r="ECA804" s="110"/>
      <c r="ECB804" s="110"/>
      <c r="ECC804" s="110"/>
      <c r="ECD804" s="110"/>
      <c r="ECE804" s="110"/>
      <c r="ECF804" s="110"/>
      <c r="ECG804" s="110"/>
      <c r="ECH804" s="110"/>
      <c r="ECI804" s="110"/>
      <c r="ECJ804" s="110"/>
      <c r="ECK804" s="110"/>
      <c r="ECL804" s="110"/>
      <c r="ECM804" s="110"/>
      <c r="ECN804" s="110"/>
      <c r="ECO804" s="110"/>
      <c r="ECP804" s="110"/>
      <c r="ECQ804" s="110"/>
      <c r="ECR804" s="110"/>
      <c r="ECS804" s="110"/>
      <c r="ECT804" s="110"/>
      <c r="ECU804" s="110"/>
      <c r="ECV804" s="110"/>
      <c r="ECW804" s="110"/>
      <c r="ECX804" s="110"/>
      <c r="ECY804" s="110"/>
      <c r="ECZ804" s="110"/>
      <c r="EDA804" s="110"/>
      <c r="EDB804" s="110"/>
      <c r="EDC804" s="110"/>
      <c r="EDD804" s="110"/>
      <c r="EDE804" s="110"/>
      <c r="EDF804" s="110"/>
      <c r="EDG804" s="110"/>
      <c r="EDH804" s="110"/>
      <c r="EDI804" s="110"/>
      <c r="EDJ804" s="110"/>
      <c r="EDK804" s="110"/>
      <c r="EDL804" s="110"/>
      <c r="EDM804" s="110"/>
      <c r="EDN804" s="110"/>
      <c r="EDO804" s="110"/>
      <c r="EDP804" s="110"/>
      <c r="EDQ804" s="110"/>
      <c r="EDR804" s="110"/>
      <c r="EDS804" s="110"/>
      <c r="EDT804" s="110"/>
      <c r="EDU804" s="110"/>
      <c r="EDV804" s="110"/>
      <c r="EDW804" s="110"/>
      <c r="EDX804" s="110"/>
      <c r="EDY804" s="110"/>
      <c r="EDZ804" s="110"/>
      <c r="EEA804" s="110"/>
      <c r="EEB804" s="110"/>
      <c r="EEC804" s="110"/>
      <c r="EED804" s="110"/>
      <c r="EEE804" s="110"/>
      <c r="EEF804" s="110"/>
      <c r="EEG804" s="110"/>
      <c r="EEH804" s="110"/>
      <c r="EEI804" s="110"/>
      <c r="EEJ804" s="110"/>
      <c r="EEK804" s="110"/>
      <c r="EEL804" s="110"/>
      <c r="EEM804" s="110"/>
      <c r="EEN804" s="110"/>
      <c r="EEO804" s="110"/>
      <c r="EEP804" s="110"/>
      <c r="EEQ804" s="110"/>
      <c r="EER804" s="110"/>
      <c r="EES804" s="110"/>
      <c r="EET804" s="110"/>
      <c r="EEU804" s="110"/>
      <c r="EEV804" s="110"/>
      <c r="EEW804" s="110"/>
      <c r="EEX804" s="110"/>
      <c r="EEY804" s="110"/>
      <c r="EEZ804" s="110"/>
      <c r="EFA804" s="110"/>
      <c r="EFB804" s="110"/>
      <c r="EFC804" s="110"/>
      <c r="EFD804" s="110"/>
      <c r="EFE804" s="110"/>
      <c r="EFF804" s="110"/>
      <c r="EFG804" s="110"/>
      <c r="EFH804" s="110"/>
      <c r="EFI804" s="110"/>
      <c r="EFJ804" s="110"/>
      <c r="EFK804" s="110"/>
      <c r="EFL804" s="110"/>
      <c r="EFM804" s="110"/>
      <c r="EFN804" s="110"/>
      <c r="EFO804" s="110"/>
      <c r="EFP804" s="110"/>
      <c r="EFQ804" s="110"/>
      <c r="EFR804" s="110"/>
      <c r="EFS804" s="110"/>
      <c r="EFT804" s="110"/>
      <c r="EFU804" s="110"/>
      <c r="EFV804" s="110"/>
      <c r="EFW804" s="110"/>
      <c r="EFX804" s="110"/>
      <c r="EFY804" s="110"/>
      <c r="EFZ804" s="110"/>
      <c r="EGA804" s="110"/>
      <c r="EGB804" s="110"/>
      <c r="EGC804" s="110"/>
      <c r="EGD804" s="110"/>
      <c r="EGE804" s="110"/>
      <c r="EGF804" s="110"/>
      <c r="EGG804" s="110"/>
      <c r="EGH804" s="110"/>
      <c r="EGI804" s="110"/>
      <c r="EGJ804" s="110"/>
      <c r="EGK804" s="110"/>
      <c r="EGL804" s="110"/>
      <c r="EGM804" s="110"/>
      <c r="EGN804" s="110"/>
      <c r="EGO804" s="110"/>
      <c r="EGP804" s="110"/>
      <c r="EGQ804" s="110"/>
      <c r="EGR804" s="110"/>
      <c r="EGS804" s="110"/>
      <c r="EGT804" s="110"/>
      <c r="EGU804" s="110"/>
      <c r="EGV804" s="110"/>
      <c r="EGW804" s="110"/>
      <c r="EGX804" s="110"/>
      <c r="EGY804" s="110"/>
      <c r="EGZ804" s="110"/>
      <c r="EHA804" s="110"/>
      <c r="EHB804" s="110"/>
      <c r="EHC804" s="110"/>
      <c r="EHD804" s="110"/>
      <c r="EHE804" s="110"/>
      <c r="EHF804" s="110"/>
      <c r="EHG804" s="110"/>
      <c r="EHH804" s="110"/>
      <c r="EHI804" s="110"/>
      <c r="EHJ804" s="110"/>
      <c r="EHK804" s="110"/>
      <c r="EHL804" s="110"/>
      <c r="EHM804" s="110"/>
      <c r="EHN804" s="110"/>
      <c r="EHO804" s="110"/>
      <c r="EHP804" s="110"/>
      <c r="EHQ804" s="110"/>
      <c r="EHR804" s="110"/>
      <c r="EHS804" s="110"/>
      <c r="EHT804" s="110"/>
      <c r="EHU804" s="110"/>
      <c r="EHV804" s="110"/>
      <c r="EHW804" s="110"/>
      <c r="EHX804" s="110"/>
      <c r="EHY804" s="110"/>
      <c r="EHZ804" s="110"/>
      <c r="EIA804" s="110"/>
      <c r="EIB804" s="110"/>
      <c r="EIC804" s="110"/>
      <c r="EID804" s="110"/>
      <c r="EIE804" s="110"/>
      <c r="EIF804" s="110"/>
      <c r="EIG804" s="110"/>
      <c r="EIH804" s="110"/>
      <c r="EII804" s="110"/>
      <c r="EIJ804" s="110"/>
      <c r="EIK804" s="110"/>
      <c r="EIL804" s="110"/>
      <c r="EIM804" s="110"/>
      <c r="EIN804" s="110"/>
      <c r="EIO804" s="110"/>
      <c r="EIP804" s="110"/>
      <c r="EIQ804" s="110"/>
      <c r="EIR804" s="110"/>
      <c r="EIS804" s="110"/>
      <c r="EIT804" s="110"/>
      <c r="EIU804" s="110"/>
      <c r="EIV804" s="110"/>
      <c r="EIW804" s="110"/>
      <c r="EIX804" s="110"/>
      <c r="EIY804" s="110"/>
      <c r="EIZ804" s="110"/>
      <c r="EJA804" s="110"/>
      <c r="EJB804" s="110"/>
      <c r="EJC804" s="110"/>
      <c r="EJD804" s="110"/>
      <c r="EJE804" s="110"/>
      <c r="EJF804" s="110"/>
      <c r="EJG804" s="110"/>
      <c r="EJH804" s="110"/>
      <c r="EJI804" s="110"/>
      <c r="EJJ804" s="110"/>
      <c r="EJK804" s="110"/>
      <c r="EJL804" s="110"/>
      <c r="EJM804" s="110"/>
      <c r="EJN804" s="110"/>
      <c r="EJO804" s="110"/>
      <c r="EJP804" s="110"/>
      <c r="EJQ804" s="110"/>
      <c r="EJR804" s="110"/>
      <c r="EJS804" s="110"/>
      <c r="EJT804" s="110"/>
      <c r="EJU804" s="110"/>
      <c r="EJV804" s="110"/>
      <c r="EJW804" s="110"/>
      <c r="EJX804" s="110"/>
      <c r="EJY804" s="110"/>
      <c r="EJZ804" s="110"/>
      <c r="EKA804" s="110"/>
      <c r="EKB804" s="110"/>
      <c r="EKC804" s="110"/>
      <c r="EKD804" s="110"/>
      <c r="EKE804" s="110"/>
      <c r="EKF804" s="110"/>
      <c r="EKG804" s="110"/>
      <c r="EKH804" s="110"/>
      <c r="EKI804" s="110"/>
      <c r="EKJ804" s="110"/>
      <c r="EKK804" s="110"/>
      <c r="EKL804" s="110"/>
      <c r="EKM804" s="110"/>
      <c r="EKN804" s="110"/>
      <c r="EKO804" s="110"/>
      <c r="EKP804" s="110"/>
      <c r="EKQ804" s="110"/>
      <c r="EKR804" s="110"/>
      <c r="EKS804" s="110"/>
      <c r="EKT804" s="110"/>
      <c r="EKU804" s="110"/>
      <c r="EKV804" s="110"/>
      <c r="EKW804" s="110"/>
      <c r="EKX804" s="110"/>
      <c r="EKY804" s="110"/>
      <c r="EKZ804" s="110"/>
      <c r="ELA804" s="110"/>
      <c r="ELB804" s="110"/>
      <c r="ELC804" s="110"/>
      <c r="ELD804" s="110"/>
      <c r="ELE804" s="110"/>
      <c r="ELF804" s="110"/>
      <c r="ELG804" s="110"/>
      <c r="ELH804" s="110"/>
      <c r="ELI804" s="110"/>
      <c r="ELJ804" s="110"/>
      <c r="ELK804" s="110"/>
      <c r="ELL804" s="110"/>
      <c r="ELM804" s="110"/>
      <c r="ELN804" s="110"/>
      <c r="ELO804" s="110"/>
      <c r="ELP804" s="110"/>
      <c r="ELQ804" s="110"/>
      <c r="ELR804" s="110"/>
      <c r="ELS804" s="110"/>
      <c r="ELT804" s="110"/>
      <c r="ELU804" s="110"/>
      <c r="ELV804" s="110"/>
      <c r="ELW804" s="110"/>
      <c r="ELX804" s="110"/>
      <c r="ELY804" s="110"/>
      <c r="ELZ804" s="110"/>
      <c r="EMA804" s="110"/>
      <c r="EMB804" s="110"/>
      <c r="EMC804" s="110"/>
      <c r="EMD804" s="110"/>
      <c r="EME804" s="110"/>
      <c r="EMF804" s="110"/>
      <c r="EMG804" s="110"/>
      <c r="EMH804" s="110"/>
      <c r="EMI804" s="110"/>
      <c r="EMJ804" s="110"/>
      <c r="EMK804" s="110"/>
      <c r="EML804" s="110"/>
      <c r="EMM804" s="110"/>
      <c r="EMN804" s="110"/>
      <c r="EMO804" s="110"/>
      <c r="EMP804" s="110"/>
      <c r="EMQ804" s="110"/>
      <c r="EMR804" s="110"/>
      <c r="EMS804" s="110"/>
      <c r="EMT804" s="110"/>
      <c r="EMU804" s="110"/>
      <c r="EMV804" s="110"/>
      <c r="EMW804" s="110"/>
      <c r="EMX804" s="110"/>
      <c r="EMY804" s="110"/>
      <c r="EMZ804" s="110"/>
      <c r="ENA804" s="110"/>
      <c r="ENB804" s="110"/>
      <c r="ENC804" s="110"/>
      <c r="END804" s="110"/>
      <c r="ENE804" s="110"/>
      <c r="ENF804" s="110"/>
      <c r="ENG804" s="110"/>
      <c r="ENH804" s="110"/>
      <c r="ENI804" s="110"/>
      <c r="ENJ804" s="110"/>
      <c r="ENK804" s="110"/>
      <c r="ENL804" s="110"/>
      <c r="ENM804" s="110"/>
      <c r="ENN804" s="110"/>
      <c r="ENO804" s="110"/>
      <c r="ENP804" s="110"/>
      <c r="ENQ804" s="110"/>
      <c r="ENR804" s="110"/>
      <c r="ENS804" s="110"/>
      <c r="ENT804" s="110"/>
      <c r="ENU804" s="110"/>
      <c r="ENV804" s="110"/>
      <c r="ENW804" s="110"/>
      <c r="ENX804" s="110"/>
      <c r="ENY804" s="110"/>
      <c r="ENZ804" s="110"/>
      <c r="EOA804" s="110"/>
      <c r="EOB804" s="110"/>
      <c r="EOC804" s="110"/>
      <c r="EOD804" s="110"/>
      <c r="EOE804" s="110"/>
      <c r="EOF804" s="110"/>
      <c r="EOG804" s="110"/>
      <c r="EOH804" s="110"/>
      <c r="EOI804" s="110"/>
      <c r="EOJ804" s="110"/>
      <c r="EOK804" s="110"/>
      <c r="EOL804" s="110"/>
      <c r="EOM804" s="110"/>
      <c r="EON804" s="110"/>
      <c r="EOO804" s="110"/>
      <c r="EOP804" s="110"/>
      <c r="EOQ804" s="110"/>
      <c r="EOR804" s="110"/>
      <c r="EOS804" s="110"/>
      <c r="EOT804" s="110"/>
      <c r="EOU804" s="110"/>
      <c r="EOV804" s="110"/>
      <c r="EOW804" s="110"/>
      <c r="EOX804" s="110"/>
      <c r="EOY804" s="110"/>
      <c r="EOZ804" s="110"/>
      <c r="EPA804" s="110"/>
      <c r="EPB804" s="110"/>
      <c r="EPC804" s="110"/>
      <c r="EPD804" s="110"/>
      <c r="EPE804" s="110"/>
      <c r="EPF804" s="110"/>
      <c r="EPG804" s="110"/>
      <c r="EPH804" s="110"/>
      <c r="EPI804" s="110"/>
      <c r="EPJ804" s="110"/>
      <c r="EPK804" s="110"/>
      <c r="EPL804" s="110"/>
      <c r="EPM804" s="110"/>
      <c r="EPN804" s="110"/>
      <c r="EPO804" s="110"/>
      <c r="EPP804" s="110"/>
      <c r="EPQ804" s="110"/>
      <c r="EPR804" s="110"/>
      <c r="EPS804" s="110"/>
      <c r="EPT804" s="110"/>
      <c r="EPU804" s="110"/>
      <c r="EPV804" s="110"/>
      <c r="EPW804" s="110"/>
      <c r="EPX804" s="110"/>
      <c r="EPY804" s="110"/>
      <c r="EPZ804" s="110"/>
      <c r="EQA804" s="110"/>
      <c r="EQB804" s="110"/>
      <c r="EQC804" s="110"/>
      <c r="EQD804" s="110"/>
      <c r="EQE804" s="110"/>
      <c r="EQF804" s="110"/>
      <c r="EQG804" s="110"/>
      <c r="EQH804" s="110"/>
      <c r="EQI804" s="110"/>
      <c r="EQJ804" s="110"/>
      <c r="EQK804" s="110"/>
      <c r="EQL804" s="110"/>
      <c r="EQM804" s="110"/>
      <c r="EQN804" s="110"/>
      <c r="EQO804" s="110"/>
      <c r="EQP804" s="110"/>
      <c r="EQQ804" s="110"/>
      <c r="EQR804" s="110"/>
      <c r="EQS804" s="110"/>
      <c r="EQT804" s="110"/>
      <c r="EQU804" s="110"/>
      <c r="EQV804" s="110"/>
      <c r="EQW804" s="110"/>
      <c r="EQX804" s="110"/>
      <c r="EQY804" s="110"/>
      <c r="EQZ804" s="110"/>
      <c r="ERA804" s="110"/>
      <c r="ERB804" s="110"/>
      <c r="ERC804" s="110"/>
      <c r="ERD804" s="110"/>
      <c r="ERE804" s="110"/>
      <c r="ERF804" s="110"/>
      <c r="ERG804" s="110"/>
      <c r="ERH804" s="110"/>
      <c r="ERI804" s="110"/>
      <c r="ERJ804" s="110"/>
      <c r="ERK804" s="110"/>
      <c r="ERL804" s="110"/>
      <c r="ERM804" s="110"/>
      <c r="ERN804" s="110"/>
      <c r="ERO804" s="110"/>
      <c r="ERP804" s="110"/>
      <c r="ERQ804" s="110"/>
      <c r="ERR804" s="110"/>
      <c r="ERS804" s="110"/>
      <c r="ERT804" s="110"/>
      <c r="ERU804" s="110"/>
      <c r="ERV804" s="110"/>
      <c r="ERW804" s="110"/>
      <c r="ERX804" s="110"/>
      <c r="ERY804" s="110"/>
      <c r="ERZ804" s="110"/>
      <c r="ESA804" s="110"/>
      <c r="ESB804" s="110"/>
      <c r="ESC804" s="110"/>
      <c r="ESD804" s="110"/>
      <c r="ESE804" s="110"/>
      <c r="ESF804" s="110"/>
      <c r="ESG804" s="110"/>
      <c r="ESH804" s="110"/>
      <c r="ESI804" s="110"/>
      <c r="ESJ804" s="110"/>
      <c r="ESK804" s="110"/>
      <c r="ESL804" s="110"/>
      <c r="ESM804" s="110"/>
      <c r="ESN804" s="110"/>
      <c r="ESO804" s="110"/>
      <c r="ESP804" s="110"/>
      <c r="ESQ804" s="110"/>
      <c r="ESR804" s="110"/>
      <c r="ESS804" s="110"/>
      <c r="EST804" s="110"/>
      <c r="ESU804" s="110"/>
      <c r="ESV804" s="110"/>
      <c r="ESW804" s="110"/>
      <c r="ESX804" s="110"/>
      <c r="ESY804" s="110"/>
      <c r="ESZ804" s="110"/>
      <c r="ETA804" s="110"/>
      <c r="ETB804" s="110"/>
      <c r="ETC804" s="110"/>
      <c r="ETD804" s="110"/>
      <c r="ETE804" s="110"/>
      <c r="ETF804" s="110"/>
      <c r="ETG804" s="110"/>
      <c r="ETH804" s="110"/>
      <c r="ETI804" s="110"/>
      <c r="ETJ804" s="110"/>
      <c r="ETK804" s="110"/>
      <c r="ETL804" s="110"/>
      <c r="ETM804" s="110"/>
      <c r="ETN804" s="110"/>
      <c r="ETO804" s="110"/>
      <c r="ETP804" s="110"/>
      <c r="ETQ804" s="110"/>
      <c r="ETR804" s="110"/>
      <c r="ETS804" s="110"/>
      <c r="ETT804" s="110"/>
      <c r="ETU804" s="110"/>
      <c r="ETV804" s="110"/>
      <c r="ETW804" s="110"/>
      <c r="ETX804" s="110"/>
      <c r="ETY804" s="110"/>
      <c r="ETZ804" s="110"/>
      <c r="EUA804" s="110"/>
      <c r="EUB804" s="110"/>
      <c r="EUC804" s="110"/>
      <c r="EUD804" s="110"/>
      <c r="EUE804" s="110"/>
      <c r="EUF804" s="110"/>
      <c r="EUG804" s="110"/>
      <c r="EUH804" s="110"/>
      <c r="EUI804" s="110"/>
      <c r="EUJ804" s="110"/>
      <c r="EUK804" s="110"/>
      <c r="EUL804" s="110"/>
      <c r="EUM804" s="110"/>
      <c r="EUN804" s="110"/>
      <c r="EUO804" s="110"/>
      <c r="EUP804" s="110"/>
      <c r="EUQ804" s="110"/>
      <c r="EUR804" s="110"/>
      <c r="EUS804" s="110"/>
      <c r="EUT804" s="110"/>
      <c r="EUU804" s="110"/>
      <c r="EUV804" s="110"/>
      <c r="EUW804" s="110"/>
      <c r="EUX804" s="110"/>
      <c r="EUY804" s="110"/>
      <c r="EUZ804" s="110"/>
      <c r="EVA804" s="110"/>
      <c r="EVB804" s="110"/>
      <c r="EVC804" s="110"/>
      <c r="EVD804" s="110"/>
      <c r="EVE804" s="110"/>
      <c r="EVF804" s="110"/>
      <c r="EVG804" s="110"/>
      <c r="EVH804" s="110"/>
      <c r="EVI804" s="110"/>
      <c r="EVJ804" s="110"/>
      <c r="EVK804" s="110"/>
      <c r="EVL804" s="110"/>
      <c r="EVM804" s="110"/>
      <c r="EVN804" s="110"/>
      <c r="EVO804" s="110"/>
      <c r="EVP804" s="110"/>
      <c r="EVQ804" s="110"/>
      <c r="EVR804" s="110"/>
      <c r="EVS804" s="110"/>
      <c r="EVT804" s="110"/>
      <c r="EVU804" s="110"/>
      <c r="EVV804" s="110"/>
      <c r="EVW804" s="110"/>
      <c r="EVX804" s="110"/>
      <c r="EVY804" s="110"/>
      <c r="EVZ804" s="110"/>
      <c r="EWA804" s="110"/>
      <c r="EWB804" s="110"/>
      <c r="EWC804" s="110"/>
      <c r="EWD804" s="110"/>
      <c r="EWE804" s="110"/>
      <c r="EWF804" s="110"/>
      <c r="EWG804" s="110"/>
      <c r="EWH804" s="110"/>
      <c r="EWI804" s="110"/>
      <c r="EWJ804" s="110"/>
      <c r="EWK804" s="110"/>
      <c r="EWL804" s="110"/>
      <c r="EWM804" s="110"/>
      <c r="EWN804" s="110"/>
      <c r="EWO804" s="110"/>
      <c r="EWP804" s="110"/>
      <c r="EWQ804" s="110"/>
      <c r="EWR804" s="110"/>
      <c r="EWS804" s="110"/>
      <c r="EWT804" s="110"/>
      <c r="EWU804" s="110"/>
      <c r="EWV804" s="110"/>
      <c r="EWW804" s="110"/>
      <c r="EWX804" s="110"/>
      <c r="EWY804" s="110"/>
      <c r="EWZ804" s="110"/>
      <c r="EXA804" s="110"/>
      <c r="EXB804" s="110"/>
      <c r="EXC804" s="110"/>
      <c r="EXD804" s="110"/>
      <c r="EXE804" s="110"/>
      <c r="EXF804" s="110"/>
      <c r="EXG804" s="110"/>
      <c r="EXH804" s="110"/>
      <c r="EXI804" s="110"/>
      <c r="EXJ804" s="110"/>
      <c r="EXK804" s="110"/>
      <c r="EXL804" s="110"/>
      <c r="EXM804" s="110"/>
      <c r="EXN804" s="110"/>
      <c r="EXO804" s="110"/>
      <c r="EXP804" s="110"/>
      <c r="EXQ804" s="110"/>
      <c r="EXR804" s="110"/>
      <c r="EXS804" s="110"/>
      <c r="EXT804" s="110"/>
      <c r="EXU804" s="110"/>
      <c r="EXV804" s="110"/>
      <c r="EXW804" s="110"/>
      <c r="EXX804" s="110"/>
      <c r="EXY804" s="110"/>
      <c r="EXZ804" s="110"/>
      <c r="EYA804" s="110"/>
      <c r="EYB804" s="110"/>
      <c r="EYC804" s="110"/>
      <c r="EYD804" s="110"/>
      <c r="EYE804" s="110"/>
      <c r="EYF804" s="110"/>
      <c r="EYG804" s="110"/>
      <c r="EYH804" s="110"/>
      <c r="EYI804" s="110"/>
      <c r="EYJ804" s="110"/>
      <c r="EYK804" s="110"/>
      <c r="EYL804" s="110"/>
      <c r="EYM804" s="110"/>
      <c r="EYN804" s="110"/>
      <c r="EYO804" s="110"/>
      <c r="EYP804" s="110"/>
      <c r="EYQ804" s="110"/>
      <c r="EYR804" s="110"/>
      <c r="EYS804" s="110"/>
      <c r="EYT804" s="110"/>
      <c r="EYU804" s="110"/>
      <c r="EYV804" s="110"/>
      <c r="EYW804" s="110"/>
      <c r="EYX804" s="110"/>
      <c r="EYY804" s="110"/>
      <c r="EYZ804" s="110"/>
      <c r="EZA804" s="110"/>
      <c r="EZB804" s="110"/>
      <c r="EZC804" s="110"/>
      <c r="EZD804" s="110"/>
      <c r="EZE804" s="110"/>
      <c r="EZF804" s="110"/>
      <c r="EZG804" s="110"/>
      <c r="EZH804" s="110"/>
      <c r="EZI804" s="110"/>
      <c r="EZJ804" s="110"/>
      <c r="EZK804" s="110"/>
      <c r="EZL804" s="110"/>
      <c r="EZM804" s="110"/>
      <c r="EZN804" s="110"/>
      <c r="EZO804" s="110"/>
      <c r="EZP804" s="110"/>
      <c r="EZQ804" s="110"/>
      <c r="EZR804" s="110"/>
      <c r="EZS804" s="110"/>
      <c r="EZT804" s="110"/>
      <c r="EZU804" s="110"/>
      <c r="EZV804" s="110"/>
      <c r="EZW804" s="110"/>
      <c r="EZX804" s="110"/>
      <c r="EZY804" s="110"/>
      <c r="EZZ804" s="110"/>
      <c r="FAA804" s="110"/>
      <c r="FAB804" s="110"/>
      <c r="FAC804" s="110"/>
      <c r="FAD804" s="110"/>
      <c r="FAE804" s="110"/>
      <c r="FAF804" s="110"/>
      <c r="FAG804" s="110"/>
      <c r="FAH804" s="110"/>
      <c r="FAI804" s="110"/>
      <c r="FAJ804" s="110"/>
      <c r="FAK804" s="110"/>
      <c r="FAL804" s="110"/>
      <c r="FAM804" s="110"/>
      <c r="FAN804" s="110"/>
      <c r="FAO804" s="110"/>
      <c r="FAP804" s="110"/>
      <c r="FAQ804" s="110"/>
      <c r="FAR804" s="110"/>
      <c r="FAS804" s="110"/>
      <c r="FAT804" s="110"/>
      <c r="FAU804" s="110"/>
      <c r="FAV804" s="110"/>
      <c r="FAW804" s="110"/>
      <c r="FAX804" s="110"/>
      <c r="FAY804" s="110"/>
      <c r="FAZ804" s="110"/>
      <c r="FBA804" s="110"/>
      <c r="FBB804" s="110"/>
      <c r="FBC804" s="110"/>
      <c r="FBD804" s="110"/>
      <c r="FBE804" s="110"/>
      <c r="FBF804" s="110"/>
      <c r="FBG804" s="110"/>
      <c r="FBH804" s="110"/>
      <c r="FBI804" s="110"/>
      <c r="FBJ804" s="110"/>
      <c r="FBK804" s="110"/>
      <c r="FBL804" s="110"/>
      <c r="FBM804" s="110"/>
      <c r="FBN804" s="110"/>
      <c r="FBO804" s="110"/>
      <c r="FBP804" s="110"/>
      <c r="FBQ804" s="110"/>
      <c r="FBR804" s="110"/>
      <c r="FBS804" s="110"/>
      <c r="FBT804" s="110"/>
      <c r="FBU804" s="110"/>
      <c r="FBV804" s="110"/>
      <c r="FBW804" s="110"/>
      <c r="FBX804" s="110"/>
      <c r="FBY804" s="110"/>
      <c r="FBZ804" s="110"/>
      <c r="FCA804" s="110"/>
      <c r="FCB804" s="110"/>
      <c r="FCC804" s="110"/>
      <c r="FCD804" s="110"/>
      <c r="FCE804" s="110"/>
      <c r="FCF804" s="110"/>
      <c r="FCG804" s="110"/>
      <c r="FCH804" s="110"/>
      <c r="FCI804" s="110"/>
      <c r="FCJ804" s="110"/>
      <c r="FCK804" s="110"/>
      <c r="FCL804" s="110"/>
      <c r="FCM804" s="110"/>
      <c r="FCN804" s="110"/>
      <c r="FCO804" s="110"/>
      <c r="FCP804" s="110"/>
      <c r="FCQ804" s="110"/>
      <c r="FCR804" s="110"/>
      <c r="FCS804" s="110"/>
      <c r="FCT804" s="110"/>
      <c r="FCU804" s="110"/>
      <c r="FCV804" s="110"/>
      <c r="FCW804" s="110"/>
      <c r="FCX804" s="110"/>
      <c r="FCY804" s="110"/>
      <c r="FCZ804" s="110"/>
      <c r="FDA804" s="110"/>
      <c r="FDB804" s="110"/>
      <c r="FDC804" s="110"/>
      <c r="FDD804" s="110"/>
      <c r="FDE804" s="110"/>
      <c r="FDF804" s="110"/>
      <c r="FDG804" s="110"/>
      <c r="FDH804" s="110"/>
      <c r="FDI804" s="110"/>
      <c r="FDJ804" s="110"/>
      <c r="FDK804" s="110"/>
      <c r="FDL804" s="110"/>
      <c r="FDM804" s="110"/>
      <c r="FDN804" s="110"/>
      <c r="FDO804" s="110"/>
      <c r="FDP804" s="110"/>
      <c r="FDQ804" s="110"/>
      <c r="FDR804" s="110"/>
      <c r="FDS804" s="110"/>
      <c r="FDT804" s="110"/>
      <c r="FDU804" s="110"/>
      <c r="FDV804" s="110"/>
      <c r="FDW804" s="110"/>
      <c r="FDX804" s="110"/>
      <c r="FDY804" s="110"/>
      <c r="FDZ804" s="110"/>
      <c r="FEA804" s="110"/>
      <c r="FEB804" s="110"/>
      <c r="FEC804" s="110"/>
      <c r="FED804" s="110"/>
      <c r="FEE804" s="110"/>
      <c r="FEF804" s="110"/>
      <c r="FEG804" s="110"/>
      <c r="FEH804" s="110"/>
      <c r="FEI804" s="110"/>
      <c r="FEJ804" s="110"/>
      <c r="FEK804" s="110"/>
      <c r="FEL804" s="110"/>
      <c r="FEM804" s="110"/>
      <c r="FEN804" s="110"/>
      <c r="FEO804" s="110"/>
      <c r="FEP804" s="110"/>
      <c r="FEQ804" s="110"/>
      <c r="FER804" s="110"/>
      <c r="FES804" s="110"/>
      <c r="FET804" s="110"/>
      <c r="FEU804" s="110"/>
      <c r="FEV804" s="110"/>
      <c r="FEW804" s="110"/>
      <c r="FEX804" s="110"/>
      <c r="FEY804" s="110"/>
      <c r="FEZ804" s="110"/>
      <c r="FFA804" s="110"/>
      <c r="FFB804" s="110"/>
      <c r="FFC804" s="110"/>
      <c r="FFD804" s="110"/>
      <c r="FFE804" s="110"/>
      <c r="FFF804" s="110"/>
      <c r="FFG804" s="110"/>
      <c r="FFH804" s="110"/>
      <c r="FFI804" s="110"/>
      <c r="FFJ804" s="110"/>
      <c r="FFK804" s="110"/>
      <c r="FFL804" s="110"/>
      <c r="FFM804" s="110"/>
      <c r="FFN804" s="110"/>
      <c r="FFO804" s="110"/>
      <c r="FFP804" s="110"/>
      <c r="FFQ804" s="110"/>
      <c r="FFR804" s="110"/>
      <c r="FFS804" s="110"/>
      <c r="FFT804" s="110"/>
      <c r="FFU804" s="110"/>
      <c r="FFV804" s="110"/>
      <c r="FFW804" s="110"/>
      <c r="FFX804" s="110"/>
      <c r="FFY804" s="110"/>
      <c r="FFZ804" s="110"/>
      <c r="FGA804" s="110"/>
      <c r="FGB804" s="110"/>
      <c r="FGC804" s="110"/>
      <c r="FGD804" s="110"/>
      <c r="FGE804" s="110"/>
      <c r="FGF804" s="110"/>
      <c r="FGG804" s="110"/>
      <c r="FGH804" s="110"/>
      <c r="FGI804" s="110"/>
      <c r="FGJ804" s="110"/>
      <c r="FGK804" s="110"/>
      <c r="FGL804" s="110"/>
      <c r="FGM804" s="110"/>
      <c r="FGN804" s="110"/>
      <c r="FGO804" s="110"/>
      <c r="FGP804" s="110"/>
      <c r="FGQ804" s="110"/>
      <c r="FGR804" s="110"/>
      <c r="FGS804" s="110"/>
      <c r="FGT804" s="110"/>
      <c r="FGU804" s="110"/>
      <c r="FGV804" s="110"/>
      <c r="FGW804" s="110"/>
      <c r="FGX804" s="110"/>
      <c r="FGY804" s="110"/>
      <c r="FGZ804" s="110"/>
      <c r="FHA804" s="110"/>
      <c r="FHB804" s="110"/>
      <c r="FHC804" s="110"/>
      <c r="FHD804" s="110"/>
      <c r="FHE804" s="110"/>
      <c r="FHF804" s="110"/>
      <c r="FHG804" s="110"/>
      <c r="FHH804" s="110"/>
      <c r="FHI804" s="110"/>
      <c r="FHJ804" s="110"/>
      <c r="FHK804" s="110"/>
      <c r="FHL804" s="110"/>
      <c r="FHM804" s="110"/>
      <c r="FHN804" s="110"/>
      <c r="FHO804" s="110"/>
      <c r="FHP804" s="110"/>
      <c r="FHQ804" s="110"/>
      <c r="FHR804" s="110"/>
      <c r="FHS804" s="110"/>
      <c r="FHT804" s="110"/>
      <c r="FHU804" s="110"/>
      <c r="FHV804" s="110"/>
      <c r="FHW804" s="110"/>
      <c r="FHX804" s="110"/>
      <c r="FHY804" s="110"/>
      <c r="FHZ804" s="110"/>
      <c r="FIA804" s="110"/>
      <c r="FIB804" s="110"/>
      <c r="FIC804" s="110"/>
      <c r="FID804" s="110"/>
      <c r="FIE804" s="110"/>
      <c r="FIF804" s="110"/>
      <c r="FIG804" s="110"/>
      <c r="FIH804" s="110"/>
      <c r="FII804" s="110"/>
      <c r="FIJ804" s="110"/>
      <c r="FIK804" s="110"/>
      <c r="FIL804" s="110"/>
      <c r="FIM804" s="110"/>
      <c r="FIN804" s="110"/>
      <c r="FIO804" s="110"/>
      <c r="FIP804" s="110"/>
      <c r="FIQ804" s="110"/>
      <c r="FIR804" s="110"/>
      <c r="FIS804" s="110"/>
      <c r="FIT804" s="110"/>
      <c r="FIU804" s="110"/>
      <c r="FIV804" s="110"/>
      <c r="FIW804" s="110"/>
      <c r="FIX804" s="110"/>
      <c r="FIY804" s="110"/>
      <c r="FIZ804" s="110"/>
      <c r="FJA804" s="110"/>
      <c r="FJB804" s="110"/>
      <c r="FJC804" s="110"/>
      <c r="FJD804" s="110"/>
      <c r="FJE804" s="110"/>
      <c r="FJF804" s="110"/>
      <c r="FJG804" s="110"/>
      <c r="FJH804" s="110"/>
      <c r="FJI804" s="110"/>
      <c r="FJJ804" s="110"/>
      <c r="FJK804" s="110"/>
      <c r="FJL804" s="110"/>
      <c r="FJM804" s="110"/>
      <c r="FJN804" s="110"/>
      <c r="FJO804" s="110"/>
      <c r="FJP804" s="110"/>
      <c r="FJQ804" s="110"/>
      <c r="FJR804" s="110"/>
      <c r="FJS804" s="110"/>
      <c r="FJT804" s="110"/>
      <c r="FJU804" s="110"/>
      <c r="FJV804" s="110"/>
      <c r="FJW804" s="110"/>
      <c r="FJX804" s="110"/>
      <c r="FJY804" s="110"/>
      <c r="FJZ804" s="110"/>
      <c r="FKA804" s="110"/>
      <c r="FKB804" s="110"/>
      <c r="FKC804" s="110"/>
      <c r="FKD804" s="110"/>
      <c r="FKE804" s="110"/>
      <c r="FKF804" s="110"/>
      <c r="FKG804" s="110"/>
      <c r="FKH804" s="110"/>
      <c r="FKI804" s="110"/>
      <c r="FKJ804" s="110"/>
      <c r="FKK804" s="110"/>
      <c r="FKL804" s="110"/>
      <c r="FKM804" s="110"/>
      <c r="FKN804" s="110"/>
      <c r="FKO804" s="110"/>
      <c r="FKP804" s="110"/>
      <c r="FKQ804" s="110"/>
      <c r="FKR804" s="110"/>
      <c r="FKS804" s="110"/>
      <c r="FKT804" s="110"/>
      <c r="FKU804" s="110"/>
      <c r="FKV804" s="110"/>
      <c r="FKW804" s="110"/>
      <c r="FKX804" s="110"/>
      <c r="FKY804" s="110"/>
      <c r="FKZ804" s="110"/>
      <c r="FLA804" s="110"/>
      <c r="FLB804" s="110"/>
      <c r="FLC804" s="110"/>
      <c r="FLD804" s="110"/>
      <c r="FLE804" s="110"/>
      <c r="FLF804" s="110"/>
      <c r="FLG804" s="110"/>
      <c r="FLH804" s="110"/>
      <c r="FLI804" s="110"/>
      <c r="FLJ804" s="110"/>
      <c r="FLK804" s="110"/>
      <c r="FLL804" s="110"/>
      <c r="FLM804" s="110"/>
      <c r="FLN804" s="110"/>
      <c r="FLO804" s="110"/>
      <c r="FLP804" s="110"/>
      <c r="FLQ804" s="110"/>
      <c r="FLR804" s="110"/>
      <c r="FLS804" s="110"/>
      <c r="FLT804" s="110"/>
      <c r="FLU804" s="110"/>
      <c r="FLV804" s="110"/>
      <c r="FLW804" s="110"/>
      <c r="FLX804" s="110"/>
      <c r="FLY804" s="110"/>
      <c r="FLZ804" s="110"/>
      <c r="FMA804" s="110"/>
      <c r="FMB804" s="110"/>
      <c r="FMC804" s="110"/>
      <c r="FMD804" s="110"/>
      <c r="FME804" s="110"/>
      <c r="FMF804" s="110"/>
      <c r="FMG804" s="110"/>
      <c r="FMH804" s="110"/>
      <c r="FMI804" s="110"/>
      <c r="FMJ804" s="110"/>
      <c r="FMK804" s="110"/>
      <c r="FML804" s="110"/>
      <c r="FMM804" s="110"/>
      <c r="FMN804" s="110"/>
      <c r="FMO804" s="110"/>
      <c r="FMP804" s="110"/>
      <c r="FMQ804" s="110"/>
      <c r="FMR804" s="110"/>
      <c r="FMS804" s="110"/>
      <c r="FMT804" s="110"/>
      <c r="FMU804" s="110"/>
      <c r="FMV804" s="110"/>
      <c r="FMW804" s="110"/>
      <c r="FMX804" s="110"/>
      <c r="FMY804" s="110"/>
      <c r="FMZ804" s="110"/>
      <c r="FNA804" s="110"/>
      <c r="FNB804" s="110"/>
      <c r="FNC804" s="110"/>
      <c r="FND804" s="110"/>
      <c r="FNE804" s="110"/>
      <c r="FNF804" s="110"/>
      <c r="FNG804" s="110"/>
      <c r="FNH804" s="110"/>
      <c r="FNI804" s="110"/>
      <c r="FNJ804" s="110"/>
      <c r="FNK804" s="110"/>
      <c r="FNL804" s="110"/>
      <c r="FNM804" s="110"/>
      <c r="FNN804" s="110"/>
      <c r="FNO804" s="110"/>
      <c r="FNP804" s="110"/>
      <c r="FNQ804" s="110"/>
      <c r="FNR804" s="110"/>
      <c r="FNS804" s="110"/>
      <c r="FNT804" s="110"/>
      <c r="FNU804" s="110"/>
      <c r="FNV804" s="110"/>
      <c r="FNW804" s="110"/>
      <c r="FNX804" s="110"/>
      <c r="FNY804" s="110"/>
      <c r="FNZ804" s="110"/>
      <c r="FOA804" s="110"/>
      <c r="FOB804" s="110"/>
      <c r="FOC804" s="110"/>
      <c r="FOD804" s="110"/>
      <c r="FOE804" s="110"/>
      <c r="FOF804" s="110"/>
      <c r="FOG804" s="110"/>
      <c r="FOH804" s="110"/>
      <c r="FOI804" s="110"/>
      <c r="FOJ804" s="110"/>
      <c r="FOK804" s="110"/>
      <c r="FOL804" s="110"/>
      <c r="FOM804" s="110"/>
      <c r="FON804" s="110"/>
      <c r="FOO804" s="110"/>
      <c r="FOP804" s="110"/>
      <c r="FOQ804" s="110"/>
      <c r="FOR804" s="110"/>
      <c r="FOS804" s="110"/>
      <c r="FOT804" s="110"/>
      <c r="FOU804" s="110"/>
      <c r="FOV804" s="110"/>
      <c r="FOW804" s="110"/>
      <c r="FOX804" s="110"/>
      <c r="FOY804" s="110"/>
      <c r="FOZ804" s="110"/>
      <c r="FPA804" s="110"/>
      <c r="FPB804" s="110"/>
      <c r="FPC804" s="110"/>
      <c r="FPD804" s="110"/>
      <c r="FPE804" s="110"/>
      <c r="FPF804" s="110"/>
      <c r="FPG804" s="110"/>
      <c r="FPH804" s="110"/>
      <c r="FPI804" s="110"/>
      <c r="FPJ804" s="110"/>
      <c r="FPK804" s="110"/>
      <c r="FPL804" s="110"/>
      <c r="FPM804" s="110"/>
      <c r="FPN804" s="110"/>
      <c r="FPO804" s="110"/>
      <c r="FPP804" s="110"/>
      <c r="FPQ804" s="110"/>
      <c r="FPR804" s="110"/>
      <c r="FPS804" s="110"/>
      <c r="FPT804" s="110"/>
      <c r="FPU804" s="110"/>
      <c r="FPV804" s="110"/>
      <c r="FPW804" s="110"/>
      <c r="FPX804" s="110"/>
      <c r="FPY804" s="110"/>
      <c r="FPZ804" s="110"/>
      <c r="FQA804" s="110"/>
      <c r="FQB804" s="110"/>
      <c r="FQC804" s="110"/>
      <c r="FQD804" s="110"/>
      <c r="FQE804" s="110"/>
      <c r="FQF804" s="110"/>
      <c r="FQG804" s="110"/>
      <c r="FQH804" s="110"/>
      <c r="FQI804" s="110"/>
      <c r="FQJ804" s="110"/>
      <c r="FQK804" s="110"/>
      <c r="FQL804" s="110"/>
      <c r="FQM804" s="110"/>
      <c r="FQN804" s="110"/>
      <c r="FQO804" s="110"/>
      <c r="FQP804" s="110"/>
      <c r="FQQ804" s="110"/>
      <c r="FQR804" s="110"/>
      <c r="FQS804" s="110"/>
      <c r="FQT804" s="110"/>
      <c r="FQU804" s="110"/>
      <c r="FQV804" s="110"/>
      <c r="FQW804" s="110"/>
      <c r="FQX804" s="110"/>
      <c r="FQY804" s="110"/>
      <c r="FQZ804" s="110"/>
      <c r="FRA804" s="110"/>
      <c r="FRB804" s="110"/>
      <c r="FRC804" s="110"/>
      <c r="FRD804" s="110"/>
      <c r="FRE804" s="110"/>
      <c r="FRF804" s="110"/>
      <c r="FRG804" s="110"/>
      <c r="FRH804" s="110"/>
      <c r="FRI804" s="110"/>
      <c r="FRJ804" s="110"/>
      <c r="FRK804" s="110"/>
      <c r="FRL804" s="110"/>
      <c r="FRM804" s="110"/>
      <c r="FRN804" s="110"/>
      <c r="FRO804" s="110"/>
      <c r="FRP804" s="110"/>
      <c r="FRQ804" s="110"/>
      <c r="FRR804" s="110"/>
      <c r="FRS804" s="110"/>
      <c r="FRT804" s="110"/>
      <c r="FRU804" s="110"/>
      <c r="FRV804" s="110"/>
      <c r="FRW804" s="110"/>
      <c r="FRX804" s="110"/>
      <c r="FRY804" s="110"/>
      <c r="FRZ804" s="110"/>
      <c r="FSA804" s="110"/>
      <c r="FSB804" s="110"/>
      <c r="FSC804" s="110"/>
      <c r="FSD804" s="110"/>
      <c r="FSE804" s="110"/>
      <c r="FSF804" s="110"/>
      <c r="FSG804" s="110"/>
      <c r="FSH804" s="110"/>
      <c r="FSI804" s="110"/>
      <c r="FSJ804" s="110"/>
      <c r="FSK804" s="110"/>
      <c r="FSL804" s="110"/>
      <c r="FSM804" s="110"/>
      <c r="FSN804" s="110"/>
      <c r="FSO804" s="110"/>
      <c r="FSP804" s="110"/>
      <c r="FSQ804" s="110"/>
      <c r="FSR804" s="110"/>
      <c r="FSS804" s="110"/>
      <c r="FST804" s="110"/>
      <c r="FSU804" s="110"/>
      <c r="FSV804" s="110"/>
      <c r="FSW804" s="110"/>
      <c r="FSX804" s="110"/>
      <c r="FSY804" s="110"/>
      <c r="FSZ804" s="110"/>
      <c r="FTA804" s="110"/>
      <c r="FTB804" s="110"/>
      <c r="FTC804" s="110"/>
      <c r="FTD804" s="110"/>
      <c r="FTE804" s="110"/>
      <c r="FTF804" s="110"/>
      <c r="FTG804" s="110"/>
      <c r="FTH804" s="110"/>
      <c r="FTI804" s="110"/>
      <c r="FTJ804" s="110"/>
      <c r="FTK804" s="110"/>
      <c r="FTL804" s="110"/>
      <c r="FTM804" s="110"/>
      <c r="FTN804" s="110"/>
      <c r="FTO804" s="110"/>
      <c r="FTP804" s="110"/>
      <c r="FTQ804" s="110"/>
      <c r="FTR804" s="110"/>
      <c r="FTS804" s="110"/>
      <c r="FTT804" s="110"/>
      <c r="FTU804" s="110"/>
      <c r="FTV804" s="110"/>
      <c r="FTW804" s="110"/>
      <c r="FTX804" s="110"/>
      <c r="FTY804" s="110"/>
      <c r="FTZ804" s="110"/>
      <c r="FUA804" s="110"/>
      <c r="FUB804" s="110"/>
      <c r="FUC804" s="110"/>
      <c r="FUD804" s="110"/>
      <c r="FUE804" s="110"/>
      <c r="FUF804" s="110"/>
      <c r="FUG804" s="110"/>
      <c r="FUH804" s="110"/>
      <c r="FUI804" s="110"/>
      <c r="FUJ804" s="110"/>
      <c r="FUK804" s="110"/>
      <c r="FUL804" s="110"/>
      <c r="FUM804" s="110"/>
      <c r="FUN804" s="110"/>
      <c r="FUO804" s="110"/>
      <c r="FUP804" s="110"/>
      <c r="FUQ804" s="110"/>
      <c r="FUR804" s="110"/>
      <c r="FUS804" s="110"/>
      <c r="FUT804" s="110"/>
      <c r="FUU804" s="110"/>
      <c r="FUV804" s="110"/>
      <c r="FUW804" s="110"/>
      <c r="FUX804" s="110"/>
      <c r="FUY804" s="110"/>
      <c r="FUZ804" s="110"/>
      <c r="FVA804" s="110"/>
      <c r="FVB804" s="110"/>
      <c r="FVC804" s="110"/>
      <c r="FVD804" s="110"/>
      <c r="FVE804" s="110"/>
      <c r="FVF804" s="110"/>
      <c r="FVG804" s="110"/>
      <c r="FVH804" s="110"/>
      <c r="FVI804" s="110"/>
      <c r="FVJ804" s="110"/>
      <c r="FVK804" s="110"/>
      <c r="FVL804" s="110"/>
      <c r="FVM804" s="110"/>
      <c r="FVN804" s="110"/>
      <c r="FVO804" s="110"/>
      <c r="FVP804" s="110"/>
      <c r="FVQ804" s="110"/>
      <c r="FVR804" s="110"/>
      <c r="FVS804" s="110"/>
      <c r="FVT804" s="110"/>
      <c r="FVU804" s="110"/>
      <c r="FVV804" s="110"/>
      <c r="FVW804" s="110"/>
      <c r="FVX804" s="110"/>
      <c r="FVY804" s="110"/>
      <c r="FVZ804" s="110"/>
      <c r="FWA804" s="110"/>
      <c r="FWB804" s="110"/>
      <c r="FWC804" s="110"/>
      <c r="FWD804" s="110"/>
      <c r="FWE804" s="110"/>
      <c r="FWF804" s="110"/>
      <c r="FWG804" s="110"/>
      <c r="FWH804" s="110"/>
      <c r="FWI804" s="110"/>
      <c r="FWJ804" s="110"/>
      <c r="FWK804" s="110"/>
      <c r="FWL804" s="110"/>
      <c r="FWM804" s="110"/>
      <c r="FWN804" s="110"/>
      <c r="FWO804" s="110"/>
      <c r="FWP804" s="110"/>
      <c r="FWQ804" s="110"/>
      <c r="FWR804" s="110"/>
      <c r="FWS804" s="110"/>
      <c r="FWT804" s="110"/>
      <c r="FWU804" s="110"/>
      <c r="FWV804" s="110"/>
      <c r="FWW804" s="110"/>
      <c r="FWX804" s="110"/>
      <c r="FWY804" s="110"/>
      <c r="FWZ804" s="110"/>
      <c r="FXA804" s="110"/>
      <c r="FXB804" s="110"/>
      <c r="FXC804" s="110"/>
      <c r="FXD804" s="110"/>
      <c r="FXE804" s="110"/>
      <c r="FXF804" s="110"/>
      <c r="FXG804" s="110"/>
      <c r="FXH804" s="110"/>
      <c r="FXI804" s="110"/>
      <c r="FXJ804" s="110"/>
      <c r="FXK804" s="110"/>
      <c r="FXL804" s="110"/>
      <c r="FXM804" s="110"/>
      <c r="FXN804" s="110"/>
      <c r="FXO804" s="110"/>
      <c r="FXP804" s="110"/>
      <c r="FXQ804" s="110"/>
      <c r="FXR804" s="110"/>
      <c r="FXS804" s="110"/>
      <c r="FXT804" s="110"/>
      <c r="FXU804" s="110"/>
      <c r="FXV804" s="110"/>
      <c r="FXW804" s="110"/>
      <c r="FXX804" s="110"/>
      <c r="FXY804" s="110"/>
      <c r="FXZ804" s="110"/>
      <c r="FYA804" s="110"/>
      <c r="FYB804" s="110"/>
      <c r="FYC804" s="110"/>
      <c r="FYD804" s="110"/>
      <c r="FYE804" s="110"/>
      <c r="FYF804" s="110"/>
      <c r="FYG804" s="110"/>
      <c r="FYH804" s="110"/>
      <c r="FYI804" s="110"/>
      <c r="FYJ804" s="110"/>
      <c r="FYK804" s="110"/>
      <c r="FYL804" s="110"/>
      <c r="FYM804" s="110"/>
      <c r="FYN804" s="110"/>
      <c r="FYO804" s="110"/>
      <c r="FYP804" s="110"/>
      <c r="FYQ804" s="110"/>
      <c r="FYR804" s="110"/>
      <c r="FYS804" s="110"/>
      <c r="FYT804" s="110"/>
      <c r="FYU804" s="110"/>
      <c r="FYV804" s="110"/>
      <c r="FYW804" s="110"/>
      <c r="FYX804" s="110"/>
      <c r="FYY804" s="110"/>
      <c r="FYZ804" s="110"/>
      <c r="FZA804" s="110"/>
      <c r="FZB804" s="110"/>
      <c r="FZC804" s="110"/>
      <c r="FZD804" s="110"/>
      <c r="FZE804" s="110"/>
      <c r="FZF804" s="110"/>
      <c r="FZG804" s="110"/>
      <c r="FZH804" s="110"/>
      <c r="FZI804" s="110"/>
      <c r="FZJ804" s="110"/>
      <c r="FZK804" s="110"/>
      <c r="FZL804" s="110"/>
      <c r="FZM804" s="110"/>
      <c r="FZN804" s="110"/>
      <c r="FZO804" s="110"/>
      <c r="FZP804" s="110"/>
      <c r="FZQ804" s="110"/>
      <c r="FZR804" s="110"/>
      <c r="FZS804" s="110"/>
      <c r="FZT804" s="110"/>
      <c r="FZU804" s="110"/>
      <c r="FZV804" s="110"/>
      <c r="FZW804" s="110"/>
      <c r="FZX804" s="110"/>
      <c r="FZY804" s="110"/>
      <c r="FZZ804" s="110"/>
      <c r="GAA804" s="110"/>
      <c r="GAB804" s="110"/>
      <c r="GAC804" s="110"/>
      <c r="GAD804" s="110"/>
      <c r="GAE804" s="110"/>
      <c r="GAF804" s="110"/>
      <c r="GAG804" s="110"/>
      <c r="GAH804" s="110"/>
      <c r="GAI804" s="110"/>
      <c r="GAJ804" s="110"/>
      <c r="GAK804" s="110"/>
      <c r="GAL804" s="110"/>
      <c r="GAM804" s="110"/>
      <c r="GAN804" s="110"/>
      <c r="GAO804" s="110"/>
      <c r="GAP804" s="110"/>
      <c r="GAQ804" s="110"/>
      <c r="GAR804" s="110"/>
      <c r="GAS804" s="110"/>
      <c r="GAT804" s="110"/>
      <c r="GAU804" s="110"/>
      <c r="GAV804" s="110"/>
      <c r="GAW804" s="110"/>
      <c r="GAX804" s="110"/>
      <c r="GAY804" s="110"/>
      <c r="GAZ804" s="110"/>
      <c r="GBA804" s="110"/>
      <c r="GBB804" s="110"/>
      <c r="GBC804" s="110"/>
      <c r="GBD804" s="110"/>
      <c r="GBE804" s="110"/>
      <c r="GBF804" s="110"/>
      <c r="GBG804" s="110"/>
      <c r="GBH804" s="110"/>
      <c r="GBI804" s="110"/>
      <c r="GBJ804" s="110"/>
      <c r="GBK804" s="110"/>
      <c r="GBL804" s="110"/>
      <c r="GBM804" s="110"/>
      <c r="GBN804" s="110"/>
      <c r="GBO804" s="110"/>
      <c r="GBP804" s="110"/>
      <c r="GBQ804" s="110"/>
      <c r="GBR804" s="110"/>
      <c r="GBS804" s="110"/>
      <c r="GBT804" s="110"/>
      <c r="GBU804" s="110"/>
      <c r="GBV804" s="110"/>
      <c r="GBW804" s="110"/>
      <c r="GBX804" s="110"/>
      <c r="GBY804" s="110"/>
      <c r="GBZ804" s="110"/>
      <c r="GCA804" s="110"/>
      <c r="GCB804" s="110"/>
      <c r="GCC804" s="110"/>
      <c r="GCD804" s="110"/>
      <c r="GCE804" s="110"/>
      <c r="GCF804" s="110"/>
      <c r="GCG804" s="110"/>
      <c r="GCH804" s="110"/>
      <c r="GCI804" s="110"/>
      <c r="GCJ804" s="110"/>
      <c r="GCK804" s="110"/>
      <c r="GCL804" s="110"/>
      <c r="GCM804" s="110"/>
      <c r="GCN804" s="110"/>
      <c r="GCO804" s="110"/>
      <c r="GCP804" s="110"/>
      <c r="GCQ804" s="110"/>
      <c r="GCR804" s="110"/>
      <c r="GCS804" s="110"/>
      <c r="GCT804" s="110"/>
      <c r="GCU804" s="110"/>
      <c r="GCV804" s="110"/>
      <c r="GCW804" s="110"/>
      <c r="GCX804" s="110"/>
      <c r="GCY804" s="110"/>
      <c r="GCZ804" s="110"/>
      <c r="GDA804" s="110"/>
      <c r="GDB804" s="110"/>
      <c r="GDC804" s="110"/>
      <c r="GDD804" s="110"/>
      <c r="GDE804" s="110"/>
      <c r="GDF804" s="110"/>
      <c r="GDG804" s="110"/>
      <c r="GDH804" s="110"/>
      <c r="GDI804" s="110"/>
      <c r="GDJ804" s="110"/>
      <c r="GDK804" s="110"/>
      <c r="GDL804" s="110"/>
      <c r="GDM804" s="110"/>
      <c r="GDN804" s="110"/>
      <c r="GDO804" s="110"/>
      <c r="GDP804" s="110"/>
      <c r="GDQ804" s="110"/>
      <c r="GDR804" s="110"/>
      <c r="GDS804" s="110"/>
      <c r="GDT804" s="110"/>
      <c r="GDU804" s="110"/>
      <c r="GDV804" s="110"/>
      <c r="GDW804" s="110"/>
      <c r="GDX804" s="110"/>
      <c r="GDY804" s="110"/>
      <c r="GDZ804" s="110"/>
      <c r="GEA804" s="110"/>
      <c r="GEB804" s="110"/>
      <c r="GEC804" s="110"/>
      <c r="GED804" s="110"/>
      <c r="GEE804" s="110"/>
      <c r="GEF804" s="110"/>
      <c r="GEG804" s="110"/>
      <c r="GEH804" s="110"/>
      <c r="GEI804" s="110"/>
      <c r="GEJ804" s="110"/>
      <c r="GEK804" s="110"/>
      <c r="GEL804" s="110"/>
      <c r="GEM804" s="110"/>
      <c r="GEN804" s="110"/>
      <c r="GEO804" s="110"/>
      <c r="GEP804" s="110"/>
      <c r="GEQ804" s="110"/>
      <c r="GER804" s="110"/>
      <c r="GES804" s="110"/>
      <c r="GET804" s="110"/>
      <c r="GEU804" s="110"/>
      <c r="GEV804" s="110"/>
      <c r="GEW804" s="110"/>
      <c r="GEX804" s="110"/>
      <c r="GEY804" s="110"/>
      <c r="GEZ804" s="110"/>
      <c r="GFA804" s="110"/>
      <c r="GFB804" s="110"/>
      <c r="GFC804" s="110"/>
      <c r="GFD804" s="110"/>
      <c r="GFE804" s="110"/>
      <c r="GFF804" s="110"/>
      <c r="GFG804" s="110"/>
      <c r="GFH804" s="110"/>
      <c r="GFI804" s="110"/>
      <c r="GFJ804" s="110"/>
      <c r="GFK804" s="110"/>
      <c r="GFL804" s="110"/>
      <c r="GFM804" s="110"/>
      <c r="GFN804" s="110"/>
      <c r="GFO804" s="110"/>
      <c r="GFP804" s="110"/>
      <c r="GFQ804" s="110"/>
      <c r="GFR804" s="110"/>
      <c r="GFS804" s="110"/>
      <c r="GFT804" s="110"/>
      <c r="GFU804" s="110"/>
      <c r="GFV804" s="110"/>
      <c r="GFW804" s="110"/>
      <c r="GFX804" s="110"/>
      <c r="GFY804" s="110"/>
      <c r="GFZ804" s="110"/>
      <c r="GGA804" s="110"/>
      <c r="GGB804" s="110"/>
      <c r="GGC804" s="110"/>
      <c r="GGD804" s="110"/>
      <c r="GGE804" s="110"/>
      <c r="GGF804" s="110"/>
      <c r="GGG804" s="110"/>
      <c r="GGH804" s="110"/>
      <c r="GGI804" s="110"/>
      <c r="GGJ804" s="110"/>
      <c r="GGK804" s="110"/>
      <c r="GGL804" s="110"/>
      <c r="GGM804" s="110"/>
      <c r="GGN804" s="110"/>
      <c r="GGO804" s="110"/>
      <c r="GGP804" s="110"/>
      <c r="GGQ804" s="110"/>
      <c r="GGR804" s="110"/>
      <c r="GGS804" s="110"/>
      <c r="GGT804" s="110"/>
      <c r="GGU804" s="110"/>
      <c r="GGV804" s="110"/>
      <c r="GGW804" s="110"/>
      <c r="GGX804" s="110"/>
      <c r="GGY804" s="110"/>
      <c r="GGZ804" s="110"/>
      <c r="GHA804" s="110"/>
      <c r="GHB804" s="110"/>
      <c r="GHC804" s="110"/>
      <c r="GHD804" s="110"/>
      <c r="GHE804" s="110"/>
      <c r="GHF804" s="110"/>
      <c r="GHG804" s="110"/>
      <c r="GHH804" s="110"/>
      <c r="GHI804" s="110"/>
      <c r="GHJ804" s="110"/>
      <c r="GHK804" s="110"/>
      <c r="GHL804" s="110"/>
      <c r="GHM804" s="110"/>
      <c r="GHN804" s="110"/>
      <c r="GHO804" s="110"/>
      <c r="GHP804" s="110"/>
      <c r="GHQ804" s="110"/>
      <c r="GHR804" s="110"/>
      <c r="GHS804" s="110"/>
      <c r="GHT804" s="110"/>
      <c r="GHU804" s="110"/>
      <c r="GHV804" s="110"/>
      <c r="GHW804" s="110"/>
      <c r="GHX804" s="110"/>
      <c r="GHY804" s="110"/>
      <c r="GHZ804" s="110"/>
      <c r="GIA804" s="110"/>
      <c r="GIB804" s="110"/>
      <c r="GIC804" s="110"/>
      <c r="GID804" s="110"/>
      <c r="GIE804" s="110"/>
      <c r="GIF804" s="110"/>
      <c r="GIG804" s="110"/>
      <c r="GIH804" s="110"/>
      <c r="GII804" s="110"/>
      <c r="GIJ804" s="110"/>
      <c r="GIK804" s="110"/>
      <c r="GIL804" s="110"/>
      <c r="GIM804" s="110"/>
      <c r="GIN804" s="110"/>
      <c r="GIO804" s="110"/>
      <c r="GIP804" s="110"/>
      <c r="GIQ804" s="110"/>
      <c r="GIR804" s="110"/>
      <c r="GIS804" s="110"/>
      <c r="GIT804" s="110"/>
      <c r="GIU804" s="110"/>
      <c r="GIV804" s="110"/>
      <c r="GIW804" s="110"/>
      <c r="GIX804" s="110"/>
      <c r="GIY804" s="110"/>
      <c r="GIZ804" s="110"/>
      <c r="GJA804" s="110"/>
      <c r="GJB804" s="110"/>
      <c r="GJC804" s="110"/>
      <c r="GJD804" s="110"/>
      <c r="GJE804" s="110"/>
      <c r="GJF804" s="110"/>
      <c r="GJG804" s="110"/>
      <c r="GJH804" s="110"/>
      <c r="GJI804" s="110"/>
      <c r="GJJ804" s="110"/>
      <c r="GJK804" s="110"/>
      <c r="GJL804" s="110"/>
      <c r="GJM804" s="110"/>
      <c r="GJN804" s="110"/>
      <c r="GJO804" s="110"/>
      <c r="GJP804" s="110"/>
      <c r="GJQ804" s="110"/>
      <c r="GJR804" s="110"/>
      <c r="GJS804" s="110"/>
      <c r="GJT804" s="110"/>
      <c r="GJU804" s="110"/>
      <c r="GJV804" s="110"/>
      <c r="GJW804" s="110"/>
      <c r="GJX804" s="110"/>
      <c r="GJY804" s="110"/>
      <c r="GJZ804" s="110"/>
      <c r="GKA804" s="110"/>
      <c r="GKB804" s="110"/>
      <c r="GKC804" s="110"/>
      <c r="GKD804" s="110"/>
      <c r="GKE804" s="110"/>
      <c r="GKF804" s="110"/>
      <c r="GKG804" s="110"/>
      <c r="GKH804" s="110"/>
      <c r="GKI804" s="110"/>
      <c r="GKJ804" s="110"/>
      <c r="GKK804" s="110"/>
      <c r="GKL804" s="110"/>
      <c r="GKM804" s="110"/>
      <c r="GKN804" s="110"/>
      <c r="GKO804" s="110"/>
      <c r="GKP804" s="110"/>
      <c r="GKQ804" s="110"/>
      <c r="GKR804" s="110"/>
      <c r="GKS804" s="110"/>
      <c r="GKT804" s="110"/>
      <c r="GKU804" s="110"/>
      <c r="GKV804" s="110"/>
      <c r="GKW804" s="110"/>
      <c r="GKX804" s="110"/>
      <c r="GKY804" s="110"/>
      <c r="GKZ804" s="110"/>
      <c r="GLA804" s="110"/>
      <c r="GLB804" s="110"/>
      <c r="GLC804" s="110"/>
      <c r="GLD804" s="110"/>
      <c r="GLE804" s="110"/>
      <c r="GLF804" s="110"/>
      <c r="GLG804" s="110"/>
      <c r="GLH804" s="110"/>
      <c r="GLI804" s="110"/>
      <c r="GLJ804" s="110"/>
      <c r="GLK804" s="110"/>
      <c r="GLL804" s="110"/>
      <c r="GLM804" s="110"/>
      <c r="GLN804" s="110"/>
      <c r="GLO804" s="110"/>
      <c r="GLP804" s="110"/>
      <c r="GLQ804" s="110"/>
      <c r="GLR804" s="110"/>
      <c r="GLS804" s="110"/>
      <c r="GLT804" s="110"/>
      <c r="GLU804" s="110"/>
      <c r="GLV804" s="110"/>
      <c r="GLW804" s="110"/>
      <c r="GLX804" s="110"/>
      <c r="GLY804" s="110"/>
      <c r="GLZ804" s="110"/>
      <c r="GMA804" s="110"/>
      <c r="GMB804" s="110"/>
      <c r="GMC804" s="110"/>
      <c r="GMD804" s="110"/>
      <c r="GME804" s="110"/>
      <c r="GMF804" s="110"/>
      <c r="GMG804" s="110"/>
      <c r="GMH804" s="110"/>
      <c r="GMI804" s="110"/>
      <c r="GMJ804" s="110"/>
      <c r="GMK804" s="110"/>
      <c r="GML804" s="110"/>
      <c r="GMM804" s="110"/>
      <c r="GMN804" s="110"/>
      <c r="GMO804" s="110"/>
      <c r="GMP804" s="110"/>
      <c r="GMQ804" s="110"/>
      <c r="GMR804" s="110"/>
      <c r="GMS804" s="110"/>
      <c r="GMT804" s="110"/>
      <c r="GMU804" s="110"/>
      <c r="GMV804" s="110"/>
      <c r="GMW804" s="110"/>
      <c r="GMX804" s="110"/>
      <c r="GMY804" s="110"/>
      <c r="GMZ804" s="110"/>
      <c r="GNA804" s="110"/>
      <c r="GNB804" s="110"/>
      <c r="GNC804" s="110"/>
      <c r="GND804" s="110"/>
      <c r="GNE804" s="110"/>
      <c r="GNF804" s="110"/>
      <c r="GNG804" s="110"/>
      <c r="GNH804" s="110"/>
      <c r="GNI804" s="110"/>
      <c r="GNJ804" s="110"/>
      <c r="GNK804" s="110"/>
      <c r="GNL804" s="110"/>
      <c r="GNM804" s="110"/>
      <c r="GNN804" s="110"/>
      <c r="GNO804" s="110"/>
      <c r="GNP804" s="110"/>
      <c r="GNQ804" s="110"/>
      <c r="GNR804" s="110"/>
      <c r="GNS804" s="110"/>
      <c r="GNT804" s="110"/>
      <c r="GNU804" s="110"/>
      <c r="GNV804" s="110"/>
      <c r="GNW804" s="110"/>
      <c r="GNX804" s="110"/>
      <c r="GNY804" s="110"/>
      <c r="GNZ804" s="110"/>
      <c r="GOA804" s="110"/>
      <c r="GOB804" s="110"/>
      <c r="GOC804" s="110"/>
      <c r="GOD804" s="110"/>
      <c r="GOE804" s="110"/>
      <c r="GOF804" s="110"/>
      <c r="GOG804" s="110"/>
      <c r="GOH804" s="110"/>
      <c r="GOI804" s="110"/>
      <c r="GOJ804" s="110"/>
      <c r="GOK804" s="110"/>
      <c r="GOL804" s="110"/>
      <c r="GOM804" s="110"/>
      <c r="GON804" s="110"/>
      <c r="GOO804" s="110"/>
      <c r="GOP804" s="110"/>
      <c r="GOQ804" s="110"/>
      <c r="GOR804" s="110"/>
      <c r="GOS804" s="110"/>
      <c r="GOT804" s="110"/>
      <c r="GOU804" s="110"/>
      <c r="GOV804" s="110"/>
      <c r="GOW804" s="110"/>
      <c r="GOX804" s="110"/>
      <c r="GOY804" s="110"/>
      <c r="GOZ804" s="110"/>
      <c r="GPA804" s="110"/>
      <c r="GPB804" s="110"/>
      <c r="GPC804" s="110"/>
      <c r="GPD804" s="110"/>
      <c r="GPE804" s="110"/>
      <c r="GPF804" s="110"/>
      <c r="GPG804" s="110"/>
      <c r="GPH804" s="110"/>
      <c r="GPI804" s="110"/>
      <c r="GPJ804" s="110"/>
      <c r="GPK804" s="110"/>
      <c r="GPL804" s="110"/>
      <c r="GPM804" s="110"/>
      <c r="GPN804" s="110"/>
      <c r="GPO804" s="110"/>
      <c r="GPP804" s="110"/>
      <c r="GPQ804" s="110"/>
      <c r="GPR804" s="110"/>
      <c r="GPS804" s="110"/>
      <c r="GPT804" s="110"/>
      <c r="GPU804" s="110"/>
      <c r="GPV804" s="110"/>
      <c r="GPW804" s="110"/>
      <c r="GPX804" s="110"/>
      <c r="GPY804" s="110"/>
      <c r="GPZ804" s="110"/>
      <c r="GQA804" s="110"/>
      <c r="GQB804" s="110"/>
      <c r="GQC804" s="110"/>
      <c r="GQD804" s="110"/>
      <c r="GQE804" s="110"/>
      <c r="GQF804" s="110"/>
      <c r="GQG804" s="110"/>
      <c r="GQH804" s="110"/>
      <c r="GQI804" s="110"/>
      <c r="GQJ804" s="110"/>
      <c r="GQK804" s="110"/>
      <c r="GQL804" s="110"/>
      <c r="GQM804" s="110"/>
      <c r="GQN804" s="110"/>
      <c r="GQO804" s="110"/>
      <c r="GQP804" s="110"/>
      <c r="GQQ804" s="110"/>
      <c r="GQR804" s="110"/>
      <c r="GQS804" s="110"/>
      <c r="GQT804" s="110"/>
      <c r="GQU804" s="110"/>
      <c r="GQV804" s="110"/>
      <c r="GQW804" s="110"/>
      <c r="GQX804" s="110"/>
      <c r="GQY804" s="110"/>
      <c r="GQZ804" s="110"/>
      <c r="GRA804" s="110"/>
      <c r="GRB804" s="110"/>
      <c r="GRC804" s="110"/>
      <c r="GRD804" s="110"/>
      <c r="GRE804" s="110"/>
      <c r="GRF804" s="110"/>
      <c r="GRG804" s="110"/>
      <c r="GRH804" s="110"/>
      <c r="GRI804" s="110"/>
      <c r="GRJ804" s="110"/>
      <c r="GRK804" s="110"/>
      <c r="GRL804" s="110"/>
      <c r="GRM804" s="110"/>
      <c r="GRN804" s="110"/>
      <c r="GRO804" s="110"/>
      <c r="GRP804" s="110"/>
      <c r="GRQ804" s="110"/>
      <c r="GRR804" s="110"/>
      <c r="GRS804" s="110"/>
      <c r="GRT804" s="110"/>
      <c r="GRU804" s="110"/>
      <c r="GRV804" s="110"/>
      <c r="GRW804" s="110"/>
      <c r="GRX804" s="110"/>
      <c r="GRY804" s="110"/>
      <c r="GRZ804" s="110"/>
      <c r="GSA804" s="110"/>
      <c r="GSB804" s="110"/>
      <c r="GSC804" s="110"/>
      <c r="GSD804" s="110"/>
      <c r="GSE804" s="110"/>
      <c r="GSF804" s="110"/>
      <c r="GSG804" s="110"/>
      <c r="GSH804" s="110"/>
      <c r="GSI804" s="110"/>
      <c r="GSJ804" s="110"/>
      <c r="GSK804" s="110"/>
      <c r="GSL804" s="110"/>
      <c r="GSM804" s="110"/>
      <c r="GSN804" s="110"/>
      <c r="GSO804" s="110"/>
      <c r="GSP804" s="110"/>
      <c r="GSQ804" s="110"/>
      <c r="GSR804" s="110"/>
      <c r="GSS804" s="110"/>
      <c r="GST804" s="110"/>
      <c r="GSU804" s="110"/>
      <c r="GSV804" s="110"/>
      <c r="GSW804" s="110"/>
      <c r="GSX804" s="110"/>
      <c r="GSY804" s="110"/>
      <c r="GSZ804" s="110"/>
      <c r="GTA804" s="110"/>
      <c r="GTB804" s="110"/>
      <c r="GTC804" s="110"/>
      <c r="GTD804" s="110"/>
      <c r="GTE804" s="110"/>
      <c r="GTF804" s="110"/>
      <c r="GTG804" s="110"/>
      <c r="GTH804" s="110"/>
      <c r="GTI804" s="110"/>
      <c r="GTJ804" s="110"/>
      <c r="GTK804" s="110"/>
      <c r="GTL804" s="110"/>
      <c r="GTM804" s="110"/>
      <c r="GTN804" s="110"/>
      <c r="GTO804" s="110"/>
      <c r="GTP804" s="110"/>
      <c r="GTQ804" s="110"/>
      <c r="GTR804" s="110"/>
      <c r="GTS804" s="110"/>
      <c r="GTT804" s="110"/>
      <c r="GTU804" s="110"/>
      <c r="GTV804" s="110"/>
      <c r="GTW804" s="110"/>
      <c r="GTX804" s="110"/>
      <c r="GTY804" s="110"/>
      <c r="GTZ804" s="110"/>
      <c r="GUA804" s="110"/>
      <c r="GUB804" s="110"/>
      <c r="GUC804" s="110"/>
      <c r="GUD804" s="110"/>
      <c r="GUE804" s="110"/>
      <c r="GUF804" s="110"/>
      <c r="GUG804" s="110"/>
      <c r="GUH804" s="110"/>
      <c r="GUI804" s="110"/>
      <c r="GUJ804" s="110"/>
      <c r="GUK804" s="110"/>
      <c r="GUL804" s="110"/>
      <c r="GUM804" s="110"/>
      <c r="GUN804" s="110"/>
      <c r="GUO804" s="110"/>
      <c r="GUP804" s="110"/>
      <c r="GUQ804" s="110"/>
      <c r="GUR804" s="110"/>
      <c r="GUS804" s="110"/>
      <c r="GUT804" s="110"/>
      <c r="GUU804" s="110"/>
      <c r="GUV804" s="110"/>
      <c r="GUW804" s="110"/>
      <c r="GUX804" s="110"/>
      <c r="GUY804" s="110"/>
      <c r="GUZ804" s="110"/>
      <c r="GVA804" s="110"/>
      <c r="GVB804" s="110"/>
      <c r="GVC804" s="110"/>
      <c r="GVD804" s="110"/>
      <c r="GVE804" s="110"/>
      <c r="GVF804" s="110"/>
      <c r="GVG804" s="110"/>
      <c r="GVH804" s="110"/>
      <c r="GVI804" s="110"/>
      <c r="GVJ804" s="110"/>
      <c r="GVK804" s="110"/>
      <c r="GVL804" s="110"/>
      <c r="GVM804" s="110"/>
      <c r="GVN804" s="110"/>
      <c r="GVO804" s="110"/>
      <c r="GVP804" s="110"/>
      <c r="GVQ804" s="110"/>
      <c r="GVR804" s="110"/>
      <c r="GVS804" s="110"/>
      <c r="GVT804" s="110"/>
      <c r="GVU804" s="110"/>
      <c r="GVV804" s="110"/>
      <c r="GVW804" s="110"/>
      <c r="GVX804" s="110"/>
      <c r="GVY804" s="110"/>
      <c r="GVZ804" s="110"/>
      <c r="GWA804" s="110"/>
      <c r="GWB804" s="110"/>
      <c r="GWC804" s="110"/>
      <c r="GWD804" s="110"/>
      <c r="GWE804" s="110"/>
      <c r="GWF804" s="110"/>
      <c r="GWG804" s="110"/>
      <c r="GWH804" s="110"/>
      <c r="GWI804" s="110"/>
      <c r="GWJ804" s="110"/>
      <c r="GWK804" s="110"/>
      <c r="GWL804" s="110"/>
      <c r="GWM804" s="110"/>
      <c r="GWN804" s="110"/>
      <c r="GWO804" s="110"/>
      <c r="GWP804" s="110"/>
      <c r="GWQ804" s="110"/>
      <c r="GWR804" s="110"/>
      <c r="GWS804" s="110"/>
      <c r="GWT804" s="110"/>
      <c r="GWU804" s="110"/>
      <c r="GWV804" s="110"/>
      <c r="GWW804" s="110"/>
      <c r="GWX804" s="110"/>
      <c r="GWY804" s="110"/>
      <c r="GWZ804" s="110"/>
      <c r="GXA804" s="110"/>
      <c r="GXB804" s="110"/>
      <c r="GXC804" s="110"/>
      <c r="GXD804" s="110"/>
      <c r="GXE804" s="110"/>
      <c r="GXF804" s="110"/>
      <c r="GXG804" s="110"/>
      <c r="GXH804" s="110"/>
      <c r="GXI804" s="110"/>
      <c r="GXJ804" s="110"/>
      <c r="GXK804" s="110"/>
      <c r="GXL804" s="110"/>
      <c r="GXM804" s="110"/>
      <c r="GXN804" s="110"/>
      <c r="GXO804" s="110"/>
      <c r="GXP804" s="110"/>
      <c r="GXQ804" s="110"/>
      <c r="GXR804" s="110"/>
      <c r="GXS804" s="110"/>
      <c r="GXT804" s="110"/>
      <c r="GXU804" s="110"/>
      <c r="GXV804" s="110"/>
      <c r="GXW804" s="110"/>
      <c r="GXX804" s="110"/>
      <c r="GXY804" s="110"/>
      <c r="GXZ804" s="110"/>
      <c r="GYA804" s="110"/>
      <c r="GYB804" s="110"/>
      <c r="GYC804" s="110"/>
      <c r="GYD804" s="110"/>
      <c r="GYE804" s="110"/>
      <c r="GYF804" s="110"/>
      <c r="GYG804" s="110"/>
      <c r="GYH804" s="110"/>
      <c r="GYI804" s="110"/>
      <c r="GYJ804" s="110"/>
      <c r="GYK804" s="110"/>
      <c r="GYL804" s="110"/>
      <c r="GYM804" s="110"/>
      <c r="GYN804" s="110"/>
      <c r="GYO804" s="110"/>
      <c r="GYP804" s="110"/>
      <c r="GYQ804" s="110"/>
      <c r="GYR804" s="110"/>
      <c r="GYS804" s="110"/>
      <c r="GYT804" s="110"/>
      <c r="GYU804" s="110"/>
      <c r="GYV804" s="110"/>
      <c r="GYW804" s="110"/>
      <c r="GYX804" s="110"/>
      <c r="GYY804" s="110"/>
      <c r="GYZ804" s="110"/>
      <c r="GZA804" s="110"/>
      <c r="GZB804" s="110"/>
      <c r="GZC804" s="110"/>
      <c r="GZD804" s="110"/>
      <c r="GZE804" s="110"/>
      <c r="GZF804" s="110"/>
      <c r="GZG804" s="110"/>
      <c r="GZH804" s="110"/>
      <c r="GZI804" s="110"/>
      <c r="GZJ804" s="110"/>
      <c r="GZK804" s="110"/>
      <c r="GZL804" s="110"/>
      <c r="GZM804" s="110"/>
      <c r="GZN804" s="110"/>
      <c r="GZO804" s="110"/>
      <c r="GZP804" s="110"/>
      <c r="GZQ804" s="110"/>
      <c r="GZR804" s="110"/>
      <c r="GZS804" s="110"/>
      <c r="GZT804" s="110"/>
      <c r="GZU804" s="110"/>
      <c r="GZV804" s="110"/>
      <c r="GZW804" s="110"/>
      <c r="GZX804" s="110"/>
      <c r="GZY804" s="110"/>
      <c r="GZZ804" s="110"/>
      <c r="HAA804" s="110"/>
      <c r="HAB804" s="110"/>
      <c r="HAC804" s="110"/>
      <c r="HAD804" s="110"/>
      <c r="HAE804" s="110"/>
      <c r="HAF804" s="110"/>
      <c r="HAG804" s="110"/>
      <c r="HAH804" s="110"/>
      <c r="HAI804" s="110"/>
      <c r="HAJ804" s="110"/>
      <c r="HAK804" s="110"/>
      <c r="HAL804" s="110"/>
      <c r="HAM804" s="110"/>
      <c r="HAN804" s="110"/>
      <c r="HAO804" s="110"/>
      <c r="HAP804" s="110"/>
      <c r="HAQ804" s="110"/>
      <c r="HAR804" s="110"/>
      <c r="HAS804" s="110"/>
      <c r="HAT804" s="110"/>
      <c r="HAU804" s="110"/>
      <c r="HAV804" s="110"/>
      <c r="HAW804" s="110"/>
      <c r="HAX804" s="110"/>
      <c r="HAY804" s="110"/>
      <c r="HAZ804" s="110"/>
      <c r="HBA804" s="110"/>
      <c r="HBB804" s="110"/>
      <c r="HBC804" s="110"/>
      <c r="HBD804" s="110"/>
      <c r="HBE804" s="110"/>
      <c r="HBF804" s="110"/>
      <c r="HBG804" s="110"/>
      <c r="HBH804" s="110"/>
      <c r="HBI804" s="110"/>
      <c r="HBJ804" s="110"/>
      <c r="HBK804" s="110"/>
      <c r="HBL804" s="110"/>
      <c r="HBM804" s="110"/>
      <c r="HBN804" s="110"/>
      <c r="HBO804" s="110"/>
      <c r="HBP804" s="110"/>
      <c r="HBQ804" s="110"/>
      <c r="HBR804" s="110"/>
      <c r="HBS804" s="110"/>
      <c r="HBT804" s="110"/>
      <c r="HBU804" s="110"/>
      <c r="HBV804" s="110"/>
      <c r="HBW804" s="110"/>
      <c r="HBX804" s="110"/>
      <c r="HBY804" s="110"/>
      <c r="HBZ804" s="110"/>
      <c r="HCA804" s="110"/>
      <c r="HCB804" s="110"/>
      <c r="HCC804" s="110"/>
      <c r="HCD804" s="110"/>
      <c r="HCE804" s="110"/>
      <c r="HCF804" s="110"/>
      <c r="HCG804" s="110"/>
      <c r="HCH804" s="110"/>
      <c r="HCI804" s="110"/>
      <c r="HCJ804" s="110"/>
      <c r="HCK804" s="110"/>
      <c r="HCL804" s="110"/>
      <c r="HCM804" s="110"/>
      <c r="HCN804" s="110"/>
      <c r="HCO804" s="110"/>
      <c r="HCP804" s="110"/>
      <c r="HCQ804" s="110"/>
      <c r="HCR804" s="110"/>
      <c r="HCS804" s="110"/>
      <c r="HCT804" s="110"/>
      <c r="HCU804" s="110"/>
      <c r="HCV804" s="110"/>
      <c r="HCW804" s="110"/>
      <c r="HCX804" s="110"/>
      <c r="HCY804" s="110"/>
      <c r="HCZ804" s="110"/>
      <c r="HDA804" s="110"/>
      <c r="HDB804" s="110"/>
      <c r="HDC804" s="110"/>
      <c r="HDD804" s="110"/>
      <c r="HDE804" s="110"/>
      <c r="HDF804" s="110"/>
      <c r="HDG804" s="110"/>
      <c r="HDH804" s="110"/>
      <c r="HDI804" s="110"/>
      <c r="HDJ804" s="110"/>
      <c r="HDK804" s="110"/>
      <c r="HDL804" s="110"/>
      <c r="HDM804" s="110"/>
      <c r="HDN804" s="110"/>
      <c r="HDO804" s="110"/>
      <c r="HDP804" s="110"/>
      <c r="HDQ804" s="110"/>
      <c r="HDR804" s="110"/>
      <c r="HDS804" s="110"/>
      <c r="HDT804" s="110"/>
      <c r="HDU804" s="110"/>
      <c r="HDV804" s="110"/>
      <c r="HDW804" s="110"/>
      <c r="HDX804" s="110"/>
      <c r="HDY804" s="110"/>
      <c r="HDZ804" s="110"/>
      <c r="HEA804" s="110"/>
      <c r="HEB804" s="110"/>
      <c r="HEC804" s="110"/>
      <c r="HED804" s="110"/>
      <c r="HEE804" s="110"/>
      <c r="HEF804" s="110"/>
      <c r="HEG804" s="110"/>
      <c r="HEH804" s="110"/>
      <c r="HEI804" s="110"/>
      <c r="HEJ804" s="110"/>
      <c r="HEK804" s="110"/>
      <c r="HEL804" s="110"/>
      <c r="HEM804" s="110"/>
      <c r="HEN804" s="110"/>
      <c r="HEO804" s="110"/>
      <c r="HEP804" s="110"/>
      <c r="HEQ804" s="110"/>
      <c r="HER804" s="110"/>
      <c r="HES804" s="110"/>
      <c r="HET804" s="110"/>
      <c r="HEU804" s="110"/>
      <c r="HEV804" s="110"/>
      <c r="HEW804" s="110"/>
      <c r="HEX804" s="110"/>
      <c r="HEY804" s="110"/>
      <c r="HEZ804" s="110"/>
      <c r="HFA804" s="110"/>
      <c r="HFB804" s="110"/>
      <c r="HFC804" s="110"/>
      <c r="HFD804" s="110"/>
      <c r="HFE804" s="110"/>
      <c r="HFF804" s="110"/>
      <c r="HFG804" s="110"/>
      <c r="HFH804" s="110"/>
      <c r="HFI804" s="110"/>
      <c r="HFJ804" s="110"/>
      <c r="HFK804" s="110"/>
      <c r="HFL804" s="110"/>
      <c r="HFM804" s="110"/>
      <c r="HFN804" s="110"/>
      <c r="HFO804" s="110"/>
      <c r="HFP804" s="110"/>
      <c r="HFQ804" s="110"/>
      <c r="HFR804" s="110"/>
      <c r="HFS804" s="110"/>
      <c r="HFT804" s="110"/>
      <c r="HFU804" s="110"/>
      <c r="HFV804" s="110"/>
      <c r="HFW804" s="110"/>
      <c r="HFX804" s="110"/>
      <c r="HFY804" s="110"/>
      <c r="HFZ804" s="110"/>
      <c r="HGA804" s="110"/>
      <c r="HGB804" s="110"/>
      <c r="HGC804" s="110"/>
      <c r="HGD804" s="110"/>
      <c r="HGE804" s="110"/>
      <c r="HGF804" s="110"/>
      <c r="HGG804" s="110"/>
      <c r="HGH804" s="110"/>
      <c r="HGI804" s="110"/>
      <c r="HGJ804" s="110"/>
      <c r="HGK804" s="110"/>
      <c r="HGL804" s="110"/>
      <c r="HGM804" s="110"/>
      <c r="HGN804" s="110"/>
      <c r="HGO804" s="110"/>
      <c r="HGP804" s="110"/>
      <c r="HGQ804" s="110"/>
      <c r="HGR804" s="110"/>
      <c r="HGS804" s="110"/>
      <c r="HGT804" s="110"/>
      <c r="HGU804" s="110"/>
      <c r="HGV804" s="110"/>
      <c r="HGW804" s="110"/>
      <c r="HGX804" s="110"/>
      <c r="HGY804" s="110"/>
      <c r="HGZ804" s="110"/>
      <c r="HHA804" s="110"/>
      <c r="HHB804" s="110"/>
      <c r="HHC804" s="110"/>
      <c r="HHD804" s="110"/>
      <c r="HHE804" s="110"/>
      <c r="HHF804" s="110"/>
      <c r="HHG804" s="110"/>
      <c r="HHH804" s="110"/>
      <c r="HHI804" s="110"/>
      <c r="HHJ804" s="110"/>
      <c r="HHK804" s="110"/>
      <c r="HHL804" s="110"/>
      <c r="HHM804" s="110"/>
      <c r="HHN804" s="110"/>
      <c r="HHO804" s="110"/>
      <c r="HHP804" s="110"/>
      <c r="HHQ804" s="110"/>
      <c r="HHR804" s="110"/>
      <c r="HHS804" s="110"/>
      <c r="HHT804" s="110"/>
      <c r="HHU804" s="110"/>
      <c r="HHV804" s="110"/>
      <c r="HHW804" s="110"/>
      <c r="HHX804" s="110"/>
      <c r="HHY804" s="110"/>
      <c r="HHZ804" s="110"/>
      <c r="HIA804" s="110"/>
      <c r="HIB804" s="110"/>
      <c r="HIC804" s="110"/>
      <c r="HID804" s="110"/>
      <c r="HIE804" s="110"/>
      <c r="HIF804" s="110"/>
      <c r="HIG804" s="110"/>
      <c r="HIH804" s="110"/>
      <c r="HII804" s="110"/>
      <c r="HIJ804" s="110"/>
      <c r="HIK804" s="110"/>
      <c r="HIL804" s="110"/>
      <c r="HIM804" s="110"/>
      <c r="HIN804" s="110"/>
      <c r="HIO804" s="110"/>
      <c r="HIP804" s="110"/>
      <c r="HIQ804" s="110"/>
      <c r="HIR804" s="110"/>
      <c r="HIS804" s="110"/>
      <c r="HIT804" s="110"/>
      <c r="HIU804" s="110"/>
      <c r="HIV804" s="110"/>
      <c r="HIW804" s="110"/>
      <c r="HIX804" s="110"/>
      <c r="HIY804" s="110"/>
      <c r="HIZ804" s="110"/>
      <c r="HJA804" s="110"/>
      <c r="HJB804" s="110"/>
      <c r="HJC804" s="110"/>
      <c r="HJD804" s="110"/>
      <c r="HJE804" s="110"/>
      <c r="HJF804" s="110"/>
      <c r="HJG804" s="110"/>
      <c r="HJH804" s="110"/>
      <c r="HJI804" s="110"/>
      <c r="HJJ804" s="110"/>
      <c r="HJK804" s="110"/>
      <c r="HJL804" s="110"/>
      <c r="HJM804" s="110"/>
      <c r="HJN804" s="110"/>
      <c r="HJO804" s="110"/>
      <c r="HJP804" s="110"/>
      <c r="HJQ804" s="110"/>
      <c r="HJR804" s="110"/>
      <c r="HJS804" s="110"/>
      <c r="HJT804" s="110"/>
      <c r="HJU804" s="110"/>
      <c r="HJV804" s="110"/>
      <c r="HJW804" s="110"/>
      <c r="HJX804" s="110"/>
      <c r="HJY804" s="110"/>
      <c r="HJZ804" s="110"/>
      <c r="HKA804" s="110"/>
      <c r="HKB804" s="110"/>
      <c r="HKC804" s="110"/>
      <c r="HKD804" s="110"/>
      <c r="HKE804" s="110"/>
      <c r="HKF804" s="110"/>
      <c r="HKG804" s="110"/>
      <c r="HKH804" s="110"/>
      <c r="HKI804" s="110"/>
      <c r="HKJ804" s="110"/>
      <c r="HKK804" s="110"/>
      <c r="HKL804" s="110"/>
      <c r="HKM804" s="110"/>
      <c r="HKN804" s="110"/>
      <c r="HKO804" s="110"/>
      <c r="HKP804" s="110"/>
      <c r="HKQ804" s="110"/>
      <c r="HKR804" s="110"/>
      <c r="HKS804" s="110"/>
      <c r="HKT804" s="110"/>
      <c r="HKU804" s="110"/>
      <c r="HKV804" s="110"/>
      <c r="HKW804" s="110"/>
      <c r="HKX804" s="110"/>
      <c r="HKY804" s="110"/>
      <c r="HKZ804" s="110"/>
      <c r="HLA804" s="110"/>
      <c r="HLB804" s="110"/>
      <c r="HLC804" s="110"/>
      <c r="HLD804" s="110"/>
      <c r="HLE804" s="110"/>
      <c r="HLF804" s="110"/>
      <c r="HLG804" s="110"/>
      <c r="HLH804" s="110"/>
      <c r="HLI804" s="110"/>
      <c r="HLJ804" s="110"/>
      <c r="HLK804" s="110"/>
      <c r="HLL804" s="110"/>
      <c r="HLM804" s="110"/>
      <c r="HLN804" s="110"/>
      <c r="HLO804" s="110"/>
      <c r="HLP804" s="110"/>
      <c r="HLQ804" s="110"/>
      <c r="HLR804" s="110"/>
      <c r="HLS804" s="110"/>
      <c r="HLT804" s="110"/>
      <c r="HLU804" s="110"/>
      <c r="HLV804" s="110"/>
      <c r="HLW804" s="110"/>
      <c r="HLX804" s="110"/>
      <c r="HLY804" s="110"/>
      <c r="HLZ804" s="110"/>
      <c r="HMA804" s="110"/>
      <c r="HMB804" s="110"/>
      <c r="HMC804" s="110"/>
      <c r="HMD804" s="110"/>
      <c r="HME804" s="110"/>
      <c r="HMF804" s="110"/>
      <c r="HMG804" s="110"/>
      <c r="HMH804" s="110"/>
      <c r="HMI804" s="110"/>
      <c r="HMJ804" s="110"/>
      <c r="HMK804" s="110"/>
      <c r="HML804" s="110"/>
      <c r="HMM804" s="110"/>
      <c r="HMN804" s="110"/>
      <c r="HMO804" s="110"/>
      <c r="HMP804" s="110"/>
      <c r="HMQ804" s="110"/>
      <c r="HMR804" s="110"/>
      <c r="HMS804" s="110"/>
      <c r="HMT804" s="110"/>
      <c r="HMU804" s="110"/>
      <c r="HMV804" s="110"/>
      <c r="HMW804" s="110"/>
      <c r="HMX804" s="110"/>
      <c r="HMY804" s="110"/>
      <c r="HMZ804" s="110"/>
      <c r="HNA804" s="110"/>
      <c r="HNB804" s="110"/>
      <c r="HNC804" s="110"/>
      <c r="HND804" s="110"/>
      <c r="HNE804" s="110"/>
      <c r="HNF804" s="110"/>
      <c r="HNG804" s="110"/>
      <c r="HNH804" s="110"/>
      <c r="HNI804" s="110"/>
      <c r="HNJ804" s="110"/>
      <c r="HNK804" s="110"/>
      <c r="HNL804" s="110"/>
      <c r="HNM804" s="110"/>
      <c r="HNN804" s="110"/>
      <c r="HNO804" s="110"/>
      <c r="HNP804" s="110"/>
      <c r="HNQ804" s="110"/>
      <c r="HNR804" s="110"/>
      <c r="HNS804" s="110"/>
      <c r="HNT804" s="110"/>
      <c r="HNU804" s="110"/>
      <c r="HNV804" s="110"/>
      <c r="HNW804" s="110"/>
      <c r="HNX804" s="110"/>
      <c r="HNY804" s="110"/>
      <c r="HNZ804" s="110"/>
      <c r="HOA804" s="110"/>
      <c r="HOB804" s="110"/>
      <c r="HOC804" s="110"/>
      <c r="HOD804" s="110"/>
      <c r="HOE804" s="110"/>
      <c r="HOF804" s="110"/>
      <c r="HOG804" s="110"/>
      <c r="HOH804" s="110"/>
      <c r="HOI804" s="110"/>
      <c r="HOJ804" s="110"/>
      <c r="HOK804" s="110"/>
      <c r="HOL804" s="110"/>
      <c r="HOM804" s="110"/>
      <c r="HON804" s="110"/>
      <c r="HOO804" s="110"/>
      <c r="HOP804" s="110"/>
      <c r="HOQ804" s="110"/>
      <c r="HOR804" s="110"/>
      <c r="HOS804" s="110"/>
      <c r="HOT804" s="110"/>
      <c r="HOU804" s="110"/>
      <c r="HOV804" s="110"/>
      <c r="HOW804" s="110"/>
      <c r="HOX804" s="110"/>
      <c r="HOY804" s="110"/>
      <c r="HOZ804" s="110"/>
      <c r="HPA804" s="110"/>
      <c r="HPB804" s="110"/>
      <c r="HPC804" s="110"/>
      <c r="HPD804" s="110"/>
      <c r="HPE804" s="110"/>
      <c r="HPF804" s="110"/>
      <c r="HPG804" s="110"/>
      <c r="HPH804" s="110"/>
      <c r="HPI804" s="110"/>
      <c r="HPJ804" s="110"/>
      <c r="HPK804" s="110"/>
      <c r="HPL804" s="110"/>
      <c r="HPM804" s="110"/>
      <c r="HPN804" s="110"/>
      <c r="HPO804" s="110"/>
      <c r="HPP804" s="110"/>
      <c r="HPQ804" s="110"/>
      <c r="HPR804" s="110"/>
      <c r="HPS804" s="110"/>
      <c r="HPT804" s="110"/>
      <c r="HPU804" s="110"/>
      <c r="HPV804" s="110"/>
      <c r="HPW804" s="110"/>
      <c r="HPX804" s="110"/>
      <c r="HPY804" s="110"/>
      <c r="HPZ804" s="110"/>
      <c r="HQA804" s="110"/>
      <c r="HQB804" s="110"/>
      <c r="HQC804" s="110"/>
      <c r="HQD804" s="110"/>
      <c r="HQE804" s="110"/>
      <c r="HQF804" s="110"/>
      <c r="HQG804" s="110"/>
      <c r="HQH804" s="110"/>
      <c r="HQI804" s="110"/>
      <c r="HQJ804" s="110"/>
      <c r="HQK804" s="110"/>
      <c r="HQL804" s="110"/>
      <c r="HQM804" s="110"/>
      <c r="HQN804" s="110"/>
      <c r="HQO804" s="110"/>
      <c r="HQP804" s="110"/>
      <c r="HQQ804" s="110"/>
      <c r="HQR804" s="110"/>
      <c r="HQS804" s="110"/>
      <c r="HQT804" s="110"/>
      <c r="HQU804" s="110"/>
      <c r="HQV804" s="110"/>
      <c r="HQW804" s="110"/>
      <c r="HQX804" s="110"/>
      <c r="HQY804" s="110"/>
      <c r="HQZ804" s="110"/>
      <c r="HRA804" s="110"/>
      <c r="HRB804" s="110"/>
      <c r="HRC804" s="110"/>
      <c r="HRD804" s="110"/>
      <c r="HRE804" s="110"/>
      <c r="HRF804" s="110"/>
      <c r="HRG804" s="110"/>
      <c r="HRH804" s="110"/>
      <c r="HRI804" s="110"/>
      <c r="HRJ804" s="110"/>
      <c r="HRK804" s="110"/>
      <c r="HRL804" s="110"/>
      <c r="HRM804" s="110"/>
      <c r="HRN804" s="110"/>
      <c r="HRO804" s="110"/>
      <c r="HRP804" s="110"/>
      <c r="HRQ804" s="110"/>
      <c r="HRR804" s="110"/>
      <c r="HRS804" s="110"/>
      <c r="HRT804" s="110"/>
      <c r="HRU804" s="110"/>
      <c r="HRV804" s="110"/>
      <c r="HRW804" s="110"/>
      <c r="HRX804" s="110"/>
      <c r="HRY804" s="110"/>
      <c r="HRZ804" s="110"/>
      <c r="HSA804" s="110"/>
      <c r="HSB804" s="110"/>
      <c r="HSC804" s="110"/>
      <c r="HSD804" s="110"/>
      <c r="HSE804" s="110"/>
      <c r="HSF804" s="110"/>
      <c r="HSG804" s="110"/>
      <c r="HSH804" s="110"/>
      <c r="HSI804" s="110"/>
      <c r="HSJ804" s="110"/>
      <c r="HSK804" s="110"/>
      <c r="HSL804" s="110"/>
      <c r="HSM804" s="110"/>
      <c r="HSN804" s="110"/>
      <c r="HSO804" s="110"/>
      <c r="HSP804" s="110"/>
      <c r="HSQ804" s="110"/>
      <c r="HSR804" s="110"/>
      <c r="HSS804" s="110"/>
      <c r="HST804" s="110"/>
      <c r="HSU804" s="110"/>
      <c r="HSV804" s="110"/>
      <c r="HSW804" s="110"/>
      <c r="HSX804" s="110"/>
      <c r="HSY804" s="110"/>
      <c r="HSZ804" s="110"/>
      <c r="HTA804" s="110"/>
      <c r="HTB804" s="110"/>
      <c r="HTC804" s="110"/>
      <c r="HTD804" s="110"/>
      <c r="HTE804" s="110"/>
      <c r="HTF804" s="110"/>
      <c r="HTG804" s="110"/>
      <c r="HTH804" s="110"/>
      <c r="HTI804" s="110"/>
      <c r="HTJ804" s="110"/>
      <c r="HTK804" s="110"/>
      <c r="HTL804" s="110"/>
      <c r="HTM804" s="110"/>
      <c r="HTN804" s="110"/>
      <c r="HTO804" s="110"/>
      <c r="HTP804" s="110"/>
      <c r="HTQ804" s="110"/>
      <c r="HTR804" s="110"/>
      <c r="HTS804" s="110"/>
      <c r="HTT804" s="110"/>
      <c r="HTU804" s="110"/>
      <c r="HTV804" s="110"/>
      <c r="HTW804" s="110"/>
      <c r="HTX804" s="110"/>
      <c r="HTY804" s="110"/>
      <c r="HTZ804" s="110"/>
      <c r="HUA804" s="110"/>
      <c r="HUB804" s="110"/>
      <c r="HUC804" s="110"/>
      <c r="HUD804" s="110"/>
      <c r="HUE804" s="110"/>
      <c r="HUF804" s="110"/>
      <c r="HUG804" s="110"/>
      <c r="HUH804" s="110"/>
      <c r="HUI804" s="110"/>
      <c r="HUJ804" s="110"/>
      <c r="HUK804" s="110"/>
      <c r="HUL804" s="110"/>
      <c r="HUM804" s="110"/>
      <c r="HUN804" s="110"/>
      <c r="HUO804" s="110"/>
      <c r="HUP804" s="110"/>
      <c r="HUQ804" s="110"/>
      <c r="HUR804" s="110"/>
      <c r="HUS804" s="110"/>
      <c r="HUT804" s="110"/>
      <c r="HUU804" s="110"/>
      <c r="HUV804" s="110"/>
      <c r="HUW804" s="110"/>
      <c r="HUX804" s="110"/>
      <c r="HUY804" s="110"/>
      <c r="HUZ804" s="110"/>
      <c r="HVA804" s="110"/>
      <c r="HVB804" s="110"/>
      <c r="HVC804" s="110"/>
      <c r="HVD804" s="110"/>
      <c r="HVE804" s="110"/>
      <c r="HVF804" s="110"/>
      <c r="HVG804" s="110"/>
      <c r="HVH804" s="110"/>
      <c r="HVI804" s="110"/>
      <c r="HVJ804" s="110"/>
      <c r="HVK804" s="110"/>
      <c r="HVL804" s="110"/>
      <c r="HVM804" s="110"/>
      <c r="HVN804" s="110"/>
      <c r="HVO804" s="110"/>
      <c r="HVP804" s="110"/>
      <c r="HVQ804" s="110"/>
      <c r="HVR804" s="110"/>
      <c r="HVS804" s="110"/>
      <c r="HVT804" s="110"/>
      <c r="HVU804" s="110"/>
      <c r="HVV804" s="110"/>
      <c r="HVW804" s="110"/>
      <c r="HVX804" s="110"/>
      <c r="HVY804" s="110"/>
      <c r="HVZ804" s="110"/>
      <c r="HWA804" s="110"/>
      <c r="HWB804" s="110"/>
      <c r="HWC804" s="110"/>
      <c r="HWD804" s="110"/>
      <c r="HWE804" s="110"/>
      <c r="HWF804" s="110"/>
      <c r="HWG804" s="110"/>
      <c r="HWH804" s="110"/>
      <c r="HWI804" s="110"/>
      <c r="HWJ804" s="110"/>
      <c r="HWK804" s="110"/>
      <c r="HWL804" s="110"/>
      <c r="HWM804" s="110"/>
      <c r="HWN804" s="110"/>
      <c r="HWO804" s="110"/>
      <c r="HWP804" s="110"/>
      <c r="HWQ804" s="110"/>
      <c r="HWR804" s="110"/>
      <c r="HWS804" s="110"/>
      <c r="HWT804" s="110"/>
      <c r="HWU804" s="110"/>
      <c r="HWV804" s="110"/>
      <c r="HWW804" s="110"/>
      <c r="HWX804" s="110"/>
      <c r="HWY804" s="110"/>
      <c r="HWZ804" s="110"/>
      <c r="HXA804" s="110"/>
      <c r="HXB804" s="110"/>
      <c r="HXC804" s="110"/>
      <c r="HXD804" s="110"/>
      <c r="HXE804" s="110"/>
      <c r="HXF804" s="110"/>
      <c r="HXG804" s="110"/>
      <c r="HXH804" s="110"/>
      <c r="HXI804" s="110"/>
      <c r="HXJ804" s="110"/>
      <c r="HXK804" s="110"/>
      <c r="HXL804" s="110"/>
      <c r="HXM804" s="110"/>
      <c r="HXN804" s="110"/>
      <c r="HXO804" s="110"/>
      <c r="HXP804" s="110"/>
      <c r="HXQ804" s="110"/>
      <c r="HXR804" s="110"/>
      <c r="HXS804" s="110"/>
      <c r="HXT804" s="110"/>
      <c r="HXU804" s="110"/>
      <c r="HXV804" s="110"/>
      <c r="HXW804" s="110"/>
      <c r="HXX804" s="110"/>
      <c r="HXY804" s="110"/>
      <c r="HXZ804" s="110"/>
      <c r="HYA804" s="110"/>
      <c r="HYB804" s="110"/>
      <c r="HYC804" s="110"/>
      <c r="HYD804" s="110"/>
      <c r="HYE804" s="110"/>
      <c r="HYF804" s="110"/>
      <c r="HYG804" s="110"/>
      <c r="HYH804" s="110"/>
      <c r="HYI804" s="110"/>
      <c r="HYJ804" s="110"/>
      <c r="HYK804" s="110"/>
      <c r="HYL804" s="110"/>
      <c r="HYM804" s="110"/>
      <c r="HYN804" s="110"/>
      <c r="HYO804" s="110"/>
      <c r="HYP804" s="110"/>
      <c r="HYQ804" s="110"/>
      <c r="HYR804" s="110"/>
      <c r="HYS804" s="110"/>
      <c r="HYT804" s="110"/>
      <c r="HYU804" s="110"/>
      <c r="HYV804" s="110"/>
      <c r="HYW804" s="110"/>
      <c r="HYX804" s="110"/>
      <c r="HYY804" s="110"/>
      <c r="HYZ804" s="110"/>
      <c r="HZA804" s="110"/>
      <c r="HZB804" s="110"/>
      <c r="HZC804" s="110"/>
      <c r="HZD804" s="110"/>
      <c r="HZE804" s="110"/>
      <c r="HZF804" s="110"/>
      <c r="HZG804" s="110"/>
      <c r="HZH804" s="110"/>
      <c r="HZI804" s="110"/>
      <c r="HZJ804" s="110"/>
      <c r="HZK804" s="110"/>
      <c r="HZL804" s="110"/>
      <c r="HZM804" s="110"/>
      <c r="HZN804" s="110"/>
      <c r="HZO804" s="110"/>
      <c r="HZP804" s="110"/>
      <c r="HZQ804" s="110"/>
      <c r="HZR804" s="110"/>
      <c r="HZS804" s="110"/>
      <c r="HZT804" s="110"/>
      <c r="HZU804" s="110"/>
      <c r="HZV804" s="110"/>
      <c r="HZW804" s="110"/>
      <c r="HZX804" s="110"/>
      <c r="HZY804" s="110"/>
      <c r="HZZ804" s="110"/>
      <c r="IAA804" s="110"/>
      <c r="IAB804" s="110"/>
      <c r="IAC804" s="110"/>
      <c r="IAD804" s="110"/>
      <c r="IAE804" s="110"/>
      <c r="IAF804" s="110"/>
      <c r="IAG804" s="110"/>
      <c r="IAH804" s="110"/>
      <c r="IAI804" s="110"/>
      <c r="IAJ804" s="110"/>
      <c r="IAK804" s="110"/>
      <c r="IAL804" s="110"/>
      <c r="IAM804" s="110"/>
      <c r="IAN804" s="110"/>
      <c r="IAO804" s="110"/>
      <c r="IAP804" s="110"/>
      <c r="IAQ804" s="110"/>
      <c r="IAR804" s="110"/>
      <c r="IAS804" s="110"/>
      <c r="IAT804" s="110"/>
      <c r="IAU804" s="110"/>
      <c r="IAV804" s="110"/>
      <c r="IAW804" s="110"/>
      <c r="IAX804" s="110"/>
      <c r="IAY804" s="110"/>
      <c r="IAZ804" s="110"/>
      <c r="IBA804" s="110"/>
      <c r="IBB804" s="110"/>
      <c r="IBC804" s="110"/>
      <c r="IBD804" s="110"/>
      <c r="IBE804" s="110"/>
      <c r="IBF804" s="110"/>
      <c r="IBG804" s="110"/>
      <c r="IBH804" s="110"/>
      <c r="IBI804" s="110"/>
      <c r="IBJ804" s="110"/>
      <c r="IBK804" s="110"/>
      <c r="IBL804" s="110"/>
      <c r="IBM804" s="110"/>
      <c r="IBN804" s="110"/>
      <c r="IBO804" s="110"/>
      <c r="IBP804" s="110"/>
      <c r="IBQ804" s="110"/>
      <c r="IBR804" s="110"/>
      <c r="IBS804" s="110"/>
      <c r="IBT804" s="110"/>
      <c r="IBU804" s="110"/>
      <c r="IBV804" s="110"/>
      <c r="IBW804" s="110"/>
      <c r="IBX804" s="110"/>
      <c r="IBY804" s="110"/>
      <c r="IBZ804" s="110"/>
      <c r="ICA804" s="110"/>
      <c r="ICB804" s="110"/>
      <c r="ICC804" s="110"/>
      <c r="ICD804" s="110"/>
      <c r="ICE804" s="110"/>
      <c r="ICF804" s="110"/>
      <c r="ICG804" s="110"/>
      <c r="ICH804" s="110"/>
      <c r="ICI804" s="110"/>
      <c r="ICJ804" s="110"/>
      <c r="ICK804" s="110"/>
      <c r="ICL804" s="110"/>
      <c r="ICM804" s="110"/>
      <c r="ICN804" s="110"/>
      <c r="ICO804" s="110"/>
      <c r="ICP804" s="110"/>
      <c r="ICQ804" s="110"/>
      <c r="ICR804" s="110"/>
      <c r="ICS804" s="110"/>
      <c r="ICT804" s="110"/>
      <c r="ICU804" s="110"/>
      <c r="ICV804" s="110"/>
      <c r="ICW804" s="110"/>
      <c r="ICX804" s="110"/>
      <c r="ICY804" s="110"/>
      <c r="ICZ804" s="110"/>
      <c r="IDA804" s="110"/>
      <c r="IDB804" s="110"/>
      <c r="IDC804" s="110"/>
      <c r="IDD804" s="110"/>
      <c r="IDE804" s="110"/>
      <c r="IDF804" s="110"/>
      <c r="IDG804" s="110"/>
      <c r="IDH804" s="110"/>
      <c r="IDI804" s="110"/>
      <c r="IDJ804" s="110"/>
      <c r="IDK804" s="110"/>
      <c r="IDL804" s="110"/>
      <c r="IDM804" s="110"/>
      <c r="IDN804" s="110"/>
      <c r="IDO804" s="110"/>
      <c r="IDP804" s="110"/>
      <c r="IDQ804" s="110"/>
      <c r="IDR804" s="110"/>
      <c r="IDS804" s="110"/>
      <c r="IDT804" s="110"/>
      <c r="IDU804" s="110"/>
      <c r="IDV804" s="110"/>
      <c r="IDW804" s="110"/>
      <c r="IDX804" s="110"/>
      <c r="IDY804" s="110"/>
      <c r="IDZ804" s="110"/>
      <c r="IEA804" s="110"/>
      <c r="IEB804" s="110"/>
      <c r="IEC804" s="110"/>
      <c r="IED804" s="110"/>
      <c r="IEE804" s="110"/>
      <c r="IEF804" s="110"/>
      <c r="IEG804" s="110"/>
      <c r="IEH804" s="110"/>
      <c r="IEI804" s="110"/>
      <c r="IEJ804" s="110"/>
      <c r="IEK804" s="110"/>
      <c r="IEL804" s="110"/>
      <c r="IEM804" s="110"/>
      <c r="IEN804" s="110"/>
      <c r="IEO804" s="110"/>
      <c r="IEP804" s="110"/>
      <c r="IEQ804" s="110"/>
      <c r="IER804" s="110"/>
      <c r="IES804" s="110"/>
      <c r="IET804" s="110"/>
      <c r="IEU804" s="110"/>
      <c r="IEV804" s="110"/>
      <c r="IEW804" s="110"/>
      <c r="IEX804" s="110"/>
      <c r="IEY804" s="110"/>
      <c r="IEZ804" s="110"/>
      <c r="IFA804" s="110"/>
      <c r="IFB804" s="110"/>
      <c r="IFC804" s="110"/>
      <c r="IFD804" s="110"/>
      <c r="IFE804" s="110"/>
      <c r="IFF804" s="110"/>
      <c r="IFG804" s="110"/>
      <c r="IFH804" s="110"/>
      <c r="IFI804" s="110"/>
      <c r="IFJ804" s="110"/>
      <c r="IFK804" s="110"/>
      <c r="IFL804" s="110"/>
      <c r="IFM804" s="110"/>
      <c r="IFN804" s="110"/>
      <c r="IFO804" s="110"/>
      <c r="IFP804" s="110"/>
      <c r="IFQ804" s="110"/>
      <c r="IFR804" s="110"/>
      <c r="IFS804" s="110"/>
      <c r="IFT804" s="110"/>
      <c r="IFU804" s="110"/>
      <c r="IFV804" s="110"/>
      <c r="IFW804" s="110"/>
      <c r="IFX804" s="110"/>
      <c r="IFY804" s="110"/>
      <c r="IFZ804" s="110"/>
      <c r="IGA804" s="110"/>
      <c r="IGB804" s="110"/>
      <c r="IGC804" s="110"/>
      <c r="IGD804" s="110"/>
      <c r="IGE804" s="110"/>
      <c r="IGF804" s="110"/>
      <c r="IGG804" s="110"/>
      <c r="IGH804" s="110"/>
      <c r="IGI804" s="110"/>
      <c r="IGJ804" s="110"/>
      <c r="IGK804" s="110"/>
      <c r="IGL804" s="110"/>
      <c r="IGM804" s="110"/>
      <c r="IGN804" s="110"/>
      <c r="IGO804" s="110"/>
      <c r="IGP804" s="110"/>
      <c r="IGQ804" s="110"/>
      <c r="IGR804" s="110"/>
      <c r="IGS804" s="110"/>
      <c r="IGT804" s="110"/>
      <c r="IGU804" s="110"/>
      <c r="IGV804" s="110"/>
      <c r="IGW804" s="110"/>
      <c r="IGX804" s="110"/>
      <c r="IGY804" s="110"/>
      <c r="IGZ804" s="110"/>
      <c r="IHA804" s="110"/>
      <c r="IHB804" s="110"/>
      <c r="IHC804" s="110"/>
      <c r="IHD804" s="110"/>
      <c r="IHE804" s="110"/>
      <c r="IHF804" s="110"/>
      <c r="IHG804" s="110"/>
      <c r="IHH804" s="110"/>
      <c r="IHI804" s="110"/>
      <c r="IHJ804" s="110"/>
      <c r="IHK804" s="110"/>
      <c r="IHL804" s="110"/>
      <c r="IHM804" s="110"/>
      <c r="IHN804" s="110"/>
      <c r="IHO804" s="110"/>
      <c r="IHP804" s="110"/>
      <c r="IHQ804" s="110"/>
      <c r="IHR804" s="110"/>
      <c r="IHS804" s="110"/>
      <c r="IHT804" s="110"/>
      <c r="IHU804" s="110"/>
      <c r="IHV804" s="110"/>
      <c r="IHW804" s="110"/>
      <c r="IHX804" s="110"/>
      <c r="IHY804" s="110"/>
      <c r="IHZ804" s="110"/>
      <c r="IIA804" s="110"/>
      <c r="IIB804" s="110"/>
      <c r="IIC804" s="110"/>
      <c r="IID804" s="110"/>
      <c r="IIE804" s="110"/>
      <c r="IIF804" s="110"/>
      <c r="IIG804" s="110"/>
      <c r="IIH804" s="110"/>
      <c r="III804" s="110"/>
      <c r="IIJ804" s="110"/>
      <c r="IIK804" s="110"/>
      <c r="IIL804" s="110"/>
      <c r="IIM804" s="110"/>
      <c r="IIN804" s="110"/>
      <c r="IIO804" s="110"/>
      <c r="IIP804" s="110"/>
      <c r="IIQ804" s="110"/>
      <c r="IIR804" s="110"/>
      <c r="IIS804" s="110"/>
      <c r="IIT804" s="110"/>
      <c r="IIU804" s="110"/>
      <c r="IIV804" s="110"/>
      <c r="IIW804" s="110"/>
      <c r="IIX804" s="110"/>
      <c r="IIY804" s="110"/>
      <c r="IIZ804" s="110"/>
      <c r="IJA804" s="110"/>
      <c r="IJB804" s="110"/>
      <c r="IJC804" s="110"/>
      <c r="IJD804" s="110"/>
      <c r="IJE804" s="110"/>
      <c r="IJF804" s="110"/>
      <c r="IJG804" s="110"/>
      <c r="IJH804" s="110"/>
      <c r="IJI804" s="110"/>
      <c r="IJJ804" s="110"/>
      <c r="IJK804" s="110"/>
      <c r="IJL804" s="110"/>
      <c r="IJM804" s="110"/>
      <c r="IJN804" s="110"/>
      <c r="IJO804" s="110"/>
      <c r="IJP804" s="110"/>
      <c r="IJQ804" s="110"/>
      <c r="IJR804" s="110"/>
      <c r="IJS804" s="110"/>
      <c r="IJT804" s="110"/>
      <c r="IJU804" s="110"/>
      <c r="IJV804" s="110"/>
      <c r="IJW804" s="110"/>
      <c r="IJX804" s="110"/>
      <c r="IJY804" s="110"/>
      <c r="IJZ804" s="110"/>
      <c r="IKA804" s="110"/>
      <c r="IKB804" s="110"/>
      <c r="IKC804" s="110"/>
      <c r="IKD804" s="110"/>
      <c r="IKE804" s="110"/>
      <c r="IKF804" s="110"/>
      <c r="IKG804" s="110"/>
      <c r="IKH804" s="110"/>
      <c r="IKI804" s="110"/>
      <c r="IKJ804" s="110"/>
      <c r="IKK804" s="110"/>
      <c r="IKL804" s="110"/>
      <c r="IKM804" s="110"/>
      <c r="IKN804" s="110"/>
      <c r="IKO804" s="110"/>
      <c r="IKP804" s="110"/>
      <c r="IKQ804" s="110"/>
      <c r="IKR804" s="110"/>
      <c r="IKS804" s="110"/>
      <c r="IKT804" s="110"/>
      <c r="IKU804" s="110"/>
      <c r="IKV804" s="110"/>
      <c r="IKW804" s="110"/>
      <c r="IKX804" s="110"/>
      <c r="IKY804" s="110"/>
      <c r="IKZ804" s="110"/>
      <c r="ILA804" s="110"/>
      <c r="ILB804" s="110"/>
      <c r="ILC804" s="110"/>
      <c r="ILD804" s="110"/>
      <c r="ILE804" s="110"/>
      <c r="ILF804" s="110"/>
      <c r="ILG804" s="110"/>
      <c r="ILH804" s="110"/>
      <c r="ILI804" s="110"/>
      <c r="ILJ804" s="110"/>
      <c r="ILK804" s="110"/>
      <c r="ILL804" s="110"/>
      <c r="ILM804" s="110"/>
      <c r="ILN804" s="110"/>
      <c r="ILO804" s="110"/>
      <c r="ILP804" s="110"/>
      <c r="ILQ804" s="110"/>
      <c r="ILR804" s="110"/>
      <c r="ILS804" s="110"/>
      <c r="ILT804" s="110"/>
      <c r="ILU804" s="110"/>
      <c r="ILV804" s="110"/>
      <c r="ILW804" s="110"/>
      <c r="ILX804" s="110"/>
      <c r="ILY804" s="110"/>
      <c r="ILZ804" s="110"/>
      <c r="IMA804" s="110"/>
      <c r="IMB804" s="110"/>
      <c r="IMC804" s="110"/>
      <c r="IMD804" s="110"/>
      <c r="IME804" s="110"/>
      <c r="IMF804" s="110"/>
      <c r="IMG804" s="110"/>
      <c r="IMH804" s="110"/>
      <c r="IMI804" s="110"/>
      <c r="IMJ804" s="110"/>
      <c r="IMK804" s="110"/>
      <c r="IML804" s="110"/>
      <c r="IMM804" s="110"/>
      <c r="IMN804" s="110"/>
      <c r="IMO804" s="110"/>
      <c r="IMP804" s="110"/>
      <c r="IMQ804" s="110"/>
      <c r="IMR804" s="110"/>
      <c r="IMS804" s="110"/>
      <c r="IMT804" s="110"/>
      <c r="IMU804" s="110"/>
      <c r="IMV804" s="110"/>
      <c r="IMW804" s="110"/>
      <c r="IMX804" s="110"/>
      <c r="IMY804" s="110"/>
      <c r="IMZ804" s="110"/>
      <c r="INA804" s="110"/>
      <c r="INB804" s="110"/>
      <c r="INC804" s="110"/>
      <c r="IND804" s="110"/>
      <c r="INE804" s="110"/>
      <c r="INF804" s="110"/>
      <c r="ING804" s="110"/>
      <c r="INH804" s="110"/>
      <c r="INI804" s="110"/>
      <c r="INJ804" s="110"/>
      <c r="INK804" s="110"/>
      <c r="INL804" s="110"/>
      <c r="INM804" s="110"/>
      <c r="INN804" s="110"/>
      <c r="INO804" s="110"/>
      <c r="INP804" s="110"/>
      <c r="INQ804" s="110"/>
      <c r="INR804" s="110"/>
      <c r="INS804" s="110"/>
      <c r="INT804" s="110"/>
      <c r="INU804" s="110"/>
      <c r="INV804" s="110"/>
      <c r="INW804" s="110"/>
      <c r="INX804" s="110"/>
      <c r="INY804" s="110"/>
      <c r="INZ804" s="110"/>
      <c r="IOA804" s="110"/>
      <c r="IOB804" s="110"/>
      <c r="IOC804" s="110"/>
      <c r="IOD804" s="110"/>
      <c r="IOE804" s="110"/>
      <c r="IOF804" s="110"/>
      <c r="IOG804" s="110"/>
      <c r="IOH804" s="110"/>
      <c r="IOI804" s="110"/>
      <c r="IOJ804" s="110"/>
      <c r="IOK804" s="110"/>
      <c r="IOL804" s="110"/>
      <c r="IOM804" s="110"/>
      <c r="ION804" s="110"/>
      <c r="IOO804" s="110"/>
      <c r="IOP804" s="110"/>
      <c r="IOQ804" s="110"/>
      <c r="IOR804" s="110"/>
      <c r="IOS804" s="110"/>
      <c r="IOT804" s="110"/>
      <c r="IOU804" s="110"/>
      <c r="IOV804" s="110"/>
      <c r="IOW804" s="110"/>
      <c r="IOX804" s="110"/>
      <c r="IOY804" s="110"/>
      <c r="IOZ804" s="110"/>
      <c r="IPA804" s="110"/>
      <c r="IPB804" s="110"/>
      <c r="IPC804" s="110"/>
      <c r="IPD804" s="110"/>
      <c r="IPE804" s="110"/>
      <c r="IPF804" s="110"/>
      <c r="IPG804" s="110"/>
      <c r="IPH804" s="110"/>
      <c r="IPI804" s="110"/>
      <c r="IPJ804" s="110"/>
      <c r="IPK804" s="110"/>
      <c r="IPL804" s="110"/>
      <c r="IPM804" s="110"/>
      <c r="IPN804" s="110"/>
      <c r="IPO804" s="110"/>
      <c r="IPP804" s="110"/>
      <c r="IPQ804" s="110"/>
      <c r="IPR804" s="110"/>
      <c r="IPS804" s="110"/>
      <c r="IPT804" s="110"/>
      <c r="IPU804" s="110"/>
      <c r="IPV804" s="110"/>
      <c r="IPW804" s="110"/>
      <c r="IPX804" s="110"/>
      <c r="IPY804" s="110"/>
      <c r="IPZ804" s="110"/>
      <c r="IQA804" s="110"/>
      <c r="IQB804" s="110"/>
      <c r="IQC804" s="110"/>
      <c r="IQD804" s="110"/>
      <c r="IQE804" s="110"/>
      <c r="IQF804" s="110"/>
      <c r="IQG804" s="110"/>
      <c r="IQH804" s="110"/>
      <c r="IQI804" s="110"/>
      <c r="IQJ804" s="110"/>
      <c r="IQK804" s="110"/>
      <c r="IQL804" s="110"/>
      <c r="IQM804" s="110"/>
      <c r="IQN804" s="110"/>
      <c r="IQO804" s="110"/>
      <c r="IQP804" s="110"/>
      <c r="IQQ804" s="110"/>
      <c r="IQR804" s="110"/>
      <c r="IQS804" s="110"/>
      <c r="IQT804" s="110"/>
      <c r="IQU804" s="110"/>
      <c r="IQV804" s="110"/>
      <c r="IQW804" s="110"/>
      <c r="IQX804" s="110"/>
      <c r="IQY804" s="110"/>
      <c r="IQZ804" s="110"/>
      <c r="IRA804" s="110"/>
      <c r="IRB804" s="110"/>
      <c r="IRC804" s="110"/>
      <c r="IRD804" s="110"/>
      <c r="IRE804" s="110"/>
      <c r="IRF804" s="110"/>
      <c r="IRG804" s="110"/>
      <c r="IRH804" s="110"/>
      <c r="IRI804" s="110"/>
      <c r="IRJ804" s="110"/>
      <c r="IRK804" s="110"/>
      <c r="IRL804" s="110"/>
      <c r="IRM804" s="110"/>
      <c r="IRN804" s="110"/>
      <c r="IRO804" s="110"/>
      <c r="IRP804" s="110"/>
      <c r="IRQ804" s="110"/>
      <c r="IRR804" s="110"/>
      <c r="IRS804" s="110"/>
      <c r="IRT804" s="110"/>
      <c r="IRU804" s="110"/>
      <c r="IRV804" s="110"/>
      <c r="IRW804" s="110"/>
      <c r="IRX804" s="110"/>
      <c r="IRY804" s="110"/>
      <c r="IRZ804" s="110"/>
      <c r="ISA804" s="110"/>
      <c r="ISB804" s="110"/>
      <c r="ISC804" s="110"/>
      <c r="ISD804" s="110"/>
      <c r="ISE804" s="110"/>
      <c r="ISF804" s="110"/>
      <c r="ISG804" s="110"/>
      <c r="ISH804" s="110"/>
      <c r="ISI804" s="110"/>
      <c r="ISJ804" s="110"/>
      <c r="ISK804" s="110"/>
      <c r="ISL804" s="110"/>
      <c r="ISM804" s="110"/>
      <c r="ISN804" s="110"/>
      <c r="ISO804" s="110"/>
      <c r="ISP804" s="110"/>
      <c r="ISQ804" s="110"/>
      <c r="ISR804" s="110"/>
      <c r="ISS804" s="110"/>
      <c r="IST804" s="110"/>
      <c r="ISU804" s="110"/>
      <c r="ISV804" s="110"/>
      <c r="ISW804" s="110"/>
      <c r="ISX804" s="110"/>
      <c r="ISY804" s="110"/>
      <c r="ISZ804" s="110"/>
      <c r="ITA804" s="110"/>
      <c r="ITB804" s="110"/>
      <c r="ITC804" s="110"/>
      <c r="ITD804" s="110"/>
      <c r="ITE804" s="110"/>
      <c r="ITF804" s="110"/>
      <c r="ITG804" s="110"/>
      <c r="ITH804" s="110"/>
      <c r="ITI804" s="110"/>
      <c r="ITJ804" s="110"/>
      <c r="ITK804" s="110"/>
      <c r="ITL804" s="110"/>
      <c r="ITM804" s="110"/>
      <c r="ITN804" s="110"/>
      <c r="ITO804" s="110"/>
      <c r="ITP804" s="110"/>
      <c r="ITQ804" s="110"/>
      <c r="ITR804" s="110"/>
      <c r="ITS804" s="110"/>
      <c r="ITT804" s="110"/>
      <c r="ITU804" s="110"/>
      <c r="ITV804" s="110"/>
      <c r="ITW804" s="110"/>
      <c r="ITX804" s="110"/>
      <c r="ITY804" s="110"/>
      <c r="ITZ804" s="110"/>
      <c r="IUA804" s="110"/>
      <c r="IUB804" s="110"/>
      <c r="IUC804" s="110"/>
      <c r="IUD804" s="110"/>
      <c r="IUE804" s="110"/>
      <c r="IUF804" s="110"/>
      <c r="IUG804" s="110"/>
      <c r="IUH804" s="110"/>
      <c r="IUI804" s="110"/>
      <c r="IUJ804" s="110"/>
      <c r="IUK804" s="110"/>
      <c r="IUL804" s="110"/>
      <c r="IUM804" s="110"/>
      <c r="IUN804" s="110"/>
      <c r="IUO804" s="110"/>
      <c r="IUP804" s="110"/>
      <c r="IUQ804" s="110"/>
      <c r="IUR804" s="110"/>
      <c r="IUS804" s="110"/>
      <c r="IUT804" s="110"/>
      <c r="IUU804" s="110"/>
      <c r="IUV804" s="110"/>
      <c r="IUW804" s="110"/>
      <c r="IUX804" s="110"/>
      <c r="IUY804" s="110"/>
      <c r="IUZ804" s="110"/>
      <c r="IVA804" s="110"/>
      <c r="IVB804" s="110"/>
      <c r="IVC804" s="110"/>
      <c r="IVD804" s="110"/>
      <c r="IVE804" s="110"/>
      <c r="IVF804" s="110"/>
      <c r="IVG804" s="110"/>
      <c r="IVH804" s="110"/>
      <c r="IVI804" s="110"/>
      <c r="IVJ804" s="110"/>
      <c r="IVK804" s="110"/>
      <c r="IVL804" s="110"/>
      <c r="IVM804" s="110"/>
      <c r="IVN804" s="110"/>
      <c r="IVO804" s="110"/>
      <c r="IVP804" s="110"/>
      <c r="IVQ804" s="110"/>
      <c r="IVR804" s="110"/>
      <c r="IVS804" s="110"/>
      <c r="IVT804" s="110"/>
      <c r="IVU804" s="110"/>
      <c r="IVV804" s="110"/>
      <c r="IVW804" s="110"/>
      <c r="IVX804" s="110"/>
      <c r="IVY804" s="110"/>
      <c r="IVZ804" s="110"/>
      <c r="IWA804" s="110"/>
      <c r="IWB804" s="110"/>
      <c r="IWC804" s="110"/>
      <c r="IWD804" s="110"/>
      <c r="IWE804" s="110"/>
      <c r="IWF804" s="110"/>
      <c r="IWG804" s="110"/>
      <c r="IWH804" s="110"/>
      <c r="IWI804" s="110"/>
      <c r="IWJ804" s="110"/>
      <c r="IWK804" s="110"/>
      <c r="IWL804" s="110"/>
      <c r="IWM804" s="110"/>
      <c r="IWN804" s="110"/>
      <c r="IWO804" s="110"/>
      <c r="IWP804" s="110"/>
      <c r="IWQ804" s="110"/>
      <c r="IWR804" s="110"/>
      <c r="IWS804" s="110"/>
      <c r="IWT804" s="110"/>
      <c r="IWU804" s="110"/>
      <c r="IWV804" s="110"/>
      <c r="IWW804" s="110"/>
      <c r="IWX804" s="110"/>
      <c r="IWY804" s="110"/>
      <c r="IWZ804" s="110"/>
      <c r="IXA804" s="110"/>
      <c r="IXB804" s="110"/>
      <c r="IXC804" s="110"/>
      <c r="IXD804" s="110"/>
      <c r="IXE804" s="110"/>
      <c r="IXF804" s="110"/>
      <c r="IXG804" s="110"/>
      <c r="IXH804" s="110"/>
      <c r="IXI804" s="110"/>
      <c r="IXJ804" s="110"/>
      <c r="IXK804" s="110"/>
      <c r="IXL804" s="110"/>
      <c r="IXM804" s="110"/>
      <c r="IXN804" s="110"/>
      <c r="IXO804" s="110"/>
      <c r="IXP804" s="110"/>
      <c r="IXQ804" s="110"/>
      <c r="IXR804" s="110"/>
      <c r="IXS804" s="110"/>
      <c r="IXT804" s="110"/>
      <c r="IXU804" s="110"/>
      <c r="IXV804" s="110"/>
      <c r="IXW804" s="110"/>
      <c r="IXX804" s="110"/>
      <c r="IXY804" s="110"/>
      <c r="IXZ804" s="110"/>
      <c r="IYA804" s="110"/>
      <c r="IYB804" s="110"/>
      <c r="IYC804" s="110"/>
      <c r="IYD804" s="110"/>
      <c r="IYE804" s="110"/>
      <c r="IYF804" s="110"/>
      <c r="IYG804" s="110"/>
      <c r="IYH804" s="110"/>
      <c r="IYI804" s="110"/>
      <c r="IYJ804" s="110"/>
      <c r="IYK804" s="110"/>
      <c r="IYL804" s="110"/>
      <c r="IYM804" s="110"/>
      <c r="IYN804" s="110"/>
      <c r="IYO804" s="110"/>
      <c r="IYP804" s="110"/>
      <c r="IYQ804" s="110"/>
      <c r="IYR804" s="110"/>
      <c r="IYS804" s="110"/>
      <c r="IYT804" s="110"/>
      <c r="IYU804" s="110"/>
      <c r="IYV804" s="110"/>
      <c r="IYW804" s="110"/>
      <c r="IYX804" s="110"/>
      <c r="IYY804" s="110"/>
      <c r="IYZ804" s="110"/>
      <c r="IZA804" s="110"/>
      <c r="IZB804" s="110"/>
      <c r="IZC804" s="110"/>
      <c r="IZD804" s="110"/>
      <c r="IZE804" s="110"/>
      <c r="IZF804" s="110"/>
      <c r="IZG804" s="110"/>
      <c r="IZH804" s="110"/>
      <c r="IZI804" s="110"/>
      <c r="IZJ804" s="110"/>
      <c r="IZK804" s="110"/>
      <c r="IZL804" s="110"/>
      <c r="IZM804" s="110"/>
      <c r="IZN804" s="110"/>
      <c r="IZO804" s="110"/>
      <c r="IZP804" s="110"/>
      <c r="IZQ804" s="110"/>
      <c r="IZR804" s="110"/>
      <c r="IZS804" s="110"/>
      <c r="IZT804" s="110"/>
      <c r="IZU804" s="110"/>
      <c r="IZV804" s="110"/>
      <c r="IZW804" s="110"/>
      <c r="IZX804" s="110"/>
      <c r="IZY804" s="110"/>
      <c r="IZZ804" s="110"/>
      <c r="JAA804" s="110"/>
      <c r="JAB804" s="110"/>
      <c r="JAC804" s="110"/>
      <c r="JAD804" s="110"/>
      <c r="JAE804" s="110"/>
      <c r="JAF804" s="110"/>
      <c r="JAG804" s="110"/>
      <c r="JAH804" s="110"/>
      <c r="JAI804" s="110"/>
      <c r="JAJ804" s="110"/>
      <c r="JAK804" s="110"/>
      <c r="JAL804" s="110"/>
      <c r="JAM804" s="110"/>
      <c r="JAN804" s="110"/>
      <c r="JAO804" s="110"/>
      <c r="JAP804" s="110"/>
      <c r="JAQ804" s="110"/>
      <c r="JAR804" s="110"/>
      <c r="JAS804" s="110"/>
      <c r="JAT804" s="110"/>
      <c r="JAU804" s="110"/>
      <c r="JAV804" s="110"/>
      <c r="JAW804" s="110"/>
      <c r="JAX804" s="110"/>
      <c r="JAY804" s="110"/>
      <c r="JAZ804" s="110"/>
      <c r="JBA804" s="110"/>
      <c r="JBB804" s="110"/>
      <c r="JBC804" s="110"/>
      <c r="JBD804" s="110"/>
      <c r="JBE804" s="110"/>
      <c r="JBF804" s="110"/>
      <c r="JBG804" s="110"/>
      <c r="JBH804" s="110"/>
      <c r="JBI804" s="110"/>
      <c r="JBJ804" s="110"/>
      <c r="JBK804" s="110"/>
      <c r="JBL804" s="110"/>
      <c r="JBM804" s="110"/>
      <c r="JBN804" s="110"/>
      <c r="JBO804" s="110"/>
      <c r="JBP804" s="110"/>
      <c r="JBQ804" s="110"/>
      <c r="JBR804" s="110"/>
      <c r="JBS804" s="110"/>
      <c r="JBT804" s="110"/>
      <c r="JBU804" s="110"/>
      <c r="JBV804" s="110"/>
      <c r="JBW804" s="110"/>
      <c r="JBX804" s="110"/>
      <c r="JBY804" s="110"/>
      <c r="JBZ804" s="110"/>
      <c r="JCA804" s="110"/>
      <c r="JCB804" s="110"/>
      <c r="JCC804" s="110"/>
      <c r="JCD804" s="110"/>
      <c r="JCE804" s="110"/>
      <c r="JCF804" s="110"/>
      <c r="JCG804" s="110"/>
      <c r="JCH804" s="110"/>
      <c r="JCI804" s="110"/>
      <c r="JCJ804" s="110"/>
      <c r="JCK804" s="110"/>
      <c r="JCL804" s="110"/>
      <c r="JCM804" s="110"/>
      <c r="JCN804" s="110"/>
      <c r="JCO804" s="110"/>
      <c r="JCP804" s="110"/>
      <c r="JCQ804" s="110"/>
      <c r="JCR804" s="110"/>
      <c r="JCS804" s="110"/>
      <c r="JCT804" s="110"/>
      <c r="JCU804" s="110"/>
      <c r="JCV804" s="110"/>
      <c r="JCW804" s="110"/>
      <c r="JCX804" s="110"/>
      <c r="JCY804" s="110"/>
      <c r="JCZ804" s="110"/>
      <c r="JDA804" s="110"/>
      <c r="JDB804" s="110"/>
      <c r="JDC804" s="110"/>
      <c r="JDD804" s="110"/>
      <c r="JDE804" s="110"/>
      <c r="JDF804" s="110"/>
      <c r="JDG804" s="110"/>
      <c r="JDH804" s="110"/>
      <c r="JDI804" s="110"/>
      <c r="JDJ804" s="110"/>
      <c r="JDK804" s="110"/>
      <c r="JDL804" s="110"/>
      <c r="JDM804" s="110"/>
      <c r="JDN804" s="110"/>
      <c r="JDO804" s="110"/>
      <c r="JDP804" s="110"/>
      <c r="JDQ804" s="110"/>
      <c r="JDR804" s="110"/>
      <c r="JDS804" s="110"/>
      <c r="JDT804" s="110"/>
      <c r="JDU804" s="110"/>
      <c r="JDV804" s="110"/>
      <c r="JDW804" s="110"/>
      <c r="JDX804" s="110"/>
      <c r="JDY804" s="110"/>
      <c r="JDZ804" s="110"/>
      <c r="JEA804" s="110"/>
      <c r="JEB804" s="110"/>
      <c r="JEC804" s="110"/>
      <c r="JED804" s="110"/>
      <c r="JEE804" s="110"/>
      <c r="JEF804" s="110"/>
      <c r="JEG804" s="110"/>
      <c r="JEH804" s="110"/>
      <c r="JEI804" s="110"/>
      <c r="JEJ804" s="110"/>
      <c r="JEK804" s="110"/>
      <c r="JEL804" s="110"/>
      <c r="JEM804" s="110"/>
      <c r="JEN804" s="110"/>
      <c r="JEO804" s="110"/>
      <c r="JEP804" s="110"/>
      <c r="JEQ804" s="110"/>
      <c r="JER804" s="110"/>
      <c r="JES804" s="110"/>
      <c r="JET804" s="110"/>
      <c r="JEU804" s="110"/>
      <c r="JEV804" s="110"/>
      <c r="JEW804" s="110"/>
      <c r="JEX804" s="110"/>
      <c r="JEY804" s="110"/>
      <c r="JEZ804" s="110"/>
      <c r="JFA804" s="110"/>
      <c r="JFB804" s="110"/>
      <c r="JFC804" s="110"/>
      <c r="JFD804" s="110"/>
      <c r="JFE804" s="110"/>
      <c r="JFF804" s="110"/>
      <c r="JFG804" s="110"/>
      <c r="JFH804" s="110"/>
      <c r="JFI804" s="110"/>
      <c r="JFJ804" s="110"/>
      <c r="JFK804" s="110"/>
      <c r="JFL804" s="110"/>
      <c r="JFM804" s="110"/>
      <c r="JFN804" s="110"/>
      <c r="JFO804" s="110"/>
      <c r="JFP804" s="110"/>
      <c r="JFQ804" s="110"/>
      <c r="JFR804" s="110"/>
      <c r="JFS804" s="110"/>
      <c r="JFT804" s="110"/>
      <c r="JFU804" s="110"/>
      <c r="JFV804" s="110"/>
      <c r="JFW804" s="110"/>
      <c r="JFX804" s="110"/>
      <c r="JFY804" s="110"/>
      <c r="JFZ804" s="110"/>
      <c r="JGA804" s="110"/>
      <c r="JGB804" s="110"/>
      <c r="JGC804" s="110"/>
      <c r="JGD804" s="110"/>
      <c r="JGE804" s="110"/>
      <c r="JGF804" s="110"/>
      <c r="JGG804" s="110"/>
      <c r="JGH804" s="110"/>
      <c r="JGI804" s="110"/>
      <c r="JGJ804" s="110"/>
      <c r="JGK804" s="110"/>
      <c r="JGL804" s="110"/>
      <c r="JGM804" s="110"/>
      <c r="JGN804" s="110"/>
      <c r="JGO804" s="110"/>
      <c r="JGP804" s="110"/>
      <c r="JGQ804" s="110"/>
      <c r="JGR804" s="110"/>
      <c r="JGS804" s="110"/>
      <c r="JGT804" s="110"/>
      <c r="JGU804" s="110"/>
      <c r="JGV804" s="110"/>
      <c r="JGW804" s="110"/>
      <c r="JGX804" s="110"/>
      <c r="JGY804" s="110"/>
      <c r="JGZ804" s="110"/>
      <c r="JHA804" s="110"/>
      <c r="JHB804" s="110"/>
      <c r="JHC804" s="110"/>
      <c r="JHD804" s="110"/>
      <c r="JHE804" s="110"/>
      <c r="JHF804" s="110"/>
      <c r="JHG804" s="110"/>
      <c r="JHH804" s="110"/>
      <c r="JHI804" s="110"/>
      <c r="JHJ804" s="110"/>
      <c r="JHK804" s="110"/>
      <c r="JHL804" s="110"/>
      <c r="JHM804" s="110"/>
      <c r="JHN804" s="110"/>
      <c r="JHO804" s="110"/>
      <c r="JHP804" s="110"/>
      <c r="JHQ804" s="110"/>
      <c r="JHR804" s="110"/>
      <c r="JHS804" s="110"/>
      <c r="JHT804" s="110"/>
      <c r="JHU804" s="110"/>
      <c r="JHV804" s="110"/>
      <c r="JHW804" s="110"/>
      <c r="JHX804" s="110"/>
      <c r="JHY804" s="110"/>
      <c r="JHZ804" s="110"/>
      <c r="JIA804" s="110"/>
      <c r="JIB804" s="110"/>
      <c r="JIC804" s="110"/>
      <c r="JID804" s="110"/>
      <c r="JIE804" s="110"/>
      <c r="JIF804" s="110"/>
      <c r="JIG804" s="110"/>
      <c r="JIH804" s="110"/>
      <c r="JII804" s="110"/>
      <c r="JIJ804" s="110"/>
      <c r="JIK804" s="110"/>
      <c r="JIL804" s="110"/>
      <c r="JIM804" s="110"/>
      <c r="JIN804" s="110"/>
      <c r="JIO804" s="110"/>
      <c r="JIP804" s="110"/>
      <c r="JIQ804" s="110"/>
      <c r="JIR804" s="110"/>
      <c r="JIS804" s="110"/>
      <c r="JIT804" s="110"/>
      <c r="JIU804" s="110"/>
      <c r="JIV804" s="110"/>
      <c r="JIW804" s="110"/>
      <c r="JIX804" s="110"/>
      <c r="JIY804" s="110"/>
      <c r="JIZ804" s="110"/>
      <c r="JJA804" s="110"/>
      <c r="JJB804" s="110"/>
      <c r="JJC804" s="110"/>
      <c r="JJD804" s="110"/>
      <c r="JJE804" s="110"/>
      <c r="JJF804" s="110"/>
      <c r="JJG804" s="110"/>
      <c r="JJH804" s="110"/>
      <c r="JJI804" s="110"/>
      <c r="JJJ804" s="110"/>
      <c r="JJK804" s="110"/>
      <c r="JJL804" s="110"/>
      <c r="JJM804" s="110"/>
      <c r="JJN804" s="110"/>
      <c r="JJO804" s="110"/>
      <c r="JJP804" s="110"/>
      <c r="JJQ804" s="110"/>
      <c r="JJR804" s="110"/>
      <c r="JJS804" s="110"/>
      <c r="JJT804" s="110"/>
      <c r="JJU804" s="110"/>
      <c r="JJV804" s="110"/>
      <c r="JJW804" s="110"/>
      <c r="JJX804" s="110"/>
      <c r="JJY804" s="110"/>
      <c r="JJZ804" s="110"/>
      <c r="JKA804" s="110"/>
      <c r="JKB804" s="110"/>
      <c r="JKC804" s="110"/>
      <c r="JKD804" s="110"/>
      <c r="JKE804" s="110"/>
      <c r="JKF804" s="110"/>
      <c r="JKG804" s="110"/>
      <c r="JKH804" s="110"/>
      <c r="JKI804" s="110"/>
      <c r="JKJ804" s="110"/>
      <c r="JKK804" s="110"/>
      <c r="JKL804" s="110"/>
      <c r="JKM804" s="110"/>
      <c r="JKN804" s="110"/>
      <c r="JKO804" s="110"/>
      <c r="JKP804" s="110"/>
      <c r="JKQ804" s="110"/>
      <c r="JKR804" s="110"/>
      <c r="JKS804" s="110"/>
      <c r="JKT804" s="110"/>
      <c r="JKU804" s="110"/>
      <c r="JKV804" s="110"/>
      <c r="JKW804" s="110"/>
      <c r="JKX804" s="110"/>
      <c r="JKY804" s="110"/>
      <c r="JKZ804" s="110"/>
      <c r="JLA804" s="110"/>
      <c r="JLB804" s="110"/>
      <c r="JLC804" s="110"/>
      <c r="JLD804" s="110"/>
      <c r="JLE804" s="110"/>
      <c r="JLF804" s="110"/>
      <c r="JLG804" s="110"/>
      <c r="JLH804" s="110"/>
      <c r="JLI804" s="110"/>
      <c r="JLJ804" s="110"/>
      <c r="JLK804" s="110"/>
      <c r="JLL804" s="110"/>
      <c r="JLM804" s="110"/>
      <c r="JLN804" s="110"/>
      <c r="JLO804" s="110"/>
      <c r="JLP804" s="110"/>
      <c r="JLQ804" s="110"/>
      <c r="JLR804" s="110"/>
      <c r="JLS804" s="110"/>
      <c r="JLT804" s="110"/>
      <c r="JLU804" s="110"/>
      <c r="JLV804" s="110"/>
      <c r="JLW804" s="110"/>
      <c r="JLX804" s="110"/>
      <c r="JLY804" s="110"/>
      <c r="JLZ804" s="110"/>
      <c r="JMA804" s="110"/>
      <c r="JMB804" s="110"/>
      <c r="JMC804" s="110"/>
      <c r="JMD804" s="110"/>
      <c r="JME804" s="110"/>
      <c r="JMF804" s="110"/>
      <c r="JMG804" s="110"/>
      <c r="JMH804" s="110"/>
      <c r="JMI804" s="110"/>
      <c r="JMJ804" s="110"/>
      <c r="JMK804" s="110"/>
      <c r="JML804" s="110"/>
      <c r="JMM804" s="110"/>
      <c r="JMN804" s="110"/>
      <c r="JMO804" s="110"/>
      <c r="JMP804" s="110"/>
      <c r="JMQ804" s="110"/>
      <c r="JMR804" s="110"/>
      <c r="JMS804" s="110"/>
      <c r="JMT804" s="110"/>
      <c r="JMU804" s="110"/>
      <c r="JMV804" s="110"/>
      <c r="JMW804" s="110"/>
      <c r="JMX804" s="110"/>
      <c r="JMY804" s="110"/>
      <c r="JMZ804" s="110"/>
      <c r="JNA804" s="110"/>
      <c r="JNB804" s="110"/>
      <c r="JNC804" s="110"/>
      <c r="JND804" s="110"/>
      <c r="JNE804" s="110"/>
      <c r="JNF804" s="110"/>
      <c r="JNG804" s="110"/>
      <c r="JNH804" s="110"/>
      <c r="JNI804" s="110"/>
      <c r="JNJ804" s="110"/>
      <c r="JNK804" s="110"/>
      <c r="JNL804" s="110"/>
      <c r="JNM804" s="110"/>
      <c r="JNN804" s="110"/>
      <c r="JNO804" s="110"/>
      <c r="JNP804" s="110"/>
      <c r="JNQ804" s="110"/>
      <c r="JNR804" s="110"/>
      <c r="JNS804" s="110"/>
      <c r="JNT804" s="110"/>
      <c r="JNU804" s="110"/>
      <c r="JNV804" s="110"/>
      <c r="JNW804" s="110"/>
      <c r="JNX804" s="110"/>
      <c r="JNY804" s="110"/>
      <c r="JNZ804" s="110"/>
      <c r="JOA804" s="110"/>
      <c r="JOB804" s="110"/>
      <c r="JOC804" s="110"/>
      <c r="JOD804" s="110"/>
      <c r="JOE804" s="110"/>
      <c r="JOF804" s="110"/>
      <c r="JOG804" s="110"/>
      <c r="JOH804" s="110"/>
      <c r="JOI804" s="110"/>
      <c r="JOJ804" s="110"/>
      <c r="JOK804" s="110"/>
      <c r="JOL804" s="110"/>
      <c r="JOM804" s="110"/>
      <c r="JON804" s="110"/>
      <c r="JOO804" s="110"/>
      <c r="JOP804" s="110"/>
      <c r="JOQ804" s="110"/>
      <c r="JOR804" s="110"/>
      <c r="JOS804" s="110"/>
      <c r="JOT804" s="110"/>
      <c r="JOU804" s="110"/>
      <c r="JOV804" s="110"/>
      <c r="JOW804" s="110"/>
      <c r="JOX804" s="110"/>
      <c r="JOY804" s="110"/>
      <c r="JOZ804" s="110"/>
      <c r="JPA804" s="110"/>
      <c r="JPB804" s="110"/>
      <c r="JPC804" s="110"/>
      <c r="JPD804" s="110"/>
      <c r="JPE804" s="110"/>
      <c r="JPF804" s="110"/>
      <c r="JPG804" s="110"/>
      <c r="JPH804" s="110"/>
      <c r="JPI804" s="110"/>
      <c r="JPJ804" s="110"/>
      <c r="JPK804" s="110"/>
      <c r="JPL804" s="110"/>
      <c r="JPM804" s="110"/>
      <c r="JPN804" s="110"/>
      <c r="JPO804" s="110"/>
      <c r="JPP804" s="110"/>
      <c r="JPQ804" s="110"/>
      <c r="JPR804" s="110"/>
      <c r="JPS804" s="110"/>
      <c r="JPT804" s="110"/>
      <c r="JPU804" s="110"/>
      <c r="JPV804" s="110"/>
      <c r="JPW804" s="110"/>
      <c r="JPX804" s="110"/>
      <c r="JPY804" s="110"/>
      <c r="JPZ804" s="110"/>
      <c r="JQA804" s="110"/>
      <c r="JQB804" s="110"/>
      <c r="JQC804" s="110"/>
      <c r="JQD804" s="110"/>
      <c r="JQE804" s="110"/>
      <c r="JQF804" s="110"/>
      <c r="JQG804" s="110"/>
      <c r="JQH804" s="110"/>
      <c r="JQI804" s="110"/>
      <c r="JQJ804" s="110"/>
      <c r="JQK804" s="110"/>
      <c r="JQL804" s="110"/>
      <c r="JQM804" s="110"/>
      <c r="JQN804" s="110"/>
      <c r="JQO804" s="110"/>
      <c r="JQP804" s="110"/>
      <c r="JQQ804" s="110"/>
      <c r="JQR804" s="110"/>
      <c r="JQS804" s="110"/>
      <c r="JQT804" s="110"/>
      <c r="JQU804" s="110"/>
      <c r="JQV804" s="110"/>
      <c r="JQW804" s="110"/>
      <c r="JQX804" s="110"/>
      <c r="JQY804" s="110"/>
      <c r="JQZ804" s="110"/>
      <c r="JRA804" s="110"/>
      <c r="JRB804" s="110"/>
      <c r="JRC804" s="110"/>
      <c r="JRD804" s="110"/>
      <c r="JRE804" s="110"/>
      <c r="JRF804" s="110"/>
      <c r="JRG804" s="110"/>
      <c r="JRH804" s="110"/>
      <c r="JRI804" s="110"/>
      <c r="JRJ804" s="110"/>
      <c r="JRK804" s="110"/>
      <c r="JRL804" s="110"/>
      <c r="JRM804" s="110"/>
      <c r="JRN804" s="110"/>
      <c r="JRO804" s="110"/>
      <c r="JRP804" s="110"/>
      <c r="JRQ804" s="110"/>
      <c r="JRR804" s="110"/>
      <c r="JRS804" s="110"/>
      <c r="JRT804" s="110"/>
      <c r="JRU804" s="110"/>
      <c r="JRV804" s="110"/>
      <c r="JRW804" s="110"/>
      <c r="JRX804" s="110"/>
      <c r="JRY804" s="110"/>
      <c r="JRZ804" s="110"/>
      <c r="JSA804" s="110"/>
      <c r="JSB804" s="110"/>
      <c r="JSC804" s="110"/>
      <c r="JSD804" s="110"/>
      <c r="JSE804" s="110"/>
      <c r="JSF804" s="110"/>
      <c r="JSG804" s="110"/>
      <c r="JSH804" s="110"/>
      <c r="JSI804" s="110"/>
      <c r="JSJ804" s="110"/>
      <c r="JSK804" s="110"/>
      <c r="JSL804" s="110"/>
      <c r="JSM804" s="110"/>
      <c r="JSN804" s="110"/>
      <c r="JSO804" s="110"/>
      <c r="JSP804" s="110"/>
      <c r="JSQ804" s="110"/>
      <c r="JSR804" s="110"/>
      <c r="JSS804" s="110"/>
      <c r="JST804" s="110"/>
      <c r="JSU804" s="110"/>
      <c r="JSV804" s="110"/>
      <c r="JSW804" s="110"/>
      <c r="JSX804" s="110"/>
      <c r="JSY804" s="110"/>
      <c r="JSZ804" s="110"/>
      <c r="JTA804" s="110"/>
      <c r="JTB804" s="110"/>
      <c r="JTC804" s="110"/>
      <c r="JTD804" s="110"/>
      <c r="JTE804" s="110"/>
      <c r="JTF804" s="110"/>
      <c r="JTG804" s="110"/>
      <c r="JTH804" s="110"/>
      <c r="JTI804" s="110"/>
      <c r="JTJ804" s="110"/>
      <c r="JTK804" s="110"/>
      <c r="JTL804" s="110"/>
      <c r="JTM804" s="110"/>
      <c r="JTN804" s="110"/>
      <c r="JTO804" s="110"/>
      <c r="JTP804" s="110"/>
      <c r="JTQ804" s="110"/>
      <c r="JTR804" s="110"/>
      <c r="JTS804" s="110"/>
      <c r="JTT804" s="110"/>
      <c r="JTU804" s="110"/>
      <c r="JTV804" s="110"/>
      <c r="JTW804" s="110"/>
      <c r="JTX804" s="110"/>
      <c r="JTY804" s="110"/>
      <c r="JTZ804" s="110"/>
      <c r="JUA804" s="110"/>
      <c r="JUB804" s="110"/>
      <c r="JUC804" s="110"/>
      <c r="JUD804" s="110"/>
      <c r="JUE804" s="110"/>
      <c r="JUF804" s="110"/>
      <c r="JUG804" s="110"/>
      <c r="JUH804" s="110"/>
      <c r="JUI804" s="110"/>
      <c r="JUJ804" s="110"/>
      <c r="JUK804" s="110"/>
      <c r="JUL804" s="110"/>
      <c r="JUM804" s="110"/>
      <c r="JUN804" s="110"/>
      <c r="JUO804" s="110"/>
      <c r="JUP804" s="110"/>
      <c r="JUQ804" s="110"/>
      <c r="JUR804" s="110"/>
      <c r="JUS804" s="110"/>
      <c r="JUT804" s="110"/>
      <c r="JUU804" s="110"/>
      <c r="JUV804" s="110"/>
      <c r="JUW804" s="110"/>
      <c r="JUX804" s="110"/>
      <c r="JUY804" s="110"/>
      <c r="JUZ804" s="110"/>
      <c r="JVA804" s="110"/>
      <c r="JVB804" s="110"/>
      <c r="JVC804" s="110"/>
      <c r="JVD804" s="110"/>
      <c r="JVE804" s="110"/>
      <c r="JVF804" s="110"/>
      <c r="JVG804" s="110"/>
      <c r="JVH804" s="110"/>
      <c r="JVI804" s="110"/>
      <c r="JVJ804" s="110"/>
      <c r="JVK804" s="110"/>
      <c r="JVL804" s="110"/>
      <c r="JVM804" s="110"/>
      <c r="JVN804" s="110"/>
      <c r="JVO804" s="110"/>
      <c r="JVP804" s="110"/>
      <c r="JVQ804" s="110"/>
      <c r="JVR804" s="110"/>
      <c r="JVS804" s="110"/>
      <c r="JVT804" s="110"/>
      <c r="JVU804" s="110"/>
      <c r="JVV804" s="110"/>
      <c r="JVW804" s="110"/>
      <c r="JVX804" s="110"/>
      <c r="JVY804" s="110"/>
      <c r="JVZ804" s="110"/>
      <c r="JWA804" s="110"/>
      <c r="JWB804" s="110"/>
      <c r="JWC804" s="110"/>
      <c r="JWD804" s="110"/>
      <c r="JWE804" s="110"/>
      <c r="JWF804" s="110"/>
      <c r="JWG804" s="110"/>
      <c r="JWH804" s="110"/>
      <c r="JWI804" s="110"/>
      <c r="JWJ804" s="110"/>
      <c r="JWK804" s="110"/>
      <c r="JWL804" s="110"/>
      <c r="JWM804" s="110"/>
      <c r="JWN804" s="110"/>
      <c r="JWO804" s="110"/>
      <c r="JWP804" s="110"/>
      <c r="JWQ804" s="110"/>
      <c r="JWR804" s="110"/>
      <c r="JWS804" s="110"/>
      <c r="JWT804" s="110"/>
      <c r="JWU804" s="110"/>
      <c r="JWV804" s="110"/>
      <c r="JWW804" s="110"/>
      <c r="JWX804" s="110"/>
      <c r="JWY804" s="110"/>
      <c r="JWZ804" s="110"/>
      <c r="JXA804" s="110"/>
      <c r="JXB804" s="110"/>
      <c r="JXC804" s="110"/>
      <c r="JXD804" s="110"/>
      <c r="JXE804" s="110"/>
      <c r="JXF804" s="110"/>
      <c r="JXG804" s="110"/>
      <c r="JXH804" s="110"/>
      <c r="JXI804" s="110"/>
      <c r="JXJ804" s="110"/>
      <c r="JXK804" s="110"/>
      <c r="JXL804" s="110"/>
      <c r="JXM804" s="110"/>
      <c r="JXN804" s="110"/>
      <c r="JXO804" s="110"/>
      <c r="JXP804" s="110"/>
      <c r="JXQ804" s="110"/>
      <c r="JXR804" s="110"/>
      <c r="JXS804" s="110"/>
      <c r="JXT804" s="110"/>
      <c r="JXU804" s="110"/>
      <c r="JXV804" s="110"/>
      <c r="JXW804" s="110"/>
      <c r="JXX804" s="110"/>
      <c r="JXY804" s="110"/>
      <c r="JXZ804" s="110"/>
      <c r="JYA804" s="110"/>
      <c r="JYB804" s="110"/>
      <c r="JYC804" s="110"/>
      <c r="JYD804" s="110"/>
      <c r="JYE804" s="110"/>
      <c r="JYF804" s="110"/>
      <c r="JYG804" s="110"/>
      <c r="JYH804" s="110"/>
      <c r="JYI804" s="110"/>
      <c r="JYJ804" s="110"/>
      <c r="JYK804" s="110"/>
      <c r="JYL804" s="110"/>
      <c r="JYM804" s="110"/>
      <c r="JYN804" s="110"/>
      <c r="JYO804" s="110"/>
      <c r="JYP804" s="110"/>
      <c r="JYQ804" s="110"/>
      <c r="JYR804" s="110"/>
      <c r="JYS804" s="110"/>
      <c r="JYT804" s="110"/>
      <c r="JYU804" s="110"/>
      <c r="JYV804" s="110"/>
      <c r="JYW804" s="110"/>
      <c r="JYX804" s="110"/>
      <c r="JYY804" s="110"/>
      <c r="JYZ804" s="110"/>
      <c r="JZA804" s="110"/>
      <c r="JZB804" s="110"/>
      <c r="JZC804" s="110"/>
      <c r="JZD804" s="110"/>
      <c r="JZE804" s="110"/>
      <c r="JZF804" s="110"/>
      <c r="JZG804" s="110"/>
      <c r="JZH804" s="110"/>
      <c r="JZI804" s="110"/>
      <c r="JZJ804" s="110"/>
      <c r="JZK804" s="110"/>
      <c r="JZL804" s="110"/>
      <c r="JZM804" s="110"/>
      <c r="JZN804" s="110"/>
      <c r="JZO804" s="110"/>
      <c r="JZP804" s="110"/>
      <c r="JZQ804" s="110"/>
      <c r="JZR804" s="110"/>
      <c r="JZS804" s="110"/>
      <c r="JZT804" s="110"/>
      <c r="JZU804" s="110"/>
      <c r="JZV804" s="110"/>
      <c r="JZW804" s="110"/>
      <c r="JZX804" s="110"/>
      <c r="JZY804" s="110"/>
      <c r="JZZ804" s="110"/>
      <c r="KAA804" s="110"/>
      <c r="KAB804" s="110"/>
      <c r="KAC804" s="110"/>
      <c r="KAD804" s="110"/>
      <c r="KAE804" s="110"/>
      <c r="KAF804" s="110"/>
      <c r="KAG804" s="110"/>
      <c r="KAH804" s="110"/>
      <c r="KAI804" s="110"/>
      <c r="KAJ804" s="110"/>
      <c r="KAK804" s="110"/>
      <c r="KAL804" s="110"/>
      <c r="KAM804" s="110"/>
      <c r="KAN804" s="110"/>
      <c r="KAO804" s="110"/>
      <c r="KAP804" s="110"/>
      <c r="KAQ804" s="110"/>
      <c r="KAR804" s="110"/>
      <c r="KAS804" s="110"/>
      <c r="KAT804" s="110"/>
      <c r="KAU804" s="110"/>
      <c r="KAV804" s="110"/>
      <c r="KAW804" s="110"/>
      <c r="KAX804" s="110"/>
      <c r="KAY804" s="110"/>
      <c r="KAZ804" s="110"/>
      <c r="KBA804" s="110"/>
      <c r="KBB804" s="110"/>
      <c r="KBC804" s="110"/>
      <c r="KBD804" s="110"/>
      <c r="KBE804" s="110"/>
      <c r="KBF804" s="110"/>
      <c r="KBG804" s="110"/>
      <c r="KBH804" s="110"/>
      <c r="KBI804" s="110"/>
      <c r="KBJ804" s="110"/>
      <c r="KBK804" s="110"/>
      <c r="KBL804" s="110"/>
      <c r="KBM804" s="110"/>
      <c r="KBN804" s="110"/>
      <c r="KBO804" s="110"/>
      <c r="KBP804" s="110"/>
      <c r="KBQ804" s="110"/>
      <c r="KBR804" s="110"/>
      <c r="KBS804" s="110"/>
      <c r="KBT804" s="110"/>
      <c r="KBU804" s="110"/>
      <c r="KBV804" s="110"/>
      <c r="KBW804" s="110"/>
      <c r="KBX804" s="110"/>
      <c r="KBY804" s="110"/>
      <c r="KBZ804" s="110"/>
      <c r="KCA804" s="110"/>
      <c r="KCB804" s="110"/>
      <c r="KCC804" s="110"/>
      <c r="KCD804" s="110"/>
      <c r="KCE804" s="110"/>
      <c r="KCF804" s="110"/>
      <c r="KCG804" s="110"/>
      <c r="KCH804" s="110"/>
      <c r="KCI804" s="110"/>
      <c r="KCJ804" s="110"/>
      <c r="KCK804" s="110"/>
      <c r="KCL804" s="110"/>
      <c r="KCM804" s="110"/>
      <c r="KCN804" s="110"/>
      <c r="KCO804" s="110"/>
      <c r="KCP804" s="110"/>
      <c r="KCQ804" s="110"/>
      <c r="KCR804" s="110"/>
      <c r="KCS804" s="110"/>
      <c r="KCT804" s="110"/>
      <c r="KCU804" s="110"/>
      <c r="KCV804" s="110"/>
      <c r="KCW804" s="110"/>
      <c r="KCX804" s="110"/>
      <c r="KCY804" s="110"/>
      <c r="KCZ804" s="110"/>
      <c r="KDA804" s="110"/>
      <c r="KDB804" s="110"/>
      <c r="KDC804" s="110"/>
      <c r="KDD804" s="110"/>
      <c r="KDE804" s="110"/>
      <c r="KDF804" s="110"/>
      <c r="KDG804" s="110"/>
      <c r="KDH804" s="110"/>
      <c r="KDI804" s="110"/>
      <c r="KDJ804" s="110"/>
      <c r="KDK804" s="110"/>
      <c r="KDL804" s="110"/>
      <c r="KDM804" s="110"/>
      <c r="KDN804" s="110"/>
      <c r="KDO804" s="110"/>
      <c r="KDP804" s="110"/>
      <c r="KDQ804" s="110"/>
      <c r="KDR804" s="110"/>
      <c r="KDS804" s="110"/>
      <c r="KDT804" s="110"/>
      <c r="KDU804" s="110"/>
      <c r="KDV804" s="110"/>
      <c r="KDW804" s="110"/>
      <c r="KDX804" s="110"/>
      <c r="KDY804" s="110"/>
      <c r="KDZ804" s="110"/>
      <c r="KEA804" s="110"/>
      <c r="KEB804" s="110"/>
      <c r="KEC804" s="110"/>
      <c r="KED804" s="110"/>
      <c r="KEE804" s="110"/>
      <c r="KEF804" s="110"/>
      <c r="KEG804" s="110"/>
      <c r="KEH804" s="110"/>
      <c r="KEI804" s="110"/>
      <c r="KEJ804" s="110"/>
      <c r="KEK804" s="110"/>
      <c r="KEL804" s="110"/>
      <c r="KEM804" s="110"/>
      <c r="KEN804" s="110"/>
      <c r="KEO804" s="110"/>
      <c r="KEP804" s="110"/>
      <c r="KEQ804" s="110"/>
      <c r="KER804" s="110"/>
      <c r="KES804" s="110"/>
      <c r="KET804" s="110"/>
      <c r="KEU804" s="110"/>
      <c r="KEV804" s="110"/>
      <c r="KEW804" s="110"/>
      <c r="KEX804" s="110"/>
      <c r="KEY804" s="110"/>
      <c r="KEZ804" s="110"/>
      <c r="KFA804" s="110"/>
      <c r="KFB804" s="110"/>
      <c r="KFC804" s="110"/>
      <c r="KFD804" s="110"/>
      <c r="KFE804" s="110"/>
      <c r="KFF804" s="110"/>
      <c r="KFG804" s="110"/>
      <c r="KFH804" s="110"/>
      <c r="KFI804" s="110"/>
      <c r="KFJ804" s="110"/>
      <c r="KFK804" s="110"/>
      <c r="KFL804" s="110"/>
      <c r="KFM804" s="110"/>
      <c r="KFN804" s="110"/>
      <c r="KFO804" s="110"/>
      <c r="KFP804" s="110"/>
      <c r="KFQ804" s="110"/>
      <c r="KFR804" s="110"/>
      <c r="KFS804" s="110"/>
      <c r="KFT804" s="110"/>
      <c r="KFU804" s="110"/>
      <c r="KFV804" s="110"/>
      <c r="KFW804" s="110"/>
      <c r="KFX804" s="110"/>
      <c r="KFY804" s="110"/>
      <c r="KFZ804" s="110"/>
      <c r="KGA804" s="110"/>
      <c r="KGB804" s="110"/>
      <c r="KGC804" s="110"/>
      <c r="KGD804" s="110"/>
      <c r="KGE804" s="110"/>
      <c r="KGF804" s="110"/>
      <c r="KGG804" s="110"/>
      <c r="KGH804" s="110"/>
      <c r="KGI804" s="110"/>
      <c r="KGJ804" s="110"/>
      <c r="KGK804" s="110"/>
      <c r="KGL804" s="110"/>
      <c r="KGM804" s="110"/>
      <c r="KGN804" s="110"/>
      <c r="KGO804" s="110"/>
      <c r="KGP804" s="110"/>
      <c r="KGQ804" s="110"/>
      <c r="KGR804" s="110"/>
      <c r="KGS804" s="110"/>
      <c r="KGT804" s="110"/>
      <c r="KGU804" s="110"/>
      <c r="KGV804" s="110"/>
      <c r="KGW804" s="110"/>
      <c r="KGX804" s="110"/>
      <c r="KGY804" s="110"/>
      <c r="KGZ804" s="110"/>
      <c r="KHA804" s="110"/>
      <c r="KHB804" s="110"/>
      <c r="KHC804" s="110"/>
      <c r="KHD804" s="110"/>
      <c r="KHE804" s="110"/>
      <c r="KHF804" s="110"/>
      <c r="KHG804" s="110"/>
      <c r="KHH804" s="110"/>
      <c r="KHI804" s="110"/>
      <c r="KHJ804" s="110"/>
      <c r="KHK804" s="110"/>
      <c r="KHL804" s="110"/>
      <c r="KHM804" s="110"/>
      <c r="KHN804" s="110"/>
      <c r="KHO804" s="110"/>
      <c r="KHP804" s="110"/>
      <c r="KHQ804" s="110"/>
      <c r="KHR804" s="110"/>
      <c r="KHS804" s="110"/>
      <c r="KHT804" s="110"/>
      <c r="KHU804" s="110"/>
      <c r="KHV804" s="110"/>
      <c r="KHW804" s="110"/>
      <c r="KHX804" s="110"/>
      <c r="KHY804" s="110"/>
      <c r="KHZ804" s="110"/>
      <c r="KIA804" s="110"/>
      <c r="KIB804" s="110"/>
      <c r="KIC804" s="110"/>
      <c r="KID804" s="110"/>
      <c r="KIE804" s="110"/>
      <c r="KIF804" s="110"/>
      <c r="KIG804" s="110"/>
      <c r="KIH804" s="110"/>
      <c r="KII804" s="110"/>
      <c r="KIJ804" s="110"/>
      <c r="KIK804" s="110"/>
      <c r="KIL804" s="110"/>
      <c r="KIM804" s="110"/>
      <c r="KIN804" s="110"/>
      <c r="KIO804" s="110"/>
      <c r="KIP804" s="110"/>
      <c r="KIQ804" s="110"/>
      <c r="KIR804" s="110"/>
      <c r="KIS804" s="110"/>
      <c r="KIT804" s="110"/>
      <c r="KIU804" s="110"/>
      <c r="KIV804" s="110"/>
      <c r="KIW804" s="110"/>
      <c r="KIX804" s="110"/>
      <c r="KIY804" s="110"/>
      <c r="KIZ804" s="110"/>
      <c r="KJA804" s="110"/>
      <c r="KJB804" s="110"/>
      <c r="KJC804" s="110"/>
      <c r="KJD804" s="110"/>
      <c r="KJE804" s="110"/>
      <c r="KJF804" s="110"/>
      <c r="KJG804" s="110"/>
      <c r="KJH804" s="110"/>
      <c r="KJI804" s="110"/>
      <c r="KJJ804" s="110"/>
      <c r="KJK804" s="110"/>
      <c r="KJL804" s="110"/>
      <c r="KJM804" s="110"/>
      <c r="KJN804" s="110"/>
      <c r="KJO804" s="110"/>
      <c r="KJP804" s="110"/>
      <c r="KJQ804" s="110"/>
      <c r="KJR804" s="110"/>
      <c r="KJS804" s="110"/>
      <c r="KJT804" s="110"/>
      <c r="KJU804" s="110"/>
      <c r="KJV804" s="110"/>
      <c r="KJW804" s="110"/>
      <c r="KJX804" s="110"/>
      <c r="KJY804" s="110"/>
      <c r="KJZ804" s="110"/>
      <c r="KKA804" s="110"/>
      <c r="KKB804" s="110"/>
      <c r="KKC804" s="110"/>
      <c r="KKD804" s="110"/>
      <c r="KKE804" s="110"/>
      <c r="KKF804" s="110"/>
      <c r="KKG804" s="110"/>
      <c r="KKH804" s="110"/>
      <c r="KKI804" s="110"/>
      <c r="KKJ804" s="110"/>
      <c r="KKK804" s="110"/>
      <c r="KKL804" s="110"/>
      <c r="KKM804" s="110"/>
      <c r="KKN804" s="110"/>
      <c r="KKO804" s="110"/>
      <c r="KKP804" s="110"/>
      <c r="KKQ804" s="110"/>
      <c r="KKR804" s="110"/>
      <c r="KKS804" s="110"/>
      <c r="KKT804" s="110"/>
      <c r="KKU804" s="110"/>
      <c r="KKV804" s="110"/>
      <c r="KKW804" s="110"/>
      <c r="KKX804" s="110"/>
      <c r="KKY804" s="110"/>
      <c r="KKZ804" s="110"/>
      <c r="KLA804" s="110"/>
      <c r="KLB804" s="110"/>
      <c r="KLC804" s="110"/>
      <c r="KLD804" s="110"/>
      <c r="KLE804" s="110"/>
      <c r="KLF804" s="110"/>
      <c r="KLG804" s="110"/>
      <c r="KLH804" s="110"/>
      <c r="KLI804" s="110"/>
      <c r="KLJ804" s="110"/>
      <c r="KLK804" s="110"/>
      <c r="KLL804" s="110"/>
      <c r="KLM804" s="110"/>
      <c r="KLN804" s="110"/>
      <c r="KLO804" s="110"/>
      <c r="KLP804" s="110"/>
      <c r="KLQ804" s="110"/>
      <c r="KLR804" s="110"/>
      <c r="KLS804" s="110"/>
      <c r="KLT804" s="110"/>
      <c r="KLU804" s="110"/>
      <c r="KLV804" s="110"/>
      <c r="KLW804" s="110"/>
      <c r="KLX804" s="110"/>
      <c r="KLY804" s="110"/>
      <c r="KLZ804" s="110"/>
      <c r="KMA804" s="110"/>
      <c r="KMB804" s="110"/>
      <c r="KMC804" s="110"/>
      <c r="KMD804" s="110"/>
      <c r="KME804" s="110"/>
      <c r="KMF804" s="110"/>
      <c r="KMG804" s="110"/>
      <c r="KMH804" s="110"/>
      <c r="KMI804" s="110"/>
      <c r="KMJ804" s="110"/>
      <c r="KMK804" s="110"/>
      <c r="KML804" s="110"/>
      <c r="KMM804" s="110"/>
      <c r="KMN804" s="110"/>
      <c r="KMO804" s="110"/>
      <c r="KMP804" s="110"/>
      <c r="KMQ804" s="110"/>
      <c r="KMR804" s="110"/>
      <c r="KMS804" s="110"/>
      <c r="KMT804" s="110"/>
      <c r="KMU804" s="110"/>
      <c r="KMV804" s="110"/>
      <c r="KMW804" s="110"/>
      <c r="KMX804" s="110"/>
      <c r="KMY804" s="110"/>
      <c r="KMZ804" s="110"/>
      <c r="KNA804" s="110"/>
      <c r="KNB804" s="110"/>
      <c r="KNC804" s="110"/>
      <c r="KND804" s="110"/>
      <c r="KNE804" s="110"/>
      <c r="KNF804" s="110"/>
      <c r="KNG804" s="110"/>
      <c r="KNH804" s="110"/>
      <c r="KNI804" s="110"/>
      <c r="KNJ804" s="110"/>
      <c r="KNK804" s="110"/>
      <c r="KNL804" s="110"/>
      <c r="KNM804" s="110"/>
      <c r="KNN804" s="110"/>
      <c r="KNO804" s="110"/>
      <c r="KNP804" s="110"/>
      <c r="KNQ804" s="110"/>
      <c r="KNR804" s="110"/>
      <c r="KNS804" s="110"/>
      <c r="KNT804" s="110"/>
      <c r="KNU804" s="110"/>
      <c r="KNV804" s="110"/>
      <c r="KNW804" s="110"/>
      <c r="KNX804" s="110"/>
      <c r="KNY804" s="110"/>
      <c r="KNZ804" s="110"/>
      <c r="KOA804" s="110"/>
      <c r="KOB804" s="110"/>
      <c r="KOC804" s="110"/>
      <c r="KOD804" s="110"/>
      <c r="KOE804" s="110"/>
      <c r="KOF804" s="110"/>
      <c r="KOG804" s="110"/>
      <c r="KOH804" s="110"/>
      <c r="KOI804" s="110"/>
      <c r="KOJ804" s="110"/>
      <c r="KOK804" s="110"/>
      <c r="KOL804" s="110"/>
      <c r="KOM804" s="110"/>
      <c r="KON804" s="110"/>
      <c r="KOO804" s="110"/>
      <c r="KOP804" s="110"/>
      <c r="KOQ804" s="110"/>
      <c r="KOR804" s="110"/>
      <c r="KOS804" s="110"/>
      <c r="KOT804" s="110"/>
      <c r="KOU804" s="110"/>
      <c r="KOV804" s="110"/>
      <c r="KOW804" s="110"/>
      <c r="KOX804" s="110"/>
      <c r="KOY804" s="110"/>
      <c r="KOZ804" s="110"/>
      <c r="KPA804" s="110"/>
      <c r="KPB804" s="110"/>
      <c r="KPC804" s="110"/>
      <c r="KPD804" s="110"/>
      <c r="KPE804" s="110"/>
      <c r="KPF804" s="110"/>
      <c r="KPG804" s="110"/>
      <c r="KPH804" s="110"/>
      <c r="KPI804" s="110"/>
      <c r="KPJ804" s="110"/>
      <c r="KPK804" s="110"/>
      <c r="KPL804" s="110"/>
      <c r="KPM804" s="110"/>
      <c r="KPN804" s="110"/>
      <c r="KPO804" s="110"/>
      <c r="KPP804" s="110"/>
      <c r="KPQ804" s="110"/>
      <c r="KPR804" s="110"/>
      <c r="KPS804" s="110"/>
      <c r="KPT804" s="110"/>
      <c r="KPU804" s="110"/>
      <c r="KPV804" s="110"/>
      <c r="KPW804" s="110"/>
      <c r="KPX804" s="110"/>
      <c r="KPY804" s="110"/>
      <c r="KPZ804" s="110"/>
      <c r="KQA804" s="110"/>
      <c r="KQB804" s="110"/>
      <c r="KQC804" s="110"/>
      <c r="KQD804" s="110"/>
      <c r="KQE804" s="110"/>
      <c r="KQF804" s="110"/>
      <c r="KQG804" s="110"/>
      <c r="KQH804" s="110"/>
      <c r="KQI804" s="110"/>
      <c r="KQJ804" s="110"/>
      <c r="KQK804" s="110"/>
      <c r="KQL804" s="110"/>
      <c r="KQM804" s="110"/>
      <c r="KQN804" s="110"/>
      <c r="KQO804" s="110"/>
      <c r="KQP804" s="110"/>
      <c r="KQQ804" s="110"/>
      <c r="KQR804" s="110"/>
      <c r="KQS804" s="110"/>
      <c r="KQT804" s="110"/>
      <c r="KQU804" s="110"/>
      <c r="KQV804" s="110"/>
      <c r="KQW804" s="110"/>
      <c r="KQX804" s="110"/>
      <c r="KQY804" s="110"/>
      <c r="KQZ804" s="110"/>
      <c r="KRA804" s="110"/>
      <c r="KRB804" s="110"/>
      <c r="KRC804" s="110"/>
      <c r="KRD804" s="110"/>
      <c r="KRE804" s="110"/>
      <c r="KRF804" s="110"/>
      <c r="KRG804" s="110"/>
      <c r="KRH804" s="110"/>
      <c r="KRI804" s="110"/>
      <c r="KRJ804" s="110"/>
      <c r="KRK804" s="110"/>
      <c r="KRL804" s="110"/>
      <c r="KRM804" s="110"/>
      <c r="KRN804" s="110"/>
      <c r="KRO804" s="110"/>
      <c r="KRP804" s="110"/>
      <c r="KRQ804" s="110"/>
      <c r="KRR804" s="110"/>
      <c r="KRS804" s="110"/>
      <c r="KRT804" s="110"/>
      <c r="KRU804" s="110"/>
      <c r="KRV804" s="110"/>
      <c r="KRW804" s="110"/>
      <c r="KRX804" s="110"/>
      <c r="KRY804" s="110"/>
      <c r="KRZ804" s="110"/>
      <c r="KSA804" s="110"/>
      <c r="KSB804" s="110"/>
      <c r="KSC804" s="110"/>
      <c r="KSD804" s="110"/>
      <c r="KSE804" s="110"/>
      <c r="KSF804" s="110"/>
      <c r="KSG804" s="110"/>
      <c r="KSH804" s="110"/>
      <c r="KSI804" s="110"/>
      <c r="KSJ804" s="110"/>
      <c r="KSK804" s="110"/>
      <c r="KSL804" s="110"/>
      <c r="KSM804" s="110"/>
      <c r="KSN804" s="110"/>
      <c r="KSO804" s="110"/>
      <c r="KSP804" s="110"/>
      <c r="KSQ804" s="110"/>
      <c r="KSR804" s="110"/>
      <c r="KSS804" s="110"/>
      <c r="KST804" s="110"/>
      <c r="KSU804" s="110"/>
      <c r="KSV804" s="110"/>
      <c r="KSW804" s="110"/>
      <c r="KSX804" s="110"/>
      <c r="KSY804" s="110"/>
      <c r="KSZ804" s="110"/>
      <c r="KTA804" s="110"/>
      <c r="KTB804" s="110"/>
      <c r="KTC804" s="110"/>
      <c r="KTD804" s="110"/>
      <c r="KTE804" s="110"/>
      <c r="KTF804" s="110"/>
      <c r="KTG804" s="110"/>
      <c r="KTH804" s="110"/>
      <c r="KTI804" s="110"/>
      <c r="KTJ804" s="110"/>
      <c r="KTK804" s="110"/>
      <c r="KTL804" s="110"/>
      <c r="KTM804" s="110"/>
      <c r="KTN804" s="110"/>
      <c r="KTO804" s="110"/>
      <c r="KTP804" s="110"/>
      <c r="KTQ804" s="110"/>
      <c r="KTR804" s="110"/>
      <c r="KTS804" s="110"/>
      <c r="KTT804" s="110"/>
      <c r="KTU804" s="110"/>
      <c r="KTV804" s="110"/>
      <c r="KTW804" s="110"/>
      <c r="KTX804" s="110"/>
      <c r="KTY804" s="110"/>
      <c r="KTZ804" s="110"/>
      <c r="KUA804" s="110"/>
      <c r="KUB804" s="110"/>
      <c r="KUC804" s="110"/>
      <c r="KUD804" s="110"/>
      <c r="KUE804" s="110"/>
      <c r="KUF804" s="110"/>
      <c r="KUG804" s="110"/>
      <c r="KUH804" s="110"/>
      <c r="KUI804" s="110"/>
      <c r="KUJ804" s="110"/>
      <c r="KUK804" s="110"/>
      <c r="KUL804" s="110"/>
      <c r="KUM804" s="110"/>
      <c r="KUN804" s="110"/>
      <c r="KUO804" s="110"/>
      <c r="KUP804" s="110"/>
      <c r="KUQ804" s="110"/>
      <c r="KUR804" s="110"/>
      <c r="KUS804" s="110"/>
      <c r="KUT804" s="110"/>
      <c r="KUU804" s="110"/>
      <c r="KUV804" s="110"/>
      <c r="KUW804" s="110"/>
      <c r="KUX804" s="110"/>
      <c r="KUY804" s="110"/>
      <c r="KUZ804" s="110"/>
      <c r="KVA804" s="110"/>
      <c r="KVB804" s="110"/>
      <c r="KVC804" s="110"/>
      <c r="KVD804" s="110"/>
      <c r="KVE804" s="110"/>
      <c r="KVF804" s="110"/>
      <c r="KVG804" s="110"/>
      <c r="KVH804" s="110"/>
      <c r="KVI804" s="110"/>
      <c r="KVJ804" s="110"/>
      <c r="KVK804" s="110"/>
      <c r="KVL804" s="110"/>
      <c r="KVM804" s="110"/>
      <c r="KVN804" s="110"/>
      <c r="KVO804" s="110"/>
      <c r="KVP804" s="110"/>
      <c r="KVQ804" s="110"/>
      <c r="KVR804" s="110"/>
      <c r="KVS804" s="110"/>
      <c r="KVT804" s="110"/>
      <c r="KVU804" s="110"/>
      <c r="KVV804" s="110"/>
      <c r="KVW804" s="110"/>
      <c r="KVX804" s="110"/>
      <c r="KVY804" s="110"/>
      <c r="KVZ804" s="110"/>
      <c r="KWA804" s="110"/>
      <c r="KWB804" s="110"/>
      <c r="KWC804" s="110"/>
      <c r="KWD804" s="110"/>
      <c r="KWE804" s="110"/>
      <c r="KWF804" s="110"/>
      <c r="KWG804" s="110"/>
      <c r="KWH804" s="110"/>
      <c r="KWI804" s="110"/>
      <c r="KWJ804" s="110"/>
      <c r="KWK804" s="110"/>
      <c r="KWL804" s="110"/>
      <c r="KWM804" s="110"/>
      <c r="KWN804" s="110"/>
      <c r="KWO804" s="110"/>
      <c r="KWP804" s="110"/>
      <c r="KWQ804" s="110"/>
      <c r="KWR804" s="110"/>
      <c r="KWS804" s="110"/>
      <c r="KWT804" s="110"/>
      <c r="KWU804" s="110"/>
      <c r="KWV804" s="110"/>
      <c r="KWW804" s="110"/>
      <c r="KWX804" s="110"/>
      <c r="KWY804" s="110"/>
      <c r="KWZ804" s="110"/>
      <c r="KXA804" s="110"/>
      <c r="KXB804" s="110"/>
      <c r="KXC804" s="110"/>
      <c r="KXD804" s="110"/>
      <c r="KXE804" s="110"/>
      <c r="KXF804" s="110"/>
      <c r="KXG804" s="110"/>
      <c r="KXH804" s="110"/>
      <c r="KXI804" s="110"/>
      <c r="KXJ804" s="110"/>
      <c r="KXK804" s="110"/>
      <c r="KXL804" s="110"/>
      <c r="KXM804" s="110"/>
      <c r="KXN804" s="110"/>
      <c r="KXO804" s="110"/>
      <c r="KXP804" s="110"/>
      <c r="KXQ804" s="110"/>
      <c r="KXR804" s="110"/>
      <c r="KXS804" s="110"/>
      <c r="KXT804" s="110"/>
      <c r="KXU804" s="110"/>
      <c r="KXV804" s="110"/>
      <c r="KXW804" s="110"/>
      <c r="KXX804" s="110"/>
      <c r="KXY804" s="110"/>
      <c r="KXZ804" s="110"/>
      <c r="KYA804" s="110"/>
      <c r="KYB804" s="110"/>
      <c r="KYC804" s="110"/>
      <c r="KYD804" s="110"/>
      <c r="KYE804" s="110"/>
      <c r="KYF804" s="110"/>
      <c r="KYG804" s="110"/>
      <c r="KYH804" s="110"/>
      <c r="KYI804" s="110"/>
      <c r="KYJ804" s="110"/>
      <c r="KYK804" s="110"/>
      <c r="KYL804" s="110"/>
      <c r="KYM804" s="110"/>
      <c r="KYN804" s="110"/>
      <c r="KYO804" s="110"/>
      <c r="KYP804" s="110"/>
      <c r="KYQ804" s="110"/>
      <c r="KYR804" s="110"/>
      <c r="KYS804" s="110"/>
      <c r="KYT804" s="110"/>
      <c r="KYU804" s="110"/>
      <c r="KYV804" s="110"/>
      <c r="KYW804" s="110"/>
      <c r="KYX804" s="110"/>
      <c r="KYY804" s="110"/>
      <c r="KYZ804" s="110"/>
      <c r="KZA804" s="110"/>
      <c r="KZB804" s="110"/>
      <c r="KZC804" s="110"/>
      <c r="KZD804" s="110"/>
      <c r="KZE804" s="110"/>
      <c r="KZF804" s="110"/>
      <c r="KZG804" s="110"/>
      <c r="KZH804" s="110"/>
      <c r="KZI804" s="110"/>
      <c r="KZJ804" s="110"/>
      <c r="KZK804" s="110"/>
      <c r="KZL804" s="110"/>
      <c r="KZM804" s="110"/>
      <c r="KZN804" s="110"/>
      <c r="KZO804" s="110"/>
      <c r="KZP804" s="110"/>
      <c r="KZQ804" s="110"/>
      <c r="KZR804" s="110"/>
      <c r="KZS804" s="110"/>
      <c r="KZT804" s="110"/>
      <c r="KZU804" s="110"/>
      <c r="KZV804" s="110"/>
      <c r="KZW804" s="110"/>
      <c r="KZX804" s="110"/>
      <c r="KZY804" s="110"/>
      <c r="KZZ804" s="110"/>
      <c r="LAA804" s="110"/>
      <c r="LAB804" s="110"/>
      <c r="LAC804" s="110"/>
      <c r="LAD804" s="110"/>
      <c r="LAE804" s="110"/>
      <c r="LAF804" s="110"/>
      <c r="LAG804" s="110"/>
      <c r="LAH804" s="110"/>
      <c r="LAI804" s="110"/>
      <c r="LAJ804" s="110"/>
      <c r="LAK804" s="110"/>
      <c r="LAL804" s="110"/>
      <c r="LAM804" s="110"/>
      <c r="LAN804" s="110"/>
      <c r="LAO804" s="110"/>
      <c r="LAP804" s="110"/>
      <c r="LAQ804" s="110"/>
      <c r="LAR804" s="110"/>
      <c r="LAS804" s="110"/>
      <c r="LAT804" s="110"/>
      <c r="LAU804" s="110"/>
      <c r="LAV804" s="110"/>
      <c r="LAW804" s="110"/>
      <c r="LAX804" s="110"/>
      <c r="LAY804" s="110"/>
      <c r="LAZ804" s="110"/>
      <c r="LBA804" s="110"/>
      <c r="LBB804" s="110"/>
      <c r="LBC804" s="110"/>
      <c r="LBD804" s="110"/>
      <c r="LBE804" s="110"/>
      <c r="LBF804" s="110"/>
      <c r="LBG804" s="110"/>
      <c r="LBH804" s="110"/>
      <c r="LBI804" s="110"/>
      <c r="LBJ804" s="110"/>
      <c r="LBK804" s="110"/>
      <c r="LBL804" s="110"/>
      <c r="LBM804" s="110"/>
      <c r="LBN804" s="110"/>
      <c r="LBO804" s="110"/>
      <c r="LBP804" s="110"/>
      <c r="LBQ804" s="110"/>
      <c r="LBR804" s="110"/>
      <c r="LBS804" s="110"/>
      <c r="LBT804" s="110"/>
      <c r="LBU804" s="110"/>
      <c r="LBV804" s="110"/>
      <c r="LBW804" s="110"/>
      <c r="LBX804" s="110"/>
      <c r="LBY804" s="110"/>
      <c r="LBZ804" s="110"/>
      <c r="LCA804" s="110"/>
      <c r="LCB804" s="110"/>
      <c r="LCC804" s="110"/>
      <c r="LCD804" s="110"/>
      <c r="LCE804" s="110"/>
      <c r="LCF804" s="110"/>
      <c r="LCG804" s="110"/>
      <c r="LCH804" s="110"/>
      <c r="LCI804" s="110"/>
      <c r="LCJ804" s="110"/>
      <c r="LCK804" s="110"/>
      <c r="LCL804" s="110"/>
      <c r="LCM804" s="110"/>
      <c r="LCN804" s="110"/>
      <c r="LCO804" s="110"/>
      <c r="LCP804" s="110"/>
      <c r="LCQ804" s="110"/>
      <c r="LCR804" s="110"/>
      <c r="LCS804" s="110"/>
      <c r="LCT804" s="110"/>
      <c r="LCU804" s="110"/>
      <c r="LCV804" s="110"/>
      <c r="LCW804" s="110"/>
      <c r="LCX804" s="110"/>
      <c r="LCY804" s="110"/>
      <c r="LCZ804" s="110"/>
      <c r="LDA804" s="110"/>
      <c r="LDB804" s="110"/>
      <c r="LDC804" s="110"/>
      <c r="LDD804" s="110"/>
      <c r="LDE804" s="110"/>
      <c r="LDF804" s="110"/>
      <c r="LDG804" s="110"/>
      <c r="LDH804" s="110"/>
      <c r="LDI804" s="110"/>
      <c r="LDJ804" s="110"/>
      <c r="LDK804" s="110"/>
      <c r="LDL804" s="110"/>
      <c r="LDM804" s="110"/>
      <c r="LDN804" s="110"/>
      <c r="LDO804" s="110"/>
      <c r="LDP804" s="110"/>
      <c r="LDQ804" s="110"/>
      <c r="LDR804" s="110"/>
      <c r="LDS804" s="110"/>
      <c r="LDT804" s="110"/>
      <c r="LDU804" s="110"/>
      <c r="LDV804" s="110"/>
      <c r="LDW804" s="110"/>
      <c r="LDX804" s="110"/>
      <c r="LDY804" s="110"/>
      <c r="LDZ804" s="110"/>
      <c r="LEA804" s="110"/>
      <c r="LEB804" s="110"/>
      <c r="LEC804" s="110"/>
      <c r="LED804" s="110"/>
      <c r="LEE804" s="110"/>
      <c r="LEF804" s="110"/>
      <c r="LEG804" s="110"/>
      <c r="LEH804" s="110"/>
      <c r="LEI804" s="110"/>
      <c r="LEJ804" s="110"/>
      <c r="LEK804" s="110"/>
      <c r="LEL804" s="110"/>
      <c r="LEM804" s="110"/>
      <c r="LEN804" s="110"/>
      <c r="LEO804" s="110"/>
      <c r="LEP804" s="110"/>
      <c r="LEQ804" s="110"/>
      <c r="LER804" s="110"/>
      <c r="LES804" s="110"/>
      <c r="LET804" s="110"/>
      <c r="LEU804" s="110"/>
      <c r="LEV804" s="110"/>
      <c r="LEW804" s="110"/>
      <c r="LEX804" s="110"/>
      <c r="LEY804" s="110"/>
      <c r="LEZ804" s="110"/>
      <c r="LFA804" s="110"/>
      <c r="LFB804" s="110"/>
      <c r="LFC804" s="110"/>
      <c r="LFD804" s="110"/>
      <c r="LFE804" s="110"/>
      <c r="LFF804" s="110"/>
      <c r="LFG804" s="110"/>
      <c r="LFH804" s="110"/>
      <c r="LFI804" s="110"/>
      <c r="LFJ804" s="110"/>
      <c r="LFK804" s="110"/>
      <c r="LFL804" s="110"/>
      <c r="LFM804" s="110"/>
      <c r="LFN804" s="110"/>
      <c r="LFO804" s="110"/>
      <c r="LFP804" s="110"/>
      <c r="LFQ804" s="110"/>
      <c r="LFR804" s="110"/>
      <c r="LFS804" s="110"/>
      <c r="LFT804" s="110"/>
      <c r="LFU804" s="110"/>
      <c r="LFV804" s="110"/>
      <c r="LFW804" s="110"/>
      <c r="LFX804" s="110"/>
      <c r="LFY804" s="110"/>
      <c r="LFZ804" s="110"/>
      <c r="LGA804" s="110"/>
      <c r="LGB804" s="110"/>
      <c r="LGC804" s="110"/>
      <c r="LGD804" s="110"/>
      <c r="LGE804" s="110"/>
      <c r="LGF804" s="110"/>
      <c r="LGG804" s="110"/>
      <c r="LGH804" s="110"/>
      <c r="LGI804" s="110"/>
      <c r="LGJ804" s="110"/>
      <c r="LGK804" s="110"/>
      <c r="LGL804" s="110"/>
      <c r="LGM804" s="110"/>
      <c r="LGN804" s="110"/>
      <c r="LGO804" s="110"/>
      <c r="LGP804" s="110"/>
      <c r="LGQ804" s="110"/>
      <c r="LGR804" s="110"/>
      <c r="LGS804" s="110"/>
      <c r="LGT804" s="110"/>
      <c r="LGU804" s="110"/>
      <c r="LGV804" s="110"/>
      <c r="LGW804" s="110"/>
      <c r="LGX804" s="110"/>
      <c r="LGY804" s="110"/>
      <c r="LGZ804" s="110"/>
      <c r="LHA804" s="110"/>
      <c r="LHB804" s="110"/>
      <c r="LHC804" s="110"/>
      <c r="LHD804" s="110"/>
      <c r="LHE804" s="110"/>
      <c r="LHF804" s="110"/>
      <c r="LHG804" s="110"/>
      <c r="LHH804" s="110"/>
      <c r="LHI804" s="110"/>
      <c r="LHJ804" s="110"/>
      <c r="LHK804" s="110"/>
      <c r="LHL804" s="110"/>
      <c r="LHM804" s="110"/>
      <c r="LHN804" s="110"/>
      <c r="LHO804" s="110"/>
      <c r="LHP804" s="110"/>
      <c r="LHQ804" s="110"/>
      <c r="LHR804" s="110"/>
      <c r="LHS804" s="110"/>
      <c r="LHT804" s="110"/>
      <c r="LHU804" s="110"/>
      <c r="LHV804" s="110"/>
      <c r="LHW804" s="110"/>
      <c r="LHX804" s="110"/>
      <c r="LHY804" s="110"/>
      <c r="LHZ804" s="110"/>
      <c r="LIA804" s="110"/>
      <c r="LIB804" s="110"/>
      <c r="LIC804" s="110"/>
      <c r="LID804" s="110"/>
      <c r="LIE804" s="110"/>
      <c r="LIF804" s="110"/>
      <c r="LIG804" s="110"/>
      <c r="LIH804" s="110"/>
      <c r="LII804" s="110"/>
      <c r="LIJ804" s="110"/>
      <c r="LIK804" s="110"/>
      <c r="LIL804" s="110"/>
      <c r="LIM804" s="110"/>
      <c r="LIN804" s="110"/>
      <c r="LIO804" s="110"/>
      <c r="LIP804" s="110"/>
      <c r="LIQ804" s="110"/>
      <c r="LIR804" s="110"/>
      <c r="LIS804" s="110"/>
      <c r="LIT804" s="110"/>
      <c r="LIU804" s="110"/>
      <c r="LIV804" s="110"/>
      <c r="LIW804" s="110"/>
      <c r="LIX804" s="110"/>
      <c r="LIY804" s="110"/>
      <c r="LIZ804" s="110"/>
      <c r="LJA804" s="110"/>
      <c r="LJB804" s="110"/>
      <c r="LJC804" s="110"/>
      <c r="LJD804" s="110"/>
      <c r="LJE804" s="110"/>
      <c r="LJF804" s="110"/>
      <c r="LJG804" s="110"/>
      <c r="LJH804" s="110"/>
      <c r="LJI804" s="110"/>
      <c r="LJJ804" s="110"/>
      <c r="LJK804" s="110"/>
      <c r="LJL804" s="110"/>
      <c r="LJM804" s="110"/>
      <c r="LJN804" s="110"/>
      <c r="LJO804" s="110"/>
      <c r="LJP804" s="110"/>
      <c r="LJQ804" s="110"/>
      <c r="LJR804" s="110"/>
      <c r="LJS804" s="110"/>
      <c r="LJT804" s="110"/>
      <c r="LJU804" s="110"/>
      <c r="LJV804" s="110"/>
      <c r="LJW804" s="110"/>
      <c r="LJX804" s="110"/>
      <c r="LJY804" s="110"/>
      <c r="LJZ804" s="110"/>
      <c r="LKA804" s="110"/>
      <c r="LKB804" s="110"/>
      <c r="LKC804" s="110"/>
      <c r="LKD804" s="110"/>
      <c r="LKE804" s="110"/>
      <c r="LKF804" s="110"/>
      <c r="LKG804" s="110"/>
      <c r="LKH804" s="110"/>
      <c r="LKI804" s="110"/>
      <c r="LKJ804" s="110"/>
      <c r="LKK804" s="110"/>
      <c r="LKL804" s="110"/>
      <c r="LKM804" s="110"/>
      <c r="LKN804" s="110"/>
      <c r="LKO804" s="110"/>
      <c r="LKP804" s="110"/>
      <c r="LKQ804" s="110"/>
      <c r="LKR804" s="110"/>
      <c r="LKS804" s="110"/>
      <c r="LKT804" s="110"/>
      <c r="LKU804" s="110"/>
      <c r="LKV804" s="110"/>
      <c r="LKW804" s="110"/>
      <c r="LKX804" s="110"/>
      <c r="LKY804" s="110"/>
      <c r="LKZ804" s="110"/>
      <c r="LLA804" s="110"/>
      <c r="LLB804" s="110"/>
      <c r="LLC804" s="110"/>
      <c r="LLD804" s="110"/>
      <c r="LLE804" s="110"/>
      <c r="LLF804" s="110"/>
      <c r="LLG804" s="110"/>
      <c r="LLH804" s="110"/>
      <c r="LLI804" s="110"/>
      <c r="LLJ804" s="110"/>
      <c r="LLK804" s="110"/>
      <c r="LLL804" s="110"/>
      <c r="LLM804" s="110"/>
      <c r="LLN804" s="110"/>
      <c r="LLO804" s="110"/>
      <c r="LLP804" s="110"/>
      <c r="LLQ804" s="110"/>
      <c r="LLR804" s="110"/>
      <c r="LLS804" s="110"/>
      <c r="LLT804" s="110"/>
      <c r="LLU804" s="110"/>
      <c r="LLV804" s="110"/>
      <c r="LLW804" s="110"/>
      <c r="LLX804" s="110"/>
      <c r="LLY804" s="110"/>
      <c r="LLZ804" s="110"/>
      <c r="LMA804" s="110"/>
      <c r="LMB804" s="110"/>
      <c r="LMC804" s="110"/>
      <c r="LMD804" s="110"/>
      <c r="LME804" s="110"/>
      <c r="LMF804" s="110"/>
      <c r="LMG804" s="110"/>
      <c r="LMH804" s="110"/>
      <c r="LMI804" s="110"/>
      <c r="LMJ804" s="110"/>
      <c r="LMK804" s="110"/>
      <c r="LML804" s="110"/>
      <c r="LMM804" s="110"/>
      <c r="LMN804" s="110"/>
      <c r="LMO804" s="110"/>
      <c r="LMP804" s="110"/>
      <c r="LMQ804" s="110"/>
      <c r="LMR804" s="110"/>
      <c r="LMS804" s="110"/>
      <c r="LMT804" s="110"/>
      <c r="LMU804" s="110"/>
      <c r="LMV804" s="110"/>
      <c r="LMW804" s="110"/>
      <c r="LMX804" s="110"/>
      <c r="LMY804" s="110"/>
      <c r="LMZ804" s="110"/>
      <c r="LNA804" s="110"/>
      <c r="LNB804" s="110"/>
      <c r="LNC804" s="110"/>
      <c r="LND804" s="110"/>
      <c r="LNE804" s="110"/>
      <c r="LNF804" s="110"/>
      <c r="LNG804" s="110"/>
      <c r="LNH804" s="110"/>
      <c r="LNI804" s="110"/>
      <c r="LNJ804" s="110"/>
      <c r="LNK804" s="110"/>
      <c r="LNL804" s="110"/>
      <c r="LNM804" s="110"/>
      <c r="LNN804" s="110"/>
      <c r="LNO804" s="110"/>
      <c r="LNP804" s="110"/>
      <c r="LNQ804" s="110"/>
      <c r="LNR804" s="110"/>
      <c r="LNS804" s="110"/>
      <c r="LNT804" s="110"/>
      <c r="LNU804" s="110"/>
      <c r="LNV804" s="110"/>
      <c r="LNW804" s="110"/>
      <c r="LNX804" s="110"/>
      <c r="LNY804" s="110"/>
      <c r="LNZ804" s="110"/>
      <c r="LOA804" s="110"/>
      <c r="LOB804" s="110"/>
      <c r="LOC804" s="110"/>
      <c r="LOD804" s="110"/>
      <c r="LOE804" s="110"/>
      <c r="LOF804" s="110"/>
      <c r="LOG804" s="110"/>
      <c r="LOH804" s="110"/>
      <c r="LOI804" s="110"/>
      <c r="LOJ804" s="110"/>
      <c r="LOK804" s="110"/>
      <c r="LOL804" s="110"/>
      <c r="LOM804" s="110"/>
      <c r="LON804" s="110"/>
      <c r="LOO804" s="110"/>
      <c r="LOP804" s="110"/>
      <c r="LOQ804" s="110"/>
      <c r="LOR804" s="110"/>
      <c r="LOS804" s="110"/>
      <c r="LOT804" s="110"/>
      <c r="LOU804" s="110"/>
      <c r="LOV804" s="110"/>
      <c r="LOW804" s="110"/>
      <c r="LOX804" s="110"/>
      <c r="LOY804" s="110"/>
      <c r="LOZ804" s="110"/>
      <c r="LPA804" s="110"/>
      <c r="LPB804" s="110"/>
      <c r="LPC804" s="110"/>
      <c r="LPD804" s="110"/>
      <c r="LPE804" s="110"/>
      <c r="LPF804" s="110"/>
      <c r="LPG804" s="110"/>
      <c r="LPH804" s="110"/>
      <c r="LPI804" s="110"/>
      <c r="LPJ804" s="110"/>
      <c r="LPK804" s="110"/>
      <c r="LPL804" s="110"/>
      <c r="LPM804" s="110"/>
      <c r="LPN804" s="110"/>
      <c r="LPO804" s="110"/>
      <c r="LPP804" s="110"/>
      <c r="LPQ804" s="110"/>
      <c r="LPR804" s="110"/>
      <c r="LPS804" s="110"/>
      <c r="LPT804" s="110"/>
      <c r="LPU804" s="110"/>
      <c r="LPV804" s="110"/>
      <c r="LPW804" s="110"/>
      <c r="LPX804" s="110"/>
      <c r="LPY804" s="110"/>
      <c r="LPZ804" s="110"/>
      <c r="LQA804" s="110"/>
      <c r="LQB804" s="110"/>
      <c r="LQC804" s="110"/>
      <c r="LQD804" s="110"/>
      <c r="LQE804" s="110"/>
      <c r="LQF804" s="110"/>
      <c r="LQG804" s="110"/>
      <c r="LQH804" s="110"/>
      <c r="LQI804" s="110"/>
      <c r="LQJ804" s="110"/>
      <c r="LQK804" s="110"/>
      <c r="LQL804" s="110"/>
      <c r="LQM804" s="110"/>
      <c r="LQN804" s="110"/>
      <c r="LQO804" s="110"/>
      <c r="LQP804" s="110"/>
      <c r="LQQ804" s="110"/>
      <c r="LQR804" s="110"/>
      <c r="LQS804" s="110"/>
      <c r="LQT804" s="110"/>
      <c r="LQU804" s="110"/>
      <c r="LQV804" s="110"/>
      <c r="LQW804" s="110"/>
      <c r="LQX804" s="110"/>
      <c r="LQY804" s="110"/>
      <c r="LQZ804" s="110"/>
      <c r="LRA804" s="110"/>
      <c r="LRB804" s="110"/>
      <c r="LRC804" s="110"/>
      <c r="LRD804" s="110"/>
      <c r="LRE804" s="110"/>
      <c r="LRF804" s="110"/>
      <c r="LRG804" s="110"/>
      <c r="LRH804" s="110"/>
      <c r="LRI804" s="110"/>
      <c r="LRJ804" s="110"/>
      <c r="LRK804" s="110"/>
      <c r="LRL804" s="110"/>
      <c r="LRM804" s="110"/>
      <c r="LRN804" s="110"/>
      <c r="LRO804" s="110"/>
      <c r="LRP804" s="110"/>
      <c r="LRQ804" s="110"/>
      <c r="LRR804" s="110"/>
      <c r="LRS804" s="110"/>
      <c r="LRT804" s="110"/>
      <c r="LRU804" s="110"/>
      <c r="LRV804" s="110"/>
      <c r="LRW804" s="110"/>
      <c r="LRX804" s="110"/>
      <c r="LRY804" s="110"/>
      <c r="LRZ804" s="110"/>
      <c r="LSA804" s="110"/>
      <c r="LSB804" s="110"/>
      <c r="LSC804" s="110"/>
      <c r="LSD804" s="110"/>
      <c r="LSE804" s="110"/>
      <c r="LSF804" s="110"/>
      <c r="LSG804" s="110"/>
      <c r="LSH804" s="110"/>
      <c r="LSI804" s="110"/>
      <c r="LSJ804" s="110"/>
      <c r="LSK804" s="110"/>
      <c r="LSL804" s="110"/>
      <c r="LSM804" s="110"/>
      <c r="LSN804" s="110"/>
      <c r="LSO804" s="110"/>
      <c r="LSP804" s="110"/>
      <c r="LSQ804" s="110"/>
      <c r="LSR804" s="110"/>
      <c r="LSS804" s="110"/>
      <c r="LST804" s="110"/>
      <c r="LSU804" s="110"/>
      <c r="LSV804" s="110"/>
      <c r="LSW804" s="110"/>
      <c r="LSX804" s="110"/>
      <c r="LSY804" s="110"/>
      <c r="LSZ804" s="110"/>
      <c r="LTA804" s="110"/>
      <c r="LTB804" s="110"/>
      <c r="LTC804" s="110"/>
      <c r="LTD804" s="110"/>
      <c r="LTE804" s="110"/>
      <c r="LTF804" s="110"/>
      <c r="LTG804" s="110"/>
      <c r="LTH804" s="110"/>
      <c r="LTI804" s="110"/>
      <c r="LTJ804" s="110"/>
      <c r="LTK804" s="110"/>
      <c r="LTL804" s="110"/>
      <c r="LTM804" s="110"/>
      <c r="LTN804" s="110"/>
      <c r="LTO804" s="110"/>
      <c r="LTP804" s="110"/>
      <c r="LTQ804" s="110"/>
      <c r="LTR804" s="110"/>
      <c r="LTS804" s="110"/>
      <c r="LTT804" s="110"/>
      <c r="LTU804" s="110"/>
      <c r="LTV804" s="110"/>
      <c r="LTW804" s="110"/>
      <c r="LTX804" s="110"/>
      <c r="LTY804" s="110"/>
      <c r="LTZ804" s="110"/>
      <c r="LUA804" s="110"/>
      <c r="LUB804" s="110"/>
      <c r="LUC804" s="110"/>
      <c r="LUD804" s="110"/>
      <c r="LUE804" s="110"/>
      <c r="LUF804" s="110"/>
      <c r="LUG804" s="110"/>
      <c r="LUH804" s="110"/>
      <c r="LUI804" s="110"/>
      <c r="LUJ804" s="110"/>
      <c r="LUK804" s="110"/>
      <c r="LUL804" s="110"/>
      <c r="LUM804" s="110"/>
      <c r="LUN804" s="110"/>
      <c r="LUO804" s="110"/>
      <c r="LUP804" s="110"/>
      <c r="LUQ804" s="110"/>
      <c r="LUR804" s="110"/>
      <c r="LUS804" s="110"/>
      <c r="LUT804" s="110"/>
      <c r="LUU804" s="110"/>
      <c r="LUV804" s="110"/>
      <c r="LUW804" s="110"/>
      <c r="LUX804" s="110"/>
      <c r="LUY804" s="110"/>
      <c r="LUZ804" s="110"/>
      <c r="LVA804" s="110"/>
      <c r="LVB804" s="110"/>
      <c r="LVC804" s="110"/>
      <c r="LVD804" s="110"/>
      <c r="LVE804" s="110"/>
      <c r="LVF804" s="110"/>
      <c r="LVG804" s="110"/>
      <c r="LVH804" s="110"/>
      <c r="LVI804" s="110"/>
      <c r="LVJ804" s="110"/>
      <c r="LVK804" s="110"/>
      <c r="LVL804" s="110"/>
      <c r="LVM804" s="110"/>
      <c r="LVN804" s="110"/>
      <c r="LVO804" s="110"/>
      <c r="LVP804" s="110"/>
      <c r="LVQ804" s="110"/>
      <c r="LVR804" s="110"/>
      <c r="LVS804" s="110"/>
      <c r="LVT804" s="110"/>
      <c r="LVU804" s="110"/>
      <c r="LVV804" s="110"/>
      <c r="LVW804" s="110"/>
      <c r="LVX804" s="110"/>
      <c r="LVY804" s="110"/>
      <c r="LVZ804" s="110"/>
      <c r="LWA804" s="110"/>
      <c r="LWB804" s="110"/>
      <c r="LWC804" s="110"/>
      <c r="LWD804" s="110"/>
      <c r="LWE804" s="110"/>
      <c r="LWF804" s="110"/>
      <c r="LWG804" s="110"/>
      <c r="LWH804" s="110"/>
      <c r="LWI804" s="110"/>
      <c r="LWJ804" s="110"/>
      <c r="LWK804" s="110"/>
      <c r="LWL804" s="110"/>
      <c r="LWM804" s="110"/>
      <c r="LWN804" s="110"/>
      <c r="LWO804" s="110"/>
      <c r="LWP804" s="110"/>
      <c r="LWQ804" s="110"/>
      <c r="LWR804" s="110"/>
      <c r="LWS804" s="110"/>
      <c r="LWT804" s="110"/>
      <c r="LWU804" s="110"/>
      <c r="LWV804" s="110"/>
      <c r="LWW804" s="110"/>
      <c r="LWX804" s="110"/>
      <c r="LWY804" s="110"/>
      <c r="LWZ804" s="110"/>
      <c r="LXA804" s="110"/>
      <c r="LXB804" s="110"/>
      <c r="LXC804" s="110"/>
      <c r="LXD804" s="110"/>
      <c r="LXE804" s="110"/>
      <c r="LXF804" s="110"/>
      <c r="LXG804" s="110"/>
      <c r="LXH804" s="110"/>
      <c r="LXI804" s="110"/>
      <c r="LXJ804" s="110"/>
      <c r="LXK804" s="110"/>
      <c r="LXL804" s="110"/>
      <c r="LXM804" s="110"/>
      <c r="LXN804" s="110"/>
      <c r="LXO804" s="110"/>
      <c r="LXP804" s="110"/>
      <c r="LXQ804" s="110"/>
      <c r="LXR804" s="110"/>
      <c r="LXS804" s="110"/>
      <c r="LXT804" s="110"/>
      <c r="LXU804" s="110"/>
      <c r="LXV804" s="110"/>
      <c r="LXW804" s="110"/>
      <c r="LXX804" s="110"/>
      <c r="LXY804" s="110"/>
      <c r="LXZ804" s="110"/>
      <c r="LYA804" s="110"/>
      <c r="LYB804" s="110"/>
      <c r="LYC804" s="110"/>
      <c r="LYD804" s="110"/>
      <c r="LYE804" s="110"/>
      <c r="LYF804" s="110"/>
      <c r="LYG804" s="110"/>
      <c r="LYH804" s="110"/>
      <c r="LYI804" s="110"/>
      <c r="LYJ804" s="110"/>
      <c r="LYK804" s="110"/>
      <c r="LYL804" s="110"/>
      <c r="LYM804" s="110"/>
      <c r="LYN804" s="110"/>
      <c r="LYO804" s="110"/>
      <c r="LYP804" s="110"/>
      <c r="LYQ804" s="110"/>
      <c r="LYR804" s="110"/>
      <c r="LYS804" s="110"/>
      <c r="LYT804" s="110"/>
      <c r="LYU804" s="110"/>
      <c r="LYV804" s="110"/>
      <c r="LYW804" s="110"/>
      <c r="LYX804" s="110"/>
      <c r="LYY804" s="110"/>
      <c r="LYZ804" s="110"/>
      <c r="LZA804" s="110"/>
      <c r="LZB804" s="110"/>
      <c r="LZC804" s="110"/>
      <c r="LZD804" s="110"/>
      <c r="LZE804" s="110"/>
      <c r="LZF804" s="110"/>
      <c r="LZG804" s="110"/>
      <c r="LZH804" s="110"/>
      <c r="LZI804" s="110"/>
      <c r="LZJ804" s="110"/>
      <c r="LZK804" s="110"/>
      <c r="LZL804" s="110"/>
      <c r="LZM804" s="110"/>
      <c r="LZN804" s="110"/>
      <c r="LZO804" s="110"/>
      <c r="LZP804" s="110"/>
      <c r="LZQ804" s="110"/>
      <c r="LZR804" s="110"/>
      <c r="LZS804" s="110"/>
      <c r="LZT804" s="110"/>
      <c r="LZU804" s="110"/>
      <c r="LZV804" s="110"/>
      <c r="LZW804" s="110"/>
      <c r="LZX804" s="110"/>
      <c r="LZY804" s="110"/>
      <c r="LZZ804" s="110"/>
      <c r="MAA804" s="110"/>
      <c r="MAB804" s="110"/>
      <c r="MAC804" s="110"/>
      <c r="MAD804" s="110"/>
      <c r="MAE804" s="110"/>
      <c r="MAF804" s="110"/>
      <c r="MAG804" s="110"/>
      <c r="MAH804" s="110"/>
      <c r="MAI804" s="110"/>
      <c r="MAJ804" s="110"/>
      <c r="MAK804" s="110"/>
      <c r="MAL804" s="110"/>
      <c r="MAM804" s="110"/>
      <c r="MAN804" s="110"/>
      <c r="MAO804" s="110"/>
      <c r="MAP804" s="110"/>
      <c r="MAQ804" s="110"/>
      <c r="MAR804" s="110"/>
      <c r="MAS804" s="110"/>
      <c r="MAT804" s="110"/>
      <c r="MAU804" s="110"/>
      <c r="MAV804" s="110"/>
      <c r="MAW804" s="110"/>
      <c r="MAX804" s="110"/>
      <c r="MAY804" s="110"/>
      <c r="MAZ804" s="110"/>
      <c r="MBA804" s="110"/>
      <c r="MBB804" s="110"/>
      <c r="MBC804" s="110"/>
      <c r="MBD804" s="110"/>
      <c r="MBE804" s="110"/>
      <c r="MBF804" s="110"/>
      <c r="MBG804" s="110"/>
      <c r="MBH804" s="110"/>
      <c r="MBI804" s="110"/>
      <c r="MBJ804" s="110"/>
      <c r="MBK804" s="110"/>
      <c r="MBL804" s="110"/>
      <c r="MBM804" s="110"/>
      <c r="MBN804" s="110"/>
      <c r="MBO804" s="110"/>
      <c r="MBP804" s="110"/>
      <c r="MBQ804" s="110"/>
      <c r="MBR804" s="110"/>
      <c r="MBS804" s="110"/>
      <c r="MBT804" s="110"/>
      <c r="MBU804" s="110"/>
      <c r="MBV804" s="110"/>
      <c r="MBW804" s="110"/>
      <c r="MBX804" s="110"/>
      <c r="MBY804" s="110"/>
      <c r="MBZ804" s="110"/>
      <c r="MCA804" s="110"/>
      <c r="MCB804" s="110"/>
      <c r="MCC804" s="110"/>
      <c r="MCD804" s="110"/>
      <c r="MCE804" s="110"/>
      <c r="MCF804" s="110"/>
      <c r="MCG804" s="110"/>
      <c r="MCH804" s="110"/>
      <c r="MCI804" s="110"/>
      <c r="MCJ804" s="110"/>
      <c r="MCK804" s="110"/>
      <c r="MCL804" s="110"/>
      <c r="MCM804" s="110"/>
      <c r="MCN804" s="110"/>
      <c r="MCO804" s="110"/>
      <c r="MCP804" s="110"/>
      <c r="MCQ804" s="110"/>
      <c r="MCR804" s="110"/>
      <c r="MCS804" s="110"/>
      <c r="MCT804" s="110"/>
      <c r="MCU804" s="110"/>
      <c r="MCV804" s="110"/>
      <c r="MCW804" s="110"/>
      <c r="MCX804" s="110"/>
      <c r="MCY804" s="110"/>
      <c r="MCZ804" s="110"/>
      <c r="MDA804" s="110"/>
      <c r="MDB804" s="110"/>
      <c r="MDC804" s="110"/>
      <c r="MDD804" s="110"/>
      <c r="MDE804" s="110"/>
      <c r="MDF804" s="110"/>
      <c r="MDG804" s="110"/>
      <c r="MDH804" s="110"/>
      <c r="MDI804" s="110"/>
      <c r="MDJ804" s="110"/>
      <c r="MDK804" s="110"/>
      <c r="MDL804" s="110"/>
      <c r="MDM804" s="110"/>
      <c r="MDN804" s="110"/>
      <c r="MDO804" s="110"/>
      <c r="MDP804" s="110"/>
      <c r="MDQ804" s="110"/>
      <c r="MDR804" s="110"/>
      <c r="MDS804" s="110"/>
      <c r="MDT804" s="110"/>
      <c r="MDU804" s="110"/>
      <c r="MDV804" s="110"/>
      <c r="MDW804" s="110"/>
      <c r="MDX804" s="110"/>
      <c r="MDY804" s="110"/>
      <c r="MDZ804" s="110"/>
      <c r="MEA804" s="110"/>
      <c r="MEB804" s="110"/>
      <c r="MEC804" s="110"/>
      <c r="MED804" s="110"/>
      <c r="MEE804" s="110"/>
      <c r="MEF804" s="110"/>
      <c r="MEG804" s="110"/>
      <c r="MEH804" s="110"/>
      <c r="MEI804" s="110"/>
      <c r="MEJ804" s="110"/>
      <c r="MEK804" s="110"/>
      <c r="MEL804" s="110"/>
      <c r="MEM804" s="110"/>
      <c r="MEN804" s="110"/>
      <c r="MEO804" s="110"/>
      <c r="MEP804" s="110"/>
      <c r="MEQ804" s="110"/>
      <c r="MER804" s="110"/>
      <c r="MES804" s="110"/>
      <c r="MET804" s="110"/>
      <c r="MEU804" s="110"/>
      <c r="MEV804" s="110"/>
      <c r="MEW804" s="110"/>
      <c r="MEX804" s="110"/>
      <c r="MEY804" s="110"/>
      <c r="MEZ804" s="110"/>
      <c r="MFA804" s="110"/>
      <c r="MFB804" s="110"/>
      <c r="MFC804" s="110"/>
      <c r="MFD804" s="110"/>
      <c r="MFE804" s="110"/>
      <c r="MFF804" s="110"/>
      <c r="MFG804" s="110"/>
      <c r="MFH804" s="110"/>
      <c r="MFI804" s="110"/>
      <c r="MFJ804" s="110"/>
      <c r="MFK804" s="110"/>
      <c r="MFL804" s="110"/>
      <c r="MFM804" s="110"/>
      <c r="MFN804" s="110"/>
      <c r="MFO804" s="110"/>
      <c r="MFP804" s="110"/>
      <c r="MFQ804" s="110"/>
      <c r="MFR804" s="110"/>
      <c r="MFS804" s="110"/>
      <c r="MFT804" s="110"/>
      <c r="MFU804" s="110"/>
      <c r="MFV804" s="110"/>
      <c r="MFW804" s="110"/>
      <c r="MFX804" s="110"/>
      <c r="MFY804" s="110"/>
      <c r="MFZ804" s="110"/>
      <c r="MGA804" s="110"/>
      <c r="MGB804" s="110"/>
      <c r="MGC804" s="110"/>
      <c r="MGD804" s="110"/>
      <c r="MGE804" s="110"/>
      <c r="MGF804" s="110"/>
      <c r="MGG804" s="110"/>
      <c r="MGH804" s="110"/>
      <c r="MGI804" s="110"/>
      <c r="MGJ804" s="110"/>
      <c r="MGK804" s="110"/>
      <c r="MGL804" s="110"/>
      <c r="MGM804" s="110"/>
      <c r="MGN804" s="110"/>
      <c r="MGO804" s="110"/>
      <c r="MGP804" s="110"/>
      <c r="MGQ804" s="110"/>
      <c r="MGR804" s="110"/>
      <c r="MGS804" s="110"/>
      <c r="MGT804" s="110"/>
      <c r="MGU804" s="110"/>
      <c r="MGV804" s="110"/>
      <c r="MGW804" s="110"/>
      <c r="MGX804" s="110"/>
      <c r="MGY804" s="110"/>
      <c r="MGZ804" s="110"/>
      <c r="MHA804" s="110"/>
      <c r="MHB804" s="110"/>
      <c r="MHC804" s="110"/>
      <c r="MHD804" s="110"/>
      <c r="MHE804" s="110"/>
      <c r="MHF804" s="110"/>
      <c r="MHG804" s="110"/>
      <c r="MHH804" s="110"/>
      <c r="MHI804" s="110"/>
      <c r="MHJ804" s="110"/>
      <c r="MHK804" s="110"/>
      <c r="MHL804" s="110"/>
      <c r="MHM804" s="110"/>
      <c r="MHN804" s="110"/>
      <c r="MHO804" s="110"/>
      <c r="MHP804" s="110"/>
      <c r="MHQ804" s="110"/>
      <c r="MHR804" s="110"/>
      <c r="MHS804" s="110"/>
      <c r="MHT804" s="110"/>
      <c r="MHU804" s="110"/>
      <c r="MHV804" s="110"/>
      <c r="MHW804" s="110"/>
      <c r="MHX804" s="110"/>
      <c r="MHY804" s="110"/>
      <c r="MHZ804" s="110"/>
      <c r="MIA804" s="110"/>
      <c r="MIB804" s="110"/>
      <c r="MIC804" s="110"/>
      <c r="MID804" s="110"/>
      <c r="MIE804" s="110"/>
      <c r="MIF804" s="110"/>
      <c r="MIG804" s="110"/>
      <c r="MIH804" s="110"/>
      <c r="MII804" s="110"/>
      <c r="MIJ804" s="110"/>
      <c r="MIK804" s="110"/>
      <c r="MIL804" s="110"/>
      <c r="MIM804" s="110"/>
      <c r="MIN804" s="110"/>
      <c r="MIO804" s="110"/>
      <c r="MIP804" s="110"/>
      <c r="MIQ804" s="110"/>
      <c r="MIR804" s="110"/>
      <c r="MIS804" s="110"/>
      <c r="MIT804" s="110"/>
      <c r="MIU804" s="110"/>
      <c r="MIV804" s="110"/>
      <c r="MIW804" s="110"/>
      <c r="MIX804" s="110"/>
      <c r="MIY804" s="110"/>
      <c r="MIZ804" s="110"/>
      <c r="MJA804" s="110"/>
      <c r="MJB804" s="110"/>
      <c r="MJC804" s="110"/>
      <c r="MJD804" s="110"/>
      <c r="MJE804" s="110"/>
      <c r="MJF804" s="110"/>
      <c r="MJG804" s="110"/>
      <c r="MJH804" s="110"/>
      <c r="MJI804" s="110"/>
      <c r="MJJ804" s="110"/>
      <c r="MJK804" s="110"/>
      <c r="MJL804" s="110"/>
      <c r="MJM804" s="110"/>
      <c r="MJN804" s="110"/>
      <c r="MJO804" s="110"/>
      <c r="MJP804" s="110"/>
      <c r="MJQ804" s="110"/>
      <c r="MJR804" s="110"/>
      <c r="MJS804" s="110"/>
      <c r="MJT804" s="110"/>
      <c r="MJU804" s="110"/>
      <c r="MJV804" s="110"/>
      <c r="MJW804" s="110"/>
      <c r="MJX804" s="110"/>
      <c r="MJY804" s="110"/>
      <c r="MJZ804" s="110"/>
      <c r="MKA804" s="110"/>
      <c r="MKB804" s="110"/>
      <c r="MKC804" s="110"/>
      <c r="MKD804" s="110"/>
      <c r="MKE804" s="110"/>
      <c r="MKF804" s="110"/>
      <c r="MKG804" s="110"/>
      <c r="MKH804" s="110"/>
      <c r="MKI804" s="110"/>
      <c r="MKJ804" s="110"/>
      <c r="MKK804" s="110"/>
      <c r="MKL804" s="110"/>
      <c r="MKM804" s="110"/>
      <c r="MKN804" s="110"/>
      <c r="MKO804" s="110"/>
      <c r="MKP804" s="110"/>
      <c r="MKQ804" s="110"/>
      <c r="MKR804" s="110"/>
      <c r="MKS804" s="110"/>
      <c r="MKT804" s="110"/>
      <c r="MKU804" s="110"/>
      <c r="MKV804" s="110"/>
      <c r="MKW804" s="110"/>
      <c r="MKX804" s="110"/>
      <c r="MKY804" s="110"/>
      <c r="MKZ804" s="110"/>
      <c r="MLA804" s="110"/>
      <c r="MLB804" s="110"/>
      <c r="MLC804" s="110"/>
      <c r="MLD804" s="110"/>
      <c r="MLE804" s="110"/>
      <c r="MLF804" s="110"/>
      <c r="MLG804" s="110"/>
      <c r="MLH804" s="110"/>
      <c r="MLI804" s="110"/>
      <c r="MLJ804" s="110"/>
      <c r="MLK804" s="110"/>
      <c r="MLL804" s="110"/>
      <c r="MLM804" s="110"/>
      <c r="MLN804" s="110"/>
      <c r="MLO804" s="110"/>
      <c r="MLP804" s="110"/>
      <c r="MLQ804" s="110"/>
      <c r="MLR804" s="110"/>
      <c r="MLS804" s="110"/>
      <c r="MLT804" s="110"/>
      <c r="MLU804" s="110"/>
      <c r="MLV804" s="110"/>
      <c r="MLW804" s="110"/>
      <c r="MLX804" s="110"/>
      <c r="MLY804" s="110"/>
      <c r="MLZ804" s="110"/>
      <c r="MMA804" s="110"/>
      <c r="MMB804" s="110"/>
      <c r="MMC804" s="110"/>
      <c r="MMD804" s="110"/>
      <c r="MME804" s="110"/>
      <c r="MMF804" s="110"/>
      <c r="MMG804" s="110"/>
      <c r="MMH804" s="110"/>
      <c r="MMI804" s="110"/>
      <c r="MMJ804" s="110"/>
      <c r="MMK804" s="110"/>
      <c r="MML804" s="110"/>
      <c r="MMM804" s="110"/>
      <c r="MMN804" s="110"/>
      <c r="MMO804" s="110"/>
      <c r="MMP804" s="110"/>
      <c r="MMQ804" s="110"/>
      <c r="MMR804" s="110"/>
      <c r="MMS804" s="110"/>
      <c r="MMT804" s="110"/>
      <c r="MMU804" s="110"/>
      <c r="MMV804" s="110"/>
      <c r="MMW804" s="110"/>
      <c r="MMX804" s="110"/>
      <c r="MMY804" s="110"/>
      <c r="MMZ804" s="110"/>
      <c r="MNA804" s="110"/>
      <c r="MNB804" s="110"/>
      <c r="MNC804" s="110"/>
      <c r="MND804" s="110"/>
      <c r="MNE804" s="110"/>
      <c r="MNF804" s="110"/>
      <c r="MNG804" s="110"/>
      <c r="MNH804" s="110"/>
      <c r="MNI804" s="110"/>
      <c r="MNJ804" s="110"/>
      <c r="MNK804" s="110"/>
      <c r="MNL804" s="110"/>
      <c r="MNM804" s="110"/>
      <c r="MNN804" s="110"/>
      <c r="MNO804" s="110"/>
      <c r="MNP804" s="110"/>
      <c r="MNQ804" s="110"/>
      <c r="MNR804" s="110"/>
      <c r="MNS804" s="110"/>
      <c r="MNT804" s="110"/>
      <c r="MNU804" s="110"/>
      <c r="MNV804" s="110"/>
      <c r="MNW804" s="110"/>
      <c r="MNX804" s="110"/>
      <c r="MNY804" s="110"/>
      <c r="MNZ804" s="110"/>
      <c r="MOA804" s="110"/>
      <c r="MOB804" s="110"/>
      <c r="MOC804" s="110"/>
      <c r="MOD804" s="110"/>
      <c r="MOE804" s="110"/>
      <c r="MOF804" s="110"/>
      <c r="MOG804" s="110"/>
      <c r="MOH804" s="110"/>
      <c r="MOI804" s="110"/>
      <c r="MOJ804" s="110"/>
      <c r="MOK804" s="110"/>
      <c r="MOL804" s="110"/>
      <c r="MOM804" s="110"/>
      <c r="MON804" s="110"/>
      <c r="MOO804" s="110"/>
      <c r="MOP804" s="110"/>
      <c r="MOQ804" s="110"/>
      <c r="MOR804" s="110"/>
      <c r="MOS804" s="110"/>
      <c r="MOT804" s="110"/>
      <c r="MOU804" s="110"/>
      <c r="MOV804" s="110"/>
      <c r="MOW804" s="110"/>
      <c r="MOX804" s="110"/>
      <c r="MOY804" s="110"/>
      <c r="MOZ804" s="110"/>
      <c r="MPA804" s="110"/>
      <c r="MPB804" s="110"/>
      <c r="MPC804" s="110"/>
      <c r="MPD804" s="110"/>
      <c r="MPE804" s="110"/>
      <c r="MPF804" s="110"/>
      <c r="MPG804" s="110"/>
      <c r="MPH804" s="110"/>
      <c r="MPI804" s="110"/>
      <c r="MPJ804" s="110"/>
      <c r="MPK804" s="110"/>
      <c r="MPL804" s="110"/>
      <c r="MPM804" s="110"/>
      <c r="MPN804" s="110"/>
      <c r="MPO804" s="110"/>
      <c r="MPP804" s="110"/>
      <c r="MPQ804" s="110"/>
      <c r="MPR804" s="110"/>
      <c r="MPS804" s="110"/>
      <c r="MPT804" s="110"/>
      <c r="MPU804" s="110"/>
      <c r="MPV804" s="110"/>
      <c r="MPW804" s="110"/>
      <c r="MPX804" s="110"/>
      <c r="MPY804" s="110"/>
      <c r="MPZ804" s="110"/>
      <c r="MQA804" s="110"/>
      <c r="MQB804" s="110"/>
      <c r="MQC804" s="110"/>
      <c r="MQD804" s="110"/>
      <c r="MQE804" s="110"/>
      <c r="MQF804" s="110"/>
      <c r="MQG804" s="110"/>
      <c r="MQH804" s="110"/>
      <c r="MQI804" s="110"/>
      <c r="MQJ804" s="110"/>
      <c r="MQK804" s="110"/>
      <c r="MQL804" s="110"/>
      <c r="MQM804" s="110"/>
      <c r="MQN804" s="110"/>
      <c r="MQO804" s="110"/>
      <c r="MQP804" s="110"/>
      <c r="MQQ804" s="110"/>
      <c r="MQR804" s="110"/>
      <c r="MQS804" s="110"/>
      <c r="MQT804" s="110"/>
      <c r="MQU804" s="110"/>
      <c r="MQV804" s="110"/>
      <c r="MQW804" s="110"/>
      <c r="MQX804" s="110"/>
      <c r="MQY804" s="110"/>
      <c r="MQZ804" s="110"/>
      <c r="MRA804" s="110"/>
      <c r="MRB804" s="110"/>
      <c r="MRC804" s="110"/>
      <c r="MRD804" s="110"/>
      <c r="MRE804" s="110"/>
      <c r="MRF804" s="110"/>
      <c r="MRG804" s="110"/>
      <c r="MRH804" s="110"/>
      <c r="MRI804" s="110"/>
      <c r="MRJ804" s="110"/>
      <c r="MRK804" s="110"/>
      <c r="MRL804" s="110"/>
      <c r="MRM804" s="110"/>
      <c r="MRN804" s="110"/>
      <c r="MRO804" s="110"/>
      <c r="MRP804" s="110"/>
      <c r="MRQ804" s="110"/>
      <c r="MRR804" s="110"/>
      <c r="MRS804" s="110"/>
      <c r="MRT804" s="110"/>
      <c r="MRU804" s="110"/>
      <c r="MRV804" s="110"/>
      <c r="MRW804" s="110"/>
      <c r="MRX804" s="110"/>
      <c r="MRY804" s="110"/>
      <c r="MRZ804" s="110"/>
      <c r="MSA804" s="110"/>
      <c r="MSB804" s="110"/>
      <c r="MSC804" s="110"/>
      <c r="MSD804" s="110"/>
      <c r="MSE804" s="110"/>
      <c r="MSF804" s="110"/>
      <c r="MSG804" s="110"/>
      <c r="MSH804" s="110"/>
      <c r="MSI804" s="110"/>
      <c r="MSJ804" s="110"/>
      <c r="MSK804" s="110"/>
      <c r="MSL804" s="110"/>
      <c r="MSM804" s="110"/>
      <c r="MSN804" s="110"/>
      <c r="MSO804" s="110"/>
      <c r="MSP804" s="110"/>
      <c r="MSQ804" s="110"/>
      <c r="MSR804" s="110"/>
      <c r="MSS804" s="110"/>
      <c r="MST804" s="110"/>
      <c r="MSU804" s="110"/>
      <c r="MSV804" s="110"/>
      <c r="MSW804" s="110"/>
      <c r="MSX804" s="110"/>
      <c r="MSY804" s="110"/>
      <c r="MSZ804" s="110"/>
      <c r="MTA804" s="110"/>
      <c r="MTB804" s="110"/>
      <c r="MTC804" s="110"/>
      <c r="MTD804" s="110"/>
      <c r="MTE804" s="110"/>
      <c r="MTF804" s="110"/>
      <c r="MTG804" s="110"/>
      <c r="MTH804" s="110"/>
      <c r="MTI804" s="110"/>
      <c r="MTJ804" s="110"/>
      <c r="MTK804" s="110"/>
      <c r="MTL804" s="110"/>
      <c r="MTM804" s="110"/>
      <c r="MTN804" s="110"/>
      <c r="MTO804" s="110"/>
      <c r="MTP804" s="110"/>
      <c r="MTQ804" s="110"/>
      <c r="MTR804" s="110"/>
      <c r="MTS804" s="110"/>
      <c r="MTT804" s="110"/>
      <c r="MTU804" s="110"/>
      <c r="MTV804" s="110"/>
      <c r="MTW804" s="110"/>
      <c r="MTX804" s="110"/>
      <c r="MTY804" s="110"/>
      <c r="MTZ804" s="110"/>
      <c r="MUA804" s="110"/>
      <c r="MUB804" s="110"/>
      <c r="MUC804" s="110"/>
      <c r="MUD804" s="110"/>
      <c r="MUE804" s="110"/>
      <c r="MUF804" s="110"/>
      <c r="MUG804" s="110"/>
      <c r="MUH804" s="110"/>
      <c r="MUI804" s="110"/>
      <c r="MUJ804" s="110"/>
      <c r="MUK804" s="110"/>
      <c r="MUL804" s="110"/>
      <c r="MUM804" s="110"/>
      <c r="MUN804" s="110"/>
      <c r="MUO804" s="110"/>
      <c r="MUP804" s="110"/>
      <c r="MUQ804" s="110"/>
      <c r="MUR804" s="110"/>
      <c r="MUS804" s="110"/>
      <c r="MUT804" s="110"/>
      <c r="MUU804" s="110"/>
      <c r="MUV804" s="110"/>
      <c r="MUW804" s="110"/>
      <c r="MUX804" s="110"/>
      <c r="MUY804" s="110"/>
      <c r="MUZ804" s="110"/>
      <c r="MVA804" s="110"/>
      <c r="MVB804" s="110"/>
      <c r="MVC804" s="110"/>
      <c r="MVD804" s="110"/>
      <c r="MVE804" s="110"/>
      <c r="MVF804" s="110"/>
      <c r="MVG804" s="110"/>
      <c r="MVH804" s="110"/>
      <c r="MVI804" s="110"/>
      <c r="MVJ804" s="110"/>
      <c r="MVK804" s="110"/>
      <c r="MVL804" s="110"/>
      <c r="MVM804" s="110"/>
      <c r="MVN804" s="110"/>
      <c r="MVO804" s="110"/>
      <c r="MVP804" s="110"/>
      <c r="MVQ804" s="110"/>
      <c r="MVR804" s="110"/>
      <c r="MVS804" s="110"/>
      <c r="MVT804" s="110"/>
      <c r="MVU804" s="110"/>
      <c r="MVV804" s="110"/>
      <c r="MVW804" s="110"/>
      <c r="MVX804" s="110"/>
      <c r="MVY804" s="110"/>
      <c r="MVZ804" s="110"/>
      <c r="MWA804" s="110"/>
      <c r="MWB804" s="110"/>
      <c r="MWC804" s="110"/>
      <c r="MWD804" s="110"/>
      <c r="MWE804" s="110"/>
      <c r="MWF804" s="110"/>
      <c r="MWG804" s="110"/>
      <c r="MWH804" s="110"/>
      <c r="MWI804" s="110"/>
      <c r="MWJ804" s="110"/>
      <c r="MWK804" s="110"/>
      <c r="MWL804" s="110"/>
      <c r="MWM804" s="110"/>
      <c r="MWN804" s="110"/>
      <c r="MWO804" s="110"/>
      <c r="MWP804" s="110"/>
      <c r="MWQ804" s="110"/>
      <c r="MWR804" s="110"/>
      <c r="MWS804" s="110"/>
      <c r="MWT804" s="110"/>
      <c r="MWU804" s="110"/>
      <c r="MWV804" s="110"/>
      <c r="MWW804" s="110"/>
      <c r="MWX804" s="110"/>
      <c r="MWY804" s="110"/>
      <c r="MWZ804" s="110"/>
      <c r="MXA804" s="110"/>
      <c r="MXB804" s="110"/>
      <c r="MXC804" s="110"/>
      <c r="MXD804" s="110"/>
      <c r="MXE804" s="110"/>
      <c r="MXF804" s="110"/>
      <c r="MXG804" s="110"/>
      <c r="MXH804" s="110"/>
      <c r="MXI804" s="110"/>
      <c r="MXJ804" s="110"/>
      <c r="MXK804" s="110"/>
      <c r="MXL804" s="110"/>
      <c r="MXM804" s="110"/>
      <c r="MXN804" s="110"/>
      <c r="MXO804" s="110"/>
      <c r="MXP804" s="110"/>
      <c r="MXQ804" s="110"/>
      <c r="MXR804" s="110"/>
      <c r="MXS804" s="110"/>
      <c r="MXT804" s="110"/>
      <c r="MXU804" s="110"/>
      <c r="MXV804" s="110"/>
      <c r="MXW804" s="110"/>
      <c r="MXX804" s="110"/>
      <c r="MXY804" s="110"/>
      <c r="MXZ804" s="110"/>
      <c r="MYA804" s="110"/>
      <c r="MYB804" s="110"/>
      <c r="MYC804" s="110"/>
      <c r="MYD804" s="110"/>
      <c r="MYE804" s="110"/>
      <c r="MYF804" s="110"/>
      <c r="MYG804" s="110"/>
      <c r="MYH804" s="110"/>
      <c r="MYI804" s="110"/>
      <c r="MYJ804" s="110"/>
      <c r="MYK804" s="110"/>
      <c r="MYL804" s="110"/>
      <c r="MYM804" s="110"/>
      <c r="MYN804" s="110"/>
      <c r="MYO804" s="110"/>
      <c r="MYP804" s="110"/>
      <c r="MYQ804" s="110"/>
      <c r="MYR804" s="110"/>
      <c r="MYS804" s="110"/>
      <c r="MYT804" s="110"/>
      <c r="MYU804" s="110"/>
      <c r="MYV804" s="110"/>
      <c r="MYW804" s="110"/>
      <c r="MYX804" s="110"/>
      <c r="MYY804" s="110"/>
      <c r="MYZ804" s="110"/>
      <c r="MZA804" s="110"/>
      <c r="MZB804" s="110"/>
      <c r="MZC804" s="110"/>
      <c r="MZD804" s="110"/>
      <c r="MZE804" s="110"/>
      <c r="MZF804" s="110"/>
      <c r="MZG804" s="110"/>
      <c r="MZH804" s="110"/>
      <c r="MZI804" s="110"/>
      <c r="MZJ804" s="110"/>
      <c r="MZK804" s="110"/>
      <c r="MZL804" s="110"/>
      <c r="MZM804" s="110"/>
      <c r="MZN804" s="110"/>
      <c r="MZO804" s="110"/>
      <c r="MZP804" s="110"/>
      <c r="MZQ804" s="110"/>
      <c r="MZR804" s="110"/>
      <c r="MZS804" s="110"/>
      <c r="MZT804" s="110"/>
      <c r="MZU804" s="110"/>
      <c r="MZV804" s="110"/>
      <c r="MZW804" s="110"/>
      <c r="MZX804" s="110"/>
      <c r="MZY804" s="110"/>
      <c r="MZZ804" s="110"/>
      <c r="NAA804" s="110"/>
      <c r="NAB804" s="110"/>
      <c r="NAC804" s="110"/>
      <c r="NAD804" s="110"/>
      <c r="NAE804" s="110"/>
      <c r="NAF804" s="110"/>
      <c r="NAG804" s="110"/>
      <c r="NAH804" s="110"/>
      <c r="NAI804" s="110"/>
      <c r="NAJ804" s="110"/>
      <c r="NAK804" s="110"/>
      <c r="NAL804" s="110"/>
      <c r="NAM804" s="110"/>
      <c r="NAN804" s="110"/>
      <c r="NAO804" s="110"/>
      <c r="NAP804" s="110"/>
      <c r="NAQ804" s="110"/>
      <c r="NAR804" s="110"/>
      <c r="NAS804" s="110"/>
      <c r="NAT804" s="110"/>
      <c r="NAU804" s="110"/>
      <c r="NAV804" s="110"/>
      <c r="NAW804" s="110"/>
      <c r="NAX804" s="110"/>
      <c r="NAY804" s="110"/>
      <c r="NAZ804" s="110"/>
      <c r="NBA804" s="110"/>
      <c r="NBB804" s="110"/>
      <c r="NBC804" s="110"/>
      <c r="NBD804" s="110"/>
      <c r="NBE804" s="110"/>
      <c r="NBF804" s="110"/>
      <c r="NBG804" s="110"/>
      <c r="NBH804" s="110"/>
      <c r="NBI804" s="110"/>
      <c r="NBJ804" s="110"/>
      <c r="NBK804" s="110"/>
      <c r="NBL804" s="110"/>
      <c r="NBM804" s="110"/>
      <c r="NBN804" s="110"/>
      <c r="NBO804" s="110"/>
      <c r="NBP804" s="110"/>
      <c r="NBQ804" s="110"/>
      <c r="NBR804" s="110"/>
      <c r="NBS804" s="110"/>
      <c r="NBT804" s="110"/>
      <c r="NBU804" s="110"/>
      <c r="NBV804" s="110"/>
      <c r="NBW804" s="110"/>
      <c r="NBX804" s="110"/>
      <c r="NBY804" s="110"/>
      <c r="NBZ804" s="110"/>
      <c r="NCA804" s="110"/>
      <c r="NCB804" s="110"/>
      <c r="NCC804" s="110"/>
      <c r="NCD804" s="110"/>
      <c r="NCE804" s="110"/>
      <c r="NCF804" s="110"/>
      <c r="NCG804" s="110"/>
      <c r="NCH804" s="110"/>
      <c r="NCI804" s="110"/>
      <c r="NCJ804" s="110"/>
      <c r="NCK804" s="110"/>
      <c r="NCL804" s="110"/>
      <c r="NCM804" s="110"/>
      <c r="NCN804" s="110"/>
      <c r="NCO804" s="110"/>
      <c r="NCP804" s="110"/>
      <c r="NCQ804" s="110"/>
      <c r="NCR804" s="110"/>
      <c r="NCS804" s="110"/>
      <c r="NCT804" s="110"/>
      <c r="NCU804" s="110"/>
      <c r="NCV804" s="110"/>
      <c r="NCW804" s="110"/>
      <c r="NCX804" s="110"/>
      <c r="NCY804" s="110"/>
      <c r="NCZ804" s="110"/>
      <c r="NDA804" s="110"/>
      <c r="NDB804" s="110"/>
      <c r="NDC804" s="110"/>
      <c r="NDD804" s="110"/>
      <c r="NDE804" s="110"/>
      <c r="NDF804" s="110"/>
      <c r="NDG804" s="110"/>
      <c r="NDH804" s="110"/>
      <c r="NDI804" s="110"/>
      <c r="NDJ804" s="110"/>
      <c r="NDK804" s="110"/>
      <c r="NDL804" s="110"/>
      <c r="NDM804" s="110"/>
      <c r="NDN804" s="110"/>
      <c r="NDO804" s="110"/>
      <c r="NDP804" s="110"/>
      <c r="NDQ804" s="110"/>
      <c r="NDR804" s="110"/>
      <c r="NDS804" s="110"/>
      <c r="NDT804" s="110"/>
      <c r="NDU804" s="110"/>
      <c r="NDV804" s="110"/>
      <c r="NDW804" s="110"/>
      <c r="NDX804" s="110"/>
      <c r="NDY804" s="110"/>
      <c r="NDZ804" s="110"/>
      <c r="NEA804" s="110"/>
      <c r="NEB804" s="110"/>
      <c r="NEC804" s="110"/>
      <c r="NED804" s="110"/>
      <c r="NEE804" s="110"/>
      <c r="NEF804" s="110"/>
      <c r="NEG804" s="110"/>
      <c r="NEH804" s="110"/>
      <c r="NEI804" s="110"/>
      <c r="NEJ804" s="110"/>
      <c r="NEK804" s="110"/>
      <c r="NEL804" s="110"/>
      <c r="NEM804" s="110"/>
      <c r="NEN804" s="110"/>
      <c r="NEO804" s="110"/>
      <c r="NEP804" s="110"/>
      <c r="NEQ804" s="110"/>
      <c r="NER804" s="110"/>
      <c r="NES804" s="110"/>
      <c r="NET804" s="110"/>
      <c r="NEU804" s="110"/>
      <c r="NEV804" s="110"/>
      <c r="NEW804" s="110"/>
      <c r="NEX804" s="110"/>
      <c r="NEY804" s="110"/>
      <c r="NEZ804" s="110"/>
      <c r="NFA804" s="110"/>
      <c r="NFB804" s="110"/>
      <c r="NFC804" s="110"/>
      <c r="NFD804" s="110"/>
      <c r="NFE804" s="110"/>
      <c r="NFF804" s="110"/>
      <c r="NFG804" s="110"/>
      <c r="NFH804" s="110"/>
      <c r="NFI804" s="110"/>
      <c r="NFJ804" s="110"/>
      <c r="NFK804" s="110"/>
      <c r="NFL804" s="110"/>
      <c r="NFM804" s="110"/>
      <c r="NFN804" s="110"/>
      <c r="NFO804" s="110"/>
      <c r="NFP804" s="110"/>
      <c r="NFQ804" s="110"/>
      <c r="NFR804" s="110"/>
      <c r="NFS804" s="110"/>
      <c r="NFT804" s="110"/>
      <c r="NFU804" s="110"/>
      <c r="NFV804" s="110"/>
      <c r="NFW804" s="110"/>
      <c r="NFX804" s="110"/>
      <c r="NFY804" s="110"/>
      <c r="NFZ804" s="110"/>
      <c r="NGA804" s="110"/>
      <c r="NGB804" s="110"/>
      <c r="NGC804" s="110"/>
      <c r="NGD804" s="110"/>
      <c r="NGE804" s="110"/>
      <c r="NGF804" s="110"/>
      <c r="NGG804" s="110"/>
      <c r="NGH804" s="110"/>
      <c r="NGI804" s="110"/>
      <c r="NGJ804" s="110"/>
      <c r="NGK804" s="110"/>
      <c r="NGL804" s="110"/>
      <c r="NGM804" s="110"/>
      <c r="NGN804" s="110"/>
      <c r="NGO804" s="110"/>
      <c r="NGP804" s="110"/>
      <c r="NGQ804" s="110"/>
      <c r="NGR804" s="110"/>
      <c r="NGS804" s="110"/>
      <c r="NGT804" s="110"/>
      <c r="NGU804" s="110"/>
      <c r="NGV804" s="110"/>
      <c r="NGW804" s="110"/>
      <c r="NGX804" s="110"/>
      <c r="NGY804" s="110"/>
      <c r="NGZ804" s="110"/>
      <c r="NHA804" s="110"/>
      <c r="NHB804" s="110"/>
      <c r="NHC804" s="110"/>
      <c r="NHD804" s="110"/>
      <c r="NHE804" s="110"/>
      <c r="NHF804" s="110"/>
      <c r="NHG804" s="110"/>
      <c r="NHH804" s="110"/>
      <c r="NHI804" s="110"/>
      <c r="NHJ804" s="110"/>
      <c r="NHK804" s="110"/>
      <c r="NHL804" s="110"/>
      <c r="NHM804" s="110"/>
      <c r="NHN804" s="110"/>
      <c r="NHO804" s="110"/>
      <c r="NHP804" s="110"/>
      <c r="NHQ804" s="110"/>
      <c r="NHR804" s="110"/>
      <c r="NHS804" s="110"/>
      <c r="NHT804" s="110"/>
      <c r="NHU804" s="110"/>
      <c r="NHV804" s="110"/>
      <c r="NHW804" s="110"/>
      <c r="NHX804" s="110"/>
      <c r="NHY804" s="110"/>
      <c r="NHZ804" s="110"/>
      <c r="NIA804" s="110"/>
      <c r="NIB804" s="110"/>
      <c r="NIC804" s="110"/>
      <c r="NID804" s="110"/>
      <c r="NIE804" s="110"/>
      <c r="NIF804" s="110"/>
      <c r="NIG804" s="110"/>
      <c r="NIH804" s="110"/>
      <c r="NII804" s="110"/>
      <c r="NIJ804" s="110"/>
      <c r="NIK804" s="110"/>
      <c r="NIL804" s="110"/>
      <c r="NIM804" s="110"/>
      <c r="NIN804" s="110"/>
      <c r="NIO804" s="110"/>
      <c r="NIP804" s="110"/>
      <c r="NIQ804" s="110"/>
      <c r="NIR804" s="110"/>
      <c r="NIS804" s="110"/>
      <c r="NIT804" s="110"/>
      <c r="NIU804" s="110"/>
      <c r="NIV804" s="110"/>
      <c r="NIW804" s="110"/>
      <c r="NIX804" s="110"/>
      <c r="NIY804" s="110"/>
      <c r="NIZ804" s="110"/>
      <c r="NJA804" s="110"/>
      <c r="NJB804" s="110"/>
      <c r="NJC804" s="110"/>
      <c r="NJD804" s="110"/>
      <c r="NJE804" s="110"/>
      <c r="NJF804" s="110"/>
      <c r="NJG804" s="110"/>
      <c r="NJH804" s="110"/>
      <c r="NJI804" s="110"/>
      <c r="NJJ804" s="110"/>
      <c r="NJK804" s="110"/>
      <c r="NJL804" s="110"/>
      <c r="NJM804" s="110"/>
      <c r="NJN804" s="110"/>
      <c r="NJO804" s="110"/>
      <c r="NJP804" s="110"/>
      <c r="NJQ804" s="110"/>
      <c r="NJR804" s="110"/>
      <c r="NJS804" s="110"/>
      <c r="NJT804" s="110"/>
      <c r="NJU804" s="110"/>
      <c r="NJV804" s="110"/>
      <c r="NJW804" s="110"/>
      <c r="NJX804" s="110"/>
      <c r="NJY804" s="110"/>
      <c r="NJZ804" s="110"/>
      <c r="NKA804" s="110"/>
      <c r="NKB804" s="110"/>
      <c r="NKC804" s="110"/>
      <c r="NKD804" s="110"/>
      <c r="NKE804" s="110"/>
      <c r="NKF804" s="110"/>
      <c r="NKG804" s="110"/>
      <c r="NKH804" s="110"/>
      <c r="NKI804" s="110"/>
      <c r="NKJ804" s="110"/>
      <c r="NKK804" s="110"/>
      <c r="NKL804" s="110"/>
      <c r="NKM804" s="110"/>
      <c r="NKN804" s="110"/>
      <c r="NKO804" s="110"/>
      <c r="NKP804" s="110"/>
      <c r="NKQ804" s="110"/>
      <c r="NKR804" s="110"/>
      <c r="NKS804" s="110"/>
      <c r="NKT804" s="110"/>
      <c r="NKU804" s="110"/>
      <c r="NKV804" s="110"/>
      <c r="NKW804" s="110"/>
      <c r="NKX804" s="110"/>
      <c r="NKY804" s="110"/>
      <c r="NKZ804" s="110"/>
      <c r="NLA804" s="110"/>
      <c r="NLB804" s="110"/>
      <c r="NLC804" s="110"/>
      <c r="NLD804" s="110"/>
      <c r="NLE804" s="110"/>
      <c r="NLF804" s="110"/>
      <c r="NLG804" s="110"/>
      <c r="NLH804" s="110"/>
      <c r="NLI804" s="110"/>
      <c r="NLJ804" s="110"/>
      <c r="NLK804" s="110"/>
      <c r="NLL804" s="110"/>
      <c r="NLM804" s="110"/>
      <c r="NLN804" s="110"/>
      <c r="NLO804" s="110"/>
      <c r="NLP804" s="110"/>
      <c r="NLQ804" s="110"/>
      <c r="NLR804" s="110"/>
      <c r="NLS804" s="110"/>
      <c r="NLT804" s="110"/>
      <c r="NLU804" s="110"/>
      <c r="NLV804" s="110"/>
      <c r="NLW804" s="110"/>
      <c r="NLX804" s="110"/>
      <c r="NLY804" s="110"/>
      <c r="NLZ804" s="110"/>
      <c r="NMA804" s="110"/>
      <c r="NMB804" s="110"/>
      <c r="NMC804" s="110"/>
      <c r="NMD804" s="110"/>
      <c r="NME804" s="110"/>
      <c r="NMF804" s="110"/>
      <c r="NMG804" s="110"/>
      <c r="NMH804" s="110"/>
      <c r="NMI804" s="110"/>
      <c r="NMJ804" s="110"/>
      <c r="NMK804" s="110"/>
      <c r="NML804" s="110"/>
      <c r="NMM804" s="110"/>
      <c r="NMN804" s="110"/>
      <c r="NMO804" s="110"/>
      <c r="NMP804" s="110"/>
      <c r="NMQ804" s="110"/>
      <c r="NMR804" s="110"/>
      <c r="NMS804" s="110"/>
      <c r="NMT804" s="110"/>
      <c r="NMU804" s="110"/>
      <c r="NMV804" s="110"/>
      <c r="NMW804" s="110"/>
      <c r="NMX804" s="110"/>
      <c r="NMY804" s="110"/>
      <c r="NMZ804" s="110"/>
      <c r="NNA804" s="110"/>
      <c r="NNB804" s="110"/>
      <c r="NNC804" s="110"/>
      <c r="NND804" s="110"/>
      <c r="NNE804" s="110"/>
      <c r="NNF804" s="110"/>
      <c r="NNG804" s="110"/>
      <c r="NNH804" s="110"/>
      <c r="NNI804" s="110"/>
      <c r="NNJ804" s="110"/>
      <c r="NNK804" s="110"/>
      <c r="NNL804" s="110"/>
      <c r="NNM804" s="110"/>
      <c r="NNN804" s="110"/>
      <c r="NNO804" s="110"/>
      <c r="NNP804" s="110"/>
      <c r="NNQ804" s="110"/>
      <c r="NNR804" s="110"/>
      <c r="NNS804" s="110"/>
      <c r="NNT804" s="110"/>
      <c r="NNU804" s="110"/>
      <c r="NNV804" s="110"/>
      <c r="NNW804" s="110"/>
      <c r="NNX804" s="110"/>
      <c r="NNY804" s="110"/>
      <c r="NNZ804" s="110"/>
      <c r="NOA804" s="110"/>
      <c r="NOB804" s="110"/>
      <c r="NOC804" s="110"/>
      <c r="NOD804" s="110"/>
      <c r="NOE804" s="110"/>
      <c r="NOF804" s="110"/>
      <c r="NOG804" s="110"/>
      <c r="NOH804" s="110"/>
      <c r="NOI804" s="110"/>
      <c r="NOJ804" s="110"/>
      <c r="NOK804" s="110"/>
      <c r="NOL804" s="110"/>
      <c r="NOM804" s="110"/>
      <c r="NON804" s="110"/>
      <c r="NOO804" s="110"/>
      <c r="NOP804" s="110"/>
      <c r="NOQ804" s="110"/>
      <c r="NOR804" s="110"/>
      <c r="NOS804" s="110"/>
      <c r="NOT804" s="110"/>
      <c r="NOU804" s="110"/>
      <c r="NOV804" s="110"/>
      <c r="NOW804" s="110"/>
      <c r="NOX804" s="110"/>
      <c r="NOY804" s="110"/>
      <c r="NOZ804" s="110"/>
      <c r="NPA804" s="110"/>
      <c r="NPB804" s="110"/>
      <c r="NPC804" s="110"/>
      <c r="NPD804" s="110"/>
      <c r="NPE804" s="110"/>
      <c r="NPF804" s="110"/>
      <c r="NPG804" s="110"/>
      <c r="NPH804" s="110"/>
      <c r="NPI804" s="110"/>
      <c r="NPJ804" s="110"/>
      <c r="NPK804" s="110"/>
      <c r="NPL804" s="110"/>
      <c r="NPM804" s="110"/>
      <c r="NPN804" s="110"/>
      <c r="NPO804" s="110"/>
      <c r="NPP804" s="110"/>
      <c r="NPQ804" s="110"/>
      <c r="NPR804" s="110"/>
      <c r="NPS804" s="110"/>
      <c r="NPT804" s="110"/>
      <c r="NPU804" s="110"/>
      <c r="NPV804" s="110"/>
      <c r="NPW804" s="110"/>
      <c r="NPX804" s="110"/>
      <c r="NPY804" s="110"/>
      <c r="NPZ804" s="110"/>
      <c r="NQA804" s="110"/>
      <c r="NQB804" s="110"/>
      <c r="NQC804" s="110"/>
      <c r="NQD804" s="110"/>
      <c r="NQE804" s="110"/>
      <c r="NQF804" s="110"/>
      <c r="NQG804" s="110"/>
      <c r="NQH804" s="110"/>
      <c r="NQI804" s="110"/>
      <c r="NQJ804" s="110"/>
      <c r="NQK804" s="110"/>
      <c r="NQL804" s="110"/>
      <c r="NQM804" s="110"/>
      <c r="NQN804" s="110"/>
      <c r="NQO804" s="110"/>
      <c r="NQP804" s="110"/>
      <c r="NQQ804" s="110"/>
      <c r="NQR804" s="110"/>
      <c r="NQS804" s="110"/>
      <c r="NQT804" s="110"/>
      <c r="NQU804" s="110"/>
      <c r="NQV804" s="110"/>
      <c r="NQW804" s="110"/>
      <c r="NQX804" s="110"/>
      <c r="NQY804" s="110"/>
      <c r="NQZ804" s="110"/>
      <c r="NRA804" s="110"/>
      <c r="NRB804" s="110"/>
      <c r="NRC804" s="110"/>
      <c r="NRD804" s="110"/>
      <c r="NRE804" s="110"/>
      <c r="NRF804" s="110"/>
      <c r="NRG804" s="110"/>
      <c r="NRH804" s="110"/>
      <c r="NRI804" s="110"/>
      <c r="NRJ804" s="110"/>
      <c r="NRK804" s="110"/>
      <c r="NRL804" s="110"/>
      <c r="NRM804" s="110"/>
      <c r="NRN804" s="110"/>
      <c r="NRO804" s="110"/>
      <c r="NRP804" s="110"/>
      <c r="NRQ804" s="110"/>
      <c r="NRR804" s="110"/>
      <c r="NRS804" s="110"/>
      <c r="NRT804" s="110"/>
      <c r="NRU804" s="110"/>
      <c r="NRV804" s="110"/>
      <c r="NRW804" s="110"/>
      <c r="NRX804" s="110"/>
      <c r="NRY804" s="110"/>
      <c r="NRZ804" s="110"/>
      <c r="NSA804" s="110"/>
      <c r="NSB804" s="110"/>
      <c r="NSC804" s="110"/>
      <c r="NSD804" s="110"/>
      <c r="NSE804" s="110"/>
      <c r="NSF804" s="110"/>
      <c r="NSG804" s="110"/>
      <c r="NSH804" s="110"/>
      <c r="NSI804" s="110"/>
      <c r="NSJ804" s="110"/>
      <c r="NSK804" s="110"/>
      <c r="NSL804" s="110"/>
      <c r="NSM804" s="110"/>
      <c r="NSN804" s="110"/>
      <c r="NSO804" s="110"/>
      <c r="NSP804" s="110"/>
      <c r="NSQ804" s="110"/>
      <c r="NSR804" s="110"/>
      <c r="NSS804" s="110"/>
      <c r="NST804" s="110"/>
      <c r="NSU804" s="110"/>
      <c r="NSV804" s="110"/>
      <c r="NSW804" s="110"/>
      <c r="NSX804" s="110"/>
      <c r="NSY804" s="110"/>
      <c r="NSZ804" s="110"/>
      <c r="NTA804" s="110"/>
      <c r="NTB804" s="110"/>
      <c r="NTC804" s="110"/>
      <c r="NTD804" s="110"/>
      <c r="NTE804" s="110"/>
      <c r="NTF804" s="110"/>
      <c r="NTG804" s="110"/>
      <c r="NTH804" s="110"/>
      <c r="NTI804" s="110"/>
      <c r="NTJ804" s="110"/>
      <c r="NTK804" s="110"/>
      <c r="NTL804" s="110"/>
      <c r="NTM804" s="110"/>
      <c r="NTN804" s="110"/>
      <c r="NTO804" s="110"/>
      <c r="NTP804" s="110"/>
      <c r="NTQ804" s="110"/>
      <c r="NTR804" s="110"/>
      <c r="NTS804" s="110"/>
      <c r="NTT804" s="110"/>
      <c r="NTU804" s="110"/>
      <c r="NTV804" s="110"/>
      <c r="NTW804" s="110"/>
      <c r="NTX804" s="110"/>
      <c r="NTY804" s="110"/>
      <c r="NTZ804" s="110"/>
      <c r="NUA804" s="110"/>
      <c r="NUB804" s="110"/>
      <c r="NUC804" s="110"/>
      <c r="NUD804" s="110"/>
      <c r="NUE804" s="110"/>
      <c r="NUF804" s="110"/>
      <c r="NUG804" s="110"/>
      <c r="NUH804" s="110"/>
      <c r="NUI804" s="110"/>
      <c r="NUJ804" s="110"/>
      <c r="NUK804" s="110"/>
      <c r="NUL804" s="110"/>
      <c r="NUM804" s="110"/>
      <c r="NUN804" s="110"/>
      <c r="NUO804" s="110"/>
      <c r="NUP804" s="110"/>
      <c r="NUQ804" s="110"/>
      <c r="NUR804" s="110"/>
      <c r="NUS804" s="110"/>
      <c r="NUT804" s="110"/>
      <c r="NUU804" s="110"/>
      <c r="NUV804" s="110"/>
      <c r="NUW804" s="110"/>
      <c r="NUX804" s="110"/>
      <c r="NUY804" s="110"/>
      <c r="NUZ804" s="110"/>
      <c r="NVA804" s="110"/>
      <c r="NVB804" s="110"/>
      <c r="NVC804" s="110"/>
      <c r="NVD804" s="110"/>
      <c r="NVE804" s="110"/>
      <c r="NVF804" s="110"/>
      <c r="NVG804" s="110"/>
      <c r="NVH804" s="110"/>
      <c r="NVI804" s="110"/>
      <c r="NVJ804" s="110"/>
      <c r="NVK804" s="110"/>
      <c r="NVL804" s="110"/>
      <c r="NVM804" s="110"/>
      <c r="NVN804" s="110"/>
      <c r="NVO804" s="110"/>
      <c r="NVP804" s="110"/>
      <c r="NVQ804" s="110"/>
      <c r="NVR804" s="110"/>
      <c r="NVS804" s="110"/>
      <c r="NVT804" s="110"/>
      <c r="NVU804" s="110"/>
      <c r="NVV804" s="110"/>
      <c r="NVW804" s="110"/>
      <c r="NVX804" s="110"/>
      <c r="NVY804" s="110"/>
      <c r="NVZ804" s="110"/>
      <c r="NWA804" s="110"/>
      <c r="NWB804" s="110"/>
      <c r="NWC804" s="110"/>
      <c r="NWD804" s="110"/>
      <c r="NWE804" s="110"/>
      <c r="NWF804" s="110"/>
      <c r="NWG804" s="110"/>
      <c r="NWH804" s="110"/>
      <c r="NWI804" s="110"/>
      <c r="NWJ804" s="110"/>
      <c r="NWK804" s="110"/>
      <c r="NWL804" s="110"/>
      <c r="NWM804" s="110"/>
      <c r="NWN804" s="110"/>
      <c r="NWO804" s="110"/>
      <c r="NWP804" s="110"/>
      <c r="NWQ804" s="110"/>
      <c r="NWR804" s="110"/>
      <c r="NWS804" s="110"/>
      <c r="NWT804" s="110"/>
      <c r="NWU804" s="110"/>
      <c r="NWV804" s="110"/>
      <c r="NWW804" s="110"/>
      <c r="NWX804" s="110"/>
      <c r="NWY804" s="110"/>
      <c r="NWZ804" s="110"/>
      <c r="NXA804" s="110"/>
      <c r="NXB804" s="110"/>
      <c r="NXC804" s="110"/>
      <c r="NXD804" s="110"/>
      <c r="NXE804" s="110"/>
      <c r="NXF804" s="110"/>
      <c r="NXG804" s="110"/>
      <c r="NXH804" s="110"/>
      <c r="NXI804" s="110"/>
      <c r="NXJ804" s="110"/>
      <c r="NXK804" s="110"/>
      <c r="NXL804" s="110"/>
      <c r="NXM804" s="110"/>
      <c r="NXN804" s="110"/>
      <c r="NXO804" s="110"/>
      <c r="NXP804" s="110"/>
      <c r="NXQ804" s="110"/>
      <c r="NXR804" s="110"/>
      <c r="NXS804" s="110"/>
      <c r="NXT804" s="110"/>
      <c r="NXU804" s="110"/>
      <c r="NXV804" s="110"/>
      <c r="NXW804" s="110"/>
      <c r="NXX804" s="110"/>
      <c r="NXY804" s="110"/>
      <c r="NXZ804" s="110"/>
      <c r="NYA804" s="110"/>
      <c r="NYB804" s="110"/>
      <c r="NYC804" s="110"/>
      <c r="NYD804" s="110"/>
      <c r="NYE804" s="110"/>
      <c r="NYF804" s="110"/>
      <c r="NYG804" s="110"/>
      <c r="NYH804" s="110"/>
      <c r="NYI804" s="110"/>
      <c r="NYJ804" s="110"/>
      <c r="NYK804" s="110"/>
      <c r="NYL804" s="110"/>
      <c r="NYM804" s="110"/>
      <c r="NYN804" s="110"/>
      <c r="NYO804" s="110"/>
      <c r="NYP804" s="110"/>
      <c r="NYQ804" s="110"/>
      <c r="NYR804" s="110"/>
      <c r="NYS804" s="110"/>
      <c r="NYT804" s="110"/>
      <c r="NYU804" s="110"/>
      <c r="NYV804" s="110"/>
      <c r="NYW804" s="110"/>
      <c r="NYX804" s="110"/>
      <c r="NYY804" s="110"/>
      <c r="NYZ804" s="110"/>
      <c r="NZA804" s="110"/>
      <c r="NZB804" s="110"/>
      <c r="NZC804" s="110"/>
      <c r="NZD804" s="110"/>
      <c r="NZE804" s="110"/>
      <c r="NZF804" s="110"/>
      <c r="NZG804" s="110"/>
      <c r="NZH804" s="110"/>
      <c r="NZI804" s="110"/>
      <c r="NZJ804" s="110"/>
      <c r="NZK804" s="110"/>
      <c r="NZL804" s="110"/>
      <c r="NZM804" s="110"/>
      <c r="NZN804" s="110"/>
      <c r="NZO804" s="110"/>
      <c r="NZP804" s="110"/>
      <c r="NZQ804" s="110"/>
      <c r="NZR804" s="110"/>
      <c r="NZS804" s="110"/>
      <c r="NZT804" s="110"/>
      <c r="NZU804" s="110"/>
      <c r="NZV804" s="110"/>
      <c r="NZW804" s="110"/>
      <c r="NZX804" s="110"/>
      <c r="NZY804" s="110"/>
      <c r="NZZ804" s="110"/>
      <c r="OAA804" s="110"/>
      <c r="OAB804" s="110"/>
      <c r="OAC804" s="110"/>
      <c r="OAD804" s="110"/>
      <c r="OAE804" s="110"/>
      <c r="OAF804" s="110"/>
      <c r="OAG804" s="110"/>
      <c r="OAH804" s="110"/>
      <c r="OAI804" s="110"/>
      <c r="OAJ804" s="110"/>
      <c r="OAK804" s="110"/>
      <c r="OAL804" s="110"/>
      <c r="OAM804" s="110"/>
      <c r="OAN804" s="110"/>
      <c r="OAO804" s="110"/>
      <c r="OAP804" s="110"/>
      <c r="OAQ804" s="110"/>
      <c r="OAR804" s="110"/>
      <c r="OAS804" s="110"/>
      <c r="OAT804" s="110"/>
      <c r="OAU804" s="110"/>
      <c r="OAV804" s="110"/>
      <c r="OAW804" s="110"/>
      <c r="OAX804" s="110"/>
      <c r="OAY804" s="110"/>
      <c r="OAZ804" s="110"/>
      <c r="OBA804" s="110"/>
      <c r="OBB804" s="110"/>
      <c r="OBC804" s="110"/>
      <c r="OBD804" s="110"/>
      <c r="OBE804" s="110"/>
      <c r="OBF804" s="110"/>
      <c r="OBG804" s="110"/>
      <c r="OBH804" s="110"/>
      <c r="OBI804" s="110"/>
      <c r="OBJ804" s="110"/>
      <c r="OBK804" s="110"/>
      <c r="OBL804" s="110"/>
      <c r="OBM804" s="110"/>
      <c r="OBN804" s="110"/>
      <c r="OBO804" s="110"/>
      <c r="OBP804" s="110"/>
      <c r="OBQ804" s="110"/>
      <c r="OBR804" s="110"/>
      <c r="OBS804" s="110"/>
      <c r="OBT804" s="110"/>
      <c r="OBU804" s="110"/>
      <c r="OBV804" s="110"/>
      <c r="OBW804" s="110"/>
      <c r="OBX804" s="110"/>
      <c r="OBY804" s="110"/>
      <c r="OBZ804" s="110"/>
      <c r="OCA804" s="110"/>
      <c r="OCB804" s="110"/>
      <c r="OCC804" s="110"/>
      <c r="OCD804" s="110"/>
      <c r="OCE804" s="110"/>
      <c r="OCF804" s="110"/>
      <c r="OCG804" s="110"/>
      <c r="OCH804" s="110"/>
      <c r="OCI804" s="110"/>
      <c r="OCJ804" s="110"/>
      <c r="OCK804" s="110"/>
      <c r="OCL804" s="110"/>
      <c r="OCM804" s="110"/>
      <c r="OCN804" s="110"/>
      <c r="OCO804" s="110"/>
      <c r="OCP804" s="110"/>
      <c r="OCQ804" s="110"/>
      <c r="OCR804" s="110"/>
      <c r="OCS804" s="110"/>
      <c r="OCT804" s="110"/>
      <c r="OCU804" s="110"/>
      <c r="OCV804" s="110"/>
      <c r="OCW804" s="110"/>
      <c r="OCX804" s="110"/>
      <c r="OCY804" s="110"/>
      <c r="OCZ804" s="110"/>
      <c r="ODA804" s="110"/>
      <c r="ODB804" s="110"/>
      <c r="ODC804" s="110"/>
      <c r="ODD804" s="110"/>
      <c r="ODE804" s="110"/>
      <c r="ODF804" s="110"/>
      <c r="ODG804" s="110"/>
      <c r="ODH804" s="110"/>
      <c r="ODI804" s="110"/>
      <c r="ODJ804" s="110"/>
      <c r="ODK804" s="110"/>
      <c r="ODL804" s="110"/>
      <c r="ODM804" s="110"/>
      <c r="ODN804" s="110"/>
      <c r="ODO804" s="110"/>
      <c r="ODP804" s="110"/>
      <c r="ODQ804" s="110"/>
      <c r="ODR804" s="110"/>
      <c r="ODS804" s="110"/>
      <c r="ODT804" s="110"/>
      <c r="ODU804" s="110"/>
      <c r="ODV804" s="110"/>
      <c r="ODW804" s="110"/>
      <c r="ODX804" s="110"/>
      <c r="ODY804" s="110"/>
      <c r="ODZ804" s="110"/>
      <c r="OEA804" s="110"/>
      <c r="OEB804" s="110"/>
      <c r="OEC804" s="110"/>
      <c r="OED804" s="110"/>
      <c r="OEE804" s="110"/>
      <c r="OEF804" s="110"/>
      <c r="OEG804" s="110"/>
      <c r="OEH804" s="110"/>
      <c r="OEI804" s="110"/>
      <c r="OEJ804" s="110"/>
      <c r="OEK804" s="110"/>
      <c r="OEL804" s="110"/>
      <c r="OEM804" s="110"/>
      <c r="OEN804" s="110"/>
      <c r="OEO804" s="110"/>
      <c r="OEP804" s="110"/>
      <c r="OEQ804" s="110"/>
      <c r="OER804" s="110"/>
      <c r="OES804" s="110"/>
      <c r="OET804" s="110"/>
      <c r="OEU804" s="110"/>
      <c r="OEV804" s="110"/>
      <c r="OEW804" s="110"/>
      <c r="OEX804" s="110"/>
      <c r="OEY804" s="110"/>
      <c r="OEZ804" s="110"/>
      <c r="OFA804" s="110"/>
      <c r="OFB804" s="110"/>
      <c r="OFC804" s="110"/>
      <c r="OFD804" s="110"/>
      <c r="OFE804" s="110"/>
      <c r="OFF804" s="110"/>
      <c r="OFG804" s="110"/>
      <c r="OFH804" s="110"/>
      <c r="OFI804" s="110"/>
      <c r="OFJ804" s="110"/>
      <c r="OFK804" s="110"/>
      <c r="OFL804" s="110"/>
      <c r="OFM804" s="110"/>
      <c r="OFN804" s="110"/>
      <c r="OFO804" s="110"/>
      <c r="OFP804" s="110"/>
      <c r="OFQ804" s="110"/>
      <c r="OFR804" s="110"/>
      <c r="OFS804" s="110"/>
      <c r="OFT804" s="110"/>
      <c r="OFU804" s="110"/>
      <c r="OFV804" s="110"/>
      <c r="OFW804" s="110"/>
      <c r="OFX804" s="110"/>
      <c r="OFY804" s="110"/>
      <c r="OFZ804" s="110"/>
      <c r="OGA804" s="110"/>
      <c r="OGB804" s="110"/>
      <c r="OGC804" s="110"/>
      <c r="OGD804" s="110"/>
      <c r="OGE804" s="110"/>
      <c r="OGF804" s="110"/>
      <c r="OGG804" s="110"/>
      <c r="OGH804" s="110"/>
      <c r="OGI804" s="110"/>
      <c r="OGJ804" s="110"/>
      <c r="OGK804" s="110"/>
      <c r="OGL804" s="110"/>
      <c r="OGM804" s="110"/>
      <c r="OGN804" s="110"/>
      <c r="OGO804" s="110"/>
      <c r="OGP804" s="110"/>
      <c r="OGQ804" s="110"/>
      <c r="OGR804" s="110"/>
      <c r="OGS804" s="110"/>
      <c r="OGT804" s="110"/>
      <c r="OGU804" s="110"/>
      <c r="OGV804" s="110"/>
      <c r="OGW804" s="110"/>
      <c r="OGX804" s="110"/>
      <c r="OGY804" s="110"/>
      <c r="OGZ804" s="110"/>
      <c r="OHA804" s="110"/>
      <c r="OHB804" s="110"/>
      <c r="OHC804" s="110"/>
      <c r="OHD804" s="110"/>
      <c r="OHE804" s="110"/>
      <c r="OHF804" s="110"/>
      <c r="OHG804" s="110"/>
      <c r="OHH804" s="110"/>
      <c r="OHI804" s="110"/>
      <c r="OHJ804" s="110"/>
      <c r="OHK804" s="110"/>
      <c r="OHL804" s="110"/>
      <c r="OHM804" s="110"/>
      <c r="OHN804" s="110"/>
      <c r="OHO804" s="110"/>
      <c r="OHP804" s="110"/>
      <c r="OHQ804" s="110"/>
      <c r="OHR804" s="110"/>
      <c r="OHS804" s="110"/>
      <c r="OHT804" s="110"/>
      <c r="OHU804" s="110"/>
      <c r="OHV804" s="110"/>
      <c r="OHW804" s="110"/>
      <c r="OHX804" s="110"/>
      <c r="OHY804" s="110"/>
      <c r="OHZ804" s="110"/>
      <c r="OIA804" s="110"/>
      <c r="OIB804" s="110"/>
      <c r="OIC804" s="110"/>
      <c r="OID804" s="110"/>
      <c r="OIE804" s="110"/>
      <c r="OIF804" s="110"/>
      <c r="OIG804" s="110"/>
      <c r="OIH804" s="110"/>
      <c r="OII804" s="110"/>
      <c r="OIJ804" s="110"/>
      <c r="OIK804" s="110"/>
      <c r="OIL804" s="110"/>
      <c r="OIM804" s="110"/>
      <c r="OIN804" s="110"/>
      <c r="OIO804" s="110"/>
      <c r="OIP804" s="110"/>
      <c r="OIQ804" s="110"/>
      <c r="OIR804" s="110"/>
      <c r="OIS804" s="110"/>
      <c r="OIT804" s="110"/>
      <c r="OIU804" s="110"/>
      <c r="OIV804" s="110"/>
      <c r="OIW804" s="110"/>
      <c r="OIX804" s="110"/>
      <c r="OIY804" s="110"/>
      <c r="OIZ804" s="110"/>
      <c r="OJA804" s="110"/>
      <c r="OJB804" s="110"/>
      <c r="OJC804" s="110"/>
      <c r="OJD804" s="110"/>
      <c r="OJE804" s="110"/>
      <c r="OJF804" s="110"/>
      <c r="OJG804" s="110"/>
      <c r="OJH804" s="110"/>
      <c r="OJI804" s="110"/>
      <c r="OJJ804" s="110"/>
      <c r="OJK804" s="110"/>
      <c r="OJL804" s="110"/>
      <c r="OJM804" s="110"/>
      <c r="OJN804" s="110"/>
      <c r="OJO804" s="110"/>
      <c r="OJP804" s="110"/>
      <c r="OJQ804" s="110"/>
      <c r="OJR804" s="110"/>
      <c r="OJS804" s="110"/>
      <c r="OJT804" s="110"/>
      <c r="OJU804" s="110"/>
      <c r="OJV804" s="110"/>
      <c r="OJW804" s="110"/>
      <c r="OJX804" s="110"/>
      <c r="OJY804" s="110"/>
      <c r="OJZ804" s="110"/>
      <c r="OKA804" s="110"/>
      <c r="OKB804" s="110"/>
      <c r="OKC804" s="110"/>
      <c r="OKD804" s="110"/>
      <c r="OKE804" s="110"/>
      <c r="OKF804" s="110"/>
      <c r="OKG804" s="110"/>
      <c r="OKH804" s="110"/>
      <c r="OKI804" s="110"/>
      <c r="OKJ804" s="110"/>
      <c r="OKK804" s="110"/>
      <c r="OKL804" s="110"/>
      <c r="OKM804" s="110"/>
      <c r="OKN804" s="110"/>
      <c r="OKO804" s="110"/>
      <c r="OKP804" s="110"/>
      <c r="OKQ804" s="110"/>
      <c r="OKR804" s="110"/>
      <c r="OKS804" s="110"/>
      <c r="OKT804" s="110"/>
      <c r="OKU804" s="110"/>
      <c r="OKV804" s="110"/>
      <c r="OKW804" s="110"/>
      <c r="OKX804" s="110"/>
      <c r="OKY804" s="110"/>
      <c r="OKZ804" s="110"/>
      <c r="OLA804" s="110"/>
      <c r="OLB804" s="110"/>
      <c r="OLC804" s="110"/>
      <c r="OLD804" s="110"/>
      <c r="OLE804" s="110"/>
      <c r="OLF804" s="110"/>
      <c r="OLG804" s="110"/>
      <c r="OLH804" s="110"/>
      <c r="OLI804" s="110"/>
      <c r="OLJ804" s="110"/>
      <c r="OLK804" s="110"/>
      <c r="OLL804" s="110"/>
      <c r="OLM804" s="110"/>
      <c r="OLN804" s="110"/>
      <c r="OLO804" s="110"/>
      <c r="OLP804" s="110"/>
      <c r="OLQ804" s="110"/>
      <c r="OLR804" s="110"/>
      <c r="OLS804" s="110"/>
      <c r="OLT804" s="110"/>
      <c r="OLU804" s="110"/>
      <c r="OLV804" s="110"/>
      <c r="OLW804" s="110"/>
      <c r="OLX804" s="110"/>
      <c r="OLY804" s="110"/>
      <c r="OLZ804" s="110"/>
      <c r="OMA804" s="110"/>
      <c r="OMB804" s="110"/>
      <c r="OMC804" s="110"/>
      <c r="OMD804" s="110"/>
      <c r="OME804" s="110"/>
      <c r="OMF804" s="110"/>
      <c r="OMG804" s="110"/>
      <c r="OMH804" s="110"/>
      <c r="OMI804" s="110"/>
      <c r="OMJ804" s="110"/>
      <c r="OMK804" s="110"/>
      <c r="OML804" s="110"/>
      <c r="OMM804" s="110"/>
      <c r="OMN804" s="110"/>
      <c r="OMO804" s="110"/>
      <c r="OMP804" s="110"/>
      <c r="OMQ804" s="110"/>
      <c r="OMR804" s="110"/>
      <c r="OMS804" s="110"/>
      <c r="OMT804" s="110"/>
      <c r="OMU804" s="110"/>
      <c r="OMV804" s="110"/>
      <c r="OMW804" s="110"/>
      <c r="OMX804" s="110"/>
      <c r="OMY804" s="110"/>
      <c r="OMZ804" s="110"/>
      <c r="ONA804" s="110"/>
      <c r="ONB804" s="110"/>
      <c r="ONC804" s="110"/>
      <c r="OND804" s="110"/>
      <c r="ONE804" s="110"/>
      <c r="ONF804" s="110"/>
      <c r="ONG804" s="110"/>
      <c r="ONH804" s="110"/>
      <c r="ONI804" s="110"/>
      <c r="ONJ804" s="110"/>
      <c r="ONK804" s="110"/>
      <c r="ONL804" s="110"/>
      <c r="ONM804" s="110"/>
      <c r="ONN804" s="110"/>
      <c r="ONO804" s="110"/>
      <c r="ONP804" s="110"/>
      <c r="ONQ804" s="110"/>
      <c r="ONR804" s="110"/>
      <c r="ONS804" s="110"/>
      <c r="ONT804" s="110"/>
      <c r="ONU804" s="110"/>
      <c r="ONV804" s="110"/>
      <c r="ONW804" s="110"/>
      <c r="ONX804" s="110"/>
      <c r="ONY804" s="110"/>
      <c r="ONZ804" s="110"/>
      <c r="OOA804" s="110"/>
      <c r="OOB804" s="110"/>
      <c r="OOC804" s="110"/>
      <c r="OOD804" s="110"/>
      <c r="OOE804" s="110"/>
      <c r="OOF804" s="110"/>
      <c r="OOG804" s="110"/>
      <c r="OOH804" s="110"/>
      <c r="OOI804" s="110"/>
      <c r="OOJ804" s="110"/>
      <c r="OOK804" s="110"/>
      <c r="OOL804" s="110"/>
      <c r="OOM804" s="110"/>
      <c r="OON804" s="110"/>
      <c r="OOO804" s="110"/>
      <c r="OOP804" s="110"/>
      <c r="OOQ804" s="110"/>
      <c r="OOR804" s="110"/>
      <c r="OOS804" s="110"/>
      <c r="OOT804" s="110"/>
      <c r="OOU804" s="110"/>
      <c r="OOV804" s="110"/>
      <c r="OOW804" s="110"/>
      <c r="OOX804" s="110"/>
      <c r="OOY804" s="110"/>
      <c r="OOZ804" s="110"/>
      <c r="OPA804" s="110"/>
      <c r="OPB804" s="110"/>
      <c r="OPC804" s="110"/>
      <c r="OPD804" s="110"/>
      <c r="OPE804" s="110"/>
      <c r="OPF804" s="110"/>
      <c r="OPG804" s="110"/>
      <c r="OPH804" s="110"/>
      <c r="OPI804" s="110"/>
      <c r="OPJ804" s="110"/>
      <c r="OPK804" s="110"/>
      <c r="OPL804" s="110"/>
      <c r="OPM804" s="110"/>
      <c r="OPN804" s="110"/>
      <c r="OPO804" s="110"/>
      <c r="OPP804" s="110"/>
      <c r="OPQ804" s="110"/>
      <c r="OPR804" s="110"/>
      <c r="OPS804" s="110"/>
      <c r="OPT804" s="110"/>
      <c r="OPU804" s="110"/>
      <c r="OPV804" s="110"/>
      <c r="OPW804" s="110"/>
      <c r="OPX804" s="110"/>
      <c r="OPY804" s="110"/>
      <c r="OPZ804" s="110"/>
      <c r="OQA804" s="110"/>
      <c r="OQB804" s="110"/>
      <c r="OQC804" s="110"/>
      <c r="OQD804" s="110"/>
      <c r="OQE804" s="110"/>
      <c r="OQF804" s="110"/>
      <c r="OQG804" s="110"/>
      <c r="OQH804" s="110"/>
      <c r="OQI804" s="110"/>
      <c r="OQJ804" s="110"/>
      <c r="OQK804" s="110"/>
      <c r="OQL804" s="110"/>
      <c r="OQM804" s="110"/>
      <c r="OQN804" s="110"/>
      <c r="OQO804" s="110"/>
      <c r="OQP804" s="110"/>
      <c r="OQQ804" s="110"/>
      <c r="OQR804" s="110"/>
      <c r="OQS804" s="110"/>
      <c r="OQT804" s="110"/>
      <c r="OQU804" s="110"/>
      <c r="OQV804" s="110"/>
      <c r="OQW804" s="110"/>
      <c r="OQX804" s="110"/>
      <c r="OQY804" s="110"/>
      <c r="OQZ804" s="110"/>
      <c r="ORA804" s="110"/>
      <c r="ORB804" s="110"/>
      <c r="ORC804" s="110"/>
      <c r="ORD804" s="110"/>
      <c r="ORE804" s="110"/>
      <c r="ORF804" s="110"/>
      <c r="ORG804" s="110"/>
      <c r="ORH804" s="110"/>
      <c r="ORI804" s="110"/>
      <c r="ORJ804" s="110"/>
      <c r="ORK804" s="110"/>
      <c r="ORL804" s="110"/>
      <c r="ORM804" s="110"/>
      <c r="ORN804" s="110"/>
      <c r="ORO804" s="110"/>
      <c r="ORP804" s="110"/>
      <c r="ORQ804" s="110"/>
      <c r="ORR804" s="110"/>
      <c r="ORS804" s="110"/>
      <c r="ORT804" s="110"/>
      <c r="ORU804" s="110"/>
      <c r="ORV804" s="110"/>
      <c r="ORW804" s="110"/>
      <c r="ORX804" s="110"/>
      <c r="ORY804" s="110"/>
      <c r="ORZ804" s="110"/>
      <c r="OSA804" s="110"/>
      <c r="OSB804" s="110"/>
      <c r="OSC804" s="110"/>
      <c r="OSD804" s="110"/>
      <c r="OSE804" s="110"/>
      <c r="OSF804" s="110"/>
      <c r="OSG804" s="110"/>
      <c r="OSH804" s="110"/>
      <c r="OSI804" s="110"/>
      <c r="OSJ804" s="110"/>
      <c r="OSK804" s="110"/>
      <c r="OSL804" s="110"/>
      <c r="OSM804" s="110"/>
      <c r="OSN804" s="110"/>
      <c r="OSO804" s="110"/>
      <c r="OSP804" s="110"/>
      <c r="OSQ804" s="110"/>
      <c r="OSR804" s="110"/>
      <c r="OSS804" s="110"/>
      <c r="OST804" s="110"/>
      <c r="OSU804" s="110"/>
      <c r="OSV804" s="110"/>
      <c r="OSW804" s="110"/>
      <c r="OSX804" s="110"/>
      <c r="OSY804" s="110"/>
      <c r="OSZ804" s="110"/>
      <c r="OTA804" s="110"/>
      <c r="OTB804" s="110"/>
      <c r="OTC804" s="110"/>
      <c r="OTD804" s="110"/>
      <c r="OTE804" s="110"/>
      <c r="OTF804" s="110"/>
      <c r="OTG804" s="110"/>
      <c r="OTH804" s="110"/>
      <c r="OTI804" s="110"/>
      <c r="OTJ804" s="110"/>
      <c r="OTK804" s="110"/>
      <c r="OTL804" s="110"/>
      <c r="OTM804" s="110"/>
      <c r="OTN804" s="110"/>
      <c r="OTO804" s="110"/>
      <c r="OTP804" s="110"/>
      <c r="OTQ804" s="110"/>
      <c r="OTR804" s="110"/>
      <c r="OTS804" s="110"/>
      <c r="OTT804" s="110"/>
      <c r="OTU804" s="110"/>
      <c r="OTV804" s="110"/>
      <c r="OTW804" s="110"/>
      <c r="OTX804" s="110"/>
      <c r="OTY804" s="110"/>
      <c r="OTZ804" s="110"/>
      <c r="OUA804" s="110"/>
      <c r="OUB804" s="110"/>
      <c r="OUC804" s="110"/>
      <c r="OUD804" s="110"/>
      <c r="OUE804" s="110"/>
      <c r="OUF804" s="110"/>
      <c r="OUG804" s="110"/>
      <c r="OUH804" s="110"/>
      <c r="OUI804" s="110"/>
      <c r="OUJ804" s="110"/>
      <c r="OUK804" s="110"/>
      <c r="OUL804" s="110"/>
      <c r="OUM804" s="110"/>
      <c r="OUN804" s="110"/>
      <c r="OUO804" s="110"/>
      <c r="OUP804" s="110"/>
      <c r="OUQ804" s="110"/>
      <c r="OUR804" s="110"/>
      <c r="OUS804" s="110"/>
      <c r="OUT804" s="110"/>
      <c r="OUU804" s="110"/>
      <c r="OUV804" s="110"/>
      <c r="OUW804" s="110"/>
      <c r="OUX804" s="110"/>
      <c r="OUY804" s="110"/>
      <c r="OUZ804" s="110"/>
      <c r="OVA804" s="110"/>
      <c r="OVB804" s="110"/>
      <c r="OVC804" s="110"/>
      <c r="OVD804" s="110"/>
      <c r="OVE804" s="110"/>
      <c r="OVF804" s="110"/>
      <c r="OVG804" s="110"/>
      <c r="OVH804" s="110"/>
      <c r="OVI804" s="110"/>
      <c r="OVJ804" s="110"/>
      <c r="OVK804" s="110"/>
      <c r="OVL804" s="110"/>
      <c r="OVM804" s="110"/>
      <c r="OVN804" s="110"/>
      <c r="OVO804" s="110"/>
      <c r="OVP804" s="110"/>
      <c r="OVQ804" s="110"/>
      <c r="OVR804" s="110"/>
      <c r="OVS804" s="110"/>
      <c r="OVT804" s="110"/>
      <c r="OVU804" s="110"/>
      <c r="OVV804" s="110"/>
      <c r="OVW804" s="110"/>
      <c r="OVX804" s="110"/>
      <c r="OVY804" s="110"/>
      <c r="OVZ804" s="110"/>
      <c r="OWA804" s="110"/>
      <c r="OWB804" s="110"/>
      <c r="OWC804" s="110"/>
      <c r="OWD804" s="110"/>
      <c r="OWE804" s="110"/>
      <c r="OWF804" s="110"/>
      <c r="OWG804" s="110"/>
      <c r="OWH804" s="110"/>
      <c r="OWI804" s="110"/>
      <c r="OWJ804" s="110"/>
      <c r="OWK804" s="110"/>
      <c r="OWL804" s="110"/>
      <c r="OWM804" s="110"/>
      <c r="OWN804" s="110"/>
      <c r="OWO804" s="110"/>
      <c r="OWP804" s="110"/>
      <c r="OWQ804" s="110"/>
      <c r="OWR804" s="110"/>
      <c r="OWS804" s="110"/>
      <c r="OWT804" s="110"/>
      <c r="OWU804" s="110"/>
      <c r="OWV804" s="110"/>
      <c r="OWW804" s="110"/>
      <c r="OWX804" s="110"/>
      <c r="OWY804" s="110"/>
      <c r="OWZ804" s="110"/>
      <c r="OXA804" s="110"/>
      <c r="OXB804" s="110"/>
      <c r="OXC804" s="110"/>
      <c r="OXD804" s="110"/>
      <c r="OXE804" s="110"/>
      <c r="OXF804" s="110"/>
      <c r="OXG804" s="110"/>
      <c r="OXH804" s="110"/>
      <c r="OXI804" s="110"/>
      <c r="OXJ804" s="110"/>
      <c r="OXK804" s="110"/>
      <c r="OXL804" s="110"/>
      <c r="OXM804" s="110"/>
      <c r="OXN804" s="110"/>
      <c r="OXO804" s="110"/>
      <c r="OXP804" s="110"/>
      <c r="OXQ804" s="110"/>
      <c r="OXR804" s="110"/>
      <c r="OXS804" s="110"/>
      <c r="OXT804" s="110"/>
      <c r="OXU804" s="110"/>
      <c r="OXV804" s="110"/>
      <c r="OXW804" s="110"/>
      <c r="OXX804" s="110"/>
      <c r="OXY804" s="110"/>
      <c r="OXZ804" s="110"/>
      <c r="OYA804" s="110"/>
      <c r="OYB804" s="110"/>
      <c r="OYC804" s="110"/>
      <c r="OYD804" s="110"/>
      <c r="OYE804" s="110"/>
      <c r="OYF804" s="110"/>
      <c r="OYG804" s="110"/>
      <c r="OYH804" s="110"/>
      <c r="OYI804" s="110"/>
      <c r="OYJ804" s="110"/>
      <c r="OYK804" s="110"/>
      <c r="OYL804" s="110"/>
      <c r="OYM804" s="110"/>
      <c r="OYN804" s="110"/>
      <c r="OYO804" s="110"/>
      <c r="OYP804" s="110"/>
      <c r="OYQ804" s="110"/>
      <c r="OYR804" s="110"/>
      <c r="OYS804" s="110"/>
      <c r="OYT804" s="110"/>
      <c r="OYU804" s="110"/>
      <c r="OYV804" s="110"/>
      <c r="OYW804" s="110"/>
      <c r="OYX804" s="110"/>
      <c r="OYY804" s="110"/>
      <c r="OYZ804" s="110"/>
      <c r="OZA804" s="110"/>
      <c r="OZB804" s="110"/>
      <c r="OZC804" s="110"/>
      <c r="OZD804" s="110"/>
      <c r="OZE804" s="110"/>
      <c r="OZF804" s="110"/>
      <c r="OZG804" s="110"/>
      <c r="OZH804" s="110"/>
      <c r="OZI804" s="110"/>
      <c r="OZJ804" s="110"/>
      <c r="OZK804" s="110"/>
      <c r="OZL804" s="110"/>
      <c r="OZM804" s="110"/>
      <c r="OZN804" s="110"/>
      <c r="OZO804" s="110"/>
      <c r="OZP804" s="110"/>
      <c r="OZQ804" s="110"/>
      <c r="OZR804" s="110"/>
      <c r="OZS804" s="110"/>
      <c r="OZT804" s="110"/>
      <c r="OZU804" s="110"/>
      <c r="OZV804" s="110"/>
      <c r="OZW804" s="110"/>
      <c r="OZX804" s="110"/>
      <c r="OZY804" s="110"/>
      <c r="OZZ804" s="110"/>
      <c r="PAA804" s="110"/>
      <c r="PAB804" s="110"/>
      <c r="PAC804" s="110"/>
      <c r="PAD804" s="110"/>
      <c r="PAE804" s="110"/>
      <c r="PAF804" s="110"/>
      <c r="PAG804" s="110"/>
      <c r="PAH804" s="110"/>
      <c r="PAI804" s="110"/>
      <c r="PAJ804" s="110"/>
      <c r="PAK804" s="110"/>
      <c r="PAL804" s="110"/>
      <c r="PAM804" s="110"/>
      <c r="PAN804" s="110"/>
      <c r="PAO804" s="110"/>
      <c r="PAP804" s="110"/>
      <c r="PAQ804" s="110"/>
      <c r="PAR804" s="110"/>
      <c r="PAS804" s="110"/>
      <c r="PAT804" s="110"/>
      <c r="PAU804" s="110"/>
      <c r="PAV804" s="110"/>
      <c r="PAW804" s="110"/>
      <c r="PAX804" s="110"/>
      <c r="PAY804" s="110"/>
      <c r="PAZ804" s="110"/>
      <c r="PBA804" s="110"/>
      <c r="PBB804" s="110"/>
      <c r="PBC804" s="110"/>
      <c r="PBD804" s="110"/>
      <c r="PBE804" s="110"/>
      <c r="PBF804" s="110"/>
      <c r="PBG804" s="110"/>
      <c r="PBH804" s="110"/>
      <c r="PBI804" s="110"/>
      <c r="PBJ804" s="110"/>
      <c r="PBK804" s="110"/>
      <c r="PBL804" s="110"/>
      <c r="PBM804" s="110"/>
      <c r="PBN804" s="110"/>
      <c r="PBO804" s="110"/>
      <c r="PBP804" s="110"/>
      <c r="PBQ804" s="110"/>
      <c r="PBR804" s="110"/>
      <c r="PBS804" s="110"/>
      <c r="PBT804" s="110"/>
      <c r="PBU804" s="110"/>
      <c r="PBV804" s="110"/>
      <c r="PBW804" s="110"/>
      <c r="PBX804" s="110"/>
      <c r="PBY804" s="110"/>
      <c r="PBZ804" s="110"/>
      <c r="PCA804" s="110"/>
      <c r="PCB804" s="110"/>
      <c r="PCC804" s="110"/>
      <c r="PCD804" s="110"/>
      <c r="PCE804" s="110"/>
      <c r="PCF804" s="110"/>
      <c r="PCG804" s="110"/>
      <c r="PCH804" s="110"/>
      <c r="PCI804" s="110"/>
      <c r="PCJ804" s="110"/>
      <c r="PCK804" s="110"/>
      <c r="PCL804" s="110"/>
      <c r="PCM804" s="110"/>
      <c r="PCN804" s="110"/>
      <c r="PCO804" s="110"/>
      <c r="PCP804" s="110"/>
      <c r="PCQ804" s="110"/>
      <c r="PCR804" s="110"/>
      <c r="PCS804" s="110"/>
      <c r="PCT804" s="110"/>
      <c r="PCU804" s="110"/>
      <c r="PCV804" s="110"/>
      <c r="PCW804" s="110"/>
      <c r="PCX804" s="110"/>
      <c r="PCY804" s="110"/>
      <c r="PCZ804" s="110"/>
      <c r="PDA804" s="110"/>
      <c r="PDB804" s="110"/>
      <c r="PDC804" s="110"/>
      <c r="PDD804" s="110"/>
      <c r="PDE804" s="110"/>
      <c r="PDF804" s="110"/>
      <c r="PDG804" s="110"/>
      <c r="PDH804" s="110"/>
      <c r="PDI804" s="110"/>
      <c r="PDJ804" s="110"/>
      <c r="PDK804" s="110"/>
      <c r="PDL804" s="110"/>
      <c r="PDM804" s="110"/>
      <c r="PDN804" s="110"/>
      <c r="PDO804" s="110"/>
      <c r="PDP804" s="110"/>
      <c r="PDQ804" s="110"/>
      <c r="PDR804" s="110"/>
      <c r="PDS804" s="110"/>
      <c r="PDT804" s="110"/>
      <c r="PDU804" s="110"/>
      <c r="PDV804" s="110"/>
      <c r="PDW804" s="110"/>
      <c r="PDX804" s="110"/>
      <c r="PDY804" s="110"/>
      <c r="PDZ804" s="110"/>
      <c r="PEA804" s="110"/>
      <c r="PEB804" s="110"/>
      <c r="PEC804" s="110"/>
      <c r="PED804" s="110"/>
      <c r="PEE804" s="110"/>
      <c r="PEF804" s="110"/>
      <c r="PEG804" s="110"/>
      <c r="PEH804" s="110"/>
      <c r="PEI804" s="110"/>
      <c r="PEJ804" s="110"/>
      <c r="PEK804" s="110"/>
      <c r="PEL804" s="110"/>
      <c r="PEM804" s="110"/>
      <c r="PEN804" s="110"/>
      <c r="PEO804" s="110"/>
      <c r="PEP804" s="110"/>
      <c r="PEQ804" s="110"/>
      <c r="PER804" s="110"/>
      <c r="PES804" s="110"/>
      <c r="PET804" s="110"/>
      <c r="PEU804" s="110"/>
      <c r="PEV804" s="110"/>
      <c r="PEW804" s="110"/>
      <c r="PEX804" s="110"/>
      <c r="PEY804" s="110"/>
      <c r="PEZ804" s="110"/>
      <c r="PFA804" s="110"/>
      <c r="PFB804" s="110"/>
      <c r="PFC804" s="110"/>
      <c r="PFD804" s="110"/>
      <c r="PFE804" s="110"/>
      <c r="PFF804" s="110"/>
      <c r="PFG804" s="110"/>
      <c r="PFH804" s="110"/>
      <c r="PFI804" s="110"/>
      <c r="PFJ804" s="110"/>
      <c r="PFK804" s="110"/>
      <c r="PFL804" s="110"/>
      <c r="PFM804" s="110"/>
      <c r="PFN804" s="110"/>
      <c r="PFO804" s="110"/>
      <c r="PFP804" s="110"/>
      <c r="PFQ804" s="110"/>
      <c r="PFR804" s="110"/>
      <c r="PFS804" s="110"/>
      <c r="PFT804" s="110"/>
      <c r="PFU804" s="110"/>
      <c r="PFV804" s="110"/>
      <c r="PFW804" s="110"/>
      <c r="PFX804" s="110"/>
      <c r="PFY804" s="110"/>
      <c r="PFZ804" s="110"/>
      <c r="PGA804" s="110"/>
      <c r="PGB804" s="110"/>
      <c r="PGC804" s="110"/>
      <c r="PGD804" s="110"/>
      <c r="PGE804" s="110"/>
      <c r="PGF804" s="110"/>
      <c r="PGG804" s="110"/>
      <c r="PGH804" s="110"/>
      <c r="PGI804" s="110"/>
      <c r="PGJ804" s="110"/>
      <c r="PGK804" s="110"/>
      <c r="PGL804" s="110"/>
      <c r="PGM804" s="110"/>
      <c r="PGN804" s="110"/>
      <c r="PGO804" s="110"/>
      <c r="PGP804" s="110"/>
      <c r="PGQ804" s="110"/>
      <c r="PGR804" s="110"/>
      <c r="PGS804" s="110"/>
      <c r="PGT804" s="110"/>
      <c r="PGU804" s="110"/>
      <c r="PGV804" s="110"/>
      <c r="PGW804" s="110"/>
      <c r="PGX804" s="110"/>
      <c r="PGY804" s="110"/>
      <c r="PGZ804" s="110"/>
      <c r="PHA804" s="110"/>
      <c r="PHB804" s="110"/>
      <c r="PHC804" s="110"/>
      <c r="PHD804" s="110"/>
      <c r="PHE804" s="110"/>
      <c r="PHF804" s="110"/>
      <c r="PHG804" s="110"/>
      <c r="PHH804" s="110"/>
      <c r="PHI804" s="110"/>
      <c r="PHJ804" s="110"/>
      <c r="PHK804" s="110"/>
      <c r="PHL804" s="110"/>
      <c r="PHM804" s="110"/>
      <c r="PHN804" s="110"/>
      <c r="PHO804" s="110"/>
      <c r="PHP804" s="110"/>
      <c r="PHQ804" s="110"/>
      <c r="PHR804" s="110"/>
      <c r="PHS804" s="110"/>
      <c r="PHT804" s="110"/>
      <c r="PHU804" s="110"/>
      <c r="PHV804" s="110"/>
      <c r="PHW804" s="110"/>
      <c r="PHX804" s="110"/>
      <c r="PHY804" s="110"/>
      <c r="PHZ804" s="110"/>
      <c r="PIA804" s="110"/>
      <c r="PIB804" s="110"/>
      <c r="PIC804" s="110"/>
      <c r="PID804" s="110"/>
      <c r="PIE804" s="110"/>
      <c r="PIF804" s="110"/>
      <c r="PIG804" s="110"/>
      <c r="PIH804" s="110"/>
      <c r="PII804" s="110"/>
      <c r="PIJ804" s="110"/>
      <c r="PIK804" s="110"/>
      <c r="PIL804" s="110"/>
      <c r="PIM804" s="110"/>
      <c r="PIN804" s="110"/>
      <c r="PIO804" s="110"/>
      <c r="PIP804" s="110"/>
      <c r="PIQ804" s="110"/>
      <c r="PIR804" s="110"/>
      <c r="PIS804" s="110"/>
      <c r="PIT804" s="110"/>
      <c r="PIU804" s="110"/>
      <c r="PIV804" s="110"/>
      <c r="PIW804" s="110"/>
      <c r="PIX804" s="110"/>
      <c r="PIY804" s="110"/>
      <c r="PIZ804" s="110"/>
      <c r="PJA804" s="110"/>
      <c r="PJB804" s="110"/>
      <c r="PJC804" s="110"/>
      <c r="PJD804" s="110"/>
      <c r="PJE804" s="110"/>
      <c r="PJF804" s="110"/>
      <c r="PJG804" s="110"/>
      <c r="PJH804" s="110"/>
      <c r="PJI804" s="110"/>
      <c r="PJJ804" s="110"/>
      <c r="PJK804" s="110"/>
      <c r="PJL804" s="110"/>
      <c r="PJM804" s="110"/>
      <c r="PJN804" s="110"/>
      <c r="PJO804" s="110"/>
      <c r="PJP804" s="110"/>
      <c r="PJQ804" s="110"/>
      <c r="PJR804" s="110"/>
      <c r="PJS804" s="110"/>
      <c r="PJT804" s="110"/>
      <c r="PJU804" s="110"/>
      <c r="PJV804" s="110"/>
      <c r="PJW804" s="110"/>
      <c r="PJX804" s="110"/>
      <c r="PJY804" s="110"/>
      <c r="PJZ804" s="110"/>
      <c r="PKA804" s="110"/>
      <c r="PKB804" s="110"/>
      <c r="PKC804" s="110"/>
      <c r="PKD804" s="110"/>
      <c r="PKE804" s="110"/>
      <c r="PKF804" s="110"/>
      <c r="PKG804" s="110"/>
      <c r="PKH804" s="110"/>
      <c r="PKI804" s="110"/>
      <c r="PKJ804" s="110"/>
      <c r="PKK804" s="110"/>
      <c r="PKL804" s="110"/>
      <c r="PKM804" s="110"/>
      <c r="PKN804" s="110"/>
      <c r="PKO804" s="110"/>
      <c r="PKP804" s="110"/>
      <c r="PKQ804" s="110"/>
      <c r="PKR804" s="110"/>
      <c r="PKS804" s="110"/>
      <c r="PKT804" s="110"/>
      <c r="PKU804" s="110"/>
      <c r="PKV804" s="110"/>
      <c r="PKW804" s="110"/>
      <c r="PKX804" s="110"/>
      <c r="PKY804" s="110"/>
      <c r="PKZ804" s="110"/>
      <c r="PLA804" s="110"/>
      <c r="PLB804" s="110"/>
      <c r="PLC804" s="110"/>
      <c r="PLD804" s="110"/>
      <c r="PLE804" s="110"/>
      <c r="PLF804" s="110"/>
      <c r="PLG804" s="110"/>
      <c r="PLH804" s="110"/>
      <c r="PLI804" s="110"/>
      <c r="PLJ804" s="110"/>
      <c r="PLK804" s="110"/>
      <c r="PLL804" s="110"/>
      <c r="PLM804" s="110"/>
      <c r="PLN804" s="110"/>
      <c r="PLO804" s="110"/>
      <c r="PLP804" s="110"/>
      <c r="PLQ804" s="110"/>
      <c r="PLR804" s="110"/>
      <c r="PLS804" s="110"/>
      <c r="PLT804" s="110"/>
      <c r="PLU804" s="110"/>
      <c r="PLV804" s="110"/>
      <c r="PLW804" s="110"/>
      <c r="PLX804" s="110"/>
      <c r="PLY804" s="110"/>
      <c r="PLZ804" s="110"/>
      <c r="PMA804" s="110"/>
      <c r="PMB804" s="110"/>
      <c r="PMC804" s="110"/>
      <c r="PMD804" s="110"/>
      <c r="PME804" s="110"/>
      <c r="PMF804" s="110"/>
      <c r="PMG804" s="110"/>
      <c r="PMH804" s="110"/>
      <c r="PMI804" s="110"/>
      <c r="PMJ804" s="110"/>
      <c r="PMK804" s="110"/>
      <c r="PML804" s="110"/>
      <c r="PMM804" s="110"/>
      <c r="PMN804" s="110"/>
      <c r="PMO804" s="110"/>
      <c r="PMP804" s="110"/>
      <c r="PMQ804" s="110"/>
      <c r="PMR804" s="110"/>
      <c r="PMS804" s="110"/>
      <c r="PMT804" s="110"/>
      <c r="PMU804" s="110"/>
      <c r="PMV804" s="110"/>
      <c r="PMW804" s="110"/>
      <c r="PMX804" s="110"/>
      <c r="PMY804" s="110"/>
      <c r="PMZ804" s="110"/>
      <c r="PNA804" s="110"/>
      <c r="PNB804" s="110"/>
      <c r="PNC804" s="110"/>
      <c r="PND804" s="110"/>
      <c r="PNE804" s="110"/>
      <c r="PNF804" s="110"/>
      <c r="PNG804" s="110"/>
      <c r="PNH804" s="110"/>
      <c r="PNI804" s="110"/>
      <c r="PNJ804" s="110"/>
      <c r="PNK804" s="110"/>
      <c r="PNL804" s="110"/>
      <c r="PNM804" s="110"/>
      <c r="PNN804" s="110"/>
      <c r="PNO804" s="110"/>
      <c r="PNP804" s="110"/>
      <c r="PNQ804" s="110"/>
      <c r="PNR804" s="110"/>
      <c r="PNS804" s="110"/>
      <c r="PNT804" s="110"/>
      <c r="PNU804" s="110"/>
      <c r="PNV804" s="110"/>
      <c r="PNW804" s="110"/>
      <c r="PNX804" s="110"/>
      <c r="PNY804" s="110"/>
      <c r="PNZ804" s="110"/>
      <c r="POA804" s="110"/>
      <c r="POB804" s="110"/>
      <c r="POC804" s="110"/>
      <c r="POD804" s="110"/>
      <c r="POE804" s="110"/>
      <c r="POF804" s="110"/>
      <c r="POG804" s="110"/>
      <c r="POH804" s="110"/>
      <c r="POI804" s="110"/>
      <c r="POJ804" s="110"/>
      <c r="POK804" s="110"/>
      <c r="POL804" s="110"/>
      <c r="POM804" s="110"/>
      <c r="PON804" s="110"/>
      <c r="POO804" s="110"/>
      <c r="POP804" s="110"/>
      <c r="POQ804" s="110"/>
      <c r="POR804" s="110"/>
      <c r="POS804" s="110"/>
      <c r="POT804" s="110"/>
      <c r="POU804" s="110"/>
      <c r="POV804" s="110"/>
      <c r="POW804" s="110"/>
      <c r="POX804" s="110"/>
      <c r="POY804" s="110"/>
      <c r="POZ804" s="110"/>
      <c r="PPA804" s="110"/>
      <c r="PPB804" s="110"/>
      <c r="PPC804" s="110"/>
      <c r="PPD804" s="110"/>
      <c r="PPE804" s="110"/>
      <c r="PPF804" s="110"/>
      <c r="PPG804" s="110"/>
      <c r="PPH804" s="110"/>
      <c r="PPI804" s="110"/>
      <c r="PPJ804" s="110"/>
      <c r="PPK804" s="110"/>
      <c r="PPL804" s="110"/>
      <c r="PPM804" s="110"/>
      <c r="PPN804" s="110"/>
      <c r="PPO804" s="110"/>
      <c r="PPP804" s="110"/>
      <c r="PPQ804" s="110"/>
      <c r="PPR804" s="110"/>
      <c r="PPS804" s="110"/>
      <c r="PPT804" s="110"/>
      <c r="PPU804" s="110"/>
      <c r="PPV804" s="110"/>
      <c r="PPW804" s="110"/>
      <c r="PPX804" s="110"/>
      <c r="PPY804" s="110"/>
      <c r="PPZ804" s="110"/>
      <c r="PQA804" s="110"/>
      <c r="PQB804" s="110"/>
      <c r="PQC804" s="110"/>
      <c r="PQD804" s="110"/>
      <c r="PQE804" s="110"/>
      <c r="PQF804" s="110"/>
      <c r="PQG804" s="110"/>
      <c r="PQH804" s="110"/>
      <c r="PQI804" s="110"/>
      <c r="PQJ804" s="110"/>
      <c r="PQK804" s="110"/>
      <c r="PQL804" s="110"/>
      <c r="PQM804" s="110"/>
      <c r="PQN804" s="110"/>
      <c r="PQO804" s="110"/>
      <c r="PQP804" s="110"/>
      <c r="PQQ804" s="110"/>
      <c r="PQR804" s="110"/>
      <c r="PQS804" s="110"/>
      <c r="PQT804" s="110"/>
      <c r="PQU804" s="110"/>
      <c r="PQV804" s="110"/>
      <c r="PQW804" s="110"/>
      <c r="PQX804" s="110"/>
      <c r="PQY804" s="110"/>
      <c r="PQZ804" s="110"/>
      <c r="PRA804" s="110"/>
      <c r="PRB804" s="110"/>
      <c r="PRC804" s="110"/>
      <c r="PRD804" s="110"/>
      <c r="PRE804" s="110"/>
      <c r="PRF804" s="110"/>
      <c r="PRG804" s="110"/>
      <c r="PRH804" s="110"/>
      <c r="PRI804" s="110"/>
      <c r="PRJ804" s="110"/>
      <c r="PRK804" s="110"/>
      <c r="PRL804" s="110"/>
      <c r="PRM804" s="110"/>
      <c r="PRN804" s="110"/>
      <c r="PRO804" s="110"/>
      <c r="PRP804" s="110"/>
      <c r="PRQ804" s="110"/>
      <c r="PRR804" s="110"/>
      <c r="PRS804" s="110"/>
      <c r="PRT804" s="110"/>
      <c r="PRU804" s="110"/>
      <c r="PRV804" s="110"/>
      <c r="PRW804" s="110"/>
      <c r="PRX804" s="110"/>
      <c r="PRY804" s="110"/>
      <c r="PRZ804" s="110"/>
      <c r="PSA804" s="110"/>
      <c r="PSB804" s="110"/>
      <c r="PSC804" s="110"/>
      <c r="PSD804" s="110"/>
      <c r="PSE804" s="110"/>
      <c r="PSF804" s="110"/>
      <c r="PSG804" s="110"/>
      <c r="PSH804" s="110"/>
      <c r="PSI804" s="110"/>
      <c r="PSJ804" s="110"/>
      <c r="PSK804" s="110"/>
      <c r="PSL804" s="110"/>
      <c r="PSM804" s="110"/>
      <c r="PSN804" s="110"/>
      <c r="PSO804" s="110"/>
      <c r="PSP804" s="110"/>
      <c r="PSQ804" s="110"/>
      <c r="PSR804" s="110"/>
      <c r="PSS804" s="110"/>
      <c r="PST804" s="110"/>
      <c r="PSU804" s="110"/>
      <c r="PSV804" s="110"/>
      <c r="PSW804" s="110"/>
      <c r="PSX804" s="110"/>
      <c r="PSY804" s="110"/>
      <c r="PSZ804" s="110"/>
      <c r="PTA804" s="110"/>
      <c r="PTB804" s="110"/>
      <c r="PTC804" s="110"/>
      <c r="PTD804" s="110"/>
      <c r="PTE804" s="110"/>
      <c r="PTF804" s="110"/>
      <c r="PTG804" s="110"/>
      <c r="PTH804" s="110"/>
      <c r="PTI804" s="110"/>
      <c r="PTJ804" s="110"/>
      <c r="PTK804" s="110"/>
      <c r="PTL804" s="110"/>
      <c r="PTM804" s="110"/>
      <c r="PTN804" s="110"/>
      <c r="PTO804" s="110"/>
      <c r="PTP804" s="110"/>
      <c r="PTQ804" s="110"/>
      <c r="PTR804" s="110"/>
      <c r="PTS804" s="110"/>
      <c r="PTT804" s="110"/>
      <c r="PTU804" s="110"/>
      <c r="PTV804" s="110"/>
      <c r="PTW804" s="110"/>
      <c r="PTX804" s="110"/>
      <c r="PTY804" s="110"/>
      <c r="PTZ804" s="110"/>
      <c r="PUA804" s="110"/>
      <c r="PUB804" s="110"/>
      <c r="PUC804" s="110"/>
      <c r="PUD804" s="110"/>
      <c r="PUE804" s="110"/>
      <c r="PUF804" s="110"/>
      <c r="PUG804" s="110"/>
      <c r="PUH804" s="110"/>
      <c r="PUI804" s="110"/>
      <c r="PUJ804" s="110"/>
      <c r="PUK804" s="110"/>
      <c r="PUL804" s="110"/>
      <c r="PUM804" s="110"/>
      <c r="PUN804" s="110"/>
      <c r="PUO804" s="110"/>
      <c r="PUP804" s="110"/>
      <c r="PUQ804" s="110"/>
      <c r="PUR804" s="110"/>
      <c r="PUS804" s="110"/>
      <c r="PUT804" s="110"/>
      <c r="PUU804" s="110"/>
      <c r="PUV804" s="110"/>
      <c r="PUW804" s="110"/>
      <c r="PUX804" s="110"/>
      <c r="PUY804" s="110"/>
      <c r="PUZ804" s="110"/>
      <c r="PVA804" s="110"/>
      <c r="PVB804" s="110"/>
      <c r="PVC804" s="110"/>
      <c r="PVD804" s="110"/>
      <c r="PVE804" s="110"/>
      <c r="PVF804" s="110"/>
      <c r="PVG804" s="110"/>
      <c r="PVH804" s="110"/>
      <c r="PVI804" s="110"/>
      <c r="PVJ804" s="110"/>
      <c r="PVK804" s="110"/>
      <c r="PVL804" s="110"/>
      <c r="PVM804" s="110"/>
      <c r="PVN804" s="110"/>
      <c r="PVO804" s="110"/>
      <c r="PVP804" s="110"/>
      <c r="PVQ804" s="110"/>
      <c r="PVR804" s="110"/>
      <c r="PVS804" s="110"/>
      <c r="PVT804" s="110"/>
      <c r="PVU804" s="110"/>
      <c r="PVV804" s="110"/>
      <c r="PVW804" s="110"/>
      <c r="PVX804" s="110"/>
      <c r="PVY804" s="110"/>
      <c r="PVZ804" s="110"/>
      <c r="PWA804" s="110"/>
      <c r="PWB804" s="110"/>
      <c r="PWC804" s="110"/>
      <c r="PWD804" s="110"/>
      <c r="PWE804" s="110"/>
      <c r="PWF804" s="110"/>
      <c r="PWG804" s="110"/>
      <c r="PWH804" s="110"/>
      <c r="PWI804" s="110"/>
      <c r="PWJ804" s="110"/>
      <c r="PWK804" s="110"/>
      <c r="PWL804" s="110"/>
      <c r="PWM804" s="110"/>
      <c r="PWN804" s="110"/>
      <c r="PWO804" s="110"/>
      <c r="PWP804" s="110"/>
      <c r="PWQ804" s="110"/>
      <c r="PWR804" s="110"/>
      <c r="PWS804" s="110"/>
      <c r="PWT804" s="110"/>
      <c r="PWU804" s="110"/>
      <c r="PWV804" s="110"/>
      <c r="PWW804" s="110"/>
      <c r="PWX804" s="110"/>
      <c r="PWY804" s="110"/>
      <c r="PWZ804" s="110"/>
      <c r="PXA804" s="110"/>
      <c r="PXB804" s="110"/>
      <c r="PXC804" s="110"/>
      <c r="PXD804" s="110"/>
      <c r="PXE804" s="110"/>
      <c r="PXF804" s="110"/>
      <c r="PXG804" s="110"/>
      <c r="PXH804" s="110"/>
      <c r="PXI804" s="110"/>
      <c r="PXJ804" s="110"/>
      <c r="PXK804" s="110"/>
      <c r="PXL804" s="110"/>
      <c r="PXM804" s="110"/>
      <c r="PXN804" s="110"/>
      <c r="PXO804" s="110"/>
      <c r="PXP804" s="110"/>
      <c r="PXQ804" s="110"/>
      <c r="PXR804" s="110"/>
      <c r="PXS804" s="110"/>
      <c r="PXT804" s="110"/>
      <c r="PXU804" s="110"/>
      <c r="PXV804" s="110"/>
      <c r="PXW804" s="110"/>
      <c r="PXX804" s="110"/>
      <c r="PXY804" s="110"/>
      <c r="PXZ804" s="110"/>
      <c r="PYA804" s="110"/>
      <c r="PYB804" s="110"/>
      <c r="PYC804" s="110"/>
      <c r="PYD804" s="110"/>
      <c r="PYE804" s="110"/>
      <c r="PYF804" s="110"/>
      <c r="PYG804" s="110"/>
      <c r="PYH804" s="110"/>
      <c r="PYI804" s="110"/>
      <c r="PYJ804" s="110"/>
      <c r="PYK804" s="110"/>
      <c r="PYL804" s="110"/>
      <c r="PYM804" s="110"/>
      <c r="PYN804" s="110"/>
      <c r="PYO804" s="110"/>
      <c r="PYP804" s="110"/>
      <c r="PYQ804" s="110"/>
      <c r="PYR804" s="110"/>
      <c r="PYS804" s="110"/>
      <c r="PYT804" s="110"/>
      <c r="PYU804" s="110"/>
      <c r="PYV804" s="110"/>
      <c r="PYW804" s="110"/>
      <c r="PYX804" s="110"/>
      <c r="PYY804" s="110"/>
      <c r="PYZ804" s="110"/>
      <c r="PZA804" s="110"/>
      <c r="PZB804" s="110"/>
      <c r="PZC804" s="110"/>
      <c r="PZD804" s="110"/>
      <c r="PZE804" s="110"/>
      <c r="PZF804" s="110"/>
      <c r="PZG804" s="110"/>
      <c r="PZH804" s="110"/>
      <c r="PZI804" s="110"/>
      <c r="PZJ804" s="110"/>
      <c r="PZK804" s="110"/>
      <c r="PZL804" s="110"/>
      <c r="PZM804" s="110"/>
      <c r="PZN804" s="110"/>
      <c r="PZO804" s="110"/>
      <c r="PZP804" s="110"/>
      <c r="PZQ804" s="110"/>
      <c r="PZR804" s="110"/>
      <c r="PZS804" s="110"/>
      <c r="PZT804" s="110"/>
      <c r="PZU804" s="110"/>
      <c r="PZV804" s="110"/>
      <c r="PZW804" s="110"/>
      <c r="PZX804" s="110"/>
      <c r="PZY804" s="110"/>
      <c r="PZZ804" s="110"/>
      <c r="QAA804" s="110"/>
      <c r="QAB804" s="110"/>
      <c r="QAC804" s="110"/>
      <c r="QAD804" s="110"/>
      <c r="QAE804" s="110"/>
      <c r="QAF804" s="110"/>
      <c r="QAG804" s="110"/>
      <c r="QAH804" s="110"/>
      <c r="QAI804" s="110"/>
      <c r="QAJ804" s="110"/>
      <c r="QAK804" s="110"/>
      <c r="QAL804" s="110"/>
      <c r="QAM804" s="110"/>
      <c r="QAN804" s="110"/>
      <c r="QAO804" s="110"/>
      <c r="QAP804" s="110"/>
      <c r="QAQ804" s="110"/>
      <c r="QAR804" s="110"/>
      <c r="QAS804" s="110"/>
      <c r="QAT804" s="110"/>
      <c r="QAU804" s="110"/>
      <c r="QAV804" s="110"/>
      <c r="QAW804" s="110"/>
      <c r="QAX804" s="110"/>
      <c r="QAY804" s="110"/>
      <c r="QAZ804" s="110"/>
      <c r="QBA804" s="110"/>
      <c r="QBB804" s="110"/>
      <c r="QBC804" s="110"/>
      <c r="QBD804" s="110"/>
      <c r="QBE804" s="110"/>
      <c r="QBF804" s="110"/>
      <c r="QBG804" s="110"/>
      <c r="QBH804" s="110"/>
      <c r="QBI804" s="110"/>
      <c r="QBJ804" s="110"/>
      <c r="QBK804" s="110"/>
      <c r="QBL804" s="110"/>
      <c r="QBM804" s="110"/>
      <c r="QBN804" s="110"/>
      <c r="QBO804" s="110"/>
      <c r="QBP804" s="110"/>
      <c r="QBQ804" s="110"/>
      <c r="QBR804" s="110"/>
      <c r="QBS804" s="110"/>
      <c r="QBT804" s="110"/>
      <c r="QBU804" s="110"/>
      <c r="QBV804" s="110"/>
      <c r="QBW804" s="110"/>
      <c r="QBX804" s="110"/>
      <c r="QBY804" s="110"/>
      <c r="QBZ804" s="110"/>
      <c r="QCA804" s="110"/>
      <c r="QCB804" s="110"/>
      <c r="QCC804" s="110"/>
      <c r="QCD804" s="110"/>
      <c r="QCE804" s="110"/>
      <c r="QCF804" s="110"/>
      <c r="QCG804" s="110"/>
      <c r="QCH804" s="110"/>
      <c r="QCI804" s="110"/>
      <c r="QCJ804" s="110"/>
      <c r="QCK804" s="110"/>
      <c r="QCL804" s="110"/>
      <c r="QCM804" s="110"/>
      <c r="QCN804" s="110"/>
      <c r="QCO804" s="110"/>
      <c r="QCP804" s="110"/>
      <c r="QCQ804" s="110"/>
      <c r="QCR804" s="110"/>
      <c r="QCS804" s="110"/>
      <c r="QCT804" s="110"/>
      <c r="QCU804" s="110"/>
      <c r="QCV804" s="110"/>
      <c r="QCW804" s="110"/>
      <c r="QCX804" s="110"/>
      <c r="QCY804" s="110"/>
      <c r="QCZ804" s="110"/>
      <c r="QDA804" s="110"/>
      <c r="QDB804" s="110"/>
      <c r="QDC804" s="110"/>
      <c r="QDD804" s="110"/>
      <c r="QDE804" s="110"/>
      <c r="QDF804" s="110"/>
      <c r="QDG804" s="110"/>
      <c r="QDH804" s="110"/>
      <c r="QDI804" s="110"/>
      <c r="QDJ804" s="110"/>
      <c r="QDK804" s="110"/>
      <c r="QDL804" s="110"/>
      <c r="QDM804" s="110"/>
      <c r="QDN804" s="110"/>
      <c r="QDO804" s="110"/>
      <c r="QDP804" s="110"/>
      <c r="QDQ804" s="110"/>
      <c r="QDR804" s="110"/>
      <c r="QDS804" s="110"/>
      <c r="QDT804" s="110"/>
      <c r="QDU804" s="110"/>
      <c r="QDV804" s="110"/>
      <c r="QDW804" s="110"/>
      <c r="QDX804" s="110"/>
      <c r="QDY804" s="110"/>
      <c r="QDZ804" s="110"/>
      <c r="QEA804" s="110"/>
      <c r="QEB804" s="110"/>
      <c r="QEC804" s="110"/>
      <c r="QED804" s="110"/>
      <c r="QEE804" s="110"/>
      <c r="QEF804" s="110"/>
      <c r="QEG804" s="110"/>
      <c r="QEH804" s="110"/>
      <c r="QEI804" s="110"/>
      <c r="QEJ804" s="110"/>
      <c r="QEK804" s="110"/>
      <c r="QEL804" s="110"/>
      <c r="QEM804" s="110"/>
      <c r="QEN804" s="110"/>
      <c r="QEO804" s="110"/>
      <c r="QEP804" s="110"/>
      <c r="QEQ804" s="110"/>
      <c r="QER804" s="110"/>
      <c r="QES804" s="110"/>
      <c r="QET804" s="110"/>
      <c r="QEU804" s="110"/>
      <c r="QEV804" s="110"/>
      <c r="QEW804" s="110"/>
      <c r="QEX804" s="110"/>
      <c r="QEY804" s="110"/>
      <c r="QEZ804" s="110"/>
      <c r="QFA804" s="110"/>
      <c r="QFB804" s="110"/>
      <c r="QFC804" s="110"/>
      <c r="QFD804" s="110"/>
      <c r="QFE804" s="110"/>
      <c r="QFF804" s="110"/>
      <c r="QFG804" s="110"/>
      <c r="QFH804" s="110"/>
      <c r="QFI804" s="110"/>
      <c r="QFJ804" s="110"/>
      <c r="QFK804" s="110"/>
      <c r="QFL804" s="110"/>
      <c r="QFM804" s="110"/>
      <c r="QFN804" s="110"/>
      <c r="QFO804" s="110"/>
      <c r="QFP804" s="110"/>
      <c r="QFQ804" s="110"/>
      <c r="QFR804" s="110"/>
      <c r="QFS804" s="110"/>
      <c r="QFT804" s="110"/>
      <c r="QFU804" s="110"/>
      <c r="QFV804" s="110"/>
      <c r="QFW804" s="110"/>
      <c r="QFX804" s="110"/>
      <c r="QFY804" s="110"/>
      <c r="QFZ804" s="110"/>
      <c r="QGA804" s="110"/>
      <c r="QGB804" s="110"/>
      <c r="QGC804" s="110"/>
      <c r="QGD804" s="110"/>
      <c r="QGE804" s="110"/>
      <c r="QGF804" s="110"/>
      <c r="QGG804" s="110"/>
      <c r="QGH804" s="110"/>
      <c r="QGI804" s="110"/>
      <c r="QGJ804" s="110"/>
      <c r="QGK804" s="110"/>
      <c r="QGL804" s="110"/>
      <c r="QGM804" s="110"/>
      <c r="QGN804" s="110"/>
      <c r="QGO804" s="110"/>
      <c r="QGP804" s="110"/>
      <c r="QGQ804" s="110"/>
      <c r="QGR804" s="110"/>
      <c r="QGS804" s="110"/>
      <c r="QGT804" s="110"/>
      <c r="QGU804" s="110"/>
      <c r="QGV804" s="110"/>
      <c r="QGW804" s="110"/>
      <c r="QGX804" s="110"/>
      <c r="QGY804" s="110"/>
      <c r="QGZ804" s="110"/>
      <c r="QHA804" s="110"/>
      <c r="QHB804" s="110"/>
      <c r="QHC804" s="110"/>
      <c r="QHD804" s="110"/>
      <c r="QHE804" s="110"/>
      <c r="QHF804" s="110"/>
      <c r="QHG804" s="110"/>
      <c r="QHH804" s="110"/>
      <c r="QHI804" s="110"/>
      <c r="QHJ804" s="110"/>
      <c r="QHK804" s="110"/>
      <c r="QHL804" s="110"/>
      <c r="QHM804" s="110"/>
      <c r="QHN804" s="110"/>
      <c r="QHO804" s="110"/>
      <c r="QHP804" s="110"/>
      <c r="QHQ804" s="110"/>
      <c r="QHR804" s="110"/>
      <c r="QHS804" s="110"/>
      <c r="QHT804" s="110"/>
      <c r="QHU804" s="110"/>
      <c r="QHV804" s="110"/>
      <c r="QHW804" s="110"/>
      <c r="QHX804" s="110"/>
      <c r="QHY804" s="110"/>
      <c r="QHZ804" s="110"/>
      <c r="QIA804" s="110"/>
      <c r="QIB804" s="110"/>
      <c r="QIC804" s="110"/>
      <c r="QID804" s="110"/>
      <c r="QIE804" s="110"/>
      <c r="QIF804" s="110"/>
      <c r="QIG804" s="110"/>
      <c r="QIH804" s="110"/>
      <c r="QII804" s="110"/>
      <c r="QIJ804" s="110"/>
      <c r="QIK804" s="110"/>
      <c r="QIL804" s="110"/>
      <c r="QIM804" s="110"/>
      <c r="QIN804" s="110"/>
      <c r="QIO804" s="110"/>
      <c r="QIP804" s="110"/>
      <c r="QIQ804" s="110"/>
      <c r="QIR804" s="110"/>
      <c r="QIS804" s="110"/>
      <c r="QIT804" s="110"/>
      <c r="QIU804" s="110"/>
      <c r="QIV804" s="110"/>
      <c r="QIW804" s="110"/>
      <c r="QIX804" s="110"/>
      <c r="QIY804" s="110"/>
      <c r="QIZ804" s="110"/>
      <c r="QJA804" s="110"/>
      <c r="QJB804" s="110"/>
      <c r="QJC804" s="110"/>
      <c r="QJD804" s="110"/>
      <c r="QJE804" s="110"/>
      <c r="QJF804" s="110"/>
      <c r="QJG804" s="110"/>
      <c r="QJH804" s="110"/>
      <c r="QJI804" s="110"/>
      <c r="QJJ804" s="110"/>
      <c r="QJK804" s="110"/>
      <c r="QJL804" s="110"/>
      <c r="QJM804" s="110"/>
      <c r="QJN804" s="110"/>
      <c r="QJO804" s="110"/>
      <c r="QJP804" s="110"/>
      <c r="QJQ804" s="110"/>
      <c r="QJR804" s="110"/>
      <c r="QJS804" s="110"/>
      <c r="QJT804" s="110"/>
      <c r="QJU804" s="110"/>
      <c r="QJV804" s="110"/>
      <c r="QJW804" s="110"/>
      <c r="QJX804" s="110"/>
      <c r="QJY804" s="110"/>
      <c r="QJZ804" s="110"/>
      <c r="QKA804" s="110"/>
      <c r="QKB804" s="110"/>
      <c r="QKC804" s="110"/>
      <c r="QKD804" s="110"/>
      <c r="QKE804" s="110"/>
      <c r="QKF804" s="110"/>
      <c r="QKG804" s="110"/>
      <c r="QKH804" s="110"/>
      <c r="QKI804" s="110"/>
      <c r="QKJ804" s="110"/>
      <c r="QKK804" s="110"/>
      <c r="QKL804" s="110"/>
      <c r="QKM804" s="110"/>
      <c r="QKN804" s="110"/>
      <c r="QKO804" s="110"/>
      <c r="QKP804" s="110"/>
      <c r="QKQ804" s="110"/>
      <c r="QKR804" s="110"/>
      <c r="QKS804" s="110"/>
      <c r="QKT804" s="110"/>
      <c r="QKU804" s="110"/>
      <c r="QKV804" s="110"/>
      <c r="QKW804" s="110"/>
      <c r="QKX804" s="110"/>
      <c r="QKY804" s="110"/>
      <c r="QKZ804" s="110"/>
      <c r="QLA804" s="110"/>
      <c r="QLB804" s="110"/>
      <c r="QLC804" s="110"/>
      <c r="QLD804" s="110"/>
      <c r="QLE804" s="110"/>
      <c r="QLF804" s="110"/>
      <c r="QLG804" s="110"/>
      <c r="QLH804" s="110"/>
      <c r="QLI804" s="110"/>
      <c r="QLJ804" s="110"/>
      <c r="QLK804" s="110"/>
      <c r="QLL804" s="110"/>
      <c r="QLM804" s="110"/>
      <c r="QLN804" s="110"/>
      <c r="QLO804" s="110"/>
      <c r="QLP804" s="110"/>
      <c r="QLQ804" s="110"/>
      <c r="QLR804" s="110"/>
      <c r="QLS804" s="110"/>
      <c r="QLT804" s="110"/>
      <c r="QLU804" s="110"/>
      <c r="QLV804" s="110"/>
      <c r="QLW804" s="110"/>
      <c r="QLX804" s="110"/>
      <c r="QLY804" s="110"/>
      <c r="QLZ804" s="110"/>
      <c r="QMA804" s="110"/>
      <c r="QMB804" s="110"/>
      <c r="QMC804" s="110"/>
      <c r="QMD804" s="110"/>
      <c r="QME804" s="110"/>
      <c r="QMF804" s="110"/>
      <c r="QMG804" s="110"/>
      <c r="QMH804" s="110"/>
      <c r="QMI804" s="110"/>
      <c r="QMJ804" s="110"/>
      <c r="QMK804" s="110"/>
      <c r="QML804" s="110"/>
      <c r="QMM804" s="110"/>
      <c r="QMN804" s="110"/>
      <c r="QMO804" s="110"/>
      <c r="QMP804" s="110"/>
      <c r="QMQ804" s="110"/>
      <c r="QMR804" s="110"/>
      <c r="QMS804" s="110"/>
      <c r="QMT804" s="110"/>
      <c r="QMU804" s="110"/>
      <c r="QMV804" s="110"/>
      <c r="QMW804" s="110"/>
      <c r="QMX804" s="110"/>
      <c r="QMY804" s="110"/>
      <c r="QMZ804" s="110"/>
      <c r="QNA804" s="110"/>
      <c r="QNB804" s="110"/>
      <c r="QNC804" s="110"/>
      <c r="QND804" s="110"/>
      <c r="QNE804" s="110"/>
      <c r="QNF804" s="110"/>
      <c r="QNG804" s="110"/>
      <c r="QNH804" s="110"/>
      <c r="QNI804" s="110"/>
      <c r="QNJ804" s="110"/>
      <c r="QNK804" s="110"/>
      <c r="QNL804" s="110"/>
      <c r="QNM804" s="110"/>
      <c r="QNN804" s="110"/>
      <c r="QNO804" s="110"/>
      <c r="QNP804" s="110"/>
      <c r="QNQ804" s="110"/>
      <c r="QNR804" s="110"/>
      <c r="QNS804" s="110"/>
      <c r="QNT804" s="110"/>
      <c r="QNU804" s="110"/>
      <c r="QNV804" s="110"/>
      <c r="QNW804" s="110"/>
      <c r="QNX804" s="110"/>
      <c r="QNY804" s="110"/>
      <c r="QNZ804" s="110"/>
      <c r="QOA804" s="110"/>
      <c r="QOB804" s="110"/>
      <c r="QOC804" s="110"/>
      <c r="QOD804" s="110"/>
      <c r="QOE804" s="110"/>
      <c r="QOF804" s="110"/>
      <c r="QOG804" s="110"/>
      <c r="QOH804" s="110"/>
      <c r="QOI804" s="110"/>
      <c r="QOJ804" s="110"/>
      <c r="QOK804" s="110"/>
      <c r="QOL804" s="110"/>
      <c r="QOM804" s="110"/>
      <c r="QON804" s="110"/>
      <c r="QOO804" s="110"/>
      <c r="QOP804" s="110"/>
      <c r="QOQ804" s="110"/>
      <c r="QOR804" s="110"/>
      <c r="QOS804" s="110"/>
      <c r="QOT804" s="110"/>
      <c r="QOU804" s="110"/>
      <c r="QOV804" s="110"/>
      <c r="QOW804" s="110"/>
      <c r="QOX804" s="110"/>
      <c r="QOY804" s="110"/>
      <c r="QOZ804" s="110"/>
      <c r="QPA804" s="110"/>
      <c r="QPB804" s="110"/>
      <c r="QPC804" s="110"/>
      <c r="QPD804" s="110"/>
      <c r="QPE804" s="110"/>
      <c r="QPF804" s="110"/>
      <c r="QPG804" s="110"/>
      <c r="QPH804" s="110"/>
      <c r="QPI804" s="110"/>
      <c r="QPJ804" s="110"/>
      <c r="QPK804" s="110"/>
      <c r="QPL804" s="110"/>
      <c r="QPM804" s="110"/>
      <c r="QPN804" s="110"/>
      <c r="QPO804" s="110"/>
      <c r="QPP804" s="110"/>
      <c r="QPQ804" s="110"/>
      <c r="QPR804" s="110"/>
      <c r="QPS804" s="110"/>
      <c r="QPT804" s="110"/>
      <c r="QPU804" s="110"/>
      <c r="QPV804" s="110"/>
      <c r="QPW804" s="110"/>
      <c r="QPX804" s="110"/>
      <c r="QPY804" s="110"/>
      <c r="QPZ804" s="110"/>
      <c r="QQA804" s="110"/>
      <c r="QQB804" s="110"/>
      <c r="QQC804" s="110"/>
      <c r="QQD804" s="110"/>
      <c r="QQE804" s="110"/>
      <c r="QQF804" s="110"/>
      <c r="QQG804" s="110"/>
      <c r="QQH804" s="110"/>
      <c r="QQI804" s="110"/>
      <c r="QQJ804" s="110"/>
      <c r="QQK804" s="110"/>
      <c r="QQL804" s="110"/>
      <c r="QQM804" s="110"/>
      <c r="QQN804" s="110"/>
      <c r="QQO804" s="110"/>
      <c r="QQP804" s="110"/>
      <c r="QQQ804" s="110"/>
      <c r="QQR804" s="110"/>
      <c r="QQS804" s="110"/>
      <c r="QQT804" s="110"/>
      <c r="QQU804" s="110"/>
      <c r="QQV804" s="110"/>
      <c r="QQW804" s="110"/>
      <c r="QQX804" s="110"/>
      <c r="QQY804" s="110"/>
      <c r="QQZ804" s="110"/>
      <c r="QRA804" s="110"/>
      <c r="QRB804" s="110"/>
      <c r="QRC804" s="110"/>
      <c r="QRD804" s="110"/>
      <c r="QRE804" s="110"/>
      <c r="QRF804" s="110"/>
      <c r="QRG804" s="110"/>
      <c r="QRH804" s="110"/>
      <c r="QRI804" s="110"/>
      <c r="QRJ804" s="110"/>
      <c r="QRK804" s="110"/>
      <c r="QRL804" s="110"/>
      <c r="QRM804" s="110"/>
      <c r="QRN804" s="110"/>
      <c r="QRO804" s="110"/>
      <c r="QRP804" s="110"/>
      <c r="QRQ804" s="110"/>
      <c r="QRR804" s="110"/>
      <c r="QRS804" s="110"/>
      <c r="QRT804" s="110"/>
      <c r="QRU804" s="110"/>
      <c r="QRV804" s="110"/>
      <c r="QRW804" s="110"/>
      <c r="QRX804" s="110"/>
      <c r="QRY804" s="110"/>
      <c r="QRZ804" s="110"/>
      <c r="QSA804" s="110"/>
      <c r="QSB804" s="110"/>
      <c r="QSC804" s="110"/>
      <c r="QSD804" s="110"/>
      <c r="QSE804" s="110"/>
      <c r="QSF804" s="110"/>
      <c r="QSG804" s="110"/>
      <c r="QSH804" s="110"/>
      <c r="QSI804" s="110"/>
      <c r="QSJ804" s="110"/>
      <c r="QSK804" s="110"/>
      <c r="QSL804" s="110"/>
      <c r="QSM804" s="110"/>
      <c r="QSN804" s="110"/>
      <c r="QSO804" s="110"/>
      <c r="QSP804" s="110"/>
      <c r="QSQ804" s="110"/>
      <c r="QSR804" s="110"/>
      <c r="QSS804" s="110"/>
      <c r="QST804" s="110"/>
      <c r="QSU804" s="110"/>
      <c r="QSV804" s="110"/>
      <c r="QSW804" s="110"/>
      <c r="QSX804" s="110"/>
      <c r="QSY804" s="110"/>
      <c r="QSZ804" s="110"/>
      <c r="QTA804" s="110"/>
      <c r="QTB804" s="110"/>
      <c r="QTC804" s="110"/>
      <c r="QTD804" s="110"/>
      <c r="QTE804" s="110"/>
      <c r="QTF804" s="110"/>
      <c r="QTG804" s="110"/>
      <c r="QTH804" s="110"/>
      <c r="QTI804" s="110"/>
      <c r="QTJ804" s="110"/>
      <c r="QTK804" s="110"/>
      <c r="QTL804" s="110"/>
      <c r="QTM804" s="110"/>
      <c r="QTN804" s="110"/>
      <c r="QTO804" s="110"/>
      <c r="QTP804" s="110"/>
      <c r="QTQ804" s="110"/>
      <c r="QTR804" s="110"/>
      <c r="QTS804" s="110"/>
      <c r="QTT804" s="110"/>
      <c r="QTU804" s="110"/>
      <c r="QTV804" s="110"/>
      <c r="QTW804" s="110"/>
      <c r="QTX804" s="110"/>
      <c r="QTY804" s="110"/>
      <c r="QTZ804" s="110"/>
      <c r="QUA804" s="110"/>
      <c r="QUB804" s="110"/>
      <c r="QUC804" s="110"/>
      <c r="QUD804" s="110"/>
      <c r="QUE804" s="110"/>
      <c r="QUF804" s="110"/>
      <c r="QUG804" s="110"/>
      <c r="QUH804" s="110"/>
      <c r="QUI804" s="110"/>
      <c r="QUJ804" s="110"/>
      <c r="QUK804" s="110"/>
      <c r="QUL804" s="110"/>
      <c r="QUM804" s="110"/>
      <c r="QUN804" s="110"/>
      <c r="QUO804" s="110"/>
      <c r="QUP804" s="110"/>
      <c r="QUQ804" s="110"/>
      <c r="QUR804" s="110"/>
      <c r="QUS804" s="110"/>
      <c r="QUT804" s="110"/>
      <c r="QUU804" s="110"/>
      <c r="QUV804" s="110"/>
      <c r="QUW804" s="110"/>
      <c r="QUX804" s="110"/>
      <c r="QUY804" s="110"/>
      <c r="QUZ804" s="110"/>
      <c r="QVA804" s="110"/>
      <c r="QVB804" s="110"/>
      <c r="QVC804" s="110"/>
      <c r="QVD804" s="110"/>
      <c r="QVE804" s="110"/>
      <c r="QVF804" s="110"/>
      <c r="QVG804" s="110"/>
      <c r="QVH804" s="110"/>
      <c r="QVI804" s="110"/>
      <c r="QVJ804" s="110"/>
      <c r="QVK804" s="110"/>
      <c r="QVL804" s="110"/>
      <c r="QVM804" s="110"/>
      <c r="QVN804" s="110"/>
      <c r="QVO804" s="110"/>
      <c r="QVP804" s="110"/>
      <c r="QVQ804" s="110"/>
      <c r="QVR804" s="110"/>
      <c r="QVS804" s="110"/>
      <c r="QVT804" s="110"/>
      <c r="QVU804" s="110"/>
      <c r="QVV804" s="110"/>
      <c r="QVW804" s="110"/>
      <c r="QVX804" s="110"/>
      <c r="QVY804" s="110"/>
      <c r="QVZ804" s="110"/>
      <c r="QWA804" s="110"/>
      <c r="QWB804" s="110"/>
      <c r="QWC804" s="110"/>
      <c r="QWD804" s="110"/>
      <c r="QWE804" s="110"/>
      <c r="QWF804" s="110"/>
      <c r="QWG804" s="110"/>
      <c r="QWH804" s="110"/>
      <c r="QWI804" s="110"/>
      <c r="QWJ804" s="110"/>
      <c r="QWK804" s="110"/>
      <c r="QWL804" s="110"/>
      <c r="QWM804" s="110"/>
      <c r="QWN804" s="110"/>
      <c r="QWO804" s="110"/>
      <c r="QWP804" s="110"/>
      <c r="QWQ804" s="110"/>
      <c r="QWR804" s="110"/>
      <c r="QWS804" s="110"/>
      <c r="QWT804" s="110"/>
      <c r="QWU804" s="110"/>
      <c r="QWV804" s="110"/>
      <c r="QWW804" s="110"/>
      <c r="QWX804" s="110"/>
      <c r="QWY804" s="110"/>
      <c r="QWZ804" s="110"/>
      <c r="QXA804" s="110"/>
      <c r="QXB804" s="110"/>
      <c r="QXC804" s="110"/>
      <c r="QXD804" s="110"/>
      <c r="QXE804" s="110"/>
      <c r="QXF804" s="110"/>
      <c r="QXG804" s="110"/>
      <c r="QXH804" s="110"/>
      <c r="QXI804" s="110"/>
      <c r="QXJ804" s="110"/>
      <c r="QXK804" s="110"/>
      <c r="QXL804" s="110"/>
      <c r="QXM804" s="110"/>
      <c r="QXN804" s="110"/>
      <c r="QXO804" s="110"/>
      <c r="QXP804" s="110"/>
      <c r="QXQ804" s="110"/>
      <c r="QXR804" s="110"/>
      <c r="QXS804" s="110"/>
      <c r="QXT804" s="110"/>
      <c r="QXU804" s="110"/>
      <c r="QXV804" s="110"/>
      <c r="QXW804" s="110"/>
      <c r="QXX804" s="110"/>
      <c r="QXY804" s="110"/>
      <c r="QXZ804" s="110"/>
      <c r="QYA804" s="110"/>
      <c r="QYB804" s="110"/>
      <c r="QYC804" s="110"/>
      <c r="QYD804" s="110"/>
      <c r="QYE804" s="110"/>
      <c r="QYF804" s="110"/>
      <c r="QYG804" s="110"/>
      <c r="QYH804" s="110"/>
      <c r="QYI804" s="110"/>
      <c r="QYJ804" s="110"/>
      <c r="QYK804" s="110"/>
      <c r="QYL804" s="110"/>
      <c r="QYM804" s="110"/>
      <c r="QYN804" s="110"/>
      <c r="QYO804" s="110"/>
      <c r="QYP804" s="110"/>
      <c r="QYQ804" s="110"/>
      <c r="QYR804" s="110"/>
      <c r="QYS804" s="110"/>
      <c r="QYT804" s="110"/>
      <c r="QYU804" s="110"/>
      <c r="QYV804" s="110"/>
      <c r="QYW804" s="110"/>
      <c r="QYX804" s="110"/>
      <c r="QYY804" s="110"/>
      <c r="QYZ804" s="110"/>
      <c r="QZA804" s="110"/>
      <c r="QZB804" s="110"/>
      <c r="QZC804" s="110"/>
      <c r="QZD804" s="110"/>
      <c r="QZE804" s="110"/>
      <c r="QZF804" s="110"/>
      <c r="QZG804" s="110"/>
      <c r="QZH804" s="110"/>
      <c r="QZI804" s="110"/>
      <c r="QZJ804" s="110"/>
      <c r="QZK804" s="110"/>
      <c r="QZL804" s="110"/>
      <c r="QZM804" s="110"/>
      <c r="QZN804" s="110"/>
      <c r="QZO804" s="110"/>
      <c r="QZP804" s="110"/>
      <c r="QZQ804" s="110"/>
      <c r="QZR804" s="110"/>
      <c r="QZS804" s="110"/>
      <c r="QZT804" s="110"/>
      <c r="QZU804" s="110"/>
      <c r="QZV804" s="110"/>
      <c r="QZW804" s="110"/>
      <c r="QZX804" s="110"/>
      <c r="QZY804" s="110"/>
      <c r="QZZ804" s="110"/>
      <c r="RAA804" s="110"/>
      <c r="RAB804" s="110"/>
      <c r="RAC804" s="110"/>
      <c r="RAD804" s="110"/>
      <c r="RAE804" s="110"/>
      <c r="RAF804" s="110"/>
      <c r="RAG804" s="110"/>
      <c r="RAH804" s="110"/>
      <c r="RAI804" s="110"/>
      <c r="RAJ804" s="110"/>
      <c r="RAK804" s="110"/>
      <c r="RAL804" s="110"/>
      <c r="RAM804" s="110"/>
      <c r="RAN804" s="110"/>
      <c r="RAO804" s="110"/>
      <c r="RAP804" s="110"/>
      <c r="RAQ804" s="110"/>
      <c r="RAR804" s="110"/>
      <c r="RAS804" s="110"/>
      <c r="RAT804" s="110"/>
      <c r="RAU804" s="110"/>
      <c r="RAV804" s="110"/>
      <c r="RAW804" s="110"/>
      <c r="RAX804" s="110"/>
      <c r="RAY804" s="110"/>
      <c r="RAZ804" s="110"/>
      <c r="RBA804" s="110"/>
      <c r="RBB804" s="110"/>
      <c r="RBC804" s="110"/>
      <c r="RBD804" s="110"/>
      <c r="RBE804" s="110"/>
      <c r="RBF804" s="110"/>
      <c r="RBG804" s="110"/>
      <c r="RBH804" s="110"/>
      <c r="RBI804" s="110"/>
      <c r="RBJ804" s="110"/>
      <c r="RBK804" s="110"/>
      <c r="RBL804" s="110"/>
      <c r="RBM804" s="110"/>
      <c r="RBN804" s="110"/>
      <c r="RBO804" s="110"/>
      <c r="RBP804" s="110"/>
      <c r="RBQ804" s="110"/>
      <c r="RBR804" s="110"/>
      <c r="RBS804" s="110"/>
      <c r="RBT804" s="110"/>
      <c r="RBU804" s="110"/>
      <c r="RBV804" s="110"/>
      <c r="RBW804" s="110"/>
      <c r="RBX804" s="110"/>
      <c r="RBY804" s="110"/>
      <c r="RBZ804" s="110"/>
      <c r="RCA804" s="110"/>
      <c r="RCB804" s="110"/>
      <c r="RCC804" s="110"/>
      <c r="RCD804" s="110"/>
      <c r="RCE804" s="110"/>
      <c r="RCF804" s="110"/>
      <c r="RCG804" s="110"/>
      <c r="RCH804" s="110"/>
      <c r="RCI804" s="110"/>
      <c r="RCJ804" s="110"/>
      <c r="RCK804" s="110"/>
      <c r="RCL804" s="110"/>
      <c r="RCM804" s="110"/>
      <c r="RCN804" s="110"/>
      <c r="RCO804" s="110"/>
      <c r="RCP804" s="110"/>
      <c r="RCQ804" s="110"/>
      <c r="RCR804" s="110"/>
      <c r="RCS804" s="110"/>
      <c r="RCT804" s="110"/>
      <c r="RCU804" s="110"/>
      <c r="RCV804" s="110"/>
      <c r="RCW804" s="110"/>
      <c r="RCX804" s="110"/>
      <c r="RCY804" s="110"/>
      <c r="RCZ804" s="110"/>
      <c r="RDA804" s="110"/>
      <c r="RDB804" s="110"/>
      <c r="RDC804" s="110"/>
      <c r="RDD804" s="110"/>
      <c r="RDE804" s="110"/>
      <c r="RDF804" s="110"/>
      <c r="RDG804" s="110"/>
      <c r="RDH804" s="110"/>
      <c r="RDI804" s="110"/>
      <c r="RDJ804" s="110"/>
      <c r="RDK804" s="110"/>
      <c r="RDL804" s="110"/>
      <c r="RDM804" s="110"/>
      <c r="RDN804" s="110"/>
      <c r="RDO804" s="110"/>
      <c r="RDP804" s="110"/>
      <c r="RDQ804" s="110"/>
      <c r="RDR804" s="110"/>
      <c r="RDS804" s="110"/>
      <c r="RDT804" s="110"/>
      <c r="RDU804" s="110"/>
      <c r="RDV804" s="110"/>
      <c r="RDW804" s="110"/>
      <c r="RDX804" s="110"/>
      <c r="RDY804" s="110"/>
      <c r="RDZ804" s="110"/>
      <c r="REA804" s="110"/>
      <c r="REB804" s="110"/>
      <c r="REC804" s="110"/>
      <c r="RED804" s="110"/>
      <c r="REE804" s="110"/>
      <c r="REF804" s="110"/>
      <c r="REG804" s="110"/>
      <c r="REH804" s="110"/>
      <c r="REI804" s="110"/>
      <c r="REJ804" s="110"/>
      <c r="REK804" s="110"/>
      <c r="REL804" s="110"/>
      <c r="REM804" s="110"/>
      <c r="REN804" s="110"/>
      <c r="REO804" s="110"/>
      <c r="REP804" s="110"/>
      <c r="REQ804" s="110"/>
      <c r="RER804" s="110"/>
      <c r="RES804" s="110"/>
      <c r="RET804" s="110"/>
      <c r="REU804" s="110"/>
      <c r="REV804" s="110"/>
      <c r="REW804" s="110"/>
      <c r="REX804" s="110"/>
      <c r="REY804" s="110"/>
      <c r="REZ804" s="110"/>
      <c r="RFA804" s="110"/>
      <c r="RFB804" s="110"/>
      <c r="RFC804" s="110"/>
      <c r="RFD804" s="110"/>
      <c r="RFE804" s="110"/>
      <c r="RFF804" s="110"/>
      <c r="RFG804" s="110"/>
      <c r="RFH804" s="110"/>
      <c r="RFI804" s="110"/>
      <c r="RFJ804" s="110"/>
      <c r="RFK804" s="110"/>
      <c r="RFL804" s="110"/>
      <c r="RFM804" s="110"/>
      <c r="RFN804" s="110"/>
      <c r="RFO804" s="110"/>
      <c r="RFP804" s="110"/>
      <c r="RFQ804" s="110"/>
      <c r="RFR804" s="110"/>
      <c r="RFS804" s="110"/>
      <c r="RFT804" s="110"/>
      <c r="RFU804" s="110"/>
      <c r="RFV804" s="110"/>
      <c r="RFW804" s="110"/>
      <c r="RFX804" s="110"/>
      <c r="RFY804" s="110"/>
      <c r="RFZ804" s="110"/>
      <c r="RGA804" s="110"/>
      <c r="RGB804" s="110"/>
      <c r="RGC804" s="110"/>
      <c r="RGD804" s="110"/>
      <c r="RGE804" s="110"/>
      <c r="RGF804" s="110"/>
      <c r="RGG804" s="110"/>
      <c r="RGH804" s="110"/>
      <c r="RGI804" s="110"/>
      <c r="RGJ804" s="110"/>
      <c r="RGK804" s="110"/>
      <c r="RGL804" s="110"/>
      <c r="RGM804" s="110"/>
      <c r="RGN804" s="110"/>
      <c r="RGO804" s="110"/>
      <c r="RGP804" s="110"/>
      <c r="RGQ804" s="110"/>
      <c r="RGR804" s="110"/>
      <c r="RGS804" s="110"/>
      <c r="RGT804" s="110"/>
      <c r="RGU804" s="110"/>
      <c r="RGV804" s="110"/>
      <c r="RGW804" s="110"/>
      <c r="RGX804" s="110"/>
      <c r="RGY804" s="110"/>
      <c r="RGZ804" s="110"/>
      <c r="RHA804" s="110"/>
      <c r="RHB804" s="110"/>
      <c r="RHC804" s="110"/>
      <c r="RHD804" s="110"/>
      <c r="RHE804" s="110"/>
      <c r="RHF804" s="110"/>
      <c r="RHG804" s="110"/>
      <c r="RHH804" s="110"/>
      <c r="RHI804" s="110"/>
      <c r="RHJ804" s="110"/>
      <c r="RHK804" s="110"/>
      <c r="RHL804" s="110"/>
      <c r="RHM804" s="110"/>
      <c r="RHN804" s="110"/>
      <c r="RHO804" s="110"/>
      <c r="RHP804" s="110"/>
      <c r="RHQ804" s="110"/>
      <c r="RHR804" s="110"/>
      <c r="RHS804" s="110"/>
      <c r="RHT804" s="110"/>
      <c r="RHU804" s="110"/>
      <c r="RHV804" s="110"/>
      <c r="RHW804" s="110"/>
      <c r="RHX804" s="110"/>
      <c r="RHY804" s="110"/>
      <c r="RHZ804" s="110"/>
      <c r="RIA804" s="110"/>
      <c r="RIB804" s="110"/>
      <c r="RIC804" s="110"/>
      <c r="RID804" s="110"/>
      <c r="RIE804" s="110"/>
      <c r="RIF804" s="110"/>
      <c r="RIG804" s="110"/>
      <c r="RIH804" s="110"/>
      <c r="RII804" s="110"/>
      <c r="RIJ804" s="110"/>
      <c r="RIK804" s="110"/>
      <c r="RIL804" s="110"/>
      <c r="RIM804" s="110"/>
      <c r="RIN804" s="110"/>
      <c r="RIO804" s="110"/>
      <c r="RIP804" s="110"/>
      <c r="RIQ804" s="110"/>
      <c r="RIR804" s="110"/>
      <c r="RIS804" s="110"/>
      <c r="RIT804" s="110"/>
      <c r="RIU804" s="110"/>
      <c r="RIV804" s="110"/>
      <c r="RIW804" s="110"/>
      <c r="RIX804" s="110"/>
      <c r="RIY804" s="110"/>
      <c r="RIZ804" s="110"/>
      <c r="RJA804" s="110"/>
      <c r="RJB804" s="110"/>
      <c r="RJC804" s="110"/>
      <c r="RJD804" s="110"/>
      <c r="RJE804" s="110"/>
      <c r="RJF804" s="110"/>
      <c r="RJG804" s="110"/>
      <c r="RJH804" s="110"/>
      <c r="RJI804" s="110"/>
      <c r="RJJ804" s="110"/>
      <c r="RJK804" s="110"/>
      <c r="RJL804" s="110"/>
      <c r="RJM804" s="110"/>
      <c r="RJN804" s="110"/>
      <c r="RJO804" s="110"/>
      <c r="RJP804" s="110"/>
      <c r="RJQ804" s="110"/>
      <c r="RJR804" s="110"/>
      <c r="RJS804" s="110"/>
      <c r="RJT804" s="110"/>
      <c r="RJU804" s="110"/>
      <c r="RJV804" s="110"/>
      <c r="RJW804" s="110"/>
      <c r="RJX804" s="110"/>
      <c r="RJY804" s="110"/>
      <c r="RJZ804" s="110"/>
      <c r="RKA804" s="110"/>
      <c r="RKB804" s="110"/>
      <c r="RKC804" s="110"/>
      <c r="RKD804" s="110"/>
      <c r="RKE804" s="110"/>
      <c r="RKF804" s="110"/>
      <c r="RKG804" s="110"/>
      <c r="RKH804" s="110"/>
      <c r="RKI804" s="110"/>
      <c r="RKJ804" s="110"/>
      <c r="RKK804" s="110"/>
      <c r="RKL804" s="110"/>
      <c r="RKM804" s="110"/>
      <c r="RKN804" s="110"/>
      <c r="RKO804" s="110"/>
      <c r="RKP804" s="110"/>
      <c r="RKQ804" s="110"/>
      <c r="RKR804" s="110"/>
      <c r="RKS804" s="110"/>
      <c r="RKT804" s="110"/>
      <c r="RKU804" s="110"/>
      <c r="RKV804" s="110"/>
      <c r="RKW804" s="110"/>
      <c r="RKX804" s="110"/>
      <c r="RKY804" s="110"/>
      <c r="RKZ804" s="110"/>
      <c r="RLA804" s="110"/>
      <c r="RLB804" s="110"/>
      <c r="RLC804" s="110"/>
      <c r="RLD804" s="110"/>
      <c r="RLE804" s="110"/>
      <c r="RLF804" s="110"/>
      <c r="RLG804" s="110"/>
      <c r="RLH804" s="110"/>
      <c r="RLI804" s="110"/>
      <c r="RLJ804" s="110"/>
      <c r="RLK804" s="110"/>
      <c r="RLL804" s="110"/>
      <c r="RLM804" s="110"/>
      <c r="RLN804" s="110"/>
      <c r="RLO804" s="110"/>
      <c r="RLP804" s="110"/>
      <c r="RLQ804" s="110"/>
      <c r="RLR804" s="110"/>
      <c r="RLS804" s="110"/>
      <c r="RLT804" s="110"/>
      <c r="RLU804" s="110"/>
      <c r="RLV804" s="110"/>
      <c r="RLW804" s="110"/>
      <c r="RLX804" s="110"/>
      <c r="RLY804" s="110"/>
      <c r="RLZ804" s="110"/>
      <c r="RMA804" s="110"/>
      <c r="RMB804" s="110"/>
      <c r="RMC804" s="110"/>
      <c r="RMD804" s="110"/>
      <c r="RME804" s="110"/>
      <c r="RMF804" s="110"/>
      <c r="RMG804" s="110"/>
      <c r="RMH804" s="110"/>
      <c r="RMI804" s="110"/>
      <c r="RMJ804" s="110"/>
      <c r="RMK804" s="110"/>
      <c r="RML804" s="110"/>
      <c r="RMM804" s="110"/>
      <c r="RMN804" s="110"/>
      <c r="RMO804" s="110"/>
      <c r="RMP804" s="110"/>
      <c r="RMQ804" s="110"/>
      <c r="RMR804" s="110"/>
      <c r="RMS804" s="110"/>
      <c r="RMT804" s="110"/>
      <c r="RMU804" s="110"/>
      <c r="RMV804" s="110"/>
      <c r="RMW804" s="110"/>
      <c r="RMX804" s="110"/>
      <c r="RMY804" s="110"/>
      <c r="RMZ804" s="110"/>
      <c r="RNA804" s="110"/>
      <c r="RNB804" s="110"/>
      <c r="RNC804" s="110"/>
      <c r="RND804" s="110"/>
      <c r="RNE804" s="110"/>
      <c r="RNF804" s="110"/>
      <c r="RNG804" s="110"/>
      <c r="RNH804" s="110"/>
      <c r="RNI804" s="110"/>
      <c r="RNJ804" s="110"/>
      <c r="RNK804" s="110"/>
      <c r="RNL804" s="110"/>
      <c r="RNM804" s="110"/>
      <c r="RNN804" s="110"/>
      <c r="RNO804" s="110"/>
      <c r="RNP804" s="110"/>
      <c r="RNQ804" s="110"/>
      <c r="RNR804" s="110"/>
      <c r="RNS804" s="110"/>
      <c r="RNT804" s="110"/>
      <c r="RNU804" s="110"/>
      <c r="RNV804" s="110"/>
      <c r="RNW804" s="110"/>
      <c r="RNX804" s="110"/>
      <c r="RNY804" s="110"/>
      <c r="RNZ804" s="110"/>
      <c r="ROA804" s="110"/>
      <c r="ROB804" s="110"/>
      <c r="ROC804" s="110"/>
      <c r="ROD804" s="110"/>
      <c r="ROE804" s="110"/>
      <c r="ROF804" s="110"/>
      <c r="ROG804" s="110"/>
      <c r="ROH804" s="110"/>
      <c r="ROI804" s="110"/>
      <c r="ROJ804" s="110"/>
      <c r="ROK804" s="110"/>
      <c r="ROL804" s="110"/>
      <c r="ROM804" s="110"/>
      <c r="RON804" s="110"/>
      <c r="ROO804" s="110"/>
      <c r="ROP804" s="110"/>
      <c r="ROQ804" s="110"/>
      <c r="ROR804" s="110"/>
      <c r="ROS804" s="110"/>
      <c r="ROT804" s="110"/>
      <c r="ROU804" s="110"/>
      <c r="ROV804" s="110"/>
      <c r="ROW804" s="110"/>
      <c r="ROX804" s="110"/>
      <c r="ROY804" s="110"/>
      <c r="ROZ804" s="110"/>
      <c r="RPA804" s="110"/>
      <c r="RPB804" s="110"/>
      <c r="RPC804" s="110"/>
      <c r="RPD804" s="110"/>
      <c r="RPE804" s="110"/>
      <c r="RPF804" s="110"/>
      <c r="RPG804" s="110"/>
      <c r="RPH804" s="110"/>
      <c r="RPI804" s="110"/>
      <c r="RPJ804" s="110"/>
      <c r="RPK804" s="110"/>
      <c r="RPL804" s="110"/>
      <c r="RPM804" s="110"/>
      <c r="RPN804" s="110"/>
      <c r="RPO804" s="110"/>
      <c r="RPP804" s="110"/>
      <c r="RPQ804" s="110"/>
      <c r="RPR804" s="110"/>
      <c r="RPS804" s="110"/>
      <c r="RPT804" s="110"/>
      <c r="RPU804" s="110"/>
      <c r="RPV804" s="110"/>
      <c r="RPW804" s="110"/>
      <c r="RPX804" s="110"/>
      <c r="RPY804" s="110"/>
      <c r="RPZ804" s="110"/>
      <c r="RQA804" s="110"/>
      <c r="RQB804" s="110"/>
      <c r="RQC804" s="110"/>
      <c r="RQD804" s="110"/>
      <c r="RQE804" s="110"/>
      <c r="RQF804" s="110"/>
      <c r="RQG804" s="110"/>
      <c r="RQH804" s="110"/>
      <c r="RQI804" s="110"/>
      <c r="RQJ804" s="110"/>
      <c r="RQK804" s="110"/>
      <c r="RQL804" s="110"/>
      <c r="RQM804" s="110"/>
      <c r="RQN804" s="110"/>
      <c r="RQO804" s="110"/>
      <c r="RQP804" s="110"/>
      <c r="RQQ804" s="110"/>
      <c r="RQR804" s="110"/>
      <c r="RQS804" s="110"/>
      <c r="RQT804" s="110"/>
      <c r="RQU804" s="110"/>
      <c r="RQV804" s="110"/>
      <c r="RQW804" s="110"/>
      <c r="RQX804" s="110"/>
      <c r="RQY804" s="110"/>
      <c r="RQZ804" s="110"/>
      <c r="RRA804" s="110"/>
      <c r="RRB804" s="110"/>
      <c r="RRC804" s="110"/>
      <c r="RRD804" s="110"/>
      <c r="RRE804" s="110"/>
      <c r="RRF804" s="110"/>
      <c r="RRG804" s="110"/>
      <c r="RRH804" s="110"/>
      <c r="RRI804" s="110"/>
      <c r="RRJ804" s="110"/>
      <c r="RRK804" s="110"/>
      <c r="RRL804" s="110"/>
      <c r="RRM804" s="110"/>
      <c r="RRN804" s="110"/>
      <c r="RRO804" s="110"/>
      <c r="RRP804" s="110"/>
      <c r="RRQ804" s="110"/>
      <c r="RRR804" s="110"/>
      <c r="RRS804" s="110"/>
      <c r="RRT804" s="110"/>
      <c r="RRU804" s="110"/>
      <c r="RRV804" s="110"/>
      <c r="RRW804" s="110"/>
      <c r="RRX804" s="110"/>
      <c r="RRY804" s="110"/>
      <c r="RRZ804" s="110"/>
      <c r="RSA804" s="110"/>
      <c r="RSB804" s="110"/>
      <c r="RSC804" s="110"/>
      <c r="RSD804" s="110"/>
      <c r="RSE804" s="110"/>
      <c r="RSF804" s="110"/>
      <c r="RSG804" s="110"/>
      <c r="RSH804" s="110"/>
      <c r="RSI804" s="110"/>
      <c r="RSJ804" s="110"/>
      <c r="RSK804" s="110"/>
      <c r="RSL804" s="110"/>
      <c r="RSM804" s="110"/>
      <c r="RSN804" s="110"/>
      <c r="RSO804" s="110"/>
      <c r="RSP804" s="110"/>
      <c r="RSQ804" s="110"/>
      <c r="RSR804" s="110"/>
      <c r="RSS804" s="110"/>
      <c r="RST804" s="110"/>
      <c r="RSU804" s="110"/>
      <c r="RSV804" s="110"/>
      <c r="RSW804" s="110"/>
      <c r="RSX804" s="110"/>
      <c r="RSY804" s="110"/>
      <c r="RSZ804" s="110"/>
      <c r="RTA804" s="110"/>
      <c r="RTB804" s="110"/>
      <c r="RTC804" s="110"/>
      <c r="RTD804" s="110"/>
      <c r="RTE804" s="110"/>
      <c r="RTF804" s="110"/>
      <c r="RTG804" s="110"/>
      <c r="RTH804" s="110"/>
      <c r="RTI804" s="110"/>
      <c r="RTJ804" s="110"/>
      <c r="RTK804" s="110"/>
      <c r="RTL804" s="110"/>
      <c r="RTM804" s="110"/>
      <c r="RTN804" s="110"/>
      <c r="RTO804" s="110"/>
      <c r="RTP804" s="110"/>
      <c r="RTQ804" s="110"/>
      <c r="RTR804" s="110"/>
      <c r="RTS804" s="110"/>
      <c r="RTT804" s="110"/>
      <c r="RTU804" s="110"/>
      <c r="RTV804" s="110"/>
      <c r="RTW804" s="110"/>
      <c r="RTX804" s="110"/>
      <c r="RTY804" s="110"/>
      <c r="RTZ804" s="110"/>
      <c r="RUA804" s="110"/>
      <c r="RUB804" s="110"/>
      <c r="RUC804" s="110"/>
      <c r="RUD804" s="110"/>
      <c r="RUE804" s="110"/>
      <c r="RUF804" s="110"/>
      <c r="RUG804" s="110"/>
      <c r="RUH804" s="110"/>
      <c r="RUI804" s="110"/>
      <c r="RUJ804" s="110"/>
      <c r="RUK804" s="110"/>
      <c r="RUL804" s="110"/>
      <c r="RUM804" s="110"/>
      <c r="RUN804" s="110"/>
      <c r="RUO804" s="110"/>
      <c r="RUP804" s="110"/>
      <c r="RUQ804" s="110"/>
      <c r="RUR804" s="110"/>
      <c r="RUS804" s="110"/>
      <c r="RUT804" s="110"/>
      <c r="RUU804" s="110"/>
      <c r="RUV804" s="110"/>
      <c r="RUW804" s="110"/>
      <c r="RUX804" s="110"/>
      <c r="RUY804" s="110"/>
      <c r="RUZ804" s="110"/>
      <c r="RVA804" s="110"/>
      <c r="RVB804" s="110"/>
      <c r="RVC804" s="110"/>
      <c r="RVD804" s="110"/>
      <c r="RVE804" s="110"/>
      <c r="RVF804" s="110"/>
      <c r="RVG804" s="110"/>
      <c r="RVH804" s="110"/>
      <c r="RVI804" s="110"/>
      <c r="RVJ804" s="110"/>
      <c r="RVK804" s="110"/>
      <c r="RVL804" s="110"/>
      <c r="RVM804" s="110"/>
      <c r="RVN804" s="110"/>
      <c r="RVO804" s="110"/>
      <c r="RVP804" s="110"/>
      <c r="RVQ804" s="110"/>
      <c r="RVR804" s="110"/>
      <c r="RVS804" s="110"/>
      <c r="RVT804" s="110"/>
      <c r="RVU804" s="110"/>
      <c r="RVV804" s="110"/>
      <c r="RVW804" s="110"/>
      <c r="RVX804" s="110"/>
      <c r="RVY804" s="110"/>
      <c r="RVZ804" s="110"/>
      <c r="RWA804" s="110"/>
      <c r="RWB804" s="110"/>
      <c r="RWC804" s="110"/>
      <c r="RWD804" s="110"/>
      <c r="RWE804" s="110"/>
      <c r="RWF804" s="110"/>
      <c r="RWG804" s="110"/>
      <c r="RWH804" s="110"/>
      <c r="RWI804" s="110"/>
      <c r="RWJ804" s="110"/>
      <c r="RWK804" s="110"/>
      <c r="RWL804" s="110"/>
      <c r="RWM804" s="110"/>
      <c r="RWN804" s="110"/>
      <c r="RWO804" s="110"/>
      <c r="RWP804" s="110"/>
      <c r="RWQ804" s="110"/>
      <c r="RWR804" s="110"/>
      <c r="RWS804" s="110"/>
      <c r="RWT804" s="110"/>
      <c r="RWU804" s="110"/>
      <c r="RWV804" s="110"/>
      <c r="RWW804" s="110"/>
      <c r="RWX804" s="110"/>
      <c r="RWY804" s="110"/>
      <c r="RWZ804" s="110"/>
      <c r="RXA804" s="110"/>
      <c r="RXB804" s="110"/>
      <c r="RXC804" s="110"/>
      <c r="RXD804" s="110"/>
      <c r="RXE804" s="110"/>
      <c r="RXF804" s="110"/>
      <c r="RXG804" s="110"/>
      <c r="RXH804" s="110"/>
      <c r="RXI804" s="110"/>
      <c r="RXJ804" s="110"/>
      <c r="RXK804" s="110"/>
      <c r="RXL804" s="110"/>
      <c r="RXM804" s="110"/>
      <c r="RXN804" s="110"/>
      <c r="RXO804" s="110"/>
      <c r="RXP804" s="110"/>
      <c r="RXQ804" s="110"/>
      <c r="RXR804" s="110"/>
      <c r="RXS804" s="110"/>
      <c r="RXT804" s="110"/>
      <c r="RXU804" s="110"/>
      <c r="RXV804" s="110"/>
      <c r="RXW804" s="110"/>
      <c r="RXX804" s="110"/>
      <c r="RXY804" s="110"/>
      <c r="RXZ804" s="110"/>
      <c r="RYA804" s="110"/>
      <c r="RYB804" s="110"/>
      <c r="RYC804" s="110"/>
      <c r="RYD804" s="110"/>
      <c r="RYE804" s="110"/>
      <c r="RYF804" s="110"/>
      <c r="RYG804" s="110"/>
      <c r="RYH804" s="110"/>
      <c r="RYI804" s="110"/>
      <c r="RYJ804" s="110"/>
      <c r="RYK804" s="110"/>
      <c r="RYL804" s="110"/>
      <c r="RYM804" s="110"/>
      <c r="RYN804" s="110"/>
      <c r="RYO804" s="110"/>
      <c r="RYP804" s="110"/>
      <c r="RYQ804" s="110"/>
      <c r="RYR804" s="110"/>
      <c r="RYS804" s="110"/>
      <c r="RYT804" s="110"/>
      <c r="RYU804" s="110"/>
      <c r="RYV804" s="110"/>
      <c r="RYW804" s="110"/>
      <c r="RYX804" s="110"/>
      <c r="RYY804" s="110"/>
      <c r="RYZ804" s="110"/>
      <c r="RZA804" s="110"/>
      <c r="RZB804" s="110"/>
      <c r="RZC804" s="110"/>
      <c r="RZD804" s="110"/>
      <c r="RZE804" s="110"/>
      <c r="RZF804" s="110"/>
      <c r="RZG804" s="110"/>
      <c r="RZH804" s="110"/>
      <c r="RZI804" s="110"/>
      <c r="RZJ804" s="110"/>
      <c r="RZK804" s="110"/>
      <c r="RZL804" s="110"/>
      <c r="RZM804" s="110"/>
      <c r="RZN804" s="110"/>
      <c r="RZO804" s="110"/>
      <c r="RZP804" s="110"/>
      <c r="RZQ804" s="110"/>
      <c r="RZR804" s="110"/>
      <c r="RZS804" s="110"/>
      <c r="RZT804" s="110"/>
      <c r="RZU804" s="110"/>
      <c r="RZV804" s="110"/>
      <c r="RZW804" s="110"/>
      <c r="RZX804" s="110"/>
      <c r="RZY804" s="110"/>
      <c r="RZZ804" s="110"/>
      <c r="SAA804" s="110"/>
      <c r="SAB804" s="110"/>
      <c r="SAC804" s="110"/>
      <c r="SAD804" s="110"/>
      <c r="SAE804" s="110"/>
      <c r="SAF804" s="110"/>
      <c r="SAG804" s="110"/>
      <c r="SAH804" s="110"/>
      <c r="SAI804" s="110"/>
      <c r="SAJ804" s="110"/>
      <c r="SAK804" s="110"/>
      <c r="SAL804" s="110"/>
      <c r="SAM804" s="110"/>
      <c r="SAN804" s="110"/>
      <c r="SAO804" s="110"/>
      <c r="SAP804" s="110"/>
      <c r="SAQ804" s="110"/>
      <c r="SAR804" s="110"/>
      <c r="SAS804" s="110"/>
      <c r="SAT804" s="110"/>
      <c r="SAU804" s="110"/>
      <c r="SAV804" s="110"/>
      <c r="SAW804" s="110"/>
      <c r="SAX804" s="110"/>
      <c r="SAY804" s="110"/>
      <c r="SAZ804" s="110"/>
      <c r="SBA804" s="110"/>
      <c r="SBB804" s="110"/>
      <c r="SBC804" s="110"/>
      <c r="SBD804" s="110"/>
      <c r="SBE804" s="110"/>
      <c r="SBF804" s="110"/>
      <c r="SBG804" s="110"/>
      <c r="SBH804" s="110"/>
      <c r="SBI804" s="110"/>
      <c r="SBJ804" s="110"/>
      <c r="SBK804" s="110"/>
      <c r="SBL804" s="110"/>
      <c r="SBM804" s="110"/>
      <c r="SBN804" s="110"/>
      <c r="SBO804" s="110"/>
      <c r="SBP804" s="110"/>
      <c r="SBQ804" s="110"/>
      <c r="SBR804" s="110"/>
      <c r="SBS804" s="110"/>
      <c r="SBT804" s="110"/>
      <c r="SBU804" s="110"/>
      <c r="SBV804" s="110"/>
      <c r="SBW804" s="110"/>
      <c r="SBX804" s="110"/>
      <c r="SBY804" s="110"/>
      <c r="SBZ804" s="110"/>
      <c r="SCA804" s="110"/>
      <c r="SCB804" s="110"/>
      <c r="SCC804" s="110"/>
      <c r="SCD804" s="110"/>
      <c r="SCE804" s="110"/>
      <c r="SCF804" s="110"/>
      <c r="SCG804" s="110"/>
      <c r="SCH804" s="110"/>
      <c r="SCI804" s="110"/>
      <c r="SCJ804" s="110"/>
      <c r="SCK804" s="110"/>
      <c r="SCL804" s="110"/>
      <c r="SCM804" s="110"/>
      <c r="SCN804" s="110"/>
      <c r="SCO804" s="110"/>
      <c r="SCP804" s="110"/>
      <c r="SCQ804" s="110"/>
      <c r="SCR804" s="110"/>
      <c r="SCS804" s="110"/>
      <c r="SCT804" s="110"/>
      <c r="SCU804" s="110"/>
      <c r="SCV804" s="110"/>
      <c r="SCW804" s="110"/>
      <c r="SCX804" s="110"/>
      <c r="SCY804" s="110"/>
      <c r="SCZ804" s="110"/>
      <c r="SDA804" s="110"/>
      <c r="SDB804" s="110"/>
      <c r="SDC804" s="110"/>
      <c r="SDD804" s="110"/>
      <c r="SDE804" s="110"/>
      <c r="SDF804" s="110"/>
      <c r="SDG804" s="110"/>
      <c r="SDH804" s="110"/>
      <c r="SDI804" s="110"/>
      <c r="SDJ804" s="110"/>
      <c r="SDK804" s="110"/>
      <c r="SDL804" s="110"/>
      <c r="SDM804" s="110"/>
      <c r="SDN804" s="110"/>
      <c r="SDO804" s="110"/>
      <c r="SDP804" s="110"/>
      <c r="SDQ804" s="110"/>
      <c r="SDR804" s="110"/>
      <c r="SDS804" s="110"/>
      <c r="SDT804" s="110"/>
      <c r="SDU804" s="110"/>
      <c r="SDV804" s="110"/>
      <c r="SDW804" s="110"/>
      <c r="SDX804" s="110"/>
      <c r="SDY804" s="110"/>
      <c r="SDZ804" s="110"/>
      <c r="SEA804" s="110"/>
      <c r="SEB804" s="110"/>
      <c r="SEC804" s="110"/>
      <c r="SED804" s="110"/>
      <c r="SEE804" s="110"/>
      <c r="SEF804" s="110"/>
      <c r="SEG804" s="110"/>
      <c r="SEH804" s="110"/>
      <c r="SEI804" s="110"/>
      <c r="SEJ804" s="110"/>
      <c r="SEK804" s="110"/>
      <c r="SEL804" s="110"/>
      <c r="SEM804" s="110"/>
      <c r="SEN804" s="110"/>
      <c r="SEO804" s="110"/>
      <c r="SEP804" s="110"/>
      <c r="SEQ804" s="110"/>
      <c r="SER804" s="110"/>
      <c r="SES804" s="110"/>
      <c r="SET804" s="110"/>
      <c r="SEU804" s="110"/>
      <c r="SEV804" s="110"/>
      <c r="SEW804" s="110"/>
      <c r="SEX804" s="110"/>
      <c r="SEY804" s="110"/>
      <c r="SEZ804" s="110"/>
      <c r="SFA804" s="110"/>
      <c r="SFB804" s="110"/>
      <c r="SFC804" s="110"/>
      <c r="SFD804" s="110"/>
      <c r="SFE804" s="110"/>
      <c r="SFF804" s="110"/>
      <c r="SFG804" s="110"/>
      <c r="SFH804" s="110"/>
      <c r="SFI804" s="110"/>
      <c r="SFJ804" s="110"/>
      <c r="SFK804" s="110"/>
      <c r="SFL804" s="110"/>
      <c r="SFM804" s="110"/>
      <c r="SFN804" s="110"/>
      <c r="SFO804" s="110"/>
      <c r="SFP804" s="110"/>
      <c r="SFQ804" s="110"/>
      <c r="SFR804" s="110"/>
      <c r="SFS804" s="110"/>
      <c r="SFT804" s="110"/>
      <c r="SFU804" s="110"/>
      <c r="SFV804" s="110"/>
      <c r="SFW804" s="110"/>
      <c r="SFX804" s="110"/>
      <c r="SFY804" s="110"/>
      <c r="SFZ804" s="110"/>
      <c r="SGA804" s="110"/>
      <c r="SGB804" s="110"/>
      <c r="SGC804" s="110"/>
      <c r="SGD804" s="110"/>
      <c r="SGE804" s="110"/>
      <c r="SGF804" s="110"/>
      <c r="SGG804" s="110"/>
      <c r="SGH804" s="110"/>
      <c r="SGI804" s="110"/>
      <c r="SGJ804" s="110"/>
      <c r="SGK804" s="110"/>
      <c r="SGL804" s="110"/>
      <c r="SGM804" s="110"/>
      <c r="SGN804" s="110"/>
      <c r="SGO804" s="110"/>
      <c r="SGP804" s="110"/>
      <c r="SGQ804" s="110"/>
      <c r="SGR804" s="110"/>
      <c r="SGS804" s="110"/>
      <c r="SGT804" s="110"/>
      <c r="SGU804" s="110"/>
      <c r="SGV804" s="110"/>
      <c r="SGW804" s="110"/>
      <c r="SGX804" s="110"/>
      <c r="SGY804" s="110"/>
      <c r="SGZ804" s="110"/>
      <c r="SHA804" s="110"/>
      <c r="SHB804" s="110"/>
      <c r="SHC804" s="110"/>
      <c r="SHD804" s="110"/>
      <c r="SHE804" s="110"/>
      <c r="SHF804" s="110"/>
      <c r="SHG804" s="110"/>
      <c r="SHH804" s="110"/>
      <c r="SHI804" s="110"/>
      <c r="SHJ804" s="110"/>
      <c r="SHK804" s="110"/>
      <c r="SHL804" s="110"/>
      <c r="SHM804" s="110"/>
      <c r="SHN804" s="110"/>
      <c r="SHO804" s="110"/>
      <c r="SHP804" s="110"/>
      <c r="SHQ804" s="110"/>
      <c r="SHR804" s="110"/>
      <c r="SHS804" s="110"/>
      <c r="SHT804" s="110"/>
      <c r="SHU804" s="110"/>
      <c r="SHV804" s="110"/>
      <c r="SHW804" s="110"/>
      <c r="SHX804" s="110"/>
      <c r="SHY804" s="110"/>
      <c r="SHZ804" s="110"/>
      <c r="SIA804" s="110"/>
      <c r="SIB804" s="110"/>
      <c r="SIC804" s="110"/>
      <c r="SID804" s="110"/>
      <c r="SIE804" s="110"/>
      <c r="SIF804" s="110"/>
      <c r="SIG804" s="110"/>
      <c r="SIH804" s="110"/>
      <c r="SII804" s="110"/>
      <c r="SIJ804" s="110"/>
      <c r="SIK804" s="110"/>
      <c r="SIL804" s="110"/>
      <c r="SIM804" s="110"/>
      <c r="SIN804" s="110"/>
      <c r="SIO804" s="110"/>
      <c r="SIP804" s="110"/>
      <c r="SIQ804" s="110"/>
      <c r="SIR804" s="110"/>
      <c r="SIS804" s="110"/>
      <c r="SIT804" s="110"/>
      <c r="SIU804" s="110"/>
      <c r="SIV804" s="110"/>
      <c r="SIW804" s="110"/>
      <c r="SIX804" s="110"/>
      <c r="SIY804" s="110"/>
      <c r="SIZ804" s="110"/>
      <c r="SJA804" s="110"/>
      <c r="SJB804" s="110"/>
      <c r="SJC804" s="110"/>
      <c r="SJD804" s="110"/>
      <c r="SJE804" s="110"/>
      <c r="SJF804" s="110"/>
      <c r="SJG804" s="110"/>
      <c r="SJH804" s="110"/>
      <c r="SJI804" s="110"/>
      <c r="SJJ804" s="110"/>
      <c r="SJK804" s="110"/>
      <c r="SJL804" s="110"/>
      <c r="SJM804" s="110"/>
      <c r="SJN804" s="110"/>
      <c r="SJO804" s="110"/>
      <c r="SJP804" s="110"/>
      <c r="SJQ804" s="110"/>
      <c r="SJR804" s="110"/>
      <c r="SJS804" s="110"/>
      <c r="SJT804" s="110"/>
      <c r="SJU804" s="110"/>
      <c r="SJV804" s="110"/>
      <c r="SJW804" s="110"/>
      <c r="SJX804" s="110"/>
      <c r="SJY804" s="110"/>
      <c r="SJZ804" s="110"/>
      <c r="SKA804" s="110"/>
      <c r="SKB804" s="110"/>
      <c r="SKC804" s="110"/>
      <c r="SKD804" s="110"/>
      <c r="SKE804" s="110"/>
      <c r="SKF804" s="110"/>
      <c r="SKG804" s="110"/>
      <c r="SKH804" s="110"/>
      <c r="SKI804" s="110"/>
      <c r="SKJ804" s="110"/>
      <c r="SKK804" s="110"/>
      <c r="SKL804" s="110"/>
      <c r="SKM804" s="110"/>
      <c r="SKN804" s="110"/>
      <c r="SKO804" s="110"/>
      <c r="SKP804" s="110"/>
      <c r="SKQ804" s="110"/>
      <c r="SKR804" s="110"/>
      <c r="SKS804" s="110"/>
      <c r="SKT804" s="110"/>
      <c r="SKU804" s="110"/>
      <c r="SKV804" s="110"/>
      <c r="SKW804" s="110"/>
      <c r="SKX804" s="110"/>
      <c r="SKY804" s="110"/>
      <c r="SKZ804" s="110"/>
      <c r="SLA804" s="110"/>
      <c r="SLB804" s="110"/>
      <c r="SLC804" s="110"/>
      <c r="SLD804" s="110"/>
      <c r="SLE804" s="110"/>
      <c r="SLF804" s="110"/>
      <c r="SLG804" s="110"/>
      <c r="SLH804" s="110"/>
      <c r="SLI804" s="110"/>
      <c r="SLJ804" s="110"/>
      <c r="SLK804" s="110"/>
      <c r="SLL804" s="110"/>
      <c r="SLM804" s="110"/>
      <c r="SLN804" s="110"/>
      <c r="SLO804" s="110"/>
      <c r="SLP804" s="110"/>
      <c r="SLQ804" s="110"/>
      <c r="SLR804" s="110"/>
      <c r="SLS804" s="110"/>
      <c r="SLT804" s="110"/>
      <c r="SLU804" s="110"/>
      <c r="SLV804" s="110"/>
      <c r="SLW804" s="110"/>
      <c r="SLX804" s="110"/>
      <c r="SLY804" s="110"/>
      <c r="SLZ804" s="110"/>
      <c r="SMA804" s="110"/>
      <c r="SMB804" s="110"/>
      <c r="SMC804" s="110"/>
      <c r="SMD804" s="110"/>
      <c r="SME804" s="110"/>
      <c r="SMF804" s="110"/>
      <c r="SMG804" s="110"/>
      <c r="SMH804" s="110"/>
      <c r="SMI804" s="110"/>
      <c r="SMJ804" s="110"/>
      <c r="SMK804" s="110"/>
      <c r="SML804" s="110"/>
      <c r="SMM804" s="110"/>
      <c r="SMN804" s="110"/>
      <c r="SMO804" s="110"/>
      <c r="SMP804" s="110"/>
      <c r="SMQ804" s="110"/>
      <c r="SMR804" s="110"/>
      <c r="SMS804" s="110"/>
      <c r="SMT804" s="110"/>
      <c r="SMU804" s="110"/>
      <c r="SMV804" s="110"/>
      <c r="SMW804" s="110"/>
      <c r="SMX804" s="110"/>
      <c r="SMY804" s="110"/>
      <c r="SMZ804" s="110"/>
      <c r="SNA804" s="110"/>
      <c r="SNB804" s="110"/>
      <c r="SNC804" s="110"/>
      <c r="SND804" s="110"/>
      <c r="SNE804" s="110"/>
      <c r="SNF804" s="110"/>
      <c r="SNG804" s="110"/>
      <c r="SNH804" s="110"/>
      <c r="SNI804" s="110"/>
      <c r="SNJ804" s="110"/>
      <c r="SNK804" s="110"/>
      <c r="SNL804" s="110"/>
      <c r="SNM804" s="110"/>
      <c r="SNN804" s="110"/>
      <c r="SNO804" s="110"/>
      <c r="SNP804" s="110"/>
      <c r="SNQ804" s="110"/>
      <c r="SNR804" s="110"/>
      <c r="SNS804" s="110"/>
      <c r="SNT804" s="110"/>
      <c r="SNU804" s="110"/>
      <c r="SNV804" s="110"/>
      <c r="SNW804" s="110"/>
      <c r="SNX804" s="110"/>
      <c r="SNY804" s="110"/>
      <c r="SNZ804" s="110"/>
      <c r="SOA804" s="110"/>
      <c r="SOB804" s="110"/>
      <c r="SOC804" s="110"/>
      <c r="SOD804" s="110"/>
      <c r="SOE804" s="110"/>
      <c r="SOF804" s="110"/>
      <c r="SOG804" s="110"/>
      <c r="SOH804" s="110"/>
      <c r="SOI804" s="110"/>
      <c r="SOJ804" s="110"/>
      <c r="SOK804" s="110"/>
      <c r="SOL804" s="110"/>
      <c r="SOM804" s="110"/>
      <c r="SON804" s="110"/>
      <c r="SOO804" s="110"/>
      <c r="SOP804" s="110"/>
      <c r="SOQ804" s="110"/>
      <c r="SOR804" s="110"/>
      <c r="SOS804" s="110"/>
      <c r="SOT804" s="110"/>
      <c r="SOU804" s="110"/>
      <c r="SOV804" s="110"/>
      <c r="SOW804" s="110"/>
      <c r="SOX804" s="110"/>
      <c r="SOY804" s="110"/>
      <c r="SOZ804" s="110"/>
      <c r="SPA804" s="110"/>
      <c r="SPB804" s="110"/>
      <c r="SPC804" s="110"/>
      <c r="SPD804" s="110"/>
      <c r="SPE804" s="110"/>
      <c r="SPF804" s="110"/>
      <c r="SPG804" s="110"/>
      <c r="SPH804" s="110"/>
      <c r="SPI804" s="110"/>
      <c r="SPJ804" s="110"/>
      <c r="SPK804" s="110"/>
      <c r="SPL804" s="110"/>
      <c r="SPM804" s="110"/>
      <c r="SPN804" s="110"/>
      <c r="SPO804" s="110"/>
      <c r="SPP804" s="110"/>
      <c r="SPQ804" s="110"/>
      <c r="SPR804" s="110"/>
      <c r="SPS804" s="110"/>
      <c r="SPT804" s="110"/>
      <c r="SPU804" s="110"/>
      <c r="SPV804" s="110"/>
      <c r="SPW804" s="110"/>
      <c r="SPX804" s="110"/>
      <c r="SPY804" s="110"/>
      <c r="SPZ804" s="110"/>
      <c r="SQA804" s="110"/>
      <c r="SQB804" s="110"/>
      <c r="SQC804" s="110"/>
      <c r="SQD804" s="110"/>
      <c r="SQE804" s="110"/>
      <c r="SQF804" s="110"/>
      <c r="SQG804" s="110"/>
      <c r="SQH804" s="110"/>
      <c r="SQI804" s="110"/>
      <c r="SQJ804" s="110"/>
      <c r="SQK804" s="110"/>
      <c r="SQL804" s="110"/>
      <c r="SQM804" s="110"/>
      <c r="SQN804" s="110"/>
      <c r="SQO804" s="110"/>
      <c r="SQP804" s="110"/>
      <c r="SQQ804" s="110"/>
      <c r="SQR804" s="110"/>
      <c r="SQS804" s="110"/>
      <c r="SQT804" s="110"/>
      <c r="SQU804" s="110"/>
      <c r="SQV804" s="110"/>
      <c r="SQW804" s="110"/>
      <c r="SQX804" s="110"/>
      <c r="SQY804" s="110"/>
      <c r="SQZ804" s="110"/>
      <c r="SRA804" s="110"/>
      <c r="SRB804" s="110"/>
      <c r="SRC804" s="110"/>
      <c r="SRD804" s="110"/>
      <c r="SRE804" s="110"/>
      <c r="SRF804" s="110"/>
      <c r="SRG804" s="110"/>
      <c r="SRH804" s="110"/>
      <c r="SRI804" s="110"/>
      <c r="SRJ804" s="110"/>
      <c r="SRK804" s="110"/>
      <c r="SRL804" s="110"/>
      <c r="SRM804" s="110"/>
      <c r="SRN804" s="110"/>
      <c r="SRO804" s="110"/>
      <c r="SRP804" s="110"/>
      <c r="SRQ804" s="110"/>
      <c r="SRR804" s="110"/>
      <c r="SRS804" s="110"/>
      <c r="SRT804" s="110"/>
      <c r="SRU804" s="110"/>
      <c r="SRV804" s="110"/>
      <c r="SRW804" s="110"/>
      <c r="SRX804" s="110"/>
      <c r="SRY804" s="110"/>
      <c r="SRZ804" s="110"/>
      <c r="SSA804" s="110"/>
      <c r="SSB804" s="110"/>
      <c r="SSC804" s="110"/>
      <c r="SSD804" s="110"/>
      <c r="SSE804" s="110"/>
      <c r="SSF804" s="110"/>
      <c r="SSG804" s="110"/>
      <c r="SSH804" s="110"/>
      <c r="SSI804" s="110"/>
      <c r="SSJ804" s="110"/>
      <c r="SSK804" s="110"/>
      <c r="SSL804" s="110"/>
      <c r="SSM804" s="110"/>
      <c r="SSN804" s="110"/>
      <c r="SSO804" s="110"/>
      <c r="SSP804" s="110"/>
      <c r="SSQ804" s="110"/>
      <c r="SSR804" s="110"/>
      <c r="SSS804" s="110"/>
      <c r="SST804" s="110"/>
      <c r="SSU804" s="110"/>
      <c r="SSV804" s="110"/>
      <c r="SSW804" s="110"/>
      <c r="SSX804" s="110"/>
      <c r="SSY804" s="110"/>
      <c r="SSZ804" s="110"/>
      <c r="STA804" s="110"/>
      <c r="STB804" s="110"/>
      <c r="STC804" s="110"/>
      <c r="STD804" s="110"/>
      <c r="STE804" s="110"/>
      <c r="STF804" s="110"/>
      <c r="STG804" s="110"/>
      <c r="STH804" s="110"/>
      <c r="STI804" s="110"/>
      <c r="STJ804" s="110"/>
      <c r="STK804" s="110"/>
      <c r="STL804" s="110"/>
      <c r="STM804" s="110"/>
      <c r="STN804" s="110"/>
      <c r="STO804" s="110"/>
      <c r="STP804" s="110"/>
      <c r="STQ804" s="110"/>
      <c r="STR804" s="110"/>
      <c r="STS804" s="110"/>
      <c r="STT804" s="110"/>
      <c r="STU804" s="110"/>
      <c r="STV804" s="110"/>
      <c r="STW804" s="110"/>
      <c r="STX804" s="110"/>
      <c r="STY804" s="110"/>
      <c r="STZ804" s="110"/>
      <c r="SUA804" s="110"/>
      <c r="SUB804" s="110"/>
      <c r="SUC804" s="110"/>
      <c r="SUD804" s="110"/>
      <c r="SUE804" s="110"/>
      <c r="SUF804" s="110"/>
      <c r="SUG804" s="110"/>
      <c r="SUH804" s="110"/>
      <c r="SUI804" s="110"/>
      <c r="SUJ804" s="110"/>
      <c r="SUK804" s="110"/>
      <c r="SUL804" s="110"/>
      <c r="SUM804" s="110"/>
      <c r="SUN804" s="110"/>
      <c r="SUO804" s="110"/>
      <c r="SUP804" s="110"/>
      <c r="SUQ804" s="110"/>
      <c r="SUR804" s="110"/>
      <c r="SUS804" s="110"/>
      <c r="SUT804" s="110"/>
      <c r="SUU804" s="110"/>
      <c r="SUV804" s="110"/>
      <c r="SUW804" s="110"/>
      <c r="SUX804" s="110"/>
      <c r="SUY804" s="110"/>
      <c r="SUZ804" s="110"/>
      <c r="SVA804" s="110"/>
      <c r="SVB804" s="110"/>
      <c r="SVC804" s="110"/>
      <c r="SVD804" s="110"/>
      <c r="SVE804" s="110"/>
      <c r="SVF804" s="110"/>
      <c r="SVG804" s="110"/>
      <c r="SVH804" s="110"/>
      <c r="SVI804" s="110"/>
      <c r="SVJ804" s="110"/>
      <c r="SVK804" s="110"/>
      <c r="SVL804" s="110"/>
      <c r="SVM804" s="110"/>
      <c r="SVN804" s="110"/>
      <c r="SVO804" s="110"/>
      <c r="SVP804" s="110"/>
      <c r="SVQ804" s="110"/>
      <c r="SVR804" s="110"/>
      <c r="SVS804" s="110"/>
      <c r="SVT804" s="110"/>
      <c r="SVU804" s="110"/>
      <c r="SVV804" s="110"/>
      <c r="SVW804" s="110"/>
      <c r="SVX804" s="110"/>
      <c r="SVY804" s="110"/>
      <c r="SVZ804" s="110"/>
      <c r="SWA804" s="110"/>
      <c r="SWB804" s="110"/>
      <c r="SWC804" s="110"/>
      <c r="SWD804" s="110"/>
      <c r="SWE804" s="110"/>
      <c r="SWF804" s="110"/>
      <c r="SWG804" s="110"/>
      <c r="SWH804" s="110"/>
      <c r="SWI804" s="110"/>
      <c r="SWJ804" s="110"/>
      <c r="SWK804" s="110"/>
      <c r="SWL804" s="110"/>
      <c r="SWM804" s="110"/>
      <c r="SWN804" s="110"/>
      <c r="SWO804" s="110"/>
      <c r="SWP804" s="110"/>
      <c r="SWQ804" s="110"/>
      <c r="SWR804" s="110"/>
      <c r="SWS804" s="110"/>
      <c r="SWT804" s="110"/>
      <c r="SWU804" s="110"/>
      <c r="SWV804" s="110"/>
      <c r="SWW804" s="110"/>
      <c r="SWX804" s="110"/>
      <c r="SWY804" s="110"/>
      <c r="SWZ804" s="110"/>
      <c r="SXA804" s="110"/>
      <c r="SXB804" s="110"/>
      <c r="SXC804" s="110"/>
      <c r="SXD804" s="110"/>
      <c r="SXE804" s="110"/>
      <c r="SXF804" s="110"/>
      <c r="SXG804" s="110"/>
      <c r="SXH804" s="110"/>
      <c r="SXI804" s="110"/>
      <c r="SXJ804" s="110"/>
      <c r="SXK804" s="110"/>
      <c r="SXL804" s="110"/>
      <c r="SXM804" s="110"/>
      <c r="SXN804" s="110"/>
      <c r="SXO804" s="110"/>
      <c r="SXP804" s="110"/>
      <c r="SXQ804" s="110"/>
      <c r="SXR804" s="110"/>
      <c r="SXS804" s="110"/>
      <c r="SXT804" s="110"/>
      <c r="SXU804" s="110"/>
      <c r="SXV804" s="110"/>
      <c r="SXW804" s="110"/>
      <c r="SXX804" s="110"/>
      <c r="SXY804" s="110"/>
      <c r="SXZ804" s="110"/>
      <c r="SYA804" s="110"/>
      <c r="SYB804" s="110"/>
      <c r="SYC804" s="110"/>
      <c r="SYD804" s="110"/>
      <c r="SYE804" s="110"/>
      <c r="SYF804" s="110"/>
      <c r="SYG804" s="110"/>
      <c r="SYH804" s="110"/>
      <c r="SYI804" s="110"/>
      <c r="SYJ804" s="110"/>
      <c r="SYK804" s="110"/>
      <c r="SYL804" s="110"/>
      <c r="SYM804" s="110"/>
      <c r="SYN804" s="110"/>
      <c r="SYO804" s="110"/>
      <c r="SYP804" s="110"/>
      <c r="SYQ804" s="110"/>
      <c r="SYR804" s="110"/>
      <c r="SYS804" s="110"/>
      <c r="SYT804" s="110"/>
      <c r="SYU804" s="110"/>
      <c r="SYV804" s="110"/>
      <c r="SYW804" s="110"/>
      <c r="SYX804" s="110"/>
      <c r="SYY804" s="110"/>
      <c r="SYZ804" s="110"/>
      <c r="SZA804" s="110"/>
      <c r="SZB804" s="110"/>
      <c r="SZC804" s="110"/>
      <c r="SZD804" s="110"/>
      <c r="SZE804" s="110"/>
      <c r="SZF804" s="110"/>
      <c r="SZG804" s="110"/>
      <c r="SZH804" s="110"/>
      <c r="SZI804" s="110"/>
      <c r="SZJ804" s="110"/>
      <c r="SZK804" s="110"/>
      <c r="SZL804" s="110"/>
      <c r="SZM804" s="110"/>
      <c r="SZN804" s="110"/>
      <c r="SZO804" s="110"/>
      <c r="SZP804" s="110"/>
      <c r="SZQ804" s="110"/>
      <c r="SZR804" s="110"/>
      <c r="SZS804" s="110"/>
      <c r="SZT804" s="110"/>
      <c r="SZU804" s="110"/>
      <c r="SZV804" s="110"/>
      <c r="SZW804" s="110"/>
      <c r="SZX804" s="110"/>
      <c r="SZY804" s="110"/>
      <c r="SZZ804" s="110"/>
      <c r="TAA804" s="110"/>
      <c r="TAB804" s="110"/>
      <c r="TAC804" s="110"/>
      <c r="TAD804" s="110"/>
      <c r="TAE804" s="110"/>
      <c r="TAF804" s="110"/>
      <c r="TAG804" s="110"/>
      <c r="TAH804" s="110"/>
      <c r="TAI804" s="110"/>
      <c r="TAJ804" s="110"/>
      <c r="TAK804" s="110"/>
      <c r="TAL804" s="110"/>
      <c r="TAM804" s="110"/>
      <c r="TAN804" s="110"/>
      <c r="TAO804" s="110"/>
      <c r="TAP804" s="110"/>
      <c r="TAQ804" s="110"/>
      <c r="TAR804" s="110"/>
      <c r="TAS804" s="110"/>
      <c r="TAT804" s="110"/>
      <c r="TAU804" s="110"/>
      <c r="TAV804" s="110"/>
      <c r="TAW804" s="110"/>
      <c r="TAX804" s="110"/>
      <c r="TAY804" s="110"/>
      <c r="TAZ804" s="110"/>
      <c r="TBA804" s="110"/>
      <c r="TBB804" s="110"/>
      <c r="TBC804" s="110"/>
      <c r="TBD804" s="110"/>
      <c r="TBE804" s="110"/>
      <c r="TBF804" s="110"/>
      <c r="TBG804" s="110"/>
      <c r="TBH804" s="110"/>
      <c r="TBI804" s="110"/>
      <c r="TBJ804" s="110"/>
      <c r="TBK804" s="110"/>
      <c r="TBL804" s="110"/>
      <c r="TBM804" s="110"/>
      <c r="TBN804" s="110"/>
      <c r="TBO804" s="110"/>
      <c r="TBP804" s="110"/>
      <c r="TBQ804" s="110"/>
      <c r="TBR804" s="110"/>
      <c r="TBS804" s="110"/>
      <c r="TBT804" s="110"/>
      <c r="TBU804" s="110"/>
      <c r="TBV804" s="110"/>
      <c r="TBW804" s="110"/>
      <c r="TBX804" s="110"/>
      <c r="TBY804" s="110"/>
      <c r="TBZ804" s="110"/>
      <c r="TCA804" s="110"/>
      <c r="TCB804" s="110"/>
      <c r="TCC804" s="110"/>
      <c r="TCD804" s="110"/>
      <c r="TCE804" s="110"/>
      <c r="TCF804" s="110"/>
      <c r="TCG804" s="110"/>
      <c r="TCH804" s="110"/>
      <c r="TCI804" s="110"/>
      <c r="TCJ804" s="110"/>
      <c r="TCK804" s="110"/>
      <c r="TCL804" s="110"/>
      <c r="TCM804" s="110"/>
      <c r="TCN804" s="110"/>
      <c r="TCO804" s="110"/>
      <c r="TCP804" s="110"/>
      <c r="TCQ804" s="110"/>
      <c r="TCR804" s="110"/>
      <c r="TCS804" s="110"/>
      <c r="TCT804" s="110"/>
      <c r="TCU804" s="110"/>
      <c r="TCV804" s="110"/>
      <c r="TCW804" s="110"/>
      <c r="TCX804" s="110"/>
      <c r="TCY804" s="110"/>
      <c r="TCZ804" s="110"/>
      <c r="TDA804" s="110"/>
      <c r="TDB804" s="110"/>
      <c r="TDC804" s="110"/>
      <c r="TDD804" s="110"/>
      <c r="TDE804" s="110"/>
      <c r="TDF804" s="110"/>
      <c r="TDG804" s="110"/>
      <c r="TDH804" s="110"/>
      <c r="TDI804" s="110"/>
      <c r="TDJ804" s="110"/>
      <c r="TDK804" s="110"/>
      <c r="TDL804" s="110"/>
      <c r="TDM804" s="110"/>
      <c r="TDN804" s="110"/>
      <c r="TDO804" s="110"/>
      <c r="TDP804" s="110"/>
      <c r="TDQ804" s="110"/>
      <c r="TDR804" s="110"/>
      <c r="TDS804" s="110"/>
      <c r="TDT804" s="110"/>
      <c r="TDU804" s="110"/>
      <c r="TDV804" s="110"/>
      <c r="TDW804" s="110"/>
      <c r="TDX804" s="110"/>
      <c r="TDY804" s="110"/>
      <c r="TDZ804" s="110"/>
      <c r="TEA804" s="110"/>
      <c r="TEB804" s="110"/>
      <c r="TEC804" s="110"/>
      <c r="TED804" s="110"/>
      <c r="TEE804" s="110"/>
      <c r="TEF804" s="110"/>
      <c r="TEG804" s="110"/>
      <c r="TEH804" s="110"/>
      <c r="TEI804" s="110"/>
      <c r="TEJ804" s="110"/>
      <c r="TEK804" s="110"/>
      <c r="TEL804" s="110"/>
      <c r="TEM804" s="110"/>
      <c r="TEN804" s="110"/>
      <c r="TEO804" s="110"/>
      <c r="TEP804" s="110"/>
      <c r="TEQ804" s="110"/>
      <c r="TER804" s="110"/>
      <c r="TES804" s="110"/>
      <c r="TET804" s="110"/>
      <c r="TEU804" s="110"/>
      <c r="TEV804" s="110"/>
      <c r="TEW804" s="110"/>
      <c r="TEX804" s="110"/>
      <c r="TEY804" s="110"/>
      <c r="TEZ804" s="110"/>
      <c r="TFA804" s="110"/>
      <c r="TFB804" s="110"/>
      <c r="TFC804" s="110"/>
      <c r="TFD804" s="110"/>
      <c r="TFE804" s="110"/>
      <c r="TFF804" s="110"/>
      <c r="TFG804" s="110"/>
      <c r="TFH804" s="110"/>
      <c r="TFI804" s="110"/>
      <c r="TFJ804" s="110"/>
      <c r="TFK804" s="110"/>
      <c r="TFL804" s="110"/>
      <c r="TFM804" s="110"/>
      <c r="TFN804" s="110"/>
      <c r="TFO804" s="110"/>
      <c r="TFP804" s="110"/>
      <c r="TFQ804" s="110"/>
      <c r="TFR804" s="110"/>
      <c r="TFS804" s="110"/>
      <c r="TFT804" s="110"/>
      <c r="TFU804" s="110"/>
      <c r="TFV804" s="110"/>
      <c r="TFW804" s="110"/>
      <c r="TFX804" s="110"/>
      <c r="TFY804" s="110"/>
      <c r="TFZ804" s="110"/>
      <c r="TGA804" s="110"/>
      <c r="TGB804" s="110"/>
      <c r="TGC804" s="110"/>
      <c r="TGD804" s="110"/>
      <c r="TGE804" s="110"/>
      <c r="TGF804" s="110"/>
      <c r="TGG804" s="110"/>
      <c r="TGH804" s="110"/>
      <c r="TGI804" s="110"/>
      <c r="TGJ804" s="110"/>
      <c r="TGK804" s="110"/>
      <c r="TGL804" s="110"/>
      <c r="TGM804" s="110"/>
      <c r="TGN804" s="110"/>
      <c r="TGO804" s="110"/>
      <c r="TGP804" s="110"/>
      <c r="TGQ804" s="110"/>
      <c r="TGR804" s="110"/>
      <c r="TGS804" s="110"/>
      <c r="TGT804" s="110"/>
      <c r="TGU804" s="110"/>
      <c r="TGV804" s="110"/>
      <c r="TGW804" s="110"/>
      <c r="TGX804" s="110"/>
      <c r="TGY804" s="110"/>
      <c r="TGZ804" s="110"/>
      <c r="THA804" s="110"/>
      <c r="THB804" s="110"/>
      <c r="THC804" s="110"/>
      <c r="THD804" s="110"/>
      <c r="THE804" s="110"/>
      <c r="THF804" s="110"/>
      <c r="THG804" s="110"/>
      <c r="THH804" s="110"/>
      <c r="THI804" s="110"/>
      <c r="THJ804" s="110"/>
      <c r="THK804" s="110"/>
      <c r="THL804" s="110"/>
      <c r="THM804" s="110"/>
      <c r="THN804" s="110"/>
      <c r="THO804" s="110"/>
      <c r="THP804" s="110"/>
      <c r="THQ804" s="110"/>
      <c r="THR804" s="110"/>
      <c r="THS804" s="110"/>
      <c r="THT804" s="110"/>
      <c r="THU804" s="110"/>
      <c r="THV804" s="110"/>
      <c r="THW804" s="110"/>
      <c r="THX804" s="110"/>
      <c r="THY804" s="110"/>
      <c r="THZ804" s="110"/>
      <c r="TIA804" s="110"/>
      <c r="TIB804" s="110"/>
      <c r="TIC804" s="110"/>
      <c r="TID804" s="110"/>
      <c r="TIE804" s="110"/>
      <c r="TIF804" s="110"/>
      <c r="TIG804" s="110"/>
      <c r="TIH804" s="110"/>
      <c r="TII804" s="110"/>
      <c r="TIJ804" s="110"/>
      <c r="TIK804" s="110"/>
      <c r="TIL804" s="110"/>
      <c r="TIM804" s="110"/>
      <c r="TIN804" s="110"/>
      <c r="TIO804" s="110"/>
      <c r="TIP804" s="110"/>
      <c r="TIQ804" s="110"/>
      <c r="TIR804" s="110"/>
      <c r="TIS804" s="110"/>
      <c r="TIT804" s="110"/>
      <c r="TIU804" s="110"/>
      <c r="TIV804" s="110"/>
      <c r="TIW804" s="110"/>
      <c r="TIX804" s="110"/>
      <c r="TIY804" s="110"/>
      <c r="TIZ804" s="110"/>
      <c r="TJA804" s="110"/>
      <c r="TJB804" s="110"/>
      <c r="TJC804" s="110"/>
      <c r="TJD804" s="110"/>
      <c r="TJE804" s="110"/>
      <c r="TJF804" s="110"/>
      <c r="TJG804" s="110"/>
      <c r="TJH804" s="110"/>
      <c r="TJI804" s="110"/>
      <c r="TJJ804" s="110"/>
      <c r="TJK804" s="110"/>
      <c r="TJL804" s="110"/>
      <c r="TJM804" s="110"/>
      <c r="TJN804" s="110"/>
      <c r="TJO804" s="110"/>
      <c r="TJP804" s="110"/>
      <c r="TJQ804" s="110"/>
      <c r="TJR804" s="110"/>
      <c r="TJS804" s="110"/>
      <c r="TJT804" s="110"/>
      <c r="TJU804" s="110"/>
      <c r="TJV804" s="110"/>
      <c r="TJW804" s="110"/>
      <c r="TJX804" s="110"/>
      <c r="TJY804" s="110"/>
      <c r="TJZ804" s="110"/>
      <c r="TKA804" s="110"/>
      <c r="TKB804" s="110"/>
      <c r="TKC804" s="110"/>
      <c r="TKD804" s="110"/>
      <c r="TKE804" s="110"/>
      <c r="TKF804" s="110"/>
      <c r="TKG804" s="110"/>
      <c r="TKH804" s="110"/>
      <c r="TKI804" s="110"/>
      <c r="TKJ804" s="110"/>
      <c r="TKK804" s="110"/>
      <c r="TKL804" s="110"/>
      <c r="TKM804" s="110"/>
      <c r="TKN804" s="110"/>
      <c r="TKO804" s="110"/>
      <c r="TKP804" s="110"/>
      <c r="TKQ804" s="110"/>
      <c r="TKR804" s="110"/>
      <c r="TKS804" s="110"/>
      <c r="TKT804" s="110"/>
      <c r="TKU804" s="110"/>
      <c r="TKV804" s="110"/>
      <c r="TKW804" s="110"/>
      <c r="TKX804" s="110"/>
      <c r="TKY804" s="110"/>
      <c r="TKZ804" s="110"/>
      <c r="TLA804" s="110"/>
      <c r="TLB804" s="110"/>
      <c r="TLC804" s="110"/>
      <c r="TLD804" s="110"/>
      <c r="TLE804" s="110"/>
      <c r="TLF804" s="110"/>
      <c r="TLG804" s="110"/>
      <c r="TLH804" s="110"/>
      <c r="TLI804" s="110"/>
      <c r="TLJ804" s="110"/>
      <c r="TLK804" s="110"/>
      <c r="TLL804" s="110"/>
      <c r="TLM804" s="110"/>
      <c r="TLN804" s="110"/>
      <c r="TLO804" s="110"/>
      <c r="TLP804" s="110"/>
      <c r="TLQ804" s="110"/>
      <c r="TLR804" s="110"/>
      <c r="TLS804" s="110"/>
      <c r="TLT804" s="110"/>
      <c r="TLU804" s="110"/>
      <c r="TLV804" s="110"/>
      <c r="TLW804" s="110"/>
      <c r="TLX804" s="110"/>
      <c r="TLY804" s="110"/>
      <c r="TLZ804" s="110"/>
      <c r="TMA804" s="110"/>
      <c r="TMB804" s="110"/>
      <c r="TMC804" s="110"/>
      <c r="TMD804" s="110"/>
      <c r="TME804" s="110"/>
      <c r="TMF804" s="110"/>
      <c r="TMG804" s="110"/>
      <c r="TMH804" s="110"/>
      <c r="TMI804" s="110"/>
      <c r="TMJ804" s="110"/>
      <c r="TMK804" s="110"/>
      <c r="TML804" s="110"/>
      <c r="TMM804" s="110"/>
      <c r="TMN804" s="110"/>
      <c r="TMO804" s="110"/>
      <c r="TMP804" s="110"/>
      <c r="TMQ804" s="110"/>
      <c r="TMR804" s="110"/>
      <c r="TMS804" s="110"/>
      <c r="TMT804" s="110"/>
      <c r="TMU804" s="110"/>
      <c r="TMV804" s="110"/>
      <c r="TMW804" s="110"/>
      <c r="TMX804" s="110"/>
      <c r="TMY804" s="110"/>
      <c r="TMZ804" s="110"/>
      <c r="TNA804" s="110"/>
      <c r="TNB804" s="110"/>
      <c r="TNC804" s="110"/>
      <c r="TND804" s="110"/>
      <c r="TNE804" s="110"/>
      <c r="TNF804" s="110"/>
      <c r="TNG804" s="110"/>
      <c r="TNH804" s="110"/>
      <c r="TNI804" s="110"/>
      <c r="TNJ804" s="110"/>
      <c r="TNK804" s="110"/>
      <c r="TNL804" s="110"/>
      <c r="TNM804" s="110"/>
      <c r="TNN804" s="110"/>
      <c r="TNO804" s="110"/>
      <c r="TNP804" s="110"/>
      <c r="TNQ804" s="110"/>
      <c r="TNR804" s="110"/>
      <c r="TNS804" s="110"/>
      <c r="TNT804" s="110"/>
      <c r="TNU804" s="110"/>
      <c r="TNV804" s="110"/>
      <c r="TNW804" s="110"/>
      <c r="TNX804" s="110"/>
      <c r="TNY804" s="110"/>
      <c r="TNZ804" s="110"/>
      <c r="TOA804" s="110"/>
      <c r="TOB804" s="110"/>
      <c r="TOC804" s="110"/>
      <c r="TOD804" s="110"/>
      <c r="TOE804" s="110"/>
      <c r="TOF804" s="110"/>
      <c r="TOG804" s="110"/>
      <c r="TOH804" s="110"/>
      <c r="TOI804" s="110"/>
      <c r="TOJ804" s="110"/>
      <c r="TOK804" s="110"/>
      <c r="TOL804" s="110"/>
      <c r="TOM804" s="110"/>
      <c r="TON804" s="110"/>
      <c r="TOO804" s="110"/>
      <c r="TOP804" s="110"/>
      <c r="TOQ804" s="110"/>
      <c r="TOR804" s="110"/>
      <c r="TOS804" s="110"/>
      <c r="TOT804" s="110"/>
      <c r="TOU804" s="110"/>
      <c r="TOV804" s="110"/>
      <c r="TOW804" s="110"/>
      <c r="TOX804" s="110"/>
      <c r="TOY804" s="110"/>
      <c r="TOZ804" s="110"/>
      <c r="TPA804" s="110"/>
      <c r="TPB804" s="110"/>
      <c r="TPC804" s="110"/>
      <c r="TPD804" s="110"/>
      <c r="TPE804" s="110"/>
      <c r="TPF804" s="110"/>
      <c r="TPG804" s="110"/>
      <c r="TPH804" s="110"/>
      <c r="TPI804" s="110"/>
      <c r="TPJ804" s="110"/>
      <c r="TPK804" s="110"/>
      <c r="TPL804" s="110"/>
      <c r="TPM804" s="110"/>
      <c r="TPN804" s="110"/>
      <c r="TPO804" s="110"/>
      <c r="TPP804" s="110"/>
      <c r="TPQ804" s="110"/>
      <c r="TPR804" s="110"/>
      <c r="TPS804" s="110"/>
      <c r="TPT804" s="110"/>
      <c r="TPU804" s="110"/>
      <c r="TPV804" s="110"/>
      <c r="TPW804" s="110"/>
      <c r="TPX804" s="110"/>
      <c r="TPY804" s="110"/>
      <c r="TPZ804" s="110"/>
      <c r="TQA804" s="110"/>
      <c r="TQB804" s="110"/>
      <c r="TQC804" s="110"/>
      <c r="TQD804" s="110"/>
      <c r="TQE804" s="110"/>
      <c r="TQF804" s="110"/>
      <c r="TQG804" s="110"/>
      <c r="TQH804" s="110"/>
      <c r="TQI804" s="110"/>
      <c r="TQJ804" s="110"/>
      <c r="TQK804" s="110"/>
      <c r="TQL804" s="110"/>
      <c r="TQM804" s="110"/>
      <c r="TQN804" s="110"/>
      <c r="TQO804" s="110"/>
      <c r="TQP804" s="110"/>
      <c r="TQQ804" s="110"/>
      <c r="TQR804" s="110"/>
      <c r="TQS804" s="110"/>
      <c r="TQT804" s="110"/>
      <c r="TQU804" s="110"/>
      <c r="TQV804" s="110"/>
      <c r="TQW804" s="110"/>
      <c r="TQX804" s="110"/>
      <c r="TQY804" s="110"/>
      <c r="TQZ804" s="110"/>
      <c r="TRA804" s="110"/>
      <c r="TRB804" s="110"/>
      <c r="TRC804" s="110"/>
      <c r="TRD804" s="110"/>
      <c r="TRE804" s="110"/>
      <c r="TRF804" s="110"/>
      <c r="TRG804" s="110"/>
      <c r="TRH804" s="110"/>
      <c r="TRI804" s="110"/>
      <c r="TRJ804" s="110"/>
      <c r="TRK804" s="110"/>
      <c r="TRL804" s="110"/>
      <c r="TRM804" s="110"/>
      <c r="TRN804" s="110"/>
      <c r="TRO804" s="110"/>
      <c r="TRP804" s="110"/>
      <c r="TRQ804" s="110"/>
      <c r="TRR804" s="110"/>
      <c r="TRS804" s="110"/>
      <c r="TRT804" s="110"/>
      <c r="TRU804" s="110"/>
      <c r="TRV804" s="110"/>
      <c r="TRW804" s="110"/>
      <c r="TRX804" s="110"/>
      <c r="TRY804" s="110"/>
      <c r="TRZ804" s="110"/>
      <c r="TSA804" s="110"/>
      <c r="TSB804" s="110"/>
      <c r="TSC804" s="110"/>
      <c r="TSD804" s="110"/>
      <c r="TSE804" s="110"/>
      <c r="TSF804" s="110"/>
      <c r="TSG804" s="110"/>
      <c r="TSH804" s="110"/>
      <c r="TSI804" s="110"/>
      <c r="TSJ804" s="110"/>
      <c r="TSK804" s="110"/>
      <c r="TSL804" s="110"/>
      <c r="TSM804" s="110"/>
      <c r="TSN804" s="110"/>
      <c r="TSO804" s="110"/>
      <c r="TSP804" s="110"/>
      <c r="TSQ804" s="110"/>
      <c r="TSR804" s="110"/>
      <c r="TSS804" s="110"/>
      <c r="TST804" s="110"/>
      <c r="TSU804" s="110"/>
      <c r="TSV804" s="110"/>
      <c r="TSW804" s="110"/>
      <c r="TSX804" s="110"/>
      <c r="TSY804" s="110"/>
      <c r="TSZ804" s="110"/>
      <c r="TTA804" s="110"/>
      <c r="TTB804" s="110"/>
      <c r="TTC804" s="110"/>
      <c r="TTD804" s="110"/>
      <c r="TTE804" s="110"/>
      <c r="TTF804" s="110"/>
      <c r="TTG804" s="110"/>
      <c r="TTH804" s="110"/>
      <c r="TTI804" s="110"/>
      <c r="TTJ804" s="110"/>
      <c r="TTK804" s="110"/>
      <c r="TTL804" s="110"/>
      <c r="TTM804" s="110"/>
      <c r="TTN804" s="110"/>
      <c r="TTO804" s="110"/>
      <c r="TTP804" s="110"/>
      <c r="TTQ804" s="110"/>
      <c r="TTR804" s="110"/>
      <c r="TTS804" s="110"/>
      <c r="TTT804" s="110"/>
      <c r="TTU804" s="110"/>
      <c r="TTV804" s="110"/>
      <c r="TTW804" s="110"/>
      <c r="TTX804" s="110"/>
      <c r="TTY804" s="110"/>
      <c r="TTZ804" s="110"/>
      <c r="TUA804" s="110"/>
      <c r="TUB804" s="110"/>
      <c r="TUC804" s="110"/>
      <c r="TUD804" s="110"/>
      <c r="TUE804" s="110"/>
      <c r="TUF804" s="110"/>
      <c r="TUG804" s="110"/>
      <c r="TUH804" s="110"/>
      <c r="TUI804" s="110"/>
      <c r="TUJ804" s="110"/>
      <c r="TUK804" s="110"/>
      <c r="TUL804" s="110"/>
      <c r="TUM804" s="110"/>
      <c r="TUN804" s="110"/>
      <c r="TUO804" s="110"/>
      <c r="TUP804" s="110"/>
      <c r="TUQ804" s="110"/>
      <c r="TUR804" s="110"/>
      <c r="TUS804" s="110"/>
      <c r="TUT804" s="110"/>
      <c r="TUU804" s="110"/>
      <c r="TUV804" s="110"/>
      <c r="TUW804" s="110"/>
      <c r="TUX804" s="110"/>
      <c r="TUY804" s="110"/>
      <c r="TUZ804" s="110"/>
      <c r="TVA804" s="110"/>
      <c r="TVB804" s="110"/>
      <c r="TVC804" s="110"/>
      <c r="TVD804" s="110"/>
      <c r="TVE804" s="110"/>
      <c r="TVF804" s="110"/>
      <c r="TVG804" s="110"/>
      <c r="TVH804" s="110"/>
      <c r="TVI804" s="110"/>
      <c r="TVJ804" s="110"/>
      <c r="TVK804" s="110"/>
      <c r="TVL804" s="110"/>
      <c r="TVM804" s="110"/>
      <c r="TVN804" s="110"/>
      <c r="TVO804" s="110"/>
      <c r="TVP804" s="110"/>
      <c r="TVQ804" s="110"/>
      <c r="TVR804" s="110"/>
      <c r="TVS804" s="110"/>
      <c r="TVT804" s="110"/>
      <c r="TVU804" s="110"/>
      <c r="TVV804" s="110"/>
      <c r="TVW804" s="110"/>
      <c r="TVX804" s="110"/>
      <c r="TVY804" s="110"/>
      <c r="TVZ804" s="110"/>
      <c r="TWA804" s="110"/>
      <c r="TWB804" s="110"/>
      <c r="TWC804" s="110"/>
      <c r="TWD804" s="110"/>
      <c r="TWE804" s="110"/>
      <c r="TWF804" s="110"/>
      <c r="TWG804" s="110"/>
      <c r="TWH804" s="110"/>
      <c r="TWI804" s="110"/>
      <c r="TWJ804" s="110"/>
      <c r="TWK804" s="110"/>
      <c r="TWL804" s="110"/>
      <c r="TWM804" s="110"/>
      <c r="TWN804" s="110"/>
      <c r="TWO804" s="110"/>
      <c r="TWP804" s="110"/>
      <c r="TWQ804" s="110"/>
      <c r="TWR804" s="110"/>
      <c r="TWS804" s="110"/>
      <c r="TWT804" s="110"/>
      <c r="TWU804" s="110"/>
      <c r="TWV804" s="110"/>
      <c r="TWW804" s="110"/>
      <c r="TWX804" s="110"/>
      <c r="TWY804" s="110"/>
      <c r="TWZ804" s="110"/>
      <c r="TXA804" s="110"/>
      <c r="TXB804" s="110"/>
      <c r="TXC804" s="110"/>
      <c r="TXD804" s="110"/>
      <c r="TXE804" s="110"/>
      <c r="TXF804" s="110"/>
      <c r="TXG804" s="110"/>
      <c r="TXH804" s="110"/>
      <c r="TXI804" s="110"/>
      <c r="TXJ804" s="110"/>
      <c r="TXK804" s="110"/>
      <c r="TXL804" s="110"/>
      <c r="TXM804" s="110"/>
      <c r="TXN804" s="110"/>
      <c r="TXO804" s="110"/>
      <c r="TXP804" s="110"/>
      <c r="TXQ804" s="110"/>
      <c r="TXR804" s="110"/>
      <c r="TXS804" s="110"/>
      <c r="TXT804" s="110"/>
      <c r="TXU804" s="110"/>
      <c r="TXV804" s="110"/>
      <c r="TXW804" s="110"/>
      <c r="TXX804" s="110"/>
      <c r="TXY804" s="110"/>
      <c r="TXZ804" s="110"/>
      <c r="TYA804" s="110"/>
      <c r="TYB804" s="110"/>
      <c r="TYC804" s="110"/>
      <c r="TYD804" s="110"/>
      <c r="TYE804" s="110"/>
      <c r="TYF804" s="110"/>
      <c r="TYG804" s="110"/>
      <c r="TYH804" s="110"/>
      <c r="TYI804" s="110"/>
      <c r="TYJ804" s="110"/>
      <c r="TYK804" s="110"/>
      <c r="TYL804" s="110"/>
      <c r="TYM804" s="110"/>
      <c r="TYN804" s="110"/>
      <c r="TYO804" s="110"/>
      <c r="TYP804" s="110"/>
      <c r="TYQ804" s="110"/>
      <c r="TYR804" s="110"/>
      <c r="TYS804" s="110"/>
      <c r="TYT804" s="110"/>
      <c r="TYU804" s="110"/>
      <c r="TYV804" s="110"/>
      <c r="TYW804" s="110"/>
      <c r="TYX804" s="110"/>
      <c r="TYY804" s="110"/>
      <c r="TYZ804" s="110"/>
      <c r="TZA804" s="110"/>
      <c r="TZB804" s="110"/>
      <c r="TZC804" s="110"/>
      <c r="TZD804" s="110"/>
      <c r="TZE804" s="110"/>
      <c r="TZF804" s="110"/>
      <c r="TZG804" s="110"/>
      <c r="TZH804" s="110"/>
      <c r="TZI804" s="110"/>
      <c r="TZJ804" s="110"/>
      <c r="TZK804" s="110"/>
      <c r="TZL804" s="110"/>
      <c r="TZM804" s="110"/>
      <c r="TZN804" s="110"/>
      <c r="TZO804" s="110"/>
      <c r="TZP804" s="110"/>
      <c r="TZQ804" s="110"/>
      <c r="TZR804" s="110"/>
      <c r="TZS804" s="110"/>
      <c r="TZT804" s="110"/>
      <c r="TZU804" s="110"/>
      <c r="TZV804" s="110"/>
      <c r="TZW804" s="110"/>
      <c r="TZX804" s="110"/>
      <c r="TZY804" s="110"/>
      <c r="TZZ804" s="110"/>
      <c r="UAA804" s="110"/>
      <c r="UAB804" s="110"/>
      <c r="UAC804" s="110"/>
      <c r="UAD804" s="110"/>
      <c r="UAE804" s="110"/>
      <c r="UAF804" s="110"/>
      <c r="UAG804" s="110"/>
      <c r="UAH804" s="110"/>
      <c r="UAI804" s="110"/>
      <c r="UAJ804" s="110"/>
      <c r="UAK804" s="110"/>
      <c r="UAL804" s="110"/>
      <c r="UAM804" s="110"/>
      <c r="UAN804" s="110"/>
      <c r="UAO804" s="110"/>
      <c r="UAP804" s="110"/>
      <c r="UAQ804" s="110"/>
      <c r="UAR804" s="110"/>
      <c r="UAS804" s="110"/>
      <c r="UAT804" s="110"/>
      <c r="UAU804" s="110"/>
      <c r="UAV804" s="110"/>
      <c r="UAW804" s="110"/>
      <c r="UAX804" s="110"/>
      <c r="UAY804" s="110"/>
      <c r="UAZ804" s="110"/>
      <c r="UBA804" s="110"/>
      <c r="UBB804" s="110"/>
      <c r="UBC804" s="110"/>
      <c r="UBD804" s="110"/>
      <c r="UBE804" s="110"/>
      <c r="UBF804" s="110"/>
      <c r="UBG804" s="110"/>
      <c r="UBH804" s="110"/>
      <c r="UBI804" s="110"/>
      <c r="UBJ804" s="110"/>
      <c r="UBK804" s="110"/>
      <c r="UBL804" s="110"/>
      <c r="UBM804" s="110"/>
      <c r="UBN804" s="110"/>
      <c r="UBO804" s="110"/>
      <c r="UBP804" s="110"/>
      <c r="UBQ804" s="110"/>
      <c r="UBR804" s="110"/>
      <c r="UBS804" s="110"/>
      <c r="UBT804" s="110"/>
      <c r="UBU804" s="110"/>
      <c r="UBV804" s="110"/>
      <c r="UBW804" s="110"/>
      <c r="UBX804" s="110"/>
      <c r="UBY804" s="110"/>
      <c r="UBZ804" s="110"/>
      <c r="UCA804" s="110"/>
      <c r="UCB804" s="110"/>
      <c r="UCC804" s="110"/>
      <c r="UCD804" s="110"/>
      <c r="UCE804" s="110"/>
      <c r="UCF804" s="110"/>
      <c r="UCG804" s="110"/>
      <c r="UCH804" s="110"/>
      <c r="UCI804" s="110"/>
      <c r="UCJ804" s="110"/>
      <c r="UCK804" s="110"/>
      <c r="UCL804" s="110"/>
      <c r="UCM804" s="110"/>
      <c r="UCN804" s="110"/>
      <c r="UCO804" s="110"/>
      <c r="UCP804" s="110"/>
      <c r="UCQ804" s="110"/>
      <c r="UCR804" s="110"/>
      <c r="UCS804" s="110"/>
      <c r="UCT804" s="110"/>
      <c r="UCU804" s="110"/>
      <c r="UCV804" s="110"/>
      <c r="UCW804" s="110"/>
      <c r="UCX804" s="110"/>
      <c r="UCY804" s="110"/>
      <c r="UCZ804" s="110"/>
      <c r="UDA804" s="110"/>
      <c r="UDB804" s="110"/>
      <c r="UDC804" s="110"/>
      <c r="UDD804" s="110"/>
      <c r="UDE804" s="110"/>
      <c r="UDF804" s="110"/>
      <c r="UDG804" s="110"/>
      <c r="UDH804" s="110"/>
      <c r="UDI804" s="110"/>
      <c r="UDJ804" s="110"/>
      <c r="UDK804" s="110"/>
      <c r="UDL804" s="110"/>
      <c r="UDM804" s="110"/>
      <c r="UDN804" s="110"/>
      <c r="UDO804" s="110"/>
      <c r="UDP804" s="110"/>
      <c r="UDQ804" s="110"/>
      <c r="UDR804" s="110"/>
      <c r="UDS804" s="110"/>
      <c r="UDT804" s="110"/>
      <c r="UDU804" s="110"/>
      <c r="UDV804" s="110"/>
      <c r="UDW804" s="110"/>
      <c r="UDX804" s="110"/>
      <c r="UDY804" s="110"/>
      <c r="UDZ804" s="110"/>
      <c r="UEA804" s="110"/>
      <c r="UEB804" s="110"/>
      <c r="UEC804" s="110"/>
      <c r="UED804" s="110"/>
      <c r="UEE804" s="110"/>
      <c r="UEF804" s="110"/>
      <c r="UEG804" s="110"/>
      <c r="UEH804" s="110"/>
      <c r="UEI804" s="110"/>
      <c r="UEJ804" s="110"/>
      <c r="UEK804" s="110"/>
      <c r="UEL804" s="110"/>
      <c r="UEM804" s="110"/>
      <c r="UEN804" s="110"/>
      <c r="UEO804" s="110"/>
      <c r="UEP804" s="110"/>
      <c r="UEQ804" s="110"/>
      <c r="UER804" s="110"/>
      <c r="UES804" s="110"/>
      <c r="UET804" s="110"/>
      <c r="UEU804" s="110"/>
      <c r="UEV804" s="110"/>
      <c r="UEW804" s="110"/>
      <c r="UEX804" s="110"/>
      <c r="UEY804" s="110"/>
      <c r="UEZ804" s="110"/>
      <c r="UFA804" s="110"/>
      <c r="UFB804" s="110"/>
      <c r="UFC804" s="110"/>
      <c r="UFD804" s="110"/>
      <c r="UFE804" s="110"/>
      <c r="UFF804" s="110"/>
      <c r="UFG804" s="110"/>
      <c r="UFH804" s="110"/>
      <c r="UFI804" s="110"/>
      <c r="UFJ804" s="110"/>
      <c r="UFK804" s="110"/>
      <c r="UFL804" s="110"/>
      <c r="UFM804" s="110"/>
      <c r="UFN804" s="110"/>
      <c r="UFO804" s="110"/>
      <c r="UFP804" s="110"/>
      <c r="UFQ804" s="110"/>
      <c r="UFR804" s="110"/>
      <c r="UFS804" s="110"/>
      <c r="UFT804" s="110"/>
      <c r="UFU804" s="110"/>
      <c r="UFV804" s="110"/>
      <c r="UFW804" s="110"/>
      <c r="UFX804" s="110"/>
      <c r="UFY804" s="110"/>
      <c r="UFZ804" s="110"/>
      <c r="UGA804" s="110"/>
      <c r="UGB804" s="110"/>
      <c r="UGC804" s="110"/>
      <c r="UGD804" s="110"/>
      <c r="UGE804" s="110"/>
      <c r="UGF804" s="110"/>
      <c r="UGG804" s="110"/>
      <c r="UGH804" s="110"/>
      <c r="UGI804" s="110"/>
      <c r="UGJ804" s="110"/>
      <c r="UGK804" s="110"/>
      <c r="UGL804" s="110"/>
      <c r="UGM804" s="110"/>
      <c r="UGN804" s="110"/>
      <c r="UGO804" s="110"/>
      <c r="UGP804" s="110"/>
      <c r="UGQ804" s="110"/>
      <c r="UGR804" s="110"/>
      <c r="UGS804" s="110"/>
      <c r="UGT804" s="110"/>
      <c r="UGU804" s="110"/>
      <c r="UGV804" s="110"/>
      <c r="UGW804" s="110"/>
      <c r="UGX804" s="110"/>
      <c r="UGY804" s="110"/>
      <c r="UGZ804" s="110"/>
      <c r="UHA804" s="110"/>
      <c r="UHB804" s="110"/>
      <c r="UHC804" s="110"/>
      <c r="UHD804" s="110"/>
      <c r="UHE804" s="110"/>
      <c r="UHF804" s="110"/>
      <c r="UHG804" s="110"/>
      <c r="UHH804" s="110"/>
      <c r="UHI804" s="110"/>
      <c r="UHJ804" s="110"/>
      <c r="UHK804" s="110"/>
      <c r="UHL804" s="110"/>
      <c r="UHM804" s="110"/>
      <c r="UHN804" s="110"/>
      <c r="UHO804" s="110"/>
      <c r="UHP804" s="110"/>
      <c r="UHQ804" s="110"/>
      <c r="UHR804" s="110"/>
      <c r="UHS804" s="110"/>
      <c r="UHT804" s="110"/>
      <c r="UHU804" s="110"/>
      <c r="UHV804" s="110"/>
      <c r="UHW804" s="110"/>
      <c r="UHX804" s="110"/>
      <c r="UHY804" s="110"/>
      <c r="UHZ804" s="110"/>
      <c r="UIA804" s="110"/>
      <c r="UIB804" s="110"/>
      <c r="UIC804" s="110"/>
      <c r="UID804" s="110"/>
      <c r="UIE804" s="110"/>
      <c r="UIF804" s="110"/>
      <c r="UIG804" s="110"/>
      <c r="UIH804" s="110"/>
      <c r="UII804" s="110"/>
      <c r="UIJ804" s="110"/>
      <c r="UIK804" s="110"/>
      <c r="UIL804" s="110"/>
      <c r="UIM804" s="110"/>
      <c r="UIN804" s="110"/>
      <c r="UIO804" s="110"/>
      <c r="UIP804" s="110"/>
      <c r="UIQ804" s="110"/>
      <c r="UIR804" s="110"/>
      <c r="UIS804" s="110"/>
      <c r="UIT804" s="110"/>
      <c r="UIU804" s="110"/>
      <c r="UIV804" s="110"/>
      <c r="UIW804" s="110"/>
      <c r="UIX804" s="110"/>
      <c r="UIY804" s="110"/>
      <c r="UIZ804" s="110"/>
      <c r="UJA804" s="110"/>
      <c r="UJB804" s="110"/>
      <c r="UJC804" s="110"/>
      <c r="UJD804" s="110"/>
      <c r="UJE804" s="110"/>
      <c r="UJF804" s="110"/>
      <c r="UJG804" s="110"/>
      <c r="UJH804" s="110"/>
      <c r="UJI804" s="110"/>
      <c r="UJJ804" s="110"/>
      <c r="UJK804" s="110"/>
      <c r="UJL804" s="110"/>
      <c r="UJM804" s="110"/>
      <c r="UJN804" s="110"/>
      <c r="UJO804" s="110"/>
      <c r="UJP804" s="110"/>
      <c r="UJQ804" s="110"/>
      <c r="UJR804" s="110"/>
      <c r="UJS804" s="110"/>
      <c r="UJT804" s="110"/>
      <c r="UJU804" s="110"/>
      <c r="UJV804" s="110"/>
      <c r="UJW804" s="110"/>
      <c r="UJX804" s="110"/>
      <c r="UJY804" s="110"/>
      <c r="UJZ804" s="110"/>
      <c r="UKA804" s="110"/>
      <c r="UKB804" s="110"/>
      <c r="UKC804" s="110"/>
      <c r="UKD804" s="110"/>
      <c r="UKE804" s="110"/>
      <c r="UKF804" s="110"/>
      <c r="UKG804" s="110"/>
      <c r="UKH804" s="110"/>
      <c r="UKI804" s="110"/>
      <c r="UKJ804" s="110"/>
      <c r="UKK804" s="110"/>
      <c r="UKL804" s="110"/>
      <c r="UKM804" s="110"/>
      <c r="UKN804" s="110"/>
      <c r="UKO804" s="110"/>
      <c r="UKP804" s="110"/>
      <c r="UKQ804" s="110"/>
      <c r="UKR804" s="110"/>
      <c r="UKS804" s="110"/>
      <c r="UKT804" s="110"/>
      <c r="UKU804" s="110"/>
      <c r="UKV804" s="110"/>
      <c r="UKW804" s="110"/>
      <c r="UKX804" s="110"/>
      <c r="UKY804" s="110"/>
      <c r="UKZ804" s="110"/>
      <c r="ULA804" s="110"/>
      <c r="ULB804" s="110"/>
      <c r="ULC804" s="110"/>
      <c r="ULD804" s="110"/>
      <c r="ULE804" s="110"/>
      <c r="ULF804" s="110"/>
      <c r="ULG804" s="110"/>
      <c r="ULH804" s="110"/>
      <c r="ULI804" s="110"/>
      <c r="ULJ804" s="110"/>
      <c r="ULK804" s="110"/>
      <c r="ULL804" s="110"/>
      <c r="ULM804" s="110"/>
      <c r="ULN804" s="110"/>
      <c r="ULO804" s="110"/>
      <c r="ULP804" s="110"/>
      <c r="ULQ804" s="110"/>
      <c r="ULR804" s="110"/>
      <c r="ULS804" s="110"/>
      <c r="ULT804" s="110"/>
      <c r="ULU804" s="110"/>
      <c r="ULV804" s="110"/>
      <c r="ULW804" s="110"/>
      <c r="ULX804" s="110"/>
      <c r="ULY804" s="110"/>
      <c r="ULZ804" s="110"/>
      <c r="UMA804" s="110"/>
      <c r="UMB804" s="110"/>
      <c r="UMC804" s="110"/>
      <c r="UMD804" s="110"/>
      <c r="UME804" s="110"/>
      <c r="UMF804" s="110"/>
      <c r="UMG804" s="110"/>
      <c r="UMH804" s="110"/>
      <c r="UMI804" s="110"/>
      <c r="UMJ804" s="110"/>
      <c r="UMK804" s="110"/>
      <c r="UML804" s="110"/>
      <c r="UMM804" s="110"/>
      <c r="UMN804" s="110"/>
      <c r="UMO804" s="110"/>
      <c r="UMP804" s="110"/>
      <c r="UMQ804" s="110"/>
      <c r="UMR804" s="110"/>
      <c r="UMS804" s="110"/>
      <c r="UMT804" s="110"/>
      <c r="UMU804" s="110"/>
      <c r="UMV804" s="110"/>
      <c r="UMW804" s="110"/>
      <c r="UMX804" s="110"/>
      <c r="UMY804" s="110"/>
      <c r="UMZ804" s="110"/>
      <c r="UNA804" s="110"/>
      <c r="UNB804" s="110"/>
      <c r="UNC804" s="110"/>
      <c r="UND804" s="110"/>
      <c r="UNE804" s="110"/>
      <c r="UNF804" s="110"/>
      <c r="UNG804" s="110"/>
      <c r="UNH804" s="110"/>
      <c r="UNI804" s="110"/>
      <c r="UNJ804" s="110"/>
      <c r="UNK804" s="110"/>
      <c r="UNL804" s="110"/>
      <c r="UNM804" s="110"/>
      <c r="UNN804" s="110"/>
      <c r="UNO804" s="110"/>
      <c r="UNP804" s="110"/>
      <c r="UNQ804" s="110"/>
      <c r="UNR804" s="110"/>
      <c r="UNS804" s="110"/>
      <c r="UNT804" s="110"/>
      <c r="UNU804" s="110"/>
      <c r="UNV804" s="110"/>
      <c r="UNW804" s="110"/>
      <c r="UNX804" s="110"/>
      <c r="UNY804" s="110"/>
      <c r="UNZ804" s="110"/>
      <c r="UOA804" s="110"/>
      <c r="UOB804" s="110"/>
      <c r="UOC804" s="110"/>
      <c r="UOD804" s="110"/>
      <c r="UOE804" s="110"/>
      <c r="UOF804" s="110"/>
      <c r="UOG804" s="110"/>
      <c r="UOH804" s="110"/>
      <c r="UOI804" s="110"/>
      <c r="UOJ804" s="110"/>
      <c r="UOK804" s="110"/>
      <c r="UOL804" s="110"/>
      <c r="UOM804" s="110"/>
      <c r="UON804" s="110"/>
      <c r="UOO804" s="110"/>
      <c r="UOP804" s="110"/>
      <c r="UOQ804" s="110"/>
      <c r="UOR804" s="110"/>
      <c r="UOS804" s="110"/>
      <c r="UOT804" s="110"/>
      <c r="UOU804" s="110"/>
      <c r="UOV804" s="110"/>
      <c r="UOW804" s="110"/>
      <c r="UOX804" s="110"/>
      <c r="UOY804" s="110"/>
      <c r="UOZ804" s="110"/>
      <c r="UPA804" s="110"/>
      <c r="UPB804" s="110"/>
      <c r="UPC804" s="110"/>
      <c r="UPD804" s="110"/>
      <c r="UPE804" s="110"/>
      <c r="UPF804" s="110"/>
      <c r="UPG804" s="110"/>
      <c r="UPH804" s="110"/>
      <c r="UPI804" s="110"/>
      <c r="UPJ804" s="110"/>
      <c r="UPK804" s="110"/>
      <c r="UPL804" s="110"/>
      <c r="UPM804" s="110"/>
      <c r="UPN804" s="110"/>
      <c r="UPO804" s="110"/>
      <c r="UPP804" s="110"/>
      <c r="UPQ804" s="110"/>
      <c r="UPR804" s="110"/>
      <c r="UPS804" s="110"/>
      <c r="UPT804" s="110"/>
      <c r="UPU804" s="110"/>
      <c r="UPV804" s="110"/>
      <c r="UPW804" s="110"/>
      <c r="UPX804" s="110"/>
      <c r="UPY804" s="110"/>
      <c r="UPZ804" s="110"/>
      <c r="UQA804" s="110"/>
      <c r="UQB804" s="110"/>
      <c r="UQC804" s="110"/>
      <c r="UQD804" s="110"/>
      <c r="UQE804" s="110"/>
      <c r="UQF804" s="110"/>
      <c r="UQG804" s="110"/>
      <c r="UQH804" s="110"/>
      <c r="UQI804" s="110"/>
      <c r="UQJ804" s="110"/>
      <c r="UQK804" s="110"/>
      <c r="UQL804" s="110"/>
      <c r="UQM804" s="110"/>
      <c r="UQN804" s="110"/>
      <c r="UQO804" s="110"/>
      <c r="UQP804" s="110"/>
      <c r="UQQ804" s="110"/>
      <c r="UQR804" s="110"/>
      <c r="UQS804" s="110"/>
      <c r="UQT804" s="110"/>
      <c r="UQU804" s="110"/>
      <c r="UQV804" s="110"/>
      <c r="UQW804" s="110"/>
      <c r="UQX804" s="110"/>
      <c r="UQY804" s="110"/>
      <c r="UQZ804" s="110"/>
      <c r="URA804" s="110"/>
      <c r="URB804" s="110"/>
      <c r="URC804" s="110"/>
      <c r="URD804" s="110"/>
      <c r="URE804" s="110"/>
      <c r="URF804" s="110"/>
      <c r="URG804" s="110"/>
      <c r="URH804" s="110"/>
      <c r="URI804" s="110"/>
      <c r="URJ804" s="110"/>
      <c r="URK804" s="110"/>
      <c r="URL804" s="110"/>
      <c r="URM804" s="110"/>
      <c r="URN804" s="110"/>
      <c r="URO804" s="110"/>
      <c r="URP804" s="110"/>
      <c r="URQ804" s="110"/>
      <c r="URR804" s="110"/>
      <c r="URS804" s="110"/>
      <c r="URT804" s="110"/>
      <c r="URU804" s="110"/>
      <c r="URV804" s="110"/>
      <c r="URW804" s="110"/>
      <c r="URX804" s="110"/>
      <c r="URY804" s="110"/>
      <c r="URZ804" s="110"/>
      <c r="USA804" s="110"/>
      <c r="USB804" s="110"/>
      <c r="USC804" s="110"/>
      <c r="USD804" s="110"/>
      <c r="USE804" s="110"/>
      <c r="USF804" s="110"/>
      <c r="USG804" s="110"/>
      <c r="USH804" s="110"/>
      <c r="USI804" s="110"/>
      <c r="USJ804" s="110"/>
      <c r="USK804" s="110"/>
      <c r="USL804" s="110"/>
      <c r="USM804" s="110"/>
      <c r="USN804" s="110"/>
      <c r="USO804" s="110"/>
      <c r="USP804" s="110"/>
      <c r="USQ804" s="110"/>
      <c r="USR804" s="110"/>
      <c r="USS804" s="110"/>
      <c r="UST804" s="110"/>
      <c r="USU804" s="110"/>
      <c r="USV804" s="110"/>
      <c r="USW804" s="110"/>
      <c r="USX804" s="110"/>
      <c r="USY804" s="110"/>
      <c r="USZ804" s="110"/>
      <c r="UTA804" s="110"/>
      <c r="UTB804" s="110"/>
      <c r="UTC804" s="110"/>
      <c r="UTD804" s="110"/>
      <c r="UTE804" s="110"/>
      <c r="UTF804" s="110"/>
      <c r="UTG804" s="110"/>
      <c r="UTH804" s="110"/>
      <c r="UTI804" s="110"/>
      <c r="UTJ804" s="110"/>
      <c r="UTK804" s="110"/>
      <c r="UTL804" s="110"/>
      <c r="UTM804" s="110"/>
      <c r="UTN804" s="110"/>
      <c r="UTO804" s="110"/>
      <c r="UTP804" s="110"/>
      <c r="UTQ804" s="110"/>
      <c r="UTR804" s="110"/>
      <c r="UTS804" s="110"/>
      <c r="UTT804" s="110"/>
      <c r="UTU804" s="110"/>
      <c r="UTV804" s="110"/>
      <c r="UTW804" s="110"/>
      <c r="UTX804" s="110"/>
      <c r="UTY804" s="110"/>
      <c r="UTZ804" s="110"/>
      <c r="UUA804" s="110"/>
      <c r="UUB804" s="110"/>
      <c r="UUC804" s="110"/>
      <c r="UUD804" s="110"/>
      <c r="UUE804" s="110"/>
      <c r="UUF804" s="110"/>
      <c r="UUG804" s="110"/>
      <c r="UUH804" s="110"/>
      <c r="UUI804" s="110"/>
      <c r="UUJ804" s="110"/>
      <c r="UUK804" s="110"/>
      <c r="UUL804" s="110"/>
      <c r="UUM804" s="110"/>
      <c r="UUN804" s="110"/>
      <c r="UUO804" s="110"/>
      <c r="UUP804" s="110"/>
      <c r="UUQ804" s="110"/>
      <c r="UUR804" s="110"/>
      <c r="UUS804" s="110"/>
      <c r="UUT804" s="110"/>
      <c r="UUU804" s="110"/>
      <c r="UUV804" s="110"/>
      <c r="UUW804" s="110"/>
      <c r="UUX804" s="110"/>
      <c r="UUY804" s="110"/>
      <c r="UUZ804" s="110"/>
      <c r="UVA804" s="110"/>
      <c r="UVB804" s="110"/>
      <c r="UVC804" s="110"/>
      <c r="UVD804" s="110"/>
      <c r="UVE804" s="110"/>
      <c r="UVF804" s="110"/>
      <c r="UVG804" s="110"/>
      <c r="UVH804" s="110"/>
      <c r="UVI804" s="110"/>
      <c r="UVJ804" s="110"/>
      <c r="UVK804" s="110"/>
      <c r="UVL804" s="110"/>
      <c r="UVM804" s="110"/>
      <c r="UVN804" s="110"/>
      <c r="UVO804" s="110"/>
      <c r="UVP804" s="110"/>
      <c r="UVQ804" s="110"/>
      <c r="UVR804" s="110"/>
      <c r="UVS804" s="110"/>
      <c r="UVT804" s="110"/>
      <c r="UVU804" s="110"/>
      <c r="UVV804" s="110"/>
      <c r="UVW804" s="110"/>
      <c r="UVX804" s="110"/>
      <c r="UVY804" s="110"/>
      <c r="UVZ804" s="110"/>
      <c r="UWA804" s="110"/>
      <c r="UWB804" s="110"/>
      <c r="UWC804" s="110"/>
      <c r="UWD804" s="110"/>
      <c r="UWE804" s="110"/>
      <c r="UWF804" s="110"/>
      <c r="UWG804" s="110"/>
      <c r="UWH804" s="110"/>
      <c r="UWI804" s="110"/>
      <c r="UWJ804" s="110"/>
      <c r="UWK804" s="110"/>
      <c r="UWL804" s="110"/>
      <c r="UWM804" s="110"/>
      <c r="UWN804" s="110"/>
      <c r="UWO804" s="110"/>
      <c r="UWP804" s="110"/>
      <c r="UWQ804" s="110"/>
      <c r="UWR804" s="110"/>
      <c r="UWS804" s="110"/>
      <c r="UWT804" s="110"/>
      <c r="UWU804" s="110"/>
      <c r="UWV804" s="110"/>
      <c r="UWW804" s="110"/>
      <c r="UWX804" s="110"/>
      <c r="UWY804" s="110"/>
      <c r="UWZ804" s="110"/>
      <c r="UXA804" s="110"/>
      <c r="UXB804" s="110"/>
      <c r="UXC804" s="110"/>
      <c r="UXD804" s="110"/>
      <c r="UXE804" s="110"/>
      <c r="UXF804" s="110"/>
      <c r="UXG804" s="110"/>
      <c r="UXH804" s="110"/>
      <c r="UXI804" s="110"/>
      <c r="UXJ804" s="110"/>
      <c r="UXK804" s="110"/>
      <c r="UXL804" s="110"/>
      <c r="UXM804" s="110"/>
      <c r="UXN804" s="110"/>
      <c r="UXO804" s="110"/>
      <c r="UXP804" s="110"/>
      <c r="UXQ804" s="110"/>
      <c r="UXR804" s="110"/>
      <c r="UXS804" s="110"/>
      <c r="UXT804" s="110"/>
      <c r="UXU804" s="110"/>
      <c r="UXV804" s="110"/>
      <c r="UXW804" s="110"/>
      <c r="UXX804" s="110"/>
      <c r="UXY804" s="110"/>
      <c r="UXZ804" s="110"/>
      <c r="UYA804" s="110"/>
      <c r="UYB804" s="110"/>
      <c r="UYC804" s="110"/>
      <c r="UYD804" s="110"/>
      <c r="UYE804" s="110"/>
      <c r="UYF804" s="110"/>
      <c r="UYG804" s="110"/>
      <c r="UYH804" s="110"/>
      <c r="UYI804" s="110"/>
      <c r="UYJ804" s="110"/>
      <c r="UYK804" s="110"/>
      <c r="UYL804" s="110"/>
      <c r="UYM804" s="110"/>
      <c r="UYN804" s="110"/>
      <c r="UYO804" s="110"/>
      <c r="UYP804" s="110"/>
      <c r="UYQ804" s="110"/>
      <c r="UYR804" s="110"/>
      <c r="UYS804" s="110"/>
      <c r="UYT804" s="110"/>
      <c r="UYU804" s="110"/>
      <c r="UYV804" s="110"/>
      <c r="UYW804" s="110"/>
      <c r="UYX804" s="110"/>
      <c r="UYY804" s="110"/>
      <c r="UYZ804" s="110"/>
      <c r="UZA804" s="110"/>
      <c r="UZB804" s="110"/>
      <c r="UZC804" s="110"/>
      <c r="UZD804" s="110"/>
      <c r="UZE804" s="110"/>
      <c r="UZF804" s="110"/>
      <c r="UZG804" s="110"/>
      <c r="UZH804" s="110"/>
      <c r="UZI804" s="110"/>
      <c r="UZJ804" s="110"/>
      <c r="UZK804" s="110"/>
      <c r="UZL804" s="110"/>
      <c r="UZM804" s="110"/>
      <c r="UZN804" s="110"/>
      <c r="UZO804" s="110"/>
      <c r="UZP804" s="110"/>
      <c r="UZQ804" s="110"/>
      <c r="UZR804" s="110"/>
      <c r="UZS804" s="110"/>
      <c r="UZT804" s="110"/>
      <c r="UZU804" s="110"/>
      <c r="UZV804" s="110"/>
      <c r="UZW804" s="110"/>
      <c r="UZX804" s="110"/>
      <c r="UZY804" s="110"/>
      <c r="UZZ804" s="110"/>
      <c r="VAA804" s="110"/>
      <c r="VAB804" s="110"/>
      <c r="VAC804" s="110"/>
      <c r="VAD804" s="110"/>
      <c r="VAE804" s="110"/>
      <c r="VAF804" s="110"/>
      <c r="VAG804" s="110"/>
      <c r="VAH804" s="110"/>
      <c r="VAI804" s="110"/>
      <c r="VAJ804" s="110"/>
      <c r="VAK804" s="110"/>
      <c r="VAL804" s="110"/>
      <c r="VAM804" s="110"/>
      <c r="VAN804" s="110"/>
      <c r="VAO804" s="110"/>
      <c r="VAP804" s="110"/>
      <c r="VAQ804" s="110"/>
      <c r="VAR804" s="110"/>
      <c r="VAS804" s="110"/>
      <c r="VAT804" s="110"/>
      <c r="VAU804" s="110"/>
      <c r="VAV804" s="110"/>
      <c r="VAW804" s="110"/>
      <c r="VAX804" s="110"/>
      <c r="VAY804" s="110"/>
      <c r="VAZ804" s="110"/>
      <c r="VBA804" s="110"/>
      <c r="VBB804" s="110"/>
      <c r="VBC804" s="110"/>
      <c r="VBD804" s="110"/>
      <c r="VBE804" s="110"/>
      <c r="VBF804" s="110"/>
      <c r="VBG804" s="110"/>
      <c r="VBH804" s="110"/>
      <c r="VBI804" s="110"/>
      <c r="VBJ804" s="110"/>
      <c r="VBK804" s="110"/>
      <c r="VBL804" s="110"/>
      <c r="VBM804" s="110"/>
      <c r="VBN804" s="110"/>
      <c r="VBO804" s="110"/>
      <c r="VBP804" s="110"/>
      <c r="VBQ804" s="110"/>
      <c r="VBR804" s="110"/>
      <c r="VBS804" s="110"/>
      <c r="VBT804" s="110"/>
      <c r="VBU804" s="110"/>
      <c r="VBV804" s="110"/>
      <c r="VBW804" s="110"/>
      <c r="VBX804" s="110"/>
      <c r="VBY804" s="110"/>
      <c r="VBZ804" s="110"/>
      <c r="VCA804" s="110"/>
      <c r="VCB804" s="110"/>
      <c r="VCC804" s="110"/>
      <c r="VCD804" s="110"/>
      <c r="VCE804" s="110"/>
      <c r="VCF804" s="110"/>
      <c r="VCG804" s="110"/>
      <c r="VCH804" s="110"/>
      <c r="VCI804" s="110"/>
      <c r="VCJ804" s="110"/>
      <c r="VCK804" s="110"/>
      <c r="VCL804" s="110"/>
      <c r="VCM804" s="110"/>
      <c r="VCN804" s="110"/>
      <c r="VCO804" s="110"/>
      <c r="VCP804" s="110"/>
      <c r="VCQ804" s="110"/>
      <c r="VCR804" s="110"/>
      <c r="VCS804" s="110"/>
      <c r="VCT804" s="110"/>
      <c r="VCU804" s="110"/>
      <c r="VCV804" s="110"/>
      <c r="VCW804" s="110"/>
      <c r="VCX804" s="110"/>
      <c r="VCY804" s="110"/>
      <c r="VCZ804" s="110"/>
      <c r="VDA804" s="110"/>
      <c r="VDB804" s="110"/>
      <c r="VDC804" s="110"/>
      <c r="VDD804" s="110"/>
      <c r="VDE804" s="110"/>
      <c r="VDF804" s="110"/>
      <c r="VDG804" s="110"/>
      <c r="VDH804" s="110"/>
      <c r="VDI804" s="110"/>
      <c r="VDJ804" s="110"/>
      <c r="VDK804" s="110"/>
      <c r="VDL804" s="110"/>
      <c r="VDM804" s="110"/>
      <c r="VDN804" s="110"/>
      <c r="VDO804" s="110"/>
      <c r="VDP804" s="110"/>
      <c r="VDQ804" s="110"/>
      <c r="VDR804" s="110"/>
      <c r="VDS804" s="110"/>
      <c r="VDT804" s="110"/>
      <c r="VDU804" s="110"/>
      <c r="VDV804" s="110"/>
      <c r="VDW804" s="110"/>
      <c r="VDX804" s="110"/>
      <c r="VDY804" s="110"/>
      <c r="VDZ804" s="110"/>
      <c r="VEA804" s="110"/>
      <c r="VEB804" s="110"/>
      <c r="VEC804" s="110"/>
      <c r="VED804" s="110"/>
      <c r="VEE804" s="110"/>
      <c r="VEF804" s="110"/>
      <c r="VEG804" s="110"/>
      <c r="VEH804" s="110"/>
      <c r="VEI804" s="110"/>
      <c r="VEJ804" s="110"/>
      <c r="VEK804" s="110"/>
      <c r="VEL804" s="110"/>
      <c r="VEM804" s="110"/>
      <c r="VEN804" s="110"/>
      <c r="VEO804" s="110"/>
      <c r="VEP804" s="110"/>
      <c r="VEQ804" s="110"/>
      <c r="VER804" s="110"/>
      <c r="VES804" s="110"/>
      <c r="VET804" s="110"/>
      <c r="VEU804" s="110"/>
      <c r="VEV804" s="110"/>
      <c r="VEW804" s="110"/>
      <c r="VEX804" s="110"/>
      <c r="VEY804" s="110"/>
      <c r="VEZ804" s="110"/>
      <c r="VFA804" s="110"/>
      <c r="VFB804" s="110"/>
      <c r="VFC804" s="110"/>
      <c r="VFD804" s="110"/>
      <c r="VFE804" s="110"/>
      <c r="VFF804" s="110"/>
      <c r="VFG804" s="110"/>
      <c r="VFH804" s="110"/>
      <c r="VFI804" s="110"/>
      <c r="VFJ804" s="110"/>
      <c r="VFK804" s="110"/>
      <c r="VFL804" s="110"/>
      <c r="VFM804" s="110"/>
      <c r="VFN804" s="110"/>
      <c r="VFO804" s="110"/>
      <c r="VFP804" s="110"/>
      <c r="VFQ804" s="110"/>
      <c r="VFR804" s="110"/>
      <c r="VFS804" s="110"/>
      <c r="VFT804" s="110"/>
      <c r="VFU804" s="110"/>
      <c r="VFV804" s="110"/>
      <c r="VFW804" s="110"/>
      <c r="VFX804" s="110"/>
      <c r="VFY804" s="110"/>
      <c r="VFZ804" s="110"/>
      <c r="VGA804" s="110"/>
      <c r="VGB804" s="110"/>
      <c r="VGC804" s="110"/>
      <c r="VGD804" s="110"/>
      <c r="VGE804" s="110"/>
      <c r="VGF804" s="110"/>
      <c r="VGG804" s="110"/>
      <c r="VGH804" s="110"/>
      <c r="VGI804" s="110"/>
      <c r="VGJ804" s="110"/>
      <c r="VGK804" s="110"/>
      <c r="VGL804" s="110"/>
      <c r="VGM804" s="110"/>
      <c r="VGN804" s="110"/>
      <c r="VGO804" s="110"/>
      <c r="VGP804" s="110"/>
      <c r="VGQ804" s="110"/>
      <c r="VGR804" s="110"/>
      <c r="VGS804" s="110"/>
      <c r="VGT804" s="110"/>
      <c r="VGU804" s="110"/>
      <c r="VGV804" s="110"/>
      <c r="VGW804" s="110"/>
      <c r="VGX804" s="110"/>
      <c r="VGY804" s="110"/>
      <c r="VGZ804" s="110"/>
      <c r="VHA804" s="110"/>
      <c r="VHB804" s="110"/>
      <c r="VHC804" s="110"/>
      <c r="VHD804" s="110"/>
      <c r="VHE804" s="110"/>
      <c r="VHF804" s="110"/>
      <c r="VHG804" s="110"/>
      <c r="VHH804" s="110"/>
      <c r="VHI804" s="110"/>
      <c r="VHJ804" s="110"/>
      <c r="VHK804" s="110"/>
      <c r="VHL804" s="110"/>
      <c r="VHM804" s="110"/>
      <c r="VHN804" s="110"/>
      <c r="VHO804" s="110"/>
      <c r="VHP804" s="110"/>
      <c r="VHQ804" s="110"/>
      <c r="VHR804" s="110"/>
      <c r="VHS804" s="110"/>
      <c r="VHT804" s="110"/>
      <c r="VHU804" s="110"/>
      <c r="VHV804" s="110"/>
      <c r="VHW804" s="110"/>
      <c r="VHX804" s="110"/>
      <c r="VHY804" s="110"/>
      <c r="VHZ804" s="110"/>
      <c r="VIA804" s="110"/>
      <c r="VIB804" s="110"/>
      <c r="VIC804" s="110"/>
      <c r="VID804" s="110"/>
      <c r="VIE804" s="110"/>
      <c r="VIF804" s="110"/>
      <c r="VIG804" s="110"/>
      <c r="VIH804" s="110"/>
      <c r="VII804" s="110"/>
      <c r="VIJ804" s="110"/>
      <c r="VIK804" s="110"/>
      <c r="VIL804" s="110"/>
      <c r="VIM804" s="110"/>
      <c r="VIN804" s="110"/>
      <c r="VIO804" s="110"/>
      <c r="VIP804" s="110"/>
      <c r="VIQ804" s="110"/>
      <c r="VIR804" s="110"/>
      <c r="VIS804" s="110"/>
      <c r="VIT804" s="110"/>
      <c r="VIU804" s="110"/>
      <c r="VIV804" s="110"/>
      <c r="VIW804" s="110"/>
      <c r="VIX804" s="110"/>
      <c r="VIY804" s="110"/>
      <c r="VIZ804" s="110"/>
      <c r="VJA804" s="110"/>
      <c r="VJB804" s="110"/>
      <c r="VJC804" s="110"/>
      <c r="VJD804" s="110"/>
      <c r="VJE804" s="110"/>
      <c r="VJF804" s="110"/>
      <c r="VJG804" s="110"/>
      <c r="VJH804" s="110"/>
      <c r="VJI804" s="110"/>
      <c r="VJJ804" s="110"/>
      <c r="VJK804" s="110"/>
      <c r="VJL804" s="110"/>
      <c r="VJM804" s="110"/>
      <c r="VJN804" s="110"/>
      <c r="VJO804" s="110"/>
      <c r="VJP804" s="110"/>
      <c r="VJQ804" s="110"/>
      <c r="VJR804" s="110"/>
      <c r="VJS804" s="110"/>
      <c r="VJT804" s="110"/>
      <c r="VJU804" s="110"/>
      <c r="VJV804" s="110"/>
      <c r="VJW804" s="110"/>
      <c r="VJX804" s="110"/>
      <c r="VJY804" s="110"/>
      <c r="VJZ804" s="110"/>
      <c r="VKA804" s="110"/>
      <c r="VKB804" s="110"/>
      <c r="VKC804" s="110"/>
      <c r="VKD804" s="110"/>
      <c r="VKE804" s="110"/>
      <c r="VKF804" s="110"/>
      <c r="VKG804" s="110"/>
      <c r="VKH804" s="110"/>
      <c r="VKI804" s="110"/>
      <c r="VKJ804" s="110"/>
      <c r="VKK804" s="110"/>
      <c r="VKL804" s="110"/>
      <c r="VKM804" s="110"/>
      <c r="VKN804" s="110"/>
      <c r="VKO804" s="110"/>
      <c r="VKP804" s="110"/>
      <c r="VKQ804" s="110"/>
      <c r="VKR804" s="110"/>
      <c r="VKS804" s="110"/>
      <c r="VKT804" s="110"/>
      <c r="VKU804" s="110"/>
      <c r="VKV804" s="110"/>
      <c r="VKW804" s="110"/>
      <c r="VKX804" s="110"/>
      <c r="VKY804" s="110"/>
      <c r="VKZ804" s="110"/>
      <c r="VLA804" s="110"/>
      <c r="VLB804" s="110"/>
      <c r="VLC804" s="110"/>
      <c r="VLD804" s="110"/>
      <c r="VLE804" s="110"/>
      <c r="VLF804" s="110"/>
      <c r="VLG804" s="110"/>
      <c r="VLH804" s="110"/>
      <c r="VLI804" s="110"/>
      <c r="VLJ804" s="110"/>
      <c r="VLK804" s="110"/>
      <c r="VLL804" s="110"/>
      <c r="VLM804" s="110"/>
      <c r="VLN804" s="110"/>
      <c r="VLO804" s="110"/>
      <c r="VLP804" s="110"/>
      <c r="VLQ804" s="110"/>
      <c r="VLR804" s="110"/>
      <c r="VLS804" s="110"/>
      <c r="VLT804" s="110"/>
      <c r="VLU804" s="110"/>
      <c r="VLV804" s="110"/>
      <c r="VLW804" s="110"/>
      <c r="VLX804" s="110"/>
      <c r="VLY804" s="110"/>
      <c r="VLZ804" s="110"/>
      <c r="VMA804" s="110"/>
      <c r="VMB804" s="110"/>
      <c r="VMC804" s="110"/>
      <c r="VMD804" s="110"/>
      <c r="VME804" s="110"/>
      <c r="VMF804" s="110"/>
      <c r="VMG804" s="110"/>
      <c r="VMH804" s="110"/>
      <c r="VMI804" s="110"/>
      <c r="VMJ804" s="110"/>
      <c r="VMK804" s="110"/>
      <c r="VML804" s="110"/>
      <c r="VMM804" s="110"/>
      <c r="VMN804" s="110"/>
      <c r="VMO804" s="110"/>
      <c r="VMP804" s="110"/>
      <c r="VMQ804" s="110"/>
      <c r="VMR804" s="110"/>
      <c r="VMS804" s="110"/>
      <c r="VMT804" s="110"/>
      <c r="VMU804" s="110"/>
      <c r="VMV804" s="110"/>
      <c r="VMW804" s="110"/>
      <c r="VMX804" s="110"/>
      <c r="VMY804" s="110"/>
      <c r="VMZ804" s="110"/>
      <c r="VNA804" s="110"/>
      <c r="VNB804" s="110"/>
      <c r="VNC804" s="110"/>
      <c r="VND804" s="110"/>
      <c r="VNE804" s="110"/>
      <c r="VNF804" s="110"/>
      <c r="VNG804" s="110"/>
      <c r="VNH804" s="110"/>
      <c r="VNI804" s="110"/>
      <c r="VNJ804" s="110"/>
      <c r="VNK804" s="110"/>
      <c r="VNL804" s="110"/>
      <c r="VNM804" s="110"/>
      <c r="VNN804" s="110"/>
      <c r="VNO804" s="110"/>
      <c r="VNP804" s="110"/>
      <c r="VNQ804" s="110"/>
      <c r="VNR804" s="110"/>
      <c r="VNS804" s="110"/>
      <c r="VNT804" s="110"/>
      <c r="VNU804" s="110"/>
      <c r="VNV804" s="110"/>
      <c r="VNW804" s="110"/>
      <c r="VNX804" s="110"/>
      <c r="VNY804" s="110"/>
      <c r="VNZ804" s="110"/>
      <c r="VOA804" s="110"/>
      <c r="VOB804" s="110"/>
      <c r="VOC804" s="110"/>
      <c r="VOD804" s="110"/>
      <c r="VOE804" s="110"/>
      <c r="VOF804" s="110"/>
      <c r="VOG804" s="110"/>
      <c r="VOH804" s="110"/>
      <c r="VOI804" s="110"/>
      <c r="VOJ804" s="110"/>
      <c r="VOK804" s="110"/>
      <c r="VOL804" s="110"/>
      <c r="VOM804" s="110"/>
      <c r="VON804" s="110"/>
      <c r="VOO804" s="110"/>
      <c r="VOP804" s="110"/>
      <c r="VOQ804" s="110"/>
      <c r="VOR804" s="110"/>
      <c r="VOS804" s="110"/>
      <c r="VOT804" s="110"/>
      <c r="VOU804" s="110"/>
      <c r="VOV804" s="110"/>
      <c r="VOW804" s="110"/>
      <c r="VOX804" s="110"/>
      <c r="VOY804" s="110"/>
      <c r="VOZ804" s="110"/>
      <c r="VPA804" s="110"/>
      <c r="VPB804" s="110"/>
      <c r="VPC804" s="110"/>
      <c r="VPD804" s="110"/>
      <c r="VPE804" s="110"/>
      <c r="VPF804" s="110"/>
      <c r="VPG804" s="110"/>
      <c r="VPH804" s="110"/>
      <c r="VPI804" s="110"/>
      <c r="VPJ804" s="110"/>
      <c r="VPK804" s="110"/>
      <c r="VPL804" s="110"/>
      <c r="VPM804" s="110"/>
      <c r="VPN804" s="110"/>
      <c r="VPO804" s="110"/>
      <c r="VPP804" s="110"/>
      <c r="VPQ804" s="110"/>
      <c r="VPR804" s="110"/>
      <c r="VPS804" s="110"/>
      <c r="VPT804" s="110"/>
      <c r="VPU804" s="110"/>
      <c r="VPV804" s="110"/>
      <c r="VPW804" s="110"/>
      <c r="VPX804" s="110"/>
      <c r="VPY804" s="110"/>
      <c r="VPZ804" s="110"/>
      <c r="VQA804" s="110"/>
      <c r="VQB804" s="110"/>
      <c r="VQC804" s="110"/>
      <c r="VQD804" s="110"/>
      <c r="VQE804" s="110"/>
      <c r="VQF804" s="110"/>
      <c r="VQG804" s="110"/>
      <c r="VQH804" s="110"/>
      <c r="VQI804" s="110"/>
      <c r="VQJ804" s="110"/>
      <c r="VQK804" s="110"/>
      <c r="VQL804" s="110"/>
      <c r="VQM804" s="110"/>
      <c r="VQN804" s="110"/>
      <c r="VQO804" s="110"/>
      <c r="VQP804" s="110"/>
      <c r="VQQ804" s="110"/>
      <c r="VQR804" s="110"/>
      <c r="VQS804" s="110"/>
      <c r="VQT804" s="110"/>
      <c r="VQU804" s="110"/>
      <c r="VQV804" s="110"/>
      <c r="VQW804" s="110"/>
      <c r="VQX804" s="110"/>
      <c r="VQY804" s="110"/>
      <c r="VQZ804" s="110"/>
      <c r="VRA804" s="110"/>
      <c r="VRB804" s="110"/>
      <c r="VRC804" s="110"/>
      <c r="VRD804" s="110"/>
      <c r="VRE804" s="110"/>
      <c r="VRF804" s="110"/>
      <c r="VRG804" s="110"/>
      <c r="VRH804" s="110"/>
      <c r="VRI804" s="110"/>
      <c r="VRJ804" s="110"/>
      <c r="VRK804" s="110"/>
      <c r="VRL804" s="110"/>
      <c r="VRM804" s="110"/>
      <c r="VRN804" s="110"/>
      <c r="VRO804" s="110"/>
      <c r="VRP804" s="110"/>
      <c r="VRQ804" s="110"/>
      <c r="VRR804" s="110"/>
      <c r="VRS804" s="110"/>
      <c r="VRT804" s="110"/>
      <c r="VRU804" s="110"/>
      <c r="VRV804" s="110"/>
      <c r="VRW804" s="110"/>
      <c r="VRX804" s="110"/>
      <c r="VRY804" s="110"/>
      <c r="VRZ804" s="110"/>
      <c r="VSA804" s="110"/>
      <c r="VSB804" s="110"/>
      <c r="VSC804" s="110"/>
      <c r="VSD804" s="110"/>
      <c r="VSE804" s="110"/>
      <c r="VSF804" s="110"/>
      <c r="VSG804" s="110"/>
      <c r="VSH804" s="110"/>
      <c r="VSI804" s="110"/>
      <c r="VSJ804" s="110"/>
      <c r="VSK804" s="110"/>
      <c r="VSL804" s="110"/>
      <c r="VSM804" s="110"/>
      <c r="VSN804" s="110"/>
      <c r="VSO804" s="110"/>
      <c r="VSP804" s="110"/>
      <c r="VSQ804" s="110"/>
      <c r="VSR804" s="110"/>
      <c r="VSS804" s="110"/>
      <c r="VST804" s="110"/>
      <c r="VSU804" s="110"/>
      <c r="VSV804" s="110"/>
      <c r="VSW804" s="110"/>
      <c r="VSX804" s="110"/>
      <c r="VSY804" s="110"/>
      <c r="VSZ804" s="110"/>
      <c r="VTA804" s="110"/>
      <c r="VTB804" s="110"/>
      <c r="VTC804" s="110"/>
      <c r="VTD804" s="110"/>
      <c r="VTE804" s="110"/>
      <c r="VTF804" s="110"/>
      <c r="VTG804" s="110"/>
      <c r="VTH804" s="110"/>
      <c r="VTI804" s="110"/>
      <c r="VTJ804" s="110"/>
      <c r="VTK804" s="110"/>
      <c r="VTL804" s="110"/>
      <c r="VTM804" s="110"/>
      <c r="VTN804" s="110"/>
      <c r="VTO804" s="110"/>
      <c r="VTP804" s="110"/>
      <c r="VTQ804" s="110"/>
      <c r="VTR804" s="110"/>
      <c r="VTS804" s="110"/>
      <c r="VTT804" s="110"/>
      <c r="VTU804" s="110"/>
      <c r="VTV804" s="110"/>
      <c r="VTW804" s="110"/>
      <c r="VTX804" s="110"/>
      <c r="VTY804" s="110"/>
      <c r="VTZ804" s="110"/>
      <c r="VUA804" s="110"/>
      <c r="VUB804" s="110"/>
      <c r="VUC804" s="110"/>
      <c r="VUD804" s="110"/>
      <c r="VUE804" s="110"/>
      <c r="VUF804" s="110"/>
      <c r="VUG804" s="110"/>
      <c r="VUH804" s="110"/>
      <c r="VUI804" s="110"/>
      <c r="VUJ804" s="110"/>
      <c r="VUK804" s="110"/>
      <c r="VUL804" s="110"/>
      <c r="VUM804" s="110"/>
      <c r="VUN804" s="110"/>
      <c r="VUO804" s="110"/>
      <c r="VUP804" s="110"/>
      <c r="VUQ804" s="110"/>
      <c r="VUR804" s="110"/>
      <c r="VUS804" s="110"/>
      <c r="VUT804" s="110"/>
      <c r="VUU804" s="110"/>
      <c r="VUV804" s="110"/>
      <c r="VUW804" s="110"/>
      <c r="VUX804" s="110"/>
      <c r="VUY804" s="110"/>
      <c r="VUZ804" s="110"/>
      <c r="VVA804" s="110"/>
      <c r="VVB804" s="110"/>
      <c r="VVC804" s="110"/>
      <c r="VVD804" s="110"/>
      <c r="VVE804" s="110"/>
      <c r="VVF804" s="110"/>
      <c r="VVG804" s="110"/>
      <c r="VVH804" s="110"/>
      <c r="VVI804" s="110"/>
      <c r="VVJ804" s="110"/>
      <c r="VVK804" s="110"/>
      <c r="VVL804" s="110"/>
      <c r="VVM804" s="110"/>
      <c r="VVN804" s="110"/>
      <c r="VVO804" s="110"/>
      <c r="VVP804" s="110"/>
      <c r="VVQ804" s="110"/>
      <c r="VVR804" s="110"/>
      <c r="VVS804" s="110"/>
      <c r="VVT804" s="110"/>
      <c r="VVU804" s="110"/>
      <c r="VVV804" s="110"/>
      <c r="VVW804" s="110"/>
      <c r="VVX804" s="110"/>
      <c r="VVY804" s="110"/>
      <c r="VVZ804" s="110"/>
      <c r="VWA804" s="110"/>
      <c r="VWB804" s="110"/>
      <c r="VWC804" s="110"/>
      <c r="VWD804" s="110"/>
      <c r="VWE804" s="110"/>
      <c r="VWF804" s="110"/>
      <c r="VWG804" s="110"/>
      <c r="VWH804" s="110"/>
      <c r="VWI804" s="110"/>
      <c r="VWJ804" s="110"/>
      <c r="VWK804" s="110"/>
      <c r="VWL804" s="110"/>
      <c r="VWM804" s="110"/>
      <c r="VWN804" s="110"/>
      <c r="VWO804" s="110"/>
      <c r="VWP804" s="110"/>
      <c r="VWQ804" s="110"/>
      <c r="VWR804" s="110"/>
      <c r="VWS804" s="110"/>
      <c r="VWT804" s="110"/>
      <c r="VWU804" s="110"/>
      <c r="VWV804" s="110"/>
      <c r="VWW804" s="110"/>
      <c r="VWX804" s="110"/>
      <c r="VWY804" s="110"/>
      <c r="VWZ804" s="110"/>
      <c r="VXA804" s="110"/>
      <c r="VXB804" s="110"/>
      <c r="VXC804" s="110"/>
      <c r="VXD804" s="110"/>
      <c r="VXE804" s="110"/>
      <c r="VXF804" s="110"/>
      <c r="VXG804" s="110"/>
      <c r="VXH804" s="110"/>
      <c r="VXI804" s="110"/>
      <c r="VXJ804" s="110"/>
      <c r="VXK804" s="110"/>
      <c r="VXL804" s="110"/>
      <c r="VXM804" s="110"/>
      <c r="VXN804" s="110"/>
      <c r="VXO804" s="110"/>
      <c r="VXP804" s="110"/>
      <c r="VXQ804" s="110"/>
      <c r="VXR804" s="110"/>
      <c r="VXS804" s="110"/>
      <c r="VXT804" s="110"/>
      <c r="VXU804" s="110"/>
      <c r="VXV804" s="110"/>
      <c r="VXW804" s="110"/>
      <c r="VXX804" s="110"/>
      <c r="VXY804" s="110"/>
      <c r="VXZ804" s="110"/>
      <c r="VYA804" s="110"/>
      <c r="VYB804" s="110"/>
      <c r="VYC804" s="110"/>
      <c r="VYD804" s="110"/>
      <c r="VYE804" s="110"/>
      <c r="VYF804" s="110"/>
      <c r="VYG804" s="110"/>
      <c r="VYH804" s="110"/>
      <c r="VYI804" s="110"/>
      <c r="VYJ804" s="110"/>
      <c r="VYK804" s="110"/>
      <c r="VYL804" s="110"/>
      <c r="VYM804" s="110"/>
      <c r="VYN804" s="110"/>
      <c r="VYO804" s="110"/>
      <c r="VYP804" s="110"/>
      <c r="VYQ804" s="110"/>
      <c r="VYR804" s="110"/>
      <c r="VYS804" s="110"/>
      <c r="VYT804" s="110"/>
      <c r="VYU804" s="110"/>
      <c r="VYV804" s="110"/>
      <c r="VYW804" s="110"/>
      <c r="VYX804" s="110"/>
      <c r="VYY804" s="110"/>
      <c r="VYZ804" s="110"/>
      <c r="VZA804" s="110"/>
      <c r="VZB804" s="110"/>
      <c r="VZC804" s="110"/>
      <c r="VZD804" s="110"/>
      <c r="VZE804" s="110"/>
      <c r="VZF804" s="110"/>
      <c r="VZG804" s="110"/>
      <c r="VZH804" s="110"/>
      <c r="VZI804" s="110"/>
      <c r="VZJ804" s="110"/>
      <c r="VZK804" s="110"/>
      <c r="VZL804" s="110"/>
      <c r="VZM804" s="110"/>
      <c r="VZN804" s="110"/>
      <c r="VZO804" s="110"/>
      <c r="VZP804" s="110"/>
      <c r="VZQ804" s="110"/>
      <c r="VZR804" s="110"/>
      <c r="VZS804" s="110"/>
      <c r="VZT804" s="110"/>
      <c r="VZU804" s="110"/>
      <c r="VZV804" s="110"/>
      <c r="VZW804" s="110"/>
      <c r="VZX804" s="110"/>
      <c r="VZY804" s="110"/>
      <c r="VZZ804" s="110"/>
      <c r="WAA804" s="110"/>
      <c r="WAB804" s="110"/>
      <c r="WAC804" s="110"/>
      <c r="WAD804" s="110"/>
      <c r="WAE804" s="110"/>
      <c r="WAF804" s="110"/>
      <c r="WAG804" s="110"/>
      <c r="WAH804" s="110"/>
      <c r="WAI804" s="110"/>
      <c r="WAJ804" s="110"/>
      <c r="WAK804" s="110"/>
      <c r="WAL804" s="110"/>
      <c r="WAM804" s="110"/>
      <c r="WAN804" s="110"/>
      <c r="WAO804" s="110"/>
      <c r="WAP804" s="110"/>
      <c r="WAQ804" s="110"/>
      <c r="WAR804" s="110"/>
      <c r="WAS804" s="110"/>
      <c r="WAT804" s="110"/>
      <c r="WAU804" s="110"/>
      <c r="WAV804" s="110"/>
      <c r="WAW804" s="110"/>
      <c r="WAX804" s="110"/>
      <c r="WAY804" s="110"/>
      <c r="WAZ804" s="110"/>
      <c r="WBA804" s="110"/>
      <c r="WBB804" s="110"/>
      <c r="WBC804" s="110"/>
      <c r="WBD804" s="110"/>
      <c r="WBE804" s="110"/>
      <c r="WBF804" s="110"/>
      <c r="WBG804" s="110"/>
      <c r="WBH804" s="110"/>
      <c r="WBI804" s="110"/>
      <c r="WBJ804" s="110"/>
      <c r="WBK804" s="110"/>
      <c r="WBL804" s="110"/>
      <c r="WBM804" s="110"/>
      <c r="WBN804" s="110"/>
      <c r="WBO804" s="110"/>
      <c r="WBP804" s="110"/>
      <c r="WBQ804" s="110"/>
      <c r="WBR804" s="110"/>
      <c r="WBS804" s="110"/>
      <c r="WBT804" s="110"/>
      <c r="WBU804" s="110"/>
      <c r="WBV804" s="110"/>
      <c r="WBW804" s="110"/>
      <c r="WBX804" s="110"/>
      <c r="WBY804" s="110"/>
      <c r="WBZ804" s="110"/>
      <c r="WCA804" s="110"/>
      <c r="WCB804" s="110"/>
      <c r="WCC804" s="110"/>
      <c r="WCD804" s="110"/>
      <c r="WCE804" s="110"/>
      <c r="WCF804" s="110"/>
      <c r="WCG804" s="110"/>
      <c r="WCH804" s="110"/>
      <c r="WCI804" s="110"/>
      <c r="WCJ804" s="110"/>
      <c r="WCK804" s="110"/>
      <c r="WCL804" s="110"/>
      <c r="WCM804" s="110"/>
      <c r="WCN804" s="110"/>
      <c r="WCO804" s="110"/>
      <c r="WCP804" s="110"/>
      <c r="WCQ804" s="110"/>
      <c r="WCR804" s="110"/>
      <c r="WCS804" s="110"/>
      <c r="WCT804" s="110"/>
      <c r="WCU804" s="110"/>
      <c r="WCV804" s="110"/>
      <c r="WCW804" s="110"/>
      <c r="WCX804" s="110"/>
      <c r="WCY804" s="110"/>
      <c r="WCZ804" s="110"/>
      <c r="WDA804" s="110"/>
      <c r="WDB804" s="110"/>
      <c r="WDC804" s="110"/>
      <c r="WDD804" s="110"/>
      <c r="WDE804" s="110"/>
      <c r="WDF804" s="110"/>
      <c r="WDG804" s="110"/>
      <c r="WDH804" s="110"/>
      <c r="WDI804" s="110"/>
      <c r="WDJ804" s="110"/>
      <c r="WDK804" s="110"/>
      <c r="WDL804" s="110"/>
      <c r="WDM804" s="110"/>
      <c r="WDN804" s="110"/>
      <c r="WDO804" s="110"/>
      <c r="WDP804" s="110"/>
      <c r="WDQ804" s="110"/>
      <c r="WDR804" s="110"/>
      <c r="WDS804" s="110"/>
      <c r="WDT804" s="110"/>
      <c r="WDU804" s="110"/>
      <c r="WDV804" s="110"/>
      <c r="WDW804" s="110"/>
      <c r="WDX804" s="110"/>
      <c r="WDY804" s="110"/>
      <c r="WDZ804" s="110"/>
      <c r="WEA804" s="110"/>
      <c r="WEB804" s="110"/>
      <c r="WEC804" s="110"/>
      <c r="WED804" s="110"/>
      <c r="WEE804" s="110"/>
      <c r="WEF804" s="110"/>
      <c r="WEG804" s="110"/>
      <c r="WEH804" s="110"/>
      <c r="WEI804" s="110"/>
      <c r="WEJ804" s="110"/>
      <c r="WEK804" s="110"/>
      <c r="WEL804" s="110"/>
      <c r="WEM804" s="110"/>
      <c r="WEN804" s="110"/>
      <c r="WEO804" s="110"/>
      <c r="WEP804" s="110"/>
      <c r="WEQ804" s="110"/>
      <c r="WER804" s="110"/>
      <c r="WES804" s="110"/>
      <c r="WET804" s="110"/>
      <c r="WEU804" s="110"/>
      <c r="WEV804" s="110"/>
      <c r="WEW804" s="110"/>
      <c r="WEX804" s="110"/>
      <c r="WEY804" s="110"/>
      <c r="WEZ804" s="110"/>
      <c r="WFA804" s="110"/>
      <c r="WFB804" s="110"/>
      <c r="WFC804" s="110"/>
      <c r="WFD804" s="110"/>
      <c r="WFE804" s="110"/>
      <c r="WFF804" s="110"/>
      <c r="WFG804" s="110"/>
      <c r="WFH804" s="110"/>
      <c r="WFI804" s="110"/>
      <c r="WFJ804" s="110"/>
      <c r="WFK804" s="110"/>
      <c r="WFL804" s="110"/>
      <c r="WFM804" s="110"/>
      <c r="WFN804" s="110"/>
      <c r="WFO804" s="110"/>
      <c r="WFP804" s="110"/>
      <c r="WFQ804" s="110"/>
      <c r="WFR804" s="110"/>
      <c r="WFS804" s="110"/>
      <c r="WFT804" s="110"/>
      <c r="WFU804" s="110"/>
      <c r="WFV804" s="110"/>
      <c r="WFW804" s="110"/>
      <c r="WFX804" s="110"/>
      <c r="WFY804" s="110"/>
      <c r="WFZ804" s="110"/>
      <c r="WGA804" s="110"/>
      <c r="WGB804" s="110"/>
      <c r="WGC804" s="110"/>
      <c r="WGD804" s="110"/>
      <c r="WGE804" s="110"/>
      <c r="WGF804" s="110"/>
      <c r="WGG804" s="110"/>
      <c r="WGH804" s="110"/>
      <c r="WGI804" s="110"/>
      <c r="WGJ804" s="110"/>
      <c r="WGK804" s="110"/>
      <c r="WGL804" s="110"/>
      <c r="WGM804" s="110"/>
      <c r="WGN804" s="110"/>
      <c r="WGO804" s="110"/>
      <c r="WGP804" s="110"/>
      <c r="WGQ804" s="110"/>
      <c r="WGR804" s="110"/>
      <c r="WGS804" s="110"/>
      <c r="WGT804" s="110"/>
      <c r="WGU804" s="110"/>
      <c r="WGV804" s="110"/>
      <c r="WGW804" s="110"/>
      <c r="WGX804" s="110"/>
      <c r="WGY804" s="110"/>
      <c r="WGZ804" s="110"/>
      <c r="WHA804" s="110"/>
      <c r="WHB804" s="110"/>
      <c r="WHC804" s="110"/>
      <c r="WHD804" s="110"/>
      <c r="WHE804" s="110"/>
      <c r="WHF804" s="110"/>
      <c r="WHG804" s="110"/>
      <c r="WHH804" s="110"/>
      <c r="WHI804" s="110"/>
      <c r="WHJ804" s="110"/>
      <c r="WHK804" s="110"/>
      <c r="WHL804" s="110"/>
      <c r="WHM804" s="110"/>
      <c r="WHN804" s="110"/>
      <c r="WHO804" s="110"/>
      <c r="WHP804" s="110"/>
      <c r="WHQ804" s="110"/>
      <c r="WHR804" s="110"/>
      <c r="WHS804" s="110"/>
      <c r="WHT804" s="110"/>
      <c r="WHU804" s="110"/>
      <c r="WHV804" s="110"/>
      <c r="WHW804" s="110"/>
      <c r="WHX804" s="110"/>
      <c r="WHY804" s="110"/>
      <c r="WHZ804" s="110"/>
      <c r="WIA804" s="110"/>
      <c r="WIB804" s="110"/>
      <c r="WIC804" s="110"/>
      <c r="WID804" s="110"/>
      <c r="WIE804" s="110"/>
      <c r="WIF804" s="110"/>
      <c r="WIG804" s="110"/>
      <c r="WIH804" s="110"/>
      <c r="WII804" s="110"/>
      <c r="WIJ804" s="110"/>
      <c r="WIK804" s="110"/>
      <c r="WIL804" s="110"/>
      <c r="WIM804" s="110"/>
      <c r="WIN804" s="110"/>
      <c r="WIO804" s="110"/>
      <c r="WIP804" s="110"/>
      <c r="WIQ804" s="110"/>
      <c r="WIR804" s="110"/>
      <c r="WIS804" s="110"/>
      <c r="WIT804" s="110"/>
      <c r="WIU804" s="110"/>
      <c r="WIV804" s="110"/>
      <c r="WIW804" s="110"/>
      <c r="WIX804" s="110"/>
      <c r="WIY804" s="110"/>
      <c r="WIZ804" s="110"/>
      <c r="WJA804" s="110"/>
      <c r="WJB804" s="110"/>
      <c r="WJC804" s="110"/>
      <c r="WJD804" s="110"/>
      <c r="WJE804" s="110"/>
      <c r="WJF804" s="110"/>
      <c r="WJG804" s="110"/>
      <c r="WJH804" s="110"/>
      <c r="WJI804" s="110"/>
      <c r="WJJ804" s="110"/>
      <c r="WJK804" s="110"/>
      <c r="WJL804" s="110"/>
      <c r="WJM804" s="110"/>
      <c r="WJN804" s="110"/>
      <c r="WJO804" s="110"/>
      <c r="WJP804" s="110"/>
      <c r="WJQ804" s="110"/>
      <c r="WJR804" s="110"/>
      <c r="WJS804" s="110"/>
      <c r="WJT804" s="110"/>
      <c r="WJU804" s="110"/>
      <c r="WJV804" s="110"/>
      <c r="WJW804" s="110"/>
      <c r="WJX804" s="110"/>
      <c r="WJY804" s="110"/>
      <c r="WJZ804" s="110"/>
      <c r="WKA804" s="110"/>
      <c r="WKB804" s="110"/>
      <c r="WKC804" s="110"/>
      <c r="WKD804" s="110"/>
      <c r="WKE804" s="110"/>
      <c r="WKF804" s="110"/>
      <c r="WKG804" s="110"/>
      <c r="WKH804" s="110"/>
      <c r="WKI804" s="110"/>
      <c r="WKJ804" s="110"/>
      <c r="WKK804" s="110"/>
      <c r="WKL804" s="110"/>
      <c r="WKM804" s="110"/>
      <c r="WKN804" s="110"/>
      <c r="WKO804" s="110"/>
      <c r="WKP804" s="110"/>
      <c r="WKQ804" s="110"/>
      <c r="WKR804" s="110"/>
      <c r="WKS804" s="110"/>
      <c r="WKT804" s="110"/>
      <c r="WKU804" s="110"/>
      <c r="WKV804" s="110"/>
      <c r="WKW804" s="110"/>
      <c r="WKX804" s="110"/>
      <c r="WKY804" s="110"/>
      <c r="WKZ804" s="110"/>
      <c r="WLA804" s="110"/>
      <c r="WLB804" s="110"/>
      <c r="WLC804" s="110"/>
      <c r="WLD804" s="110"/>
      <c r="WLE804" s="110"/>
      <c r="WLF804" s="110"/>
      <c r="WLG804" s="110"/>
      <c r="WLH804" s="110"/>
      <c r="WLI804" s="110"/>
      <c r="WLJ804" s="110"/>
      <c r="WLK804" s="110"/>
      <c r="WLL804" s="110"/>
      <c r="WLM804" s="110"/>
      <c r="WLN804" s="110"/>
      <c r="WLO804" s="110"/>
      <c r="WLP804" s="110"/>
      <c r="WLQ804" s="110"/>
      <c r="WLR804" s="110"/>
      <c r="WLS804" s="110"/>
      <c r="WLT804" s="110"/>
      <c r="WLU804" s="110"/>
      <c r="WLV804" s="110"/>
      <c r="WLW804" s="110"/>
      <c r="WLX804" s="110"/>
      <c r="WLY804" s="110"/>
      <c r="WLZ804" s="110"/>
      <c r="WMA804" s="110"/>
      <c r="WMB804" s="110"/>
      <c r="WMC804" s="110"/>
      <c r="WMD804" s="110"/>
      <c r="WME804" s="110"/>
      <c r="WMF804" s="110"/>
      <c r="WMG804" s="110"/>
      <c r="WMH804" s="110"/>
      <c r="WMI804" s="110"/>
      <c r="WMJ804" s="110"/>
      <c r="WMK804" s="110"/>
      <c r="WML804" s="110"/>
      <c r="WMM804" s="110"/>
      <c r="WMN804" s="110"/>
      <c r="WMO804" s="110"/>
      <c r="WMP804" s="110"/>
      <c r="WMQ804" s="110"/>
      <c r="WMR804" s="110"/>
      <c r="WMS804" s="110"/>
      <c r="WMT804" s="110"/>
      <c r="WMU804" s="110"/>
      <c r="WMV804" s="110"/>
      <c r="WMW804" s="110"/>
      <c r="WMX804" s="110"/>
      <c r="WMY804" s="110"/>
      <c r="WMZ804" s="110"/>
      <c r="WNA804" s="110"/>
      <c r="WNB804" s="110"/>
      <c r="WNC804" s="110"/>
      <c r="WND804" s="110"/>
      <c r="WNE804" s="110"/>
      <c r="WNF804" s="110"/>
      <c r="WNG804" s="110"/>
      <c r="WNH804" s="110"/>
      <c r="WNI804" s="110"/>
      <c r="WNJ804" s="110"/>
      <c r="WNK804" s="110"/>
      <c r="WNL804" s="110"/>
      <c r="WNM804" s="110"/>
      <c r="WNN804" s="110"/>
      <c r="WNO804" s="110"/>
      <c r="WNP804" s="110"/>
      <c r="WNQ804" s="110"/>
      <c r="WNR804" s="110"/>
      <c r="WNS804" s="110"/>
      <c r="WNT804" s="110"/>
      <c r="WNU804" s="110"/>
      <c r="WNV804" s="110"/>
      <c r="WNW804" s="110"/>
      <c r="WNX804" s="110"/>
      <c r="WNY804" s="110"/>
      <c r="WNZ804" s="110"/>
      <c r="WOA804" s="110"/>
      <c r="WOB804" s="110"/>
      <c r="WOC804" s="110"/>
      <c r="WOD804" s="110"/>
      <c r="WOE804" s="110"/>
      <c r="WOF804" s="110"/>
      <c r="WOG804" s="110"/>
      <c r="WOH804" s="110"/>
      <c r="WOI804" s="110"/>
      <c r="WOJ804" s="110"/>
      <c r="WOK804" s="110"/>
      <c r="WOL804" s="110"/>
      <c r="WOM804" s="110"/>
      <c r="WON804" s="110"/>
      <c r="WOO804" s="110"/>
      <c r="WOP804" s="110"/>
      <c r="WOQ804" s="110"/>
      <c r="WOR804" s="110"/>
      <c r="WOS804" s="110"/>
      <c r="WOT804" s="110"/>
      <c r="WOU804" s="110"/>
      <c r="WOV804" s="110"/>
      <c r="WOW804" s="110"/>
      <c r="WOX804" s="110"/>
      <c r="WOY804" s="110"/>
      <c r="WOZ804" s="110"/>
      <c r="WPA804" s="110"/>
      <c r="WPB804" s="110"/>
      <c r="WPC804" s="110"/>
      <c r="WPD804" s="110"/>
      <c r="WPE804" s="110"/>
      <c r="WPF804" s="110"/>
      <c r="WPG804" s="110"/>
      <c r="WPH804" s="110"/>
      <c r="WPI804" s="110"/>
      <c r="WPJ804" s="110"/>
      <c r="WPK804" s="110"/>
      <c r="WPL804" s="110"/>
      <c r="WPM804" s="110"/>
      <c r="WPN804" s="110"/>
      <c r="WPO804" s="110"/>
      <c r="WPP804" s="110"/>
      <c r="WPQ804" s="110"/>
      <c r="WPR804" s="110"/>
      <c r="WPS804" s="110"/>
      <c r="WPT804" s="110"/>
      <c r="WPU804" s="110"/>
      <c r="WPV804" s="110"/>
      <c r="WPW804" s="110"/>
      <c r="WPX804" s="110"/>
      <c r="WPY804" s="110"/>
      <c r="WPZ804" s="110"/>
      <c r="WQA804" s="110"/>
      <c r="WQB804" s="110"/>
      <c r="WQC804" s="110"/>
      <c r="WQD804" s="110"/>
      <c r="WQE804" s="110"/>
      <c r="WQF804" s="110"/>
      <c r="WQG804" s="110"/>
      <c r="WQH804" s="110"/>
      <c r="WQI804" s="110"/>
      <c r="WQJ804" s="110"/>
      <c r="WQK804" s="110"/>
      <c r="WQL804" s="110"/>
      <c r="WQM804" s="110"/>
      <c r="WQN804" s="110"/>
      <c r="WQO804" s="110"/>
      <c r="WQP804" s="110"/>
      <c r="WQQ804" s="110"/>
      <c r="WQR804" s="110"/>
      <c r="WQS804" s="110"/>
      <c r="WQT804" s="110"/>
      <c r="WQU804" s="110"/>
      <c r="WQV804" s="110"/>
      <c r="WQW804" s="110"/>
      <c r="WQX804" s="110"/>
      <c r="WQY804" s="110"/>
      <c r="WQZ804" s="110"/>
      <c r="WRA804" s="110"/>
      <c r="WRB804" s="110"/>
      <c r="WRC804" s="110"/>
      <c r="WRD804" s="110"/>
      <c r="WRE804" s="110"/>
      <c r="WRF804" s="110"/>
      <c r="WRG804" s="110"/>
      <c r="WRH804" s="110"/>
      <c r="WRI804" s="110"/>
      <c r="WRJ804" s="110"/>
      <c r="WRK804" s="110"/>
      <c r="WRL804" s="110"/>
      <c r="WRM804" s="110"/>
      <c r="WRN804" s="110"/>
      <c r="WRO804" s="110"/>
      <c r="WRP804" s="110"/>
      <c r="WRQ804" s="110"/>
      <c r="WRR804" s="110"/>
      <c r="WRS804" s="110"/>
      <c r="WRT804" s="110"/>
      <c r="WRU804" s="110"/>
      <c r="WRV804" s="110"/>
      <c r="WRW804" s="110"/>
      <c r="WRX804" s="110"/>
      <c r="WRY804" s="110"/>
      <c r="WRZ804" s="110"/>
      <c r="WSA804" s="110"/>
      <c r="WSB804" s="110"/>
      <c r="WSC804" s="110"/>
      <c r="WSD804" s="110"/>
      <c r="WSE804" s="110"/>
      <c r="WSF804" s="110"/>
      <c r="WSG804" s="110"/>
      <c r="WSH804" s="110"/>
      <c r="WSI804" s="110"/>
      <c r="WSJ804" s="110"/>
      <c r="WSK804" s="110"/>
      <c r="WSL804" s="110"/>
      <c r="WSM804" s="110"/>
      <c r="WSN804" s="110"/>
      <c r="WSO804" s="110"/>
      <c r="WSP804" s="110"/>
      <c r="WSQ804" s="110"/>
      <c r="WSR804" s="110"/>
      <c r="WSS804" s="110"/>
      <c r="WST804" s="110"/>
      <c r="WSU804" s="110"/>
      <c r="WSV804" s="110"/>
      <c r="WSW804" s="110"/>
      <c r="WSX804" s="110"/>
      <c r="WSY804" s="110"/>
      <c r="WSZ804" s="110"/>
      <c r="WTA804" s="110"/>
      <c r="WTB804" s="110"/>
      <c r="WTC804" s="110"/>
      <c r="WTD804" s="110"/>
      <c r="WTE804" s="110"/>
      <c r="WTF804" s="110"/>
      <c r="WTG804" s="110"/>
      <c r="WTH804" s="110"/>
      <c r="WTI804" s="110"/>
      <c r="WTJ804" s="110"/>
      <c r="WTK804" s="110"/>
      <c r="WTL804" s="110"/>
      <c r="WTM804" s="110"/>
      <c r="WTN804" s="110"/>
      <c r="WTO804" s="110"/>
      <c r="WTP804" s="110"/>
      <c r="WTQ804" s="110"/>
      <c r="WTR804" s="110"/>
      <c r="WTS804" s="110"/>
      <c r="WTT804" s="110"/>
      <c r="WTU804" s="110"/>
      <c r="WTV804" s="110"/>
      <c r="WTW804" s="110"/>
      <c r="WTX804" s="110"/>
      <c r="WTY804" s="110"/>
      <c r="WTZ804" s="110"/>
      <c r="WUA804" s="110"/>
      <c r="WUB804" s="110"/>
      <c r="WUC804" s="110"/>
      <c r="WUD804" s="110"/>
      <c r="WUE804" s="110"/>
      <c r="WUF804" s="110"/>
      <c r="WUG804" s="110"/>
      <c r="WUH804" s="110"/>
      <c r="WUI804" s="110"/>
      <c r="WUJ804" s="110"/>
      <c r="WUK804" s="110"/>
      <c r="WUL804" s="110"/>
      <c r="WUM804" s="110"/>
      <c r="WUN804" s="110"/>
      <c r="WUO804" s="110"/>
      <c r="WUP804" s="110"/>
      <c r="WUQ804" s="110"/>
      <c r="WUR804" s="110"/>
      <c r="WUS804" s="110"/>
      <c r="WUT804" s="110"/>
      <c r="WUU804" s="110"/>
      <c r="WUV804" s="110"/>
      <c r="WUW804" s="110"/>
      <c r="WUX804" s="110"/>
      <c r="WUY804" s="110"/>
      <c r="WUZ804" s="110"/>
      <c r="WVA804" s="110"/>
      <c r="WVB804" s="110"/>
      <c r="WVC804" s="110"/>
      <c r="WVD804" s="110"/>
      <c r="WVE804" s="110"/>
      <c r="WVF804" s="110"/>
      <c r="WVG804" s="110"/>
      <c r="WVH804" s="110"/>
      <c r="WVI804" s="110"/>
      <c r="WVJ804" s="110"/>
      <c r="WVK804" s="110"/>
      <c r="WVL804" s="110"/>
      <c r="WVM804" s="110"/>
      <c r="WVN804" s="110"/>
      <c r="WVO804" s="110"/>
      <c r="WVP804" s="110"/>
      <c r="WVQ804" s="110"/>
      <c r="WVR804" s="110"/>
      <c r="WVS804" s="110"/>
      <c r="WVT804" s="110"/>
      <c r="WVU804" s="110"/>
      <c r="WVV804" s="110"/>
      <c r="WVW804" s="110"/>
      <c r="WVX804" s="110"/>
      <c r="WVY804" s="110"/>
      <c r="WVZ804" s="110"/>
      <c r="WWA804" s="110"/>
      <c r="WWB804" s="110"/>
      <c r="WWC804" s="110"/>
      <c r="WWD804" s="110"/>
      <c r="WWE804" s="110"/>
      <c r="WWF804" s="110"/>
      <c r="WWG804" s="110"/>
      <c r="WWH804" s="110"/>
      <c r="WWI804" s="110"/>
      <c r="WWJ804" s="110"/>
      <c r="WWK804" s="110"/>
      <c r="WWL804" s="110"/>
      <c r="WWM804" s="110"/>
      <c r="WWN804" s="110"/>
      <c r="WWO804" s="110"/>
      <c r="WWP804" s="110"/>
      <c r="WWQ804" s="110"/>
      <c r="WWR804" s="110"/>
      <c r="WWS804" s="110"/>
      <c r="WWT804" s="110"/>
      <c r="WWU804" s="110"/>
      <c r="WWV804" s="110"/>
      <c r="WWW804" s="110"/>
      <c r="WWX804" s="110"/>
      <c r="WWY804" s="110"/>
      <c r="WWZ804" s="110"/>
      <c r="WXA804" s="110"/>
      <c r="WXB804" s="110"/>
      <c r="WXC804" s="110"/>
      <c r="WXD804" s="110"/>
      <c r="WXE804" s="110"/>
      <c r="WXF804" s="110"/>
      <c r="WXG804" s="110"/>
      <c r="WXH804" s="110"/>
      <c r="WXI804" s="110"/>
      <c r="WXJ804" s="110"/>
      <c r="WXK804" s="110"/>
      <c r="WXL804" s="110"/>
      <c r="WXM804" s="110"/>
      <c r="WXN804" s="110"/>
      <c r="WXO804" s="110"/>
      <c r="WXP804" s="110"/>
      <c r="WXQ804" s="110"/>
      <c r="WXR804" s="110"/>
      <c r="WXS804" s="110"/>
      <c r="WXT804" s="110"/>
      <c r="WXU804" s="110"/>
      <c r="WXV804" s="110"/>
      <c r="WXW804" s="110"/>
      <c r="WXX804" s="110"/>
      <c r="WXY804" s="110"/>
      <c r="WXZ804" s="110"/>
      <c r="WYA804" s="110"/>
      <c r="WYB804" s="110"/>
      <c r="WYC804" s="110"/>
      <c r="WYD804" s="110"/>
      <c r="WYE804" s="110"/>
      <c r="WYF804" s="110"/>
      <c r="WYG804" s="110"/>
      <c r="WYH804" s="110"/>
      <c r="WYI804" s="110"/>
      <c r="WYJ804" s="110"/>
      <c r="WYK804" s="110"/>
      <c r="WYL804" s="110"/>
      <c r="WYM804" s="110"/>
      <c r="WYN804" s="110"/>
      <c r="WYO804" s="110"/>
      <c r="WYP804" s="110"/>
      <c r="WYQ804" s="110"/>
      <c r="WYR804" s="110"/>
      <c r="WYS804" s="110"/>
      <c r="WYT804" s="110"/>
      <c r="WYU804" s="110"/>
      <c r="WYV804" s="110"/>
      <c r="WYW804" s="110"/>
      <c r="WYX804" s="110"/>
      <c r="WYY804" s="110"/>
      <c r="WYZ804" s="110"/>
      <c r="WZA804" s="110"/>
      <c r="WZB804" s="110"/>
      <c r="WZC804" s="110"/>
      <c r="WZD804" s="110"/>
      <c r="WZE804" s="110"/>
      <c r="WZF804" s="110"/>
      <c r="WZG804" s="110"/>
      <c r="WZH804" s="110"/>
      <c r="WZI804" s="110"/>
      <c r="WZJ804" s="110"/>
      <c r="WZK804" s="110"/>
      <c r="WZL804" s="110"/>
      <c r="WZM804" s="110"/>
      <c r="WZN804" s="110"/>
      <c r="WZO804" s="110"/>
      <c r="WZP804" s="110"/>
      <c r="WZQ804" s="110"/>
      <c r="WZR804" s="110"/>
      <c r="WZS804" s="110"/>
      <c r="WZT804" s="110"/>
      <c r="WZU804" s="110"/>
      <c r="WZV804" s="110"/>
      <c r="WZW804" s="110"/>
      <c r="WZX804" s="110"/>
      <c r="WZY804" s="110"/>
      <c r="WZZ804" s="110"/>
      <c r="XAA804" s="110"/>
      <c r="XAB804" s="110"/>
      <c r="XAC804" s="110"/>
      <c r="XAD804" s="110"/>
      <c r="XAE804" s="110"/>
      <c r="XAF804" s="110"/>
      <c r="XAG804" s="110"/>
      <c r="XAH804" s="110"/>
      <c r="XAI804" s="110"/>
      <c r="XAJ804" s="110"/>
      <c r="XAK804" s="110"/>
      <c r="XAL804" s="110"/>
      <c r="XAM804" s="110"/>
      <c r="XAN804" s="110"/>
      <c r="XAO804" s="110"/>
      <c r="XAP804" s="110"/>
      <c r="XAQ804" s="110"/>
      <c r="XAR804" s="110"/>
      <c r="XAS804" s="110"/>
      <c r="XAT804" s="110"/>
      <c r="XAU804" s="110"/>
      <c r="XAV804" s="110"/>
      <c r="XAW804" s="110"/>
      <c r="XAX804" s="110"/>
      <c r="XAY804" s="110"/>
      <c r="XAZ804" s="110"/>
      <c r="XBA804" s="110"/>
      <c r="XBB804" s="110"/>
      <c r="XBC804" s="110"/>
      <c r="XBD804" s="110"/>
      <c r="XBE804" s="110"/>
      <c r="XBF804" s="110"/>
      <c r="XBG804" s="110"/>
      <c r="XBH804" s="110"/>
      <c r="XBI804" s="110"/>
      <c r="XBJ804" s="110"/>
      <c r="XBK804" s="110"/>
      <c r="XBL804" s="110"/>
      <c r="XBM804" s="110"/>
      <c r="XBN804" s="110"/>
      <c r="XBO804" s="110"/>
      <c r="XBP804" s="110"/>
      <c r="XBQ804" s="110"/>
      <c r="XBR804" s="110"/>
      <c r="XBS804" s="110"/>
      <c r="XBT804" s="110"/>
      <c r="XBU804" s="110"/>
      <c r="XBV804" s="110"/>
      <c r="XBW804" s="110"/>
      <c r="XBX804" s="110"/>
      <c r="XBY804" s="110"/>
      <c r="XBZ804" s="110"/>
      <c r="XCA804" s="110"/>
      <c r="XCB804" s="110"/>
      <c r="XCC804" s="110"/>
      <c r="XCD804" s="110"/>
      <c r="XCE804" s="110"/>
      <c r="XCF804" s="110"/>
      <c r="XCG804" s="110"/>
      <c r="XCH804" s="110"/>
      <c r="XCI804" s="110"/>
      <c r="XCJ804" s="110"/>
      <c r="XCK804" s="110"/>
      <c r="XCL804" s="110"/>
      <c r="XCM804" s="110"/>
      <c r="XCN804" s="110"/>
      <c r="XCO804" s="110"/>
      <c r="XCP804" s="110"/>
      <c r="XCQ804" s="110"/>
      <c r="XCR804" s="110"/>
      <c r="XCS804" s="110"/>
      <c r="XCT804" s="110"/>
      <c r="XCU804" s="110"/>
      <c r="XCV804" s="110"/>
      <c r="XCW804" s="110"/>
      <c r="XCX804" s="110"/>
      <c r="XCY804" s="110"/>
      <c r="XCZ804" s="110"/>
      <c r="XDA804" s="110"/>
      <c r="XDB804" s="110"/>
      <c r="XDC804" s="110"/>
      <c r="XDD804" s="110"/>
      <c r="XDE804" s="110"/>
      <c r="XDF804" s="110"/>
      <c r="XDG804" s="110"/>
      <c r="XDH804" s="110"/>
      <c r="XDI804" s="110"/>
      <c r="XDJ804" s="110"/>
      <c r="XDK804" s="110"/>
      <c r="XDL804" s="110"/>
      <c r="XDM804" s="110"/>
      <c r="XDN804" s="110"/>
      <c r="XDO804" s="110"/>
      <c r="XDP804" s="110"/>
      <c r="XDQ804" s="110"/>
      <c r="XDR804" s="110"/>
      <c r="XDS804" s="110"/>
      <c r="XDT804" s="110"/>
      <c r="XDU804" s="110"/>
      <c r="XDV804" s="110"/>
      <c r="XDW804" s="110"/>
      <c r="XDX804" s="110"/>
      <c r="XDY804" s="110"/>
      <c r="XDZ804" s="110"/>
      <c r="XEA804" s="110"/>
      <c r="XEB804" s="110"/>
      <c r="XEC804" s="110"/>
      <c r="XED804" s="110"/>
      <c r="XEE804" s="110"/>
      <c r="XEF804" s="110"/>
      <c r="XEG804" s="110"/>
      <c r="XEH804" s="110"/>
      <c r="XEI804" s="110"/>
      <c r="XEJ804" s="110"/>
      <c r="XEK804" s="110"/>
      <c r="XEL804" s="110"/>
      <c r="XEM804" s="110"/>
      <c r="XEN804" s="110"/>
      <c r="XEO804" s="110"/>
      <c r="XEP804" s="110"/>
      <c r="XEQ804" s="110"/>
      <c r="XER804" s="110"/>
      <c r="XES804" s="110"/>
      <c r="XET804" s="110"/>
      <c r="XEU804" s="110"/>
      <c r="XEV804" s="110"/>
      <c r="XEW804" s="110"/>
      <c r="XEX804" s="110"/>
      <c r="XEY804" s="110"/>
      <c r="XEZ804" s="110"/>
      <c r="XFA804" s="110"/>
      <c r="XFB804" s="110"/>
      <c r="XFC804" s="110"/>
    </row>
    <row r="805" spans="1:1638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row>
    <row r="806" spans="1:16383" ht="13">
      <c r="A806" s="3"/>
      <c r="B806" s="2" t="s">
        <v>201</v>
      </c>
      <c r="C806" s="2"/>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row>
    <row r="807" spans="1:16383">
      <c r="A807" s="3"/>
      <c r="B807" s="3" t="s">
        <v>205</v>
      </c>
      <c r="C807" s="3"/>
      <c r="D807" s="111"/>
      <c r="E807" s="112">
        <f t="shared" ref="E807:AJ807" si="0">1+E13</f>
        <v>1.0908300738809213</v>
      </c>
      <c r="F807" s="112">
        <f t="shared" si="0"/>
        <v>1.0362549800796814</v>
      </c>
      <c r="G807" s="112">
        <f t="shared" si="0"/>
        <v>1.0353710111495578</v>
      </c>
      <c r="H807" s="112">
        <f t="shared" si="0"/>
        <v>1.0631266245822504</v>
      </c>
      <c r="I807" s="112">
        <f t="shared" si="0"/>
        <v>1.0911631156129933</v>
      </c>
      <c r="J807" s="112">
        <f t="shared" si="0"/>
        <v>1.0963508322663253</v>
      </c>
      <c r="K807" s="112">
        <f t="shared" si="0"/>
        <v>1</v>
      </c>
      <c r="L807" s="112">
        <f t="shared" si="0"/>
        <v>1</v>
      </c>
      <c r="M807" s="112">
        <f t="shared" si="0"/>
        <v>1.04</v>
      </c>
      <c r="N807" s="112">
        <f t="shared" si="0"/>
        <v>1.0190903986524424</v>
      </c>
      <c r="O807" s="112">
        <f t="shared" si="0"/>
        <v>1.0190082644628098</v>
      </c>
      <c r="P807" s="112">
        <f t="shared" si="0"/>
        <v>1.064882400648824</v>
      </c>
      <c r="Q807" s="112">
        <f t="shared" si="0"/>
        <v>1.0172632647880173</v>
      </c>
      <c r="R807" s="112">
        <f t="shared" si="0"/>
        <v>1.0084851509857751</v>
      </c>
      <c r="S807" s="112">
        <f t="shared" si="0"/>
        <v>1.0254887404107893</v>
      </c>
      <c r="T807" s="112">
        <f t="shared" si="0"/>
        <v>1.0166505791505793</v>
      </c>
      <c r="U807" s="112">
        <f t="shared" si="0"/>
        <v>1.0192262046047946</v>
      </c>
      <c r="V807" s="112">
        <f t="shared" si="0"/>
        <v>1.0381928272007452</v>
      </c>
      <c r="W807" s="112">
        <f t="shared" si="0"/>
        <v>1.0189999999999999</v>
      </c>
      <c r="X807" s="112">
        <f t="shared" si="0"/>
        <v>1.0840000000000001</v>
      </c>
      <c r="Y807" s="112">
        <f t="shared" si="0"/>
        <v>1.0429999999999999</v>
      </c>
      <c r="Z807" s="112">
        <f t="shared" si="0"/>
        <v>1.0580000000000001</v>
      </c>
      <c r="AA807" s="112">
        <f t="shared" si="0"/>
        <v>1.0389999999999999</v>
      </c>
      <c r="AB807" s="112">
        <f t="shared" si="0"/>
        <v>1.0329999999999999</v>
      </c>
      <c r="AC807" s="112">
        <f t="shared" si="0"/>
        <v>1.069</v>
      </c>
      <c r="AD807" s="112">
        <f t="shared" si="0"/>
        <v>1.054</v>
      </c>
      <c r="AE807" s="112">
        <f t="shared" si="0"/>
        <v>1.0760000000000001</v>
      </c>
      <c r="AF807" s="112">
        <f t="shared" si="0"/>
        <v>1.0740000000000001</v>
      </c>
      <c r="AG807" s="112">
        <f t="shared" si="0"/>
        <v>1.081</v>
      </c>
      <c r="AH807" s="112">
        <f t="shared" si="0"/>
        <v>1.0980000000000001</v>
      </c>
      <c r="AI807" s="112">
        <f t="shared" si="0"/>
        <v>1.107</v>
      </c>
      <c r="AJ807" s="112">
        <f t="shared" si="0"/>
        <v>1.083</v>
      </c>
      <c r="AK807" s="112">
        <f t="shared" ref="AK807:BP807" si="1">1+AK13</f>
        <v>1.0680000000000001</v>
      </c>
      <c r="AL807" s="112">
        <f t="shared" si="1"/>
        <v>1.042</v>
      </c>
      <c r="AM807" s="112">
        <f t="shared" si="1"/>
        <v>1.038</v>
      </c>
      <c r="AN807" s="112">
        <f t="shared" si="1"/>
        <v>1.071</v>
      </c>
      <c r="AO807" s="112">
        <f t="shared" si="1"/>
        <v>1.0640000000000001</v>
      </c>
      <c r="AP807" s="112">
        <f t="shared" si="1"/>
        <v>1.0589999999999999</v>
      </c>
      <c r="AQ807" s="112">
        <f t="shared" si="1"/>
        <v>1.026</v>
      </c>
      <c r="AR807" s="112">
        <f t="shared" si="1"/>
        <v>1.028</v>
      </c>
      <c r="AS807" s="112">
        <f t="shared" si="1"/>
        <v>1.0229999999999999</v>
      </c>
      <c r="AT807" s="112">
        <f t="shared" si="1"/>
        <v>0.995</v>
      </c>
      <c r="AU807" s="112">
        <f t="shared" si="1"/>
        <v>1.002</v>
      </c>
      <c r="AV807" s="112">
        <f t="shared" si="1"/>
        <v>1.0089999999999999</v>
      </c>
      <c r="AW807" s="112">
        <f t="shared" si="1"/>
        <v>1.0109999999999999</v>
      </c>
      <c r="AX807" s="112">
        <f t="shared" si="1"/>
        <v>1.024</v>
      </c>
      <c r="AY807" s="112">
        <f t="shared" si="1"/>
        <v>1.046</v>
      </c>
      <c r="AZ807" s="112">
        <f t="shared" si="1"/>
        <v>1.0349999999999999</v>
      </c>
      <c r="BA807" s="112">
        <f t="shared" si="1"/>
        <v>1.02</v>
      </c>
      <c r="BB807" s="112">
        <f t="shared" si="1"/>
        <v>1.026</v>
      </c>
      <c r="BC807" s="112">
        <f t="shared" si="1"/>
        <v>1.0149999999999999</v>
      </c>
      <c r="BD807" s="112">
        <f t="shared" si="1"/>
        <v>1.0189999999999999</v>
      </c>
      <c r="BE807" s="112">
        <f t="shared" si="1"/>
        <v>1.026</v>
      </c>
      <c r="BF807" s="112">
        <f t="shared" si="1"/>
        <v>1.0169999999999999</v>
      </c>
      <c r="BG807" s="112">
        <f t="shared" si="1"/>
        <v>1.026</v>
      </c>
      <c r="BH807" s="112">
        <f t="shared" si="1"/>
        <v>1.0249999999999999</v>
      </c>
      <c r="BI807" s="112">
        <f t="shared" si="1"/>
        <v>1.0469999999999999</v>
      </c>
      <c r="BJ807" s="112">
        <f t="shared" si="1"/>
        <v>1.0329999999999999</v>
      </c>
      <c r="BK807" s="112">
        <f t="shared" si="1"/>
        <v>1.0209999999999999</v>
      </c>
      <c r="BL807" s="112">
        <f t="shared" si="1"/>
        <v>1.0109999999999999</v>
      </c>
      <c r="BM807" s="112">
        <f t="shared" si="1"/>
        <v>1.018</v>
      </c>
      <c r="BN807" s="112">
        <f t="shared" si="1"/>
        <v>1.014</v>
      </c>
      <c r="BO807" s="112">
        <f t="shared" si="1"/>
        <v>1.0109999999999999</v>
      </c>
      <c r="BP807" s="112">
        <f t="shared" si="1"/>
        <v>1.032</v>
      </c>
      <c r="BQ807" s="112">
        <f t="shared" ref="BQ807:CG807" si="2">1+BQ13</f>
        <v>1.0029999999999999</v>
      </c>
      <c r="BR807" s="112">
        <f t="shared" si="2"/>
        <v>1.0149999999999999</v>
      </c>
      <c r="BS807" s="112">
        <f t="shared" si="2"/>
        <v>1.026</v>
      </c>
      <c r="BT807" s="112">
        <f t="shared" si="2"/>
        <v>1.0229999999999999</v>
      </c>
      <c r="BU807" s="112">
        <f t="shared" si="2"/>
        <v>1.028</v>
      </c>
      <c r="BV807" s="112">
        <f t="shared" si="2"/>
        <v>1.01</v>
      </c>
      <c r="BW807" s="112">
        <f t="shared" si="2"/>
        <v>1.008</v>
      </c>
      <c r="BX807" s="112">
        <f t="shared" si="2"/>
        <v>1.002</v>
      </c>
      <c r="BY807" s="112">
        <f t="shared" si="2"/>
        <v>1.014</v>
      </c>
      <c r="BZ807" s="112">
        <f t="shared" si="2"/>
        <v>1.012</v>
      </c>
      <c r="CA807" s="112">
        <f t="shared" si="2"/>
        <v>1.026</v>
      </c>
      <c r="CB807" s="112">
        <f t="shared" si="2"/>
        <v>1.016</v>
      </c>
      <c r="CC807" s="112">
        <f t="shared" si="2"/>
        <v>1.018</v>
      </c>
      <c r="CD807" s="112">
        <f t="shared" si="2"/>
        <v>1.0620000000000001</v>
      </c>
      <c r="CE807" s="112">
        <f t="shared" si="2"/>
        <v>1.08</v>
      </c>
      <c r="CF807" s="112">
        <f t="shared" si="2"/>
        <v>1.028</v>
      </c>
      <c r="CG807" s="112">
        <f t="shared" si="2"/>
        <v>1.038</v>
      </c>
    </row>
    <row r="808" spans="1:1638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row>
    <row r="809" spans="1:16383" ht="13">
      <c r="A809" s="3"/>
      <c r="B809" s="2" t="s">
        <v>912</v>
      </c>
      <c r="C809" s="2"/>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row>
    <row r="810" spans="1:16383">
      <c r="A810" s="3"/>
      <c r="B810" s="113">
        <v>1946</v>
      </c>
      <c r="C810" s="113"/>
      <c r="D810" s="3"/>
      <c r="E810" s="114">
        <v>1</v>
      </c>
      <c r="F810" s="115">
        <f>E810*F$807</f>
        <v>1.0362549800796814</v>
      </c>
      <c r="G810" s="115">
        <f>F810*G$807</f>
        <v>1.0729083665338646</v>
      </c>
      <c r="H810" s="115">
        <f t="shared" ref="H810:W825" si="3">G810*H$807</f>
        <v>1.1406374501992034</v>
      </c>
      <c r="I810" s="115">
        <f t="shared" si="3"/>
        <v>1.2446215139442232</v>
      </c>
      <c r="J810" s="115">
        <f t="shared" si="3"/>
        <v>1.3645418326693228</v>
      </c>
      <c r="K810" s="115">
        <f t="shared" si="3"/>
        <v>1.3645418326693228</v>
      </c>
      <c r="L810" s="115">
        <f t="shared" si="3"/>
        <v>1.3645418326693228</v>
      </c>
      <c r="M810" s="115">
        <f t="shared" si="3"/>
        <v>1.4191235059760958</v>
      </c>
      <c r="N810" s="115">
        <f t="shared" si="3"/>
        <v>1.4462151394422313</v>
      </c>
      <c r="O810" s="115">
        <f t="shared" si="3"/>
        <v>1.4737051792828686</v>
      </c>
      <c r="P810" s="115">
        <f t="shared" si="3"/>
        <v>1.5693227091633466</v>
      </c>
      <c r="Q810" s="115">
        <f t="shared" si="3"/>
        <v>1.5964143426294821</v>
      </c>
      <c r="R810" s="115">
        <f t="shared" si="3"/>
        <v>1.6099601593625501</v>
      </c>
      <c r="S810" s="115">
        <f t="shared" si="3"/>
        <v>1.6509960159362551</v>
      </c>
      <c r="T810" s="115">
        <f t="shared" si="3"/>
        <v>1.6784860557768928</v>
      </c>
      <c r="U810" s="115">
        <f t="shared" si="3"/>
        <v>1.7107569721115541</v>
      </c>
      <c r="V810" s="115">
        <f t="shared" si="3"/>
        <v>1.7760956175298808</v>
      </c>
      <c r="W810" s="115">
        <f t="shared" si="3"/>
        <v>1.8098414342629483</v>
      </c>
      <c r="X810" s="115">
        <f t="shared" ref="X810:AM825" si="4">W810*X$807</f>
        <v>1.9618681147410362</v>
      </c>
      <c r="Y810" s="115">
        <f t="shared" si="4"/>
        <v>2.0462284436749005</v>
      </c>
      <c r="Z810" s="115">
        <f t="shared" si="4"/>
        <v>2.164909693408045</v>
      </c>
      <c r="AA810" s="115">
        <f t="shared" si="4"/>
        <v>2.2493411714509586</v>
      </c>
      <c r="AB810" s="115">
        <f t="shared" si="4"/>
        <v>2.3235694301088401</v>
      </c>
      <c r="AC810" s="115">
        <f t="shared" si="4"/>
        <v>2.4838957207863501</v>
      </c>
      <c r="AD810" s="115">
        <f t="shared" si="4"/>
        <v>2.6180260897088132</v>
      </c>
      <c r="AE810" s="115">
        <f t="shared" si="4"/>
        <v>2.8169960725266834</v>
      </c>
      <c r="AF810" s="115">
        <f>AE810*AF$807</f>
        <v>3.025453781893658</v>
      </c>
      <c r="AG810" s="115">
        <f t="shared" si="4"/>
        <v>3.2705155382270443</v>
      </c>
      <c r="AH810" s="115">
        <f t="shared" si="4"/>
        <v>3.5910260609732951</v>
      </c>
      <c r="AI810" s="115">
        <f t="shared" si="4"/>
        <v>3.9752658494974376</v>
      </c>
      <c r="AJ810" s="115">
        <f t="shared" si="4"/>
        <v>4.3052129150057246</v>
      </c>
      <c r="AK810" s="115">
        <f t="shared" si="4"/>
        <v>4.5979673932261145</v>
      </c>
      <c r="AL810" s="115">
        <f t="shared" si="4"/>
        <v>4.7910820237416116</v>
      </c>
      <c r="AM810" s="115">
        <f t="shared" si="4"/>
        <v>4.9731431406437929</v>
      </c>
      <c r="AN810" s="115">
        <f t="shared" ref="AN810:BC825" si="5">AM810*AN$807</f>
        <v>5.3262363036295017</v>
      </c>
      <c r="AO810" s="115">
        <f t="shared" si="5"/>
        <v>5.6671154270617903</v>
      </c>
      <c r="AP810" s="115">
        <f t="shared" si="5"/>
        <v>6.0014752372584352</v>
      </c>
      <c r="AQ810" s="115">
        <f t="shared" si="5"/>
        <v>6.1575135934271543</v>
      </c>
      <c r="AR810" s="115">
        <f t="shared" si="5"/>
        <v>6.3299239740431146</v>
      </c>
      <c r="AS810" s="115">
        <f t="shared" si="5"/>
        <v>6.4755122254461055</v>
      </c>
      <c r="AT810" s="115">
        <f t="shared" si="5"/>
        <v>6.4431346643188752</v>
      </c>
      <c r="AU810" s="115">
        <f t="shared" si="5"/>
        <v>6.4560209336475127</v>
      </c>
      <c r="AV810" s="115">
        <f t="shared" si="5"/>
        <v>6.5141251220503396</v>
      </c>
      <c r="AW810" s="115">
        <f t="shared" si="5"/>
        <v>6.5857804983928929</v>
      </c>
      <c r="AX810" s="115">
        <f t="shared" si="5"/>
        <v>6.7438392303543226</v>
      </c>
      <c r="AY810" s="115">
        <f t="shared" si="5"/>
        <v>7.0540558349506215</v>
      </c>
      <c r="AZ810" s="115">
        <f t="shared" si="5"/>
        <v>7.3009477891738923</v>
      </c>
      <c r="BA810" s="115">
        <f t="shared" si="5"/>
        <v>7.4469667449573702</v>
      </c>
      <c r="BB810" s="115">
        <f t="shared" si="5"/>
        <v>7.6405878803262617</v>
      </c>
      <c r="BC810" s="115">
        <f t="shared" si="5"/>
        <v>7.7551966985311545</v>
      </c>
      <c r="BD810" s="115">
        <f t="shared" ref="BD810:BS825" si="6">BC810*BD$807</f>
        <v>7.9025454358032459</v>
      </c>
      <c r="BE810" s="115">
        <f t="shared" si="6"/>
        <v>8.1080116171341299</v>
      </c>
      <c r="BF810" s="115">
        <f t="shared" si="6"/>
        <v>8.2458478146254102</v>
      </c>
      <c r="BG810" s="115">
        <f t="shared" si="6"/>
        <v>8.4602398578056714</v>
      </c>
      <c r="BH810" s="115">
        <f t="shared" si="6"/>
        <v>8.6717458542508119</v>
      </c>
      <c r="BI810" s="115">
        <f t="shared" si="6"/>
        <v>9.0793179094005989</v>
      </c>
      <c r="BJ810" s="115">
        <f t="shared" si="6"/>
        <v>9.3789354004108176</v>
      </c>
      <c r="BK810" s="115">
        <f t="shared" si="6"/>
        <v>9.5758930438194447</v>
      </c>
      <c r="BL810" s="115">
        <f t="shared" si="6"/>
        <v>9.6812278673014571</v>
      </c>
      <c r="BM810" s="115">
        <f t="shared" si="6"/>
        <v>9.8554899689128828</v>
      </c>
      <c r="BN810" s="115">
        <f t="shared" si="6"/>
        <v>9.9934668284776631</v>
      </c>
      <c r="BO810" s="115">
        <f t="shared" si="6"/>
        <v>10.103394963590917</v>
      </c>
      <c r="BP810" s="115">
        <f t="shared" si="6"/>
        <v>10.426703602425826</v>
      </c>
      <c r="BQ810" s="115">
        <f t="shared" si="6"/>
        <v>10.457983713233103</v>
      </c>
      <c r="BR810" s="115">
        <f t="shared" si="6"/>
        <v>10.614853468931599</v>
      </c>
      <c r="BS810" s="115">
        <f t="shared" si="6"/>
        <v>10.890839659123822</v>
      </c>
      <c r="BT810" s="115">
        <f t="shared" ref="BT810:CG825" si="7">BS810*BT$807</f>
        <v>11.141328971283668</v>
      </c>
      <c r="BU810" s="115">
        <f t="shared" si="7"/>
        <v>11.45328618247961</v>
      </c>
      <c r="BV810" s="115">
        <f t="shared" si="7"/>
        <v>11.567819044304407</v>
      </c>
      <c r="BW810" s="115">
        <f t="shared" si="7"/>
        <v>11.660361596658843</v>
      </c>
      <c r="BX810" s="115">
        <f t="shared" si="7"/>
        <v>11.683682319852162</v>
      </c>
      <c r="BY810" s="115">
        <f t="shared" si="7"/>
        <v>11.847253872330093</v>
      </c>
      <c r="BZ810" s="115">
        <f t="shared" si="7"/>
        <v>11.989420918798054</v>
      </c>
      <c r="CA810" s="115">
        <f t="shared" si="7"/>
        <v>12.301145862686804</v>
      </c>
      <c r="CB810" s="115">
        <f t="shared" si="7"/>
        <v>12.497964196489793</v>
      </c>
      <c r="CC810" s="115">
        <f t="shared" si="7"/>
        <v>12.72292755202661</v>
      </c>
      <c r="CD810" s="115">
        <f t="shared" si="7"/>
        <v>13.51174906025226</v>
      </c>
      <c r="CE810" s="115">
        <f t="shared" si="7"/>
        <v>14.592688985072442</v>
      </c>
      <c r="CF810" s="115">
        <f t="shared" si="7"/>
        <v>15.00128427665447</v>
      </c>
      <c r="CG810" s="115">
        <f t="shared" si="7"/>
        <v>15.57133307916734</v>
      </c>
    </row>
    <row r="811" spans="1:16383">
      <c r="A811" s="3"/>
      <c r="B811" s="113">
        <v>1947</v>
      </c>
      <c r="C811" s="113"/>
      <c r="D811" s="3"/>
      <c r="E811" s="116"/>
      <c r="F811" s="114">
        <v>1</v>
      </c>
      <c r="G811" s="115">
        <f>F811*G$807</f>
        <v>1.0353710111495578</v>
      </c>
      <c r="H811" s="115">
        <f t="shared" si="3"/>
        <v>1.1007304882737408</v>
      </c>
      <c r="I811" s="115">
        <f t="shared" si="3"/>
        <v>1.2010765090349864</v>
      </c>
      <c r="J811" s="115">
        <f t="shared" si="3"/>
        <v>1.3168012302960399</v>
      </c>
      <c r="K811" s="115">
        <f t="shared" si="3"/>
        <v>1.3168012302960399</v>
      </c>
      <c r="L811" s="115">
        <f t="shared" si="3"/>
        <v>1.3168012302960399</v>
      </c>
      <c r="M811" s="115">
        <f t="shared" si="3"/>
        <v>1.3694732795078814</v>
      </c>
      <c r="N811" s="115">
        <f t="shared" si="3"/>
        <v>1.3956170703575546</v>
      </c>
      <c r="O811" s="115">
        <f t="shared" si="3"/>
        <v>1.4221453287197228</v>
      </c>
      <c r="P811" s="115">
        <f t="shared" si="3"/>
        <v>1.5144175317185693</v>
      </c>
      <c r="Q811" s="115">
        <f t="shared" si="3"/>
        <v>1.5405613225682426</v>
      </c>
      <c r="R811" s="115">
        <f t="shared" si="3"/>
        <v>1.5536332179930794</v>
      </c>
      <c r="S811" s="115">
        <f t="shared" si="3"/>
        <v>1.5932333717800842</v>
      </c>
      <c r="T811" s="115">
        <f t="shared" si="3"/>
        <v>1.6197616301422528</v>
      </c>
      <c r="U811" s="115">
        <f t="shared" si="3"/>
        <v>1.6509034986543634</v>
      </c>
      <c r="V811" s="115">
        <f t="shared" si="3"/>
        <v>1.7139561707035753</v>
      </c>
      <c r="W811" s="115">
        <f t="shared" si="3"/>
        <v>1.7465213379469431</v>
      </c>
      <c r="X811" s="115">
        <f t="shared" si="4"/>
        <v>1.8932291303344864</v>
      </c>
      <c r="Y811" s="115">
        <f t="shared" si="4"/>
        <v>1.9746379829388692</v>
      </c>
      <c r="Z811" s="115">
        <f t="shared" si="4"/>
        <v>2.0891669859493236</v>
      </c>
      <c r="AA811" s="115">
        <f t="shared" si="4"/>
        <v>2.1706444984013471</v>
      </c>
      <c r="AB811" s="115">
        <f t="shared" si="4"/>
        <v>2.2422757668485915</v>
      </c>
      <c r="AC811" s="115">
        <f t="shared" si="4"/>
        <v>2.396992794761144</v>
      </c>
      <c r="AD811" s="115">
        <f t="shared" si="4"/>
        <v>2.5264304056782461</v>
      </c>
      <c r="AE811" s="115">
        <f t="shared" si="4"/>
        <v>2.718439116509793</v>
      </c>
      <c r="AF811" s="115">
        <f t="shared" si="4"/>
        <v>2.9196036111315178</v>
      </c>
      <c r="AG811" s="115">
        <f t="shared" si="4"/>
        <v>3.1560915036331707</v>
      </c>
      <c r="AH811" s="115">
        <f t="shared" si="4"/>
        <v>3.4653884709892218</v>
      </c>
      <c r="AI811" s="115">
        <f t="shared" si="4"/>
        <v>3.8361850373850683</v>
      </c>
      <c r="AJ811" s="115">
        <f t="shared" si="4"/>
        <v>4.1545883954880285</v>
      </c>
      <c r="AK811" s="115">
        <f t="shared" si="4"/>
        <v>4.4371004063812149</v>
      </c>
      <c r="AL811" s="115">
        <f t="shared" si="4"/>
        <v>4.6234586234492259</v>
      </c>
      <c r="AM811" s="115">
        <f t="shared" si="4"/>
        <v>4.7991500511402965</v>
      </c>
      <c r="AN811" s="115">
        <f t="shared" si="5"/>
        <v>5.1398897047712575</v>
      </c>
      <c r="AO811" s="115">
        <f t="shared" si="5"/>
        <v>5.4688426458766184</v>
      </c>
      <c r="AP811" s="115">
        <f t="shared" si="5"/>
        <v>5.7915043619833382</v>
      </c>
      <c r="AQ811" s="115">
        <f t="shared" si="5"/>
        <v>5.942083475394905</v>
      </c>
      <c r="AR811" s="115">
        <f t="shared" si="5"/>
        <v>6.1084618127059622</v>
      </c>
      <c r="AS811" s="115">
        <f t="shared" si="5"/>
        <v>6.2489564343981989</v>
      </c>
      <c r="AT811" s="115">
        <f t="shared" si="5"/>
        <v>6.2177116522262077</v>
      </c>
      <c r="AU811" s="115">
        <f t="shared" si="5"/>
        <v>6.2301470755306605</v>
      </c>
      <c r="AV811" s="115">
        <f t="shared" si="5"/>
        <v>6.2862183992104361</v>
      </c>
      <c r="AW811" s="115">
        <f t="shared" si="5"/>
        <v>6.3553668016017504</v>
      </c>
      <c r="AX811" s="115">
        <f t="shared" si="5"/>
        <v>6.5078956048401926</v>
      </c>
      <c r="AY811" s="115">
        <f t="shared" si="5"/>
        <v>6.807258802662842</v>
      </c>
      <c r="AZ811" s="115">
        <f t="shared" si="5"/>
        <v>7.0455128607560411</v>
      </c>
      <c r="BA811" s="115">
        <f t="shared" si="5"/>
        <v>7.1864231179711622</v>
      </c>
      <c r="BB811" s="115">
        <f t="shared" si="5"/>
        <v>7.3732701190384127</v>
      </c>
      <c r="BC811" s="115">
        <f t="shared" si="5"/>
        <v>7.4838691708239882</v>
      </c>
      <c r="BD811" s="115">
        <f t="shared" si="6"/>
        <v>7.6260626850696429</v>
      </c>
      <c r="BE811" s="115">
        <f t="shared" si="6"/>
        <v>7.8243403148814537</v>
      </c>
      <c r="BF811" s="115">
        <f t="shared" si="6"/>
        <v>7.9573541002344372</v>
      </c>
      <c r="BG811" s="115">
        <f t="shared" si="6"/>
        <v>8.1642453068405327</v>
      </c>
      <c r="BH811" s="115">
        <f t="shared" si="6"/>
        <v>8.3683514395115459</v>
      </c>
      <c r="BI811" s="115">
        <f t="shared" si="6"/>
        <v>8.7616639571685884</v>
      </c>
      <c r="BJ811" s="115">
        <f t="shared" si="6"/>
        <v>9.0507988677551516</v>
      </c>
      <c r="BK811" s="115">
        <f t="shared" si="6"/>
        <v>9.2408656439780081</v>
      </c>
      <c r="BL811" s="115">
        <f t="shared" si="6"/>
        <v>9.3425151660617658</v>
      </c>
      <c r="BM811" s="115">
        <f t="shared" si="6"/>
        <v>9.5106804390508781</v>
      </c>
      <c r="BN811" s="115">
        <f t="shared" si="6"/>
        <v>9.6438299651975914</v>
      </c>
      <c r="BO811" s="115">
        <f t="shared" si="6"/>
        <v>9.7499120948147642</v>
      </c>
      <c r="BP811" s="115">
        <f t="shared" si="6"/>
        <v>10.061909281848838</v>
      </c>
      <c r="BQ811" s="115">
        <f t="shared" si="6"/>
        <v>10.092095009694383</v>
      </c>
      <c r="BR811" s="115">
        <f t="shared" si="6"/>
        <v>10.243476434839797</v>
      </c>
      <c r="BS811" s="115">
        <f t="shared" si="6"/>
        <v>10.509806822145633</v>
      </c>
      <c r="BT811" s="115">
        <f t="shared" si="7"/>
        <v>10.75153237905498</v>
      </c>
      <c r="BU811" s="115">
        <f t="shared" si="7"/>
        <v>11.052575285668521</v>
      </c>
      <c r="BV811" s="115">
        <f t="shared" si="7"/>
        <v>11.163101038525205</v>
      </c>
      <c r="BW811" s="115">
        <f t="shared" si="7"/>
        <v>11.252405846833406</v>
      </c>
      <c r="BX811" s="115">
        <f t="shared" si="7"/>
        <v>11.274910658527073</v>
      </c>
      <c r="BY811" s="115">
        <f t="shared" si="7"/>
        <v>11.432759407746452</v>
      </c>
      <c r="BZ811" s="115">
        <f t="shared" si="7"/>
        <v>11.56995252063941</v>
      </c>
      <c r="CA811" s="115">
        <f t="shared" si="7"/>
        <v>11.870771286176035</v>
      </c>
      <c r="CB811" s="115">
        <f t="shared" si="7"/>
        <v>12.060703626754853</v>
      </c>
      <c r="CC811" s="115">
        <f t="shared" si="7"/>
        <v>12.27779629203644</v>
      </c>
      <c r="CD811" s="115">
        <f t="shared" si="7"/>
        <v>13.039019662142699</v>
      </c>
      <c r="CE811" s="115">
        <f t="shared" si="7"/>
        <v>14.082141235114117</v>
      </c>
      <c r="CF811" s="115">
        <f t="shared" si="7"/>
        <v>14.476441189697312</v>
      </c>
      <c r="CG811" s="115">
        <f t="shared" si="7"/>
        <v>15.02654595490581</v>
      </c>
    </row>
    <row r="812" spans="1:16383">
      <c r="A812" s="3"/>
      <c r="B812" s="113">
        <v>1948</v>
      </c>
      <c r="C812" s="113"/>
      <c r="D812" s="3"/>
      <c r="E812" s="116"/>
      <c r="F812" s="116"/>
      <c r="G812" s="114">
        <v>1</v>
      </c>
      <c r="H812" s="115">
        <f t="shared" si="3"/>
        <v>1.0631266245822504</v>
      </c>
      <c r="I812" s="115">
        <f t="shared" si="3"/>
        <v>1.1600445599702933</v>
      </c>
      <c r="J812" s="115">
        <f t="shared" si="3"/>
        <v>1.2718158187894542</v>
      </c>
      <c r="K812" s="115">
        <f t="shared" si="3"/>
        <v>1.2718158187894542</v>
      </c>
      <c r="L812" s="115">
        <f t="shared" si="3"/>
        <v>1.2718158187894542</v>
      </c>
      <c r="M812" s="115">
        <f t="shared" si="3"/>
        <v>1.3226884515410324</v>
      </c>
      <c r="N812" s="115">
        <f t="shared" si="3"/>
        <v>1.3479391013739326</v>
      </c>
      <c r="O812" s="115">
        <f t="shared" si="3"/>
        <v>1.3735610842926105</v>
      </c>
      <c r="P812" s="115">
        <f t="shared" si="3"/>
        <v>1.4626810248793167</v>
      </c>
      <c r="Q812" s="115">
        <f t="shared" si="3"/>
        <v>1.4879316747122169</v>
      </c>
      <c r="R812" s="115">
        <f t="shared" si="3"/>
        <v>1.5005569996286672</v>
      </c>
      <c r="S812" s="115">
        <f t="shared" si="3"/>
        <v>1.5388043074637952</v>
      </c>
      <c r="T812" s="115">
        <f t="shared" si="3"/>
        <v>1.5644262903824735</v>
      </c>
      <c r="U812" s="115">
        <f t="shared" si="3"/>
        <v>1.5945042703304868</v>
      </c>
      <c r="V812" s="115">
        <f t="shared" si="3"/>
        <v>1.6554028963980694</v>
      </c>
      <c r="W812" s="115">
        <f t="shared" si="3"/>
        <v>1.6868555514296326</v>
      </c>
      <c r="X812" s="115">
        <f t="shared" si="4"/>
        <v>1.828551417749722</v>
      </c>
      <c r="Y812" s="115">
        <f t="shared" si="4"/>
        <v>1.9071791287129598</v>
      </c>
      <c r="Z812" s="115">
        <f t="shared" si="4"/>
        <v>2.0177955181783114</v>
      </c>
      <c r="AA812" s="115">
        <f t="shared" si="4"/>
        <v>2.0964895433872655</v>
      </c>
      <c r="AB812" s="115">
        <f t="shared" si="4"/>
        <v>2.1656736983190452</v>
      </c>
      <c r="AC812" s="115">
        <f t="shared" si="4"/>
        <v>2.3151051835030594</v>
      </c>
      <c r="AD812" s="115">
        <f t="shared" si="4"/>
        <v>2.4401208634122247</v>
      </c>
      <c r="AE812" s="115">
        <f t="shared" si="4"/>
        <v>2.6255700490315541</v>
      </c>
      <c r="AF812" s="115">
        <f t="shared" si="4"/>
        <v>2.8198622326598892</v>
      </c>
      <c r="AG812" s="115">
        <f t="shared" si="4"/>
        <v>3.0482710735053402</v>
      </c>
      <c r="AH812" s="115">
        <f t="shared" si="4"/>
        <v>3.3470016387088637</v>
      </c>
      <c r="AI812" s="115">
        <f t="shared" si="4"/>
        <v>3.7051308140507122</v>
      </c>
      <c r="AJ812" s="115">
        <f t="shared" si="4"/>
        <v>4.012656671616921</v>
      </c>
      <c r="AK812" s="115">
        <f t="shared" si="4"/>
        <v>4.2855173252868717</v>
      </c>
      <c r="AL812" s="115">
        <f t="shared" si="4"/>
        <v>4.4655090529489208</v>
      </c>
      <c r="AM812" s="115">
        <f t="shared" si="4"/>
        <v>4.6351983969609796</v>
      </c>
      <c r="AN812" s="115">
        <f t="shared" si="5"/>
        <v>4.9642974831452085</v>
      </c>
      <c r="AO812" s="115">
        <f t="shared" si="5"/>
        <v>5.282012522066502</v>
      </c>
      <c r="AP812" s="115">
        <f t="shared" si="5"/>
        <v>5.593651260868425</v>
      </c>
      <c r="AQ812" s="115">
        <f t="shared" si="5"/>
        <v>5.739086193651004</v>
      </c>
      <c r="AR812" s="115">
        <f t="shared" si="5"/>
        <v>5.8997806070732324</v>
      </c>
      <c r="AS812" s="115">
        <f t="shared" si="5"/>
        <v>6.0354755610359163</v>
      </c>
      <c r="AT812" s="115">
        <f t="shared" si="5"/>
        <v>6.0052981832307371</v>
      </c>
      <c r="AU812" s="115">
        <f t="shared" si="5"/>
        <v>6.0173087795971982</v>
      </c>
      <c r="AV812" s="115">
        <f t="shared" si="5"/>
        <v>6.071464558613572</v>
      </c>
      <c r="AW812" s="115">
        <f t="shared" si="5"/>
        <v>6.1382506687583209</v>
      </c>
      <c r="AX812" s="115">
        <f t="shared" si="5"/>
        <v>6.2855686848085206</v>
      </c>
      <c r="AY812" s="115">
        <f t="shared" si="5"/>
        <v>6.5747048443097125</v>
      </c>
      <c r="AZ812" s="115">
        <f t="shared" si="5"/>
        <v>6.8048195138605516</v>
      </c>
      <c r="BA812" s="115">
        <f t="shared" si="5"/>
        <v>6.9409159041377624</v>
      </c>
      <c r="BB812" s="115">
        <f t="shared" si="5"/>
        <v>7.1213797176453442</v>
      </c>
      <c r="BC812" s="115">
        <f t="shared" si="5"/>
        <v>7.2282004134100237</v>
      </c>
      <c r="BD812" s="115">
        <f t="shared" si="6"/>
        <v>7.3655362212648132</v>
      </c>
      <c r="BE812" s="115">
        <f t="shared" si="6"/>
        <v>7.5570401630176987</v>
      </c>
      <c r="BF812" s="115">
        <f t="shared" si="6"/>
        <v>7.6855098457889985</v>
      </c>
      <c r="BG812" s="115">
        <f t="shared" si="6"/>
        <v>7.885333101779513</v>
      </c>
      <c r="BH812" s="115">
        <f t="shared" si="6"/>
        <v>8.0824664293240005</v>
      </c>
      <c r="BI812" s="115">
        <f t="shared" si="6"/>
        <v>8.4623423515022278</v>
      </c>
      <c r="BJ812" s="115">
        <f t="shared" si="6"/>
        <v>8.7415996491018007</v>
      </c>
      <c r="BK812" s="115">
        <f t="shared" si="6"/>
        <v>8.9251732417329368</v>
      </c>
      <c r="BL812" s="115">
        <f t="shared" si="6"/>
        <v>9.0233501473919979</v>
      </c>
      <c r="BM812" s="115">
        <f t="shared" si="6"/>
        <v>9.1857704500450534</v>
      </c>
      <c r="BN812" s="115">
        <f t="shared" si="6"/>
        <v>9.3143712363456839</v>
      </c>
      <c r="BO812" s="115">
        <f t="shared" si="6"/>
        <v>9.4168293199454851</v>
      </c>
      <c r="BP812" s="115">
        <f t="shared" si="6"/>
        <v>9.7181678581837403</v>
      </c>
      <c r="BQ812" s="115">
        <f t="shared" si="6"/>
        <v>9.7473223617582896</v>
      </c>
      <c r="BR812" s="115">
        <f t="shared" si="6"/>
        <v>9.8935321971846637</v>
      </c>
      <c r="BS812" s="115">
        <f t="shared" si="6"/>
        <v>10.150764034311464</v>
      </c>
      <c r="BT812" s="115">
        <f t="shared" si="7"/>
        <v>10.384231607100627</v>
      </c>
      <c r="BU812" s="115">
        <f t="shared" si="7"/>
        <v>10.674990092099446</v>
      </c>
      <c r="BV812" s="115">
        <f t="shared" si="7"/>
        <v>10.781739993020441</v>
      </c>
      <c r="BW812" s="115">
        <f t="shared" si="7"/>
        <v>10.867993912964604</v>
      </c>
      <c r="BX812" s="115">
        <f t="shared" si="7"/>
        <v>10.889729900790533</v>
      </c>
      <c r="BY812" s="115">
        <f t="shared" si="7"/>
        <v>11.042186119401601</v>
      </c>
      <c r="BZ812" s="115">
        <f t="shared" si="7"/>
        <v>11.17469235283442</v>
      </c>
      <c r="CA812" s="115">
        <f t="shared" si="7"/>
        <v>11.465234354008114</v>
      </c>
      <c r="CB812" s="115">
        <f t="shared" si="7"/>
        <v>11.648678103672244</v>
      </c>
      <c r="CC812" s="115">
        <f t="shared" si="7"/>
        <v>11.858354309538345</v>
      </c>
      <c r="CD812" s="115">
        <f t="shared" si="7"/>
        <v>12.593572276729724</v>
      </c>
      <c r="CE812" s="115">
        <f t="shared" si="7"/>
        <v>13.601058058868102</v>
      </c>
      <c r="CF812" s="115">
        <f t="shared" si="7"/>
        <v>13.981887684516408</v>
      </c>
      <c r="CG812" s="115">
        <f t="shared" si="7"/>
        <v>14.513199416528032</v>
      </c>
    </row>
    <row r="813" spans="1:16383">
      <c r="A813" s="3"/>
      <c r="B813" s="113">
        <v>1949</v>
      </c>
      <c r="C813" s="113"/>
      <c r="D813" s="3"/>
      <c r="E813" s="116"/>
      <c r="F813" s="116"/>
      <c r="G813" s="116"/>
      <c r="H813" s="114">
        <v>1</v>
      </c>
      <c r="I813" s="115">
        <f t="shared" si="3"/>
        <v>1.0911631156129933</v>
      </c>
      <c r="J813" s="115">
        <f t="shared" si="3"/>
        <v>1.1962975899406219</v>
      </c>
      <c r="K813" s="115">
        <f t="shared" si="3"/>
        <v>1.1962975899406219</v>
      </c>
      <c r="L813" s="115">
        <f t="shared" si="3"/>
        <v>1.1962975899406219</v>
      </c>
      <c r="M813" s="115">
        <f t="shared" si="3"/>
        <v>1.2441494935382467</v>
      </c>
      <c r="N813" s="115">
        <f t="shared" si="3"/>
        <v>1.267900803353126</v>
      </c>
      <c r="O813" s="115">
        <f t="shared" si="3"/>
        <v>1.2920013971358713</v>
      </c>
      <c r="P813" s="115">
        <f t="shared" si="3"/>
        <v>1.3758295494236812</v>
      </c>
      <c r="Q813" s="115">
        <f t="shared" si="3"/>
        <v>1.3995808592385608</v>
      </c>
      <c r="R813" s="115">
        <f t="shared" si="3"/>
        <v>1.4114565141460007</v>
      </c>
      <c r="S813" s="115">
        <f t="shared" si="3"/>
        <v>1.4474327628361856</v>
      </c>
      <c r="T813" s="115">
        <f t="shared" si="3"/>
        <v>1.4715333566189313</v>
      </c>
      <c r="U813" s="115">
        <f t="shared" si="3"/>
        <v>1.499825358016067</v>
      </c>
      <c r="V813" s="115">
        <f t="shared" si="3"/>
        <v>1.5571079287460705</v>
      </c>
      <c r="W813" s="115">
        <f t="shared" si="3"/>
        <v>1.5866929793922457</v>
      </c>
      <c r="X813" s="115">
        <f t="shared" si="4"/>
        <v>1.7199751896611946</v>
      </c>
      <c r="Y813" s="115">
        <f t="shared" si="4"/>
        <v>1.7939341228166259</v>
      </c>
      <c r="Z813" s="115">
        <f t="shared" si="4"/>
        <v>1.8979823019399904</v>
      </c>
      <c r="AA813" s="115">
        <f t="shared" si="4"/>
        <v>1.9720036117156499</v>
      </c>
      <c r="AB813" s="115">
        <f t="shared" si="4"/>
        <v>2.0370797309022661</v>
      </c>
      <c r="AC813" s="115">
        <f t="shared" si="4"/>
        <v>2.1776382323345223</v>
      </c>
      <c r="AD813" s="115">
        <f t="shared" si="4"/>
        <v>2.2952306968805867</v>
      </c>
      <c r="AE813" s="115">
        <f t="shared" si="4"/>
        <v>2.4696682298435113</v>
      </c>
      <c r="AF813" s="115">
        <f t="shared" si="4"/>
        <v>2.6524236788519313</v>
      </c>
      <c r="AG813" s="115">
        <f t="shared" si="4"/>
        <v>2.8672699968389375</v>
      </c>
      <c r="AH813" s="115">
        <f t="shared" si="4"/>
        <v>3.1482624565291535</v>
      </c>
      <c r="AI813" s="115">
        <f t="shared" si="4"/>
        <v>3.4851265393777728</v>
      </c>
      <c r="AJ813" s="115">
        <f t="shared" si="4"/>
        <v>3.7743920421461277</v>
      </c>
      <c r="AK813" s="115">
        <f t="shared" si="4"/>
        <v>4.0310507010120649</v>
      </c>
      <c r="AL813" s="115">
        <f t="shared" si="4"/>
        <v>4.2003548304545717</v>
      </c>
      <c r="AM813" s="115">
        <f t="shared" si="4"/>
        <v>4.3599683140118453</v>
      </c>
      <c r="AN813" s="115">
        <f t="shared" si="5"/>
        <v>4.6695260643066865</v>
      </c>
      <c r="AO813" s="115">
        <f t="shared" si="5"/>
        <v>4.9683757324223148</v>
      </c>
      <c r="AP813" s="115">
        <f t="shared" si="5"/>
        <v>5.2615099006352315</v>
      </c>
      <c r="AQ813" s="115">
        <f t="shared" si="5"/>
        <v>5.3983091580517479</v>
      </c>
      <c r="AR813" s="115">
        <f t="shared" si="5"/>
        <v>5.5494618144771968</v>
      </c>
      <c r="AS813" s="115">
        <f t="shared" si="5"/>
        <v>5.6770994362101721</v>
      </c>
      <c r="AT813" s="115">
        <f t="shared" si="5"/>
        <v>5.648713939029121</v>
      </c>
      <c r="AU813" s="115">
        <f t="shared" si="5"/>
        <v>5.6600113669071792</v>
      </c>
      <c r="AV813" s="115">
        <f t="shared" si="5"/>
        <v>5.710951469209343</v>
      </c>
      <c r="AW813" s="115">
        <f t="shared" si="5"/>
        <v>5.7737719353706449</v>
      </c>
      <c r="AX813" s="115">
        <f t="shared" si="5"/>
        <v>5.9123424618195406</v>
      </c>
      <c r="AY813" s="115">
        <f t="shared" si="5"/>
        <v>6.1843102150632401</v>
      </c>
      <c r="AZ813" s="115">
        <f t="shared" si="5"/>
        <v>6.4007610725904529</v>
      </c>
      <c r="BA813" s="115">
        <f t="shared" si="5"/>
        <v>6.5287762940422622</v>
      </c>
      <c r="BB813" s="115">
        <f t="shared" si="5"/>
        <v>6.6985244776873616</v>
      </c>
      <c r="BC813" s="115">
        <f t="shared" si="5"/>
        <v>6.7990023448526715</v>
      </c>
      <c r="BD813" s="115">
        <f t="shared" si="6"/>
        <v>6.9281833894048717</v>
      </c>
      <c r="BE813" s="115">
        <f t="shared" si="6"/>
        <v>7.1083161575293987</v>
      </c>
      <c r="BF813" s="115">
        <f t="shared" si="6"/>
        <v>7.229157532207398</v>
      </c>
      <c r="BG813" s="115">
        <f t="shared" si="6"/>
        <v>7.4171156280447903</v>
      </c>
      <c r="BH813" s="115">
        <f t="shared" si="6"/>
        <v>7.6025435187459092</v>
      </c>
      <c r="BI813" s="115">
        <f t="shared" si="6"/>
        <v>7.9598630641269663</v>
      </c>
      <c r="BJ813" s="115">
        <f t="shared" si="6"/>
        <v>8.2225385452431556</v>
      </c>
      <c r="BK813" s="115">
        <f t="shared" si="6"/>
        <v>8.3952118546932617</v>
      </c>
      <c r="BL813" s="115">
        <f t="shared" si="6"/>
        <v>8.4875591850948862</v>
      </c>
      <c r="BM813" s="115">
        <f t="shared" si="6"/>
        <v>8.6403352504265936</v>
      </c>
      <c r="BN813" s="115">
        <f t="shared" si="6"/>
        <v>8.7612999439325652</v>
      </c>
      <c r="BO813" s="115">
        <f t="shared" si="6"/>
        <v>8.857674243315822</v>
      </c>
      <c r="BP813" s="115">
        <f t="shared" si="6"/>
        <v>9.1411198191019292</v>
      </c>
      <c r="BQ813" s="115">
        <f t="shared" si="6"/>
        <v>9.1685431785592346</v>
      </c>
      <c r="BR813" s="115">
        <f t="shared" si="6"/>
        <v>9.3060713262376229</v>
      </c>
      <c r="BS813" s="115">
        <f t="shared" si="6"/>
        <v>9.5480291807198014</v>
      </c>
      <c r="BT813" s="115">
        <f t="shared" si="7"/>
        <v>9.7676338518763561</v>
      </c>
      <c r="BU813" s="115">
        <f t="shared" si="7"/>
        <v>10.041127599728894</v>
      </c>
      <c r="BV813" s="115">
        <f t="shared" si="7"/>
        <v>10.141538875726182</v>
      </c>
      <c r="BW813" s="115">
        <f t="shared" si="7"/>
        <v>10.222671186731992</v>
      </c>
      <c r="BX813" s="115">
        <f t="shared" si="7"/>
        <v>10.243116529105455</v>
      </c>
      <c r="BY813" s="115">
        <f t="shared" si="7"/>
        <v>10.386520160512932</v>
      </c>
      <c r="BZ813" s="115">
        <f t="shared" si="7"/>
        <v>10.511158402439087</v>
      </c>
      <c r="CA813" s="115">
        <f t="shared" si="7"/>
        <v>10.784448520902503</v>
      </c>
      <c r="CB813" s="115">
        <f t="shared" si="7"/>
        <v>10.956999697236943</v>
      </c>
      <c r="CC813" s="115">
        <f t="shared" si="7"/>
        <v>11.154225691787209</v>
      </c>
      <c r="CD813" s="115">
        <f t="shared" si="7"/>
        <v>11.845787684678017</v>
      </c>
      <c r="CE813" s="115">
        <f t="shared" si="7"/>
        <v>12.79345069945226</v>
      </c>
      <c r="CF813" s="115">
        <f t="shared" si="7"/>
        <v>13.151667319036923</v>
      </c>
      <c r="CG813" s="115">
        <f t="shared" si="7"/>
        <v>13.651430677160326</v>
      </c>
    </row>
    <row r="814" spans="1:16383">
      <c r="A814" s="3"/>
      <c r="B814" s="113">
        <v>1950</v>
      </c>
      <c r="C814" s="113"/>
      <c r="D814" s="3"/>
      <c r="E814" s="116"/>
      <c r="F814" s="116"/>
      <c r="G814" s="116"/>
      <c r="H814" s="116"/>
      <c r="I814" s="114">
        <v>1</v>
      </c>
      <c r="J814" s="115">
        <f>I814*J$807</f>
        <v>1.0963508322663253</v>
      </c>
      <c r="K814" s="115">
        <f t="shared" si="3"/>
        <v>1.0963508322663253</v>
      </c>
      <c r="L814" s="115">
        <f t="shared" si="3"/>
        <v>1.0963508322663253</v>
      </c>
      <c r="M814" s="115">
        <f t="shared" si="3"/>
        <v>1.1402048655569783</v>
      </c>
      <c r="N814" s="115">
        <f t="shared" si="3"/>
        <v>1.1619718309859155</v>
      </c>
      <c r="O814" s="115">
        <f t="shared" si="3"/>
        <v>1.184058898847631</v>
      </c>
      <c r="P814" s="115">
        <f t="shared" si="3"/>
        <v>1.2608834827144684</v>
      </c>
      <c r="Q814" s="115">
        <f t="shared" si="3"/>
        <v>1.2826504481434058</v>
      </c>
      <c r="R814" s="115">
        <f t="shared" si="3"/>
        <v>1.2935339308578746</v>
      </c>
      <c r="S814" s="115">
        <f t="shared" si="3"/>
        <v>1.3265044814340587</v>
      </c>
      <c r="T814" s="115">
        <f t="shared" si="3"/>
        <v>1.3485915492957747</v>
      </c>
      <c r="U814" s="115">
        <f t="shared" si="3"/>
        <v>1.3745198463508324</v>
      </c>
      <c r="V814" s="115">
        <f t="shared" si="3"/>
        <v>1.4270166453265045</v>
      </c>
      <c r="W814" s="115">
        <f t="shared" si="3"/>
        <v>1.4541299615877079</v>
      </c>
      <c r="X814" s="115">
        <f t="shared" si="4"/>
        <v>1.5762768783610754</v>
      </c>
      <c r="Y814" s="115">
        <f t="shared" si="4"/>
        <v>1.6440567841306015</v>
      </c>
      <c r="Z814" s="115">
        <f t="shared" si="4"/>
        <v>1.7394120776101765</v>
      </c>
      <c r="AA814" s="115">
        <f t="shared" si="4"/>
        <v>1.8072491486369733</v>
      </c>
      <c r="AB814" s="115">
        <f t="shared" si="4"/>
        <v>1.8668883705419932</v>
      </c>
      <c r="AC814" s="115">
        <f t="shared" si="4"/>
        <v>1.9957036681093907</v>
      </c>
      <c r="AD814" s="115">
        <f t="shared" si="4"/>
        <v>2.1034716661872981</v>
      </c>
      <c r="AE814" s="115">
        <f t="shared" si="4"/>
        <v>2.263335512817533</v>
      </c>
      <c r="AF814" s="115">
        <f t="shared" si="4"/>
        <v>2.4308223407660305</v>
      </c>
      <c r="AG814" s="115">
        <f t="shared" si="4"/>
        <v>2.6277189503680791</v>
      </c>
      <c r="AH814" s="115">
        <f t="shared" si="4"/>
        <v>2.8852354075041511</v>
      </c>
      <c r="AI814" s="115">
        <f t="shared" si="4"/>
        <v>3.1939555961070951</v>
      </c>
      <c r="AJ814" s="115">
        <f t="shared" si="4"/>
        <v>3.4590539105839837</v>
      </c>
      <c r="AK814" s="115">
        <f t="shared" si="4"/>
        <v>3.6942695765036948</v>
      </c>
      <c r="AL814" s="115">
        <f t="shared" si="4"/>
        <v>3.8494288987168503</v>
      </c>
      <c r="AM814" s="115">
        <f t="shared" si="4"/>
        <v>3.9957071968680906</v>
      </c>
      <c r="AN814" s="115">
        <f t="shared" si="5"/>
        <v>4.2794024078457245</v>
      </c>
      <c r="AO814" s="115">
        <f t="shared" si="5"/>
        <v>4.5532841619478512</v>
      </c>
      <c r="AP814" s="115">
        <f t="shared" si="5"/>
        <v>4.8219279275027738</v>
      </c>
      <c r="AQ814" s="115">
        <f t="shared" si="5"/>
        <v>4.9472980536178461</v>
      </c>
      <c r="AR814" s="115">
        <f t="shared" si="5"/>
        <v>5.085822399119146</v>
      </c>
      <c r="AS814" s="115">
        <f t="shared" si="5"/>
        <v>5.2027963142988858</v>
      </c>
      <c r="AT814" s="115">
        <f t="shared" si="5"/>
        <v>5.1767823327273916</v>
      </c>
      <c r="AU814" s="115">
        <f t="shared" si="5"/>
        <v>5.1871358973928468</v>
      </c>
      <c r="AV814" s="115">
        <f t="shared" si="5"/>
        <v>5.2338201204693817</v>
      </c>
      <c r="AW814" s="115">
        <f t="shared" si="5"/>
        <v>5.2913921417945442</v>
      </c>
      <c r="AX814" s="115">
        <f t="shared" si="5"/>
        <v>5.4183855531976137</v>
      </c>
      <c r="AY814" s="115">
        <f t="shared" si="5"/>
        <v>5.6676312886447038</v>
      </c>
      <c r="AZ814" s="115">
        <f t="shared" si="5"/>
        <v>5.865998383747268</v>
      </c>
      <c r="BA814" s="115">
        <f t="shared" si="5"/>
        <v>5.9833183514222137</v>
      </c>
      <c r="BB814" s="115">
        <f t="shared" si="5"/>
        <v>6.1388846285591914</v>
      </c>
      <c r="BC814" s="115">
        <f t="shared" si="5"/>
        <v>6.2309678979875782</v>
      </c>
      <c r="BD814" s="115">
        <f t="shared" si="6"/>
        <v>6.3493562880493419</v>
      </c>
      <c r="BE814" s="115">
        <f t="shared" si="6"/>
        <v>6.5144395515386249</v>
      </c>
      <c r="BF814" s="115">
        <f t="shared" si="6"/>
        <v>6.6251850239147805</v>
      </c>
      <c r="BG814" s="115">
        <f t="shared" si="6"/>
        <v>6.797439834536565</v>
      </c>
      <c r="BH814" s="115">
        <f t="shared" si="6"/>
        <v>6.9673758303999787</v>
      </c>
      <c r="BI814" s="115">
        <f t="shared" si="6"/>
        <v>7.2948424944287771</v>
      </c>
      <c r="BJ814" s="115">
        <f t="shared" si="6"/>
        <v>7.5355722967449266</v>
      </c>
      <c r="BK814" s="115">
        <f t="shared" si="6"/>
        <v>7.6938193149765697</v>
      </c>
      <c r="BL814" s="115">
        <f t="shared" si="6"/>
        <v>7.778451327441311</v>
      </c>
      <c r="BM814" s="115">
        <f t="shared" si="6"/>
        <v>7.9184634513352545</v>
      </c>
      <c r="BN814" s="115">
        <f t="shared" si="6"/>
        <v>8.0293219396539488</v>
      </c>
      <c r="BO814" s="115">
        <f t="shared" si="6"/>
        <v>8.1176444809901422</v>
      </c>
      <c r="BP814" s="115">
        <f t="shared" si="6"/>
        <v>8.3774091043818277</v>
      </c>
      <c r="BQ814" s="115">
        <f t="shared" si="6"/>
        <v>8.4025413316949731</v>
      </c>
      <c r="BR814" s="115">
        <f t="shared" si="6"/>
        <v>8.5285794516703977</v>
      </c>
      <c r="BS814" s="115">
        <f t="shared" si="6"/>
        <v>8.7503225174138279</v>
      </c>
      <c r="BT814" s="115">
        <f t="shared" si="7"/>
        <v>8.9515799353143457</v>
      </c>
      <c r="BU814" s="115">
        <f t="shared" si="7"/>
        <v>9.2022241735031471</v>
      </c>
      <c r="BV814" s="115">
        <f t="shared" si="7"/>
        <v>9.2942464152381792</v>
      </c>
      <c r="BW814" s="115">
        <f t="shared" si="7"/>
        <v>9.3686003865600842</v>
      </c>
      <c r="BX814" s="115">
        <f t="shared" si="7"/>
        <v>9.3873375873332048</v>
      </c>
      <c r="BY814" s="115">
        <f t="shared" si="7"/>
        <v>9.5187603135558696</v>
      </c>
      <c r="BZ814" s="115">
        <f t="shared" si="7"/>
        <v>9.6329854373185402</v>
      </c>
      <c r="CA814" s="115">
        <f t="shared" si="7"/>
        <v>9.8834430586888224</v>
      </c>
      <c r="CB814" s="115">
        <f t="shared" si="7"/>
        <v>10.041578147627844</v>
      </c>
      <c r="CC814" s="115">
        <f t="shared" si="7"/>
        <v>10.222326554285145</v>
      </c>
      <c r="CD814" s="115">
        <f t="shared" si="7"/>
        <v>10.856110800650825</v>
      </c>
      <c r="CE814" s="115">
        <f t="shared" si="7"/>
        <v>11.724599664702891</v>
      </c>
      <c r="CF814" s="115">
        <f t="shared" si="7"/>
        <v>12.052888455314573</v>
      </c>
      <c r="CG814" s="115">
        <f t="shared" si="7"/>
        <v>12.510898216616527</v>
      </c>
    </row>
    <row r="815" spans="1:16383">
      <c r="A815" s="3"/>
      <c r="B815" s="113">
        <v>1951</v>
      </c>
      <c r="C815" s="113"/>
      <c r="D815" s="3"/>
      <c r="E815" s="116"/>
      <c r="F815" s="116"/>
      <c r="G815" s="116"/>
      <c r="H815" s="116"/>
      <c r="I815" s="116"/>
      <c r="J815" s="114">
        <v>1</v>
      </c>
      <c r="K815" s="115">
        <f t="shared" si="3"/>
        <v>1</v>
      </c>
      <c r="L815" s="115">
        <f t="shared" si="3"/>
        <v>1</v>
      </c>
      <c r="M815" s="115">
        <f t="shared" si="3"/>
        <v>1.04</v>
      </c>
      <c r="N815" s="115">
        <f t="shared" si="3"/>
        <v>1.0598540145985402</v>
      </c>
      <c r="O815" s="115">
        <f t="shared" si="3"/>
        <v>1.0799999999999998</v>
      </c>
      <c r="P815" s="115">
        <f t="shared" si="3"/>
        <v>1.1500729927007298</v>
      </c>
      <c r="Q815" s="115">
        <f t="shared" si="3"/>
        <v>1.16992700729927</v>
      </c>
      <c r="R815" s="115">
        <f t="shared" si="3"/>
        <v>1.1798540145985403</v>
      </c>
      <c r="S815" s="115">
        <f t="shared" si="3"/>
        <v>1.2099270072992701</v>
      </c>
      <c r="T815" s="115">
        <f t="shared" si="3"/>
        <v>1.2300729927007301</v>
      </c>
      <c r="U815" s="115">
        <f t="shared" si="3"/>
        <v>1.2537226277372264</v>
      </c>
      <c r="V815" s="115">
        <f t="shared" si="3"/>
        <v>1.3016058394160586</v>
      </c>
      <c r="W815" s="115">
        <f t="shared" si="3"/>
        <v>1.3263363503649634</v>
      </c>
      <c r="X815" s="115">
        <f t="shared" si="4"/>
        <v>1.4377486037956204</v>
      </c>
      <c r="Y815" s="115">
        <f t="shared" si="4"/>
        <v>1.499571793758832</v>
      </c>
      <c r="Z815" s="115">
        <f t="shared" si="4"/>
        <v>1.5865469577968443</v>
      </c>
      <c r="AA815" s="115">
        <f t="shared" si="4"/>
        <v>1.648422289150921</v>
      </c>
      <c r="AB815" s="115">
        <f t="shared" si="4"/>
        <v>1.7028202246929014</v>
      </c>
      <c r="AC815" s="115">
        <f t="shared" si="4"/>
        <v>1.8203148201967114</v>
      </c>
      <c r="AD815" s="115">
        <f t="shared" si="4"/>
        <v>1.9186118204873339</v>
      </c>
      <c r="AE815" s="115">
        <f t="shared" si="4"/>
        <v>2.0644263188443714</v>
      </c>
      <c r="AF815" s="115">
        <f t="shared" si="4"/>
        <v>2.2171938664388549</v>
      </c>
      <c r="AG815" s="115">
        <f t="shared" si="4"/>
        <v>2.396786569620402</v>
      </c>
      <c r="AH815" s="115">
        <f t="shared" si="4"/>
        <v>2.6316716534432016</v>
      </c>
      <c r="AI815" s="115">
        <f t="shared" si="4"/>
        <v>2.9132605203616242</v>
      </c>
      <c r="AJ815" s="115">
        <f t="shared" si="4"/>
        <v>3.1550611435516389</v>
      </c>
      <c r="AK815" s="115">
        <f t="shared" si="4"/>
        <v>3.3696053013131504</v>
      </c>
      <c r="AL815" s="115">
        <f t="shared" si="4"/>
        <v>3.5111287239683029</v>
      </c>
      <c r="AM815" s="115">
        <f t="shared" si="4"/>
        <v>3.6445516154790987</v>
      </c>
      <c r="AN815" s="115">
        <f t="shared" si="5"/>
        <v>3.9033147801781145</v>
      </c>
      <c r="AO815" s="115">
        <f t="shared" si="5"/>
        <v>4.1531269261095138</v>
      </c>
      <c r="AP815" s="115">
        <f t="shared" si="5"/>
        <v>4.3981614147499748</v>
      </c>
      <c r="AQ815" s="115">
        <f t="shared" si="5"/>
        <v>4.5125136115334739</v>
      </c>
      <c r="AR815" s="115">
        <f t="shared" si="5"/>
        <v>4.638863992656411</v>
      </c>
      <c r="AS815" s="115">
        <f t="shared" si="5"/>
        <v>4.745557864487508</v>
      </c>
      <c r="AT815" s="115">
        <f t="shared" si="5"/>
        <v>4.7218300751650704</v>
      </c>
      <c r="AU815" s="115">
        <f t="shared" si="5"/>
        <v>4.7312737353154004</v>
      </c>
      <c r="AV815" s="115">
        <f t="shared" si="5"/>
        <v>4.773855198933239</v>
      </c>
      <c r="AW815" s="115">
        <f t="shared" si="5"/>
        <v>4.8263676061215044</v>
      </c>
      <c r="AX815" s="115">
        <f t="shared" si="5"/>
        <v>4.9422004286684205</v>
      </c>
      <c r="AY815" s="115">
        <f t="shared" si="5"/>
        <v>5.1695416483871677</v>
      </c>
      <c r="AZ815" s="115">
        <f t="shared" si="5"/>
        <v>5.3504756060807184</v>
      </c>
      <c r="BA815" s="115">
        <f t="shared" si="5"/>
        <v>5.4574851182023325</v>
      </c>
      <c r="BB815" s="115">
        <f t="shared" si="5"/>
        <v>5.5993797312755929</v>
      </c>
      <c r="BC815" s="115">
        <f t="shared" si="5"/>
        <v>5.6833704272447259</v>
      </c>
      <c r="BD815" s="115">
        <f t="shared" si="6"/>
        <v>5.7913544653623754</v>
      </c>
      <c r="BE815" s="115">
        <f t="shared" si="6"/>
        <v>5.9419296814617972</v>
      </c>
      <c r="BF815" s="115">
        <f t="shared" si="6"/>
        <v>6.0429424860466474</v>
      </c>
      <c r="BG815" s="115">
        <f t="shared" si="6"/>
        <v>6.2000589906838606</v>
      </c>
      <c r="BH815" s="115">
        <f t="shared" si="6"/>
        <v>6.3550604654509568</v>
      </c>
      <c r="BI815" s="115">
        <f t="shared" si="6"/>
        <v>6.6537483073271515</v>
      </c>
      <c r="BJ815" s="115">
        <f t="shared" si="6"/>
        <v>6.8733220014689467</v>
      </c>
      <c r="BK815" s="115">
        <f t="shared" si="6"/>
        <v>7.0176617634997935</v>
      </c>
      <c r="BL815" s="115">
        <f t="shared" si="6"/>
        <v>7.0948560428982903</v>
      </c>
      <c r="BM815" s="115">
        <f t="shared" si="6"/>
        <v>7.2225634516704593</v>
      </c>
      <c r="BN815" s="115">
        <f t="shared" si="6"/>
        <v>7.3236793399938458</v>
      </c>
      <c r="BO815" s="115">
        <f t="shared" si="6"/>
        <v>7.4042398127337776</v>
      </c>
      <c r="BP815" s="115">
        <f t="shared" si="6"/>
        <v>7.6411754867412585</v>
      </c>
      <c r="BQ815" s="115">
        <f t="shared" si="6"/>
        <v>7.664099013201481</v>
      </c>
      <c r="BR815" s="115">
        <f t="shared" si="6"/>
        <v>7.7790604983995024</v>
      </c>
      <c r="BS815" s="115">
        <f t="shared" si="6"/>
        <v>7.9813160713578899</v>
      </c>
      <c r="BT815" s="115">
        <f t="shared" si="7"/>
        <v>8.1648863409991215</v>
      </c>
      <c r="BU815" s="115">
        <f t="shared" si="7"/>
        <v>8.3935031585470963</v>
      </c>
      <c r="BV815" s="115">
        <f t="shared" si="7"/>
        <v>8.4774381901325668</v>
      </c>
      <c r="BW815" s="115">
        <f t="shared" si="7"/>
        <v>8.5452576956536266</v>
      </c>
      <c r="BX815" s="115">
        <f t="shared" si="7"/>
        <v>8.5623482110449345</v>
      </c>
      <c r="BY815" s="115">
        <f t="shared" si="7"/>
        <v>8.6822210859995632</v>
      </c>
      <c r="BZ815" s="115">
        <f t="shared" si="7"/>
        <v>8.7864077390315583</v>
      </c>
      <c r="CA815" s="115">
        <f t="shared" si="7"/>
        <v>9.0148543402463783</v>
      </c>
      <c r="CB815" s="115">
        <f t="shared" si="7"/>
        <v>9.1590920096903208</v>
      </c>
      <c r="CC815" s="115">
        <f t="shared" si="7"/>
        <v>9.3239556658647462</v>
      </c>
      <c r="CD815" s="115">
        <f t="shared" si="7"/>
        <v>9.9020409171483603</v>
      </c>
      <c r="CE815" s="115">
        <f t="shared" si="7"/>
        <v>10.69420419052023</v>
      </c>
      <c r="CF815" s="115">
        <f t="shared" si="7"/>
        <v>10.993641907854796</v>
      </c>
      <c r="CG815" s="115">
        <f t="shared" si="7"/>
        <v>11.411400300353279</v>
      </c>
    </row>
    <row r="816" spans="1:16383">
      <c r="A816" s="3"/>
      <c r="B816" s="113">
        <v>1952</v>
      </c>
      <c r="C816" s="113"/>
      <c r="D816" s="3"/>
      <c r="E816" s="116"/>
      <c r="F816" s="116"/>
      <c r="G816" s="116"/>
      <c r="H816" s="116"/>
      <c r="I816" s="116"/>
      <c r="J816" s="116"/>
      <c r="K816" s="114">
        <v>1</v>
      </c>
      <c r="L816" s="115">
        <f t="shared" si="3"/>
        <v>1</v>
      </c>
      <c r="M816" s="115">
        <f t="shared" si="3"/>
        <v>1.04</v>
      </c>
      <c r="N816" s="115">
        <f t="shared" si="3"/>
        <v>1.0598540145985402</v>
      </c>
      <c r="O816" s="115">
        <f t="shared" si="3"/>
        <v>1.0799999999999998</v>
      </c>
      <c r="P816" s="115">
        <f t="shared" si="3"/>
        <v>1.1500729927007298</v>
      </c>
      <c r="Q816" s="115">
        <f t="shared" si="3"/>
        <v>1.16992700729927</v>
      </c>
      <c r="R816" s="115">
        <f t="shared" si="3"/>
        <v>1.1798540145985403</v>
      </c>
      <c r="S816" s="115">
        <f t="shared" si="3"/>
        <v>1.2099270072992701</v>
      </c>
      <c r="T816" s="115">
        <f t="shared" si="3"/>
        <v>1.2300729927007301</v>
      </c>
      <c r="U816" s="115">
        <f t="shared" si="3"/>
        <v>1.2537226277372264</v>
      </c>
      <c r="V816" s="115">
        <f t="shared" si="3"/>
        <v>1.3016058394160586</v>
      </c>
      <c r="W816" s="115">
        <f t="shared" si="3"/>
        <v>1.3263363503649634</v>
      </c>
      <c r="X816" s="115">
        <f t="shared" si="4"/>
        <v>1.4377486037956204</v>
      </c>
      <c r="Y816" s="115">
        <f t="shared" si="4"/>
        <v>1.499571793758832</v>
      </c>
      <c r="Z816" s="115">
        <f t="shared" si="4"/>
        <v>1.5865469577968443</v>
      </c>
      <c r="AA816" s="115">
        <f t="shared" si="4"/>
        <v>1.648422289150921</v>
      </c>
      <c r="AB816" s="115">
        <f t="shared" si="4"/>
        <v>1.7028202246929014</v>
      </c>
      <c r="AC816" s="115">
        <f t="shared" si="4"/>
        <v>1.8203148201967114</v>
      </c>
      <c r="AD816" s="115">
        <f t="shared" si="4"/>
        <v>1.9186118204873339</v>
      </c>
      <c r="AE816" s="115">
        <f t="shared" si="4"/>
        <v>2.0644263188443714</v>
      </c>
      <c r="AF816" s="115">
        <f t="shared" si="4"/>
        <v>2.2171938664388549</v>
      </c>
      <c r="AG816" s="115">
        <f t="shared" si="4"/>
        <v>2.396786569620402</v>
      </c>
      <c r="AH816" s="115">
        <f t="shared" si="4"/>
        <v>2.6316716534432016</v>
      </c>
      <c r="AI816" s="115">
        <f t="shared" si="4"/>
        <v>2.9132605203616242</v>
      </c>
      <c r="AJ816" s="115">
        <f t="shared" si="4"/>
        <v>3.1550611435516389</v>
      </c>
      <c r="AK816" s="115">
        <f t="shared" si="4"/>
        <v>3.3696053013131504</v>
      </c>
      <c r="AL816" s="115">
        <f t="shared" si="4"/>
        <v>3.5111287239683029</v>
      </c>
      <c r="AM816" s="115">
        <f t="shared" si="4"/>
        <v>3.6445516154790987</v>
      </c>
      <c r="AN816" s="115">
        <f t="shared" si="5"/>
        <v>3.9033147801781145</v>
      </c>
      <c r="AO816" s="115">
        <f t="shared" si="5"/>
        <v>4.1531269261095138</v>
      </c>
      <c r="AP816" s="115">
        <f t="shared" si="5"/>
        <v>4.3981614147499748</v>
      </c>
      <c r="AQ816" s="115">
        <f t="shared" si="5"/>
        <v>4.5125136115334739</v>
      </c>
      <c r="AR816" s="115">
        <f t="shared" si="5"/>
        <v>4.638863992656411</v>
      </c>
      <c r="AS816" s="115">
        <f t="shared" si="5"/>
        <v>4.745557864487508</v>
      </c>
      <c r="AT816" s="115">
        <f t="shared" si="5"/>
        <v>4.7218300751650704</v>
      </c>
      <c r="AU816" s="115">
        <f t="shared" si="5"/>
        <v>4.7312737353154004</v>
      </c>
      <c r="AV816" s="115">
        <f t="shared" si="5"/>
        <v>4.773855198933239</v>
      </c>
      <c r="AW816" s="115">
        <f t="shared" si="5"/>
        <v>4.8263676061215044</v>
      </c>
      <c r="AX816" s="115">
        <f t="shared" si="5"/>
        <v>4.9422004286684205</v>
      </c>
      <c r="AY816" s="115">
        <f t="shared" si="5"/>
        <v>5.1695416483871677</v>
      </c>
      <c r="AZ816" s="115">
        <f t="shared" si="5"/>
        <v>5.3504756060807184</v>
      </c>
      <c r="BA816" s="115">
        <f t="shared" si="5"/>
        <v>5.4574851182023325</v>
      </c>
      <c r="BB816" s="115">
        <f t="shared" si="5"/>
        <v>5.5993797312755929</v>
      </c>
      <c r="BC816" s="115">
        <f t="shared" si="5"/>
        <v>5.6833704272447259</v>
      </c>
      <c r="BD816" s="115">
        <f t="shared" si="6"/>
        <v>5.7913544653623754</v>
      </c>
      <c r="BE816" s="115">
        <f t="shared" si="6"/>
        <v>5.9419296814617972</v>
      </c>
      <c r="BF816" s="115">
        <f t="shared" si="6"/>
        <v>6.0429424860466474</v>
      </c>
      <c r="BG816" s="115">
        <f t="shared" si="6"/>
        <v>6.2000589906838606</v>
      </c>
      <c r="BH816" s="115">
        <f t="shared" si="6"/>
        <v>6.3550604654509568</v>
      </c>
      <c r="BI816" s="115">
        <f t="shared" si="6"/>
        <v>6.6537483073271515</v>
      </c>
      <c r="BJ816" s="115">
        <f t="shared" si="6"/>
        <v>6.8733220014689467</v>
      </c>
      <c r="BK816" s="115">
        <f t="shared" si="6"/>
        <v>7.0176617634997935</v>
      </c>
      <c r="BL816" s="115">
        <f t="shared" si="6"/>
        <v>7.0948560428982903</v>
      </c>
      <c r="BM816" s="115">
        <f t="shared" si="6"/>
        <v>7.2225634516704593</v>
      </c>
      <c r="BN816" s="115">
        <f t="shared" si="6"/>
        <v>7.3236793399938458</v>
      </c>
      <c r="BO816" s="115">
        <f t="shared" si="6"/>
        <v>7.4042398127337776</v>
      </c>
      <c r="BP816" s="115">
        <f t="shared" si="6"/>
        <v>7.6411754867412585</v>
      </c>
      <c r="BQ816" s="115">
        <f t="shared" si="6"/>
        <v>7.664099013201481</v>
      </c>
      <c r="BR816" s="115">
        <f t="shared" si="6"/>
        <v>7.7790604983995024</v>
      </c>
      <c r="BS816" s="115">
        <f t="shared" si="6"/>
        <v>7.9813160713578899</v>
      </c>
      <c r="BT816" s="115">
        <f t="shared" si="7"/>
        <v>8.1648863409991215</v>
      </c>
      <c r="BU816" s="115">
        <f t="shared" si="7"/>
        <v>8.3935031585470963</v>
      </c>
      <c r="BV816" s="115">
        <f t="shared" si="7"/>
        <v>8.4774381901325668</v>
      </c>
      <c r="BW816" s="115">
        <f t="shared" si="7"/>
        <v>8.5452576956536266</v>
      </c>
      <c r="BX816" s="115">
        <f t="shared" si="7"/>
        <v>8.5623482110449345</v>
      </c>
      <c r="BY816" s="115">
        <f t="shared" si="7"/>
        <v>8.6822210859995632</v>
      </c>
      <c r="BZ816" s="115">
        <f t="shared" si="7"/>
        <v>8.7864077390315583</v>
      </c>
      <c r="CA816" s="115">
        <f t="shared" si="7"/>
        <v>9.0148543402463783</v>
      </c>
      <c r="CB816" s="115">
        <f t="shared" si="7"/>
        <v>9.1590920096903208</v>
      </c>
      <c r="CC816" s="115">
        <f t="shared" si="7"/>
        <v>9.3239556658647462</v>
      </c>
      <c r="CD816" s="115">
        <f t="shared" si="7"/>
        <v>9.9020409171483603</v>
      </c>
      <c r="CE816" s="115">
        <f t="shared" si="7"/>
        <v>10.69420419052023</v>
      </c>
      <c r="CF816" s="115">
        <f t="shared" si="7"/>
        <v>10.993641907854796</v>
      </c>
      <c r="CG816" s="115">
        <f t="shared" si="7"/>
        <v>11.411400300353279</v>
      </c>
    </row>
    <row r="817" spans="1:85">
      <c r="A817" s="3"/>
      <c r="B817" s="113">
        <v>1953</v>
      </c>
      <c r="C817" s="113"/>
      <c r="D817" s="3"/>
      <c r="E817" s="116"/>
      <c r="F817" s="116"/>
      <c r="G817" s="116"/>
      <c r="H817" s="116"/>
      <c r="I817" s="116"/>
      <c r="J817" s="116"/>
      <c r="K817" s="116"/>
      <c r="L817" s="114">
        <v>1</v>
      </c>
      <c r="M817" s="115">
        <f t="shared" si="3"/>
        <v>1.04</v>
      </c>
      <c r="N817" s="115">
        <f t="shared" si="3"/>
        <v>1.0598540145985402</v>
      </c>
      <c r="O817" s="115">
        <f t="shared" si="3"/>
        <v>1.0799999999999998</v>
      </c>
      <c r="P817" s="115">
        <f t="shared" si="3"/>
        <v>1.1500729927007298</v>
      </c>
      <c r="Q817" s="115">
        <f t="shared" si="3"/>
        <v>1.16992700729927</v>
      </c>
      <c r="R817" s="115">
        <f t="shared" si="3"/>
        <v>1.1798540145985403</v>
      </c>
      <c r="S817" s="115">
        <f t="shared" si="3"/>
        <v>1.2099270072992701</v>
      </c>
      <c r="T817" s="115">
        <f t="shared" si="3"/>
        <v>1.2300729927007301</v>
      </c>
      <c r="U817" s="115">
        <f t="shared" si="3"/>
        <v>1.2537226277372264</v>
      </c>
      <c r="V817" s="115">
        <f t="shared" si="3"/>
        <v>1.3016058394160586</v>
      </c>
      <c r="W817" s="115">
        <f t="shared" si="3"/>
        <v>1.3263363503649634</v>
      </c>
      <c r="X817" s="115">
        <f t="shared" si="4"/>
        <v>1.4377486037956204</v>
      </c>
      <c r="Y817" s="115">
        <f t="shared" si="4"/>
        <v>1.499571793758832</v>
      </c>
      <c r="Z817" s="115">
        <f t="shared" si="4"/>
        <v>1.5865469577968443</v>
      </c>
      <c r="AA817" s="115">
        <f t="shared" si="4"/>
        <v>1.648422289150921</v>
      </c>
      <c r="AB817" s="115">
        <f t="shared" si="4"/>
        <v>1.7028202246929014</v>
      </c>
      <c r="AC817" s="115">
        <f t="shared" si="4"/>
        <v>1.8203148201967114</v>
      </c>
      <c r="AD817" s="115">
        <f t="shared" si="4"/>
        <v>1.9186118204873339</v>
      </c>
      <c r="AE817" s="115">
        <f t="shared" si="4"/>
        <v>2.0644263188443714</v>
      </c>
      <c r="AF817" s="115">
        <f t="shared" si="4"/>
        <v>2.2171938664388549</v>
      </c>
      <c r="AG817" s="115">
        <f t="shared" si="4"/>
        <v>2.396786569620402</v>
      </c>
      <c r="AH817" s="115">
        <f t="shared" si="4"/>
        <v>2.6316716534432016</v>
      </c>
      <c r="AI817" s="115">
        <f t="shared" si="4"/>
        <v>2.9132605203616242</v>
      </c>
      <c r="AJ817" s="115">
        <f t="shared" si="4"/>
        <v>3.1550611435516389</v>
      </c>
      <c r="AK817" s="115">
        <f t="shared" si="4"/>
        <v>3.3696053013131504</v>
      </c>
      <c r="AL817" s="115">
        <f t="shared" si="4"/>
        <v>3.5111287239683029</v>
      </c>
      <c r="AM817" s="115">
        <f t="shared" si="4"/>
        <v>3.6445516154790987</v>
      </c>
      <c r="AN817" s="115">
        <f t="shared" si="5"/>
        <v>3.9033147801781145</v>
      </c>
      <c r="AO817" s="115">
        <f t="shared" si="5"/>
        <v>4.1531269261095138</v>
      </c>
      <c r="AP817" s="115">
        <f t="shared" si="5"/>
        <v>4.3981614147499748</v>
      </c>
      <c r="AQ817" s="115">
        <f t="shared" si="5"/>
        <v>4.5125136115334739</v>
      </c>
      <c r="AR817" s="115">
        <f t="shared" si="5"/>
        <v>4.638863992656411</v>
      </c>
      <c r="AS817" s="115">
        <f t="shared" si="5"/>
        <v>4.745557864487508</v>
      </c>
      <c r="AT817" s="115">
        <f t="shared" si="5"/>
        <v>4.7218300751650704</v>
      </c>
      <c r="AU817" s="115">
        <f t="shared" si="5"/>
        <v>4.7312737353154004</v>
      </c>
      <c r="AV817" s="115">
        <f t="shared" si="5"/>
        <v>4.773855198933239</v>
      </c>
      <c r="AW817" s="115">
        <f t="shared" si="5"/>
        <v>4.8263676061215044</v>
      </c>
      <c r="AX817" s="115">
        <f t="shared" si="5"/>
        <v>4.9422004286684205</v>
      </c>
      <c r="AY817" s="115">
        <f t="shared" si="5"/>
        <v>5.1695416483871677</v>
      </c>
      <c r="AZ817" s="115">
        <f t="shared" si="5"/>
        <v>5.3504756060807184</v>
      </c>
      <c r="BA817" s="115">
        <f t="shared" si="5"/>
        <v>5.4574851182023325</v>
      </c>
      <c r="BB817" s="115">
        <f t="shared" si="5"/>
        <v>5.5993797312755929</v>
      </c>
      <c r="BC817" s="115">
        <f t="shared" si="5"/>
        <v>5.6833704272447259</v>
      </c>
      <c r="BD817" s="115">
        <f t="shared" si="6"/>
        <v>5.7913544653623754</v>
      </c>
      <c r="BE817" s="115">
        <f t="shared" si="6"/>
        <v>5.9419296814617972</v>
      </c>
      <c r="BF817" s="115">
        <f t="shared" si="6"/>
        <v>6.0429424860466474</v>
      </c>
      <c r="BG817" s="115">
        <f t="shared" si="6"/>
        <v>6.2000589906838606</v>
      </c>
      <c r="BH817" s="115">
        <f t="shared" si="6"/>
        <v>6.3550604654509568</v>
      </c>
      <c r="BI817" s="115">
        <f t="shared" si="6"/>
        <v>6.6537483073271515</v>
      </c>
      <c r="BJ817" s="115">
        <f t="shared" si="6"/>
        <v>6.8733220014689467</v>
      </c>
      <c r="BK817" s="115">
        <f t="shared" si="6"/>
        <v>7.0176617634997935</v>
      </c>
      <c r="BL817" s="115">
        <f t="shared" si="6"/>
        <v>7.0948560428982903</v>
      </c>
      <c r="BM817" s="115">
        <f t="shared" si="6"/>
        <v>7.2225634516704593</v>
      </c>
      <c r="BN817" s="115">
        <f t="shared" si="6"/>
        <v>7.3236793399938458</v>
      </c>
      <c r="BO817" s="115">
        <f t="shared" si="6"/>
        <v>7.4042398127337776</v>
      </c>
      <c r="BP817" s="115">
        <f t="shared" si="6"/>
        <v>7.6411754867412585</v>
      </c>
      <c r="BQ817" s="115">
        <f t="shared" si="6"/>
        <v>7.664099013201481</v>
      </c>
      <c r="BR817" s="115">
        <f t="shared" si="6"/>
        <v>7.7790604983995024</v>
      </c>
      <c r="BS817" s="115">
        <f t="shared" si="6"/>
        <v>7.9813160713578899</v>
      </c>
      <c r="BT817" s="115">
        <f t="shared" si="7"/>
        <v>8.1648863409991215</v>
      </c>
      <c r="BU817" s="115">
        <f t="shared" si="7"/>
        <v>8.3935031585470963</v>
      </c>
      <c r="BV817" s="115">
        <f t="shared" si="7"/>
        <v>8.4774381901325668</v>
      </c>
      <c r="BW817" s="115">
        <f t="shared" si="7"/>
        <v>8.5452576956536266</v>
      </c>
      <c r="BX817" s="115">
        <f t="shared" si="7"/>
        <v>8.5623482110449345</v>
      </c>
      <c r="BY817" s="115">
        <f t="shared" si="7"/>
        <v>8.6822210859995632</v>
      </c>
      <c r="BZ817" s="115">
        <f t="shared" si="7"/>
        <v>8.7864077390315583</v>
      </c>
      <c r="CA817" s="115">
        <f t="shared" si="7"/>
        <v>9.0148543402463783</v>
      </c>
      <c r="CB817" s="115">
        <f t="shared" si="7"/>
        <v>9.1590920096903208</v>
      </c>
      <c r="CC817" s="115">
        <f t="shared" si="7"/>
        <v>9.3239556658647462</v>
      </c>
      <c r="CD817" s="115">
        <f t="shared" si="7"/>
        <v>9.9020409171483603</v>
      </c>
      <c r="CE817" s="115">
        <f t="shared" si="7"/>
        <v>10.69420419052023</v>
      </c>
      <c r="CF817" s="115">
        <f t="shared" si="7"/>
        <v>10.993641907854796</v>
      </c>
      <c r="CG817" s="115">
        <f t="shared" si="7"/>
        <v>11.411400300353279</v>
      </c>
    </row>
    <row r="818" spans="1:85">
      <c r="A818" s="3"/>
      <c r="B818" s="113">
        <v>1954</v>
      </c>
      <c r="C818" s="113"/>
      <c r="D818" s="3"/>
      <c r="E818" s="116"/>
      <c r="F818" s="116"/>
      <c r="G818" s="116"/>
      <c r="H818" s="116"/>
      <c r="I818" s="116"/>
      <c r="J818" s="116"/>
      <c r="K818" s="116"/>
      <c r="L818" s="116"/>
      <c r="M818" s="114">
        <v>1</v>
      </c>
      <c r="N818" s="115">
        <f t="shared" si="3"/>
        <v>1.0190903986524424</v>
      </c>
      <c r="O818" s="115">
        <f t="shared" si="3"/>
        <v>1.0384615384615383</v>
      </c>
      <c r="P818" s="115">
        <f t="shared" si="3"/>
        <v>1.105839416058394</v>
      </c>
      <c r="Q818" s="115">
        <f t="shared" si="3"/>
        <v>1.1249298147108364</v>
      </c>
      <c r="R818" s="115">
        <f t="shared" si="3"/>
        <v>1.1344750140370579</v>
      </c>
      <c r="S818" s="115">
        <f t="shared" si="3"/>
        <v>1.163391353172375</v>
      </c>
      <c r="T818" s="115">
        <f t="shared" si="3"/>
        <v>1.1827624929814711</v>
      </c>
      <c r="U818" s="115">
        <f t="shared" si="3"/>
        <v>1.2055025266704098</v>
      </c>
      <c r="V818" s="115">
        <f t="shared" si="3"/>
        <v>1.2515440763615946</v>
      </c>
      <c r="W818" s="115">
        <f t="shared" si="3"/>
        <v>1.2753234138124647</v>
      </c>
      <c r="X818" s="115">
        <f t="shared" si="4"/>
        <v>1.3824505805727119</v>
      </c>
      <c r="Y818" s="115">
        <f t="shared" si="4"/>
        <v>1.4418959555373383</v>
      </c>
      <c r="Z818" s="115">
        <f t="shared" si="4"/>
        <v>1.5255259209585039</v>
      </c>
      <c r="AA818" s="115">
        <f t="shared" si="4"/>
        <v>1.5850214318758855</v>
      </c>
      <c r="AB818" s="115">
        <f t="shared" si="4"/>
        <v>1.6373271391277897</v>
      </c>
      <c r="AC818" s="115">
        <f t="shared" si="4"/>
        <v>1.7503027117276071</v>
      </c>
      <c r="AD818" s="115">
        <f t="shared" si="4"/>
        <v>1.8448190581608979</v>
      </c>
      <c r="AE818" s="115">
        <f t="shared" si="4"/>
        <v>1.9850253065811263</v>
      </c>
      <c r="AF818" s="115">
        <f t="shared" si="4"/>
        <v>2.1319171792681297</v>
      </c>
      <c r="AG818" s="115">
        <f t="shared" si="4"/>
        <v>2.3046024707888479</v>
      </c>
      <c r="AH818" s="115">
        <f t="shared" si="4"/>
        <v>2.5304535129261554</v>
      </c>
      <c r="AI818" s="115">
        <f t="shared" si="4"/>
        <v>2.8012120388092541</v>
      </c>
      <c r="AJ818" s="115">
        <f t="shared" si="4"/>
        <v>3.0337126380304222</v>
      </c>
      <c r="AK818" s="115">
        <f t="shared" si="4"/>
        <v>3.2400050974164913</v>
      </c>
      <c r="AL818" s="115">
        <f t="shared" si="4"/>
        <v>3.3760853115079841</v>
      </c>
      <c r="AM818" s="115">
        <f t="shared" si="4"/>
        <v>3.5043765533452875</v>
      </c>
      <c r="AN818" s="115">
        <f t="shared" si="5"/>
        <v>3.7531872886328026</v>
      </c>
      <c r="AO818" s="115">
        <f t="shared" si="5"/>
        <v>3.993391275105302</v>
      </c>
      <c r="AP818" s="115">
        <f t="shared" si="5"/>
        <v>4.2290013603365146</v>
      </c>
      <c r="AQ818" s="115">
        <f t="shared" si="5"/>
        <v>4.3389553957052645</v>
      </c>
      <c r="AR818" s="115">
        <f t="shared" si="5"/>
        <v>4.4604461467850118</v>
      </c>
      <c r="AS818" s="115">
        <f t="shared" si="5"/>
        <v>4.563036408161067</v>
      </c>
      <c r="AT818" s="115">
        <f t="shared" si="5"/>
        <v>4.5402212261202619</v>
      </c>
      <c r="AU818" s="115">
        <f t="shared" si="5"/>
        <v>4.5493016685725021</v>
      </c>
      <c r="AV818" s="115">
        <f t="shared" si="5"/>
        <v>4.5902453835896537</v>
      </c>
      <c r="AW818" s="115">
        <f t="shared" si="5"/>
        <v>4.6407380828091398</v>
      </c>
      <c r="AX818" s="115">
        <f t="shared" si="5"/>
        <v>4.7521157967965593</v>
      </c>
      <c r="AY818" s="115">
        <f t="shared" si="5"/>
        <v>4.970713123449201</v>
      </c>
      <c r="AZ818" s="115">
        <f t="shared" si="5"/>
        <v>5.1446880827699228</v>
      </c>
      <c r="BA818" s="115">
        <f t="shared" si="5"/>
        <v>5.2475818444253211</v>
      </c>
      <c r="BB818" s="115">
        <f t="shared" si="5"/>
        <v>5.38401897238038</v>
      </c>
      <c r="BC818" s="115">
        <f t="shared" si="5"/>
        <v>5.4647792569660849</v>
      </c>
      <c r="BD818" s="115">
        <f t="shared" si="6"/>
        <v>5.5686100628484398</v>
      </c>
      <c r="BE818" s="115">
        <f t="shared" si="6"/>
        <v>5.7133939244824994</v>
      </c>
      <c r="BF818" s="115">
        <f t="shared" si="6"/>
        <v>5.810521621198701</v>
      </c>
      <c r="BG818" s="115">
        <f t="shared" si="6"/>
        <v>5.9615951833498677</v>
      </c>
      <c r="BH818" s="115">
        <f t="shared" si="6"/>
        <v>6.1106350629336141</v>
      </c>
      <c r="BI818" s="115">
        <f t="shared" si="6"/>
        <v>6.3978349108914934</v>
      </c>
      <c r="BJ818" s="115">
        <f t="shared" si="6"/>
        <v>6.6089634629509124</v>
      </c>
      <c r="BK818" s="115">
        <f t="shared" si="6"/>
        <v>6.7477516956728811</v>
      </c>
      <c r="BL818" s="115">
        <f t="shared" si="6"/>
        <v>6.8219769643252821</v>
      </c>
      <c r="BM818" s="115">
        <f t="shared" si="6"/>
        <v>6.9447725496831376</v>
      </c>
      <c r="BN818" s="115">
        <f t="shared" si="6"/>
        <v>7.0419993653787012</v>
      </c>
      <c r="BO818" s="115">
        <f t="shared" si="6"/>
        <v>7.1194613583978663</v>
      </c>
      <c r="BP818" s="115">
        <f t="shared" si="6"/>
        <v>7.3472841218665979</v>
      </c>
      <c r="BQ818" s="115">
        <f t="shared" si="6"/>
        <v>7.369325974232197</v>
      </c>
      <c r="BR818" s="115">
        <f t="shared" si="6"/>
        <v>7.4798658638456796</v>
      </c>
      <c r="BS818" s="115">
        <f t="shared" si="6"/>
        <v>7.6743423763056677</v>
      </c>
      <c r="BT818" s="115">
        <f t="shared" si="7"/>
        <v>7.8508522509606973</v>
      </c>
      <c r="BU818" s="115">
        <f t="shared" si="7"/>
        <v>8.0706761139875969</v>
      </c>
      <c r="BV818" s="115">
        <f t="shared" si="7"/>
        <v>8.1513828751274726</v>
      </c>
      <c r="BW818" s="115">
        <f t="shared" si="7"/>
        <v>8.2165939381284918</v>
      </c>
      <c r="BX818" s="115">
        <f t="shared" si="7"/>
        <v>8.2330271260047496</v>
      </c>
      <c r="BY818" s="115">
        <f t="shared" si="7"/>
        <v>8.3482895057688165</v>
      </c>
      <c r="BZ818" s="115">
        <f t="shared" si="7"/>
        <v>8.4484689798380419</v>
      </c>
      <c r="CA818" s="115">
        <f t="shared" si="7"/>
        <v>8.6681291733138313</v>
      </c>
      <c r="CB818" s="115">
        <f t="shared" si="7"/>
        <v>8.8068192400868526</v>
      </c>
      <c r="CC818" s="115">
        <f t="shared" si="7"/>
        <v>8.9653419864084167</v>
      </c>
      <c r="CD818" s="115">
        <f t="shared" si="7"/>
        <v>9.5211931895657393</v>
      </c>
      <c r="CE818" s="115">
        <f t="shared" si="7"/>
        <v>10.282888644730999</v>
      </c>
      <c r="CF818" s="115">
        <f t="shared" si="7"/>
        <v>10.570809526783467</v>
      </c>
      <c r="CG818" s="115">
        <f t="shared" si="7"/>
        <v>10.972500288801239</v>
      </c>
    </row>
    <row r="819" spans="1:85">
      <c r="A819" s="3"/>
      <c r="B819" s="113">
        <v>1955</v>
      </c>
      <c r="C819" s="113"/>
      <c r="D819" s="3"/>
      <c r="E819" s="116"/>
      <c r="F819" s="116"/>
      <c r="G819" s="116"/>
      <c r="H819" s="116"/>
      <c r="I819" s="116"/>
      <c r="J819" s="116"/>
      <c r="K819" s="116"/>
      <c r="L819" s="116"/>
      <c r="M819" s="116"/>
      <c r="N819" s="114">
        <v>1</v>
      </c>
      <c r="O819" s="115">
        <f>N819*O$807</f>
        <v>1.0190082644628098</v>
      </c>
      <c r="P819" s="115">
        <f>O819*P$807</f>
        <v>1.0851239669421486</v>
      </c>
      <c r="Q819" s="115">
        <f t="shared" si="3"/>
        <v>1.1038567493112947</v>
      </c>
      <c r="R819" s="115">
        <f t="shared" si="3"/>
        <v>1.1132231404958679</v>
      </c>
      <c r="S819" s="115">
        <f t="shared" si="3"/>
        <v>1.1415977961432506</v>
      </c>
      <c r="T819" s="115">
        <f t="shared" si="3"/>
        <v>1.1606060606060606</v>
      </c>
      <c r="U819" s="115">
        <f t="shared" si="3"/>
        <v>1.1829201101928375</v>
      </c>
      <c r="V819" s="115">
        <f t="shared" si="3"/>
        <v>1.228099173553719</v>
      </c>
      <c r="W819" s="115">
        <f t="shared" si="3"/>
        <v>1.2514330578512396</v>
      </c>
      <c r="X819" s="115">
        <f t="shared" si="4"/>
        <v>1.3565534347107437</v>
      </c>
      <c r="Y819" s="115">
        <f t="shared" si="4"/>
        <v>1.4148852324033057</v>
      </c>
      <c r="Z819" s="115">
        <f t="shared" si="4"/>
        <v>1.4969485758826975</v>
      </c>
      <c r="AA819" s="115">
        <f t="shared" si="4"/>
        <v>1.5553295703421226</v>
      </c>
      <c r="AB819" s="115">
        <f t="shared" si="4"/>
        <v>1.6066554461634126</v>
      </c>
      <c r="AC819" s="115">
        <f t="shared" si="4"/>
        <v>1.717514671948688</v>
      </c>
      <c r="AD819" s="115">
        <f t="shared" si="4"/>
        <v>1.8102604642339173</v>
      </c>
      <c r="AE819" s="115">
        <f t="shared" si="4"/>
        <v>1.9478402595156952</v>
      </c>
      <c r="AF819" s="115">
        <f t="shared" si="4"/>
        <v>2.0919804387198568</v>
      </c>
      <c r="AG819" s="115">
        <f t="shared" si="4"/>
        <v>2.2614308542561652</v>
      </c>
      <c r="AH819" s="115">
        <f t="shared" si="4"/>
        <v>2.4830510779732697</v>
      </c>
      <c r="AI819" s="115">
        <f t="shared" si="4"/>
        <v>2.7487375433164094</v>
      </c>
      <c r="AJ819" s="115">
        <f t="shared" si="4"/>
        <v>2.9768827594116711</v>
      </c>
      <c r="AK819" s="115">
        <f t="shared" si="4"/>
        <v>3.1793107870516648</v>
      </c>
      <c r="AL819" s="115">
        <f t="shared" si="4"/>
        <v>3.312841840107835</v>
      </c>
      <c r="AM819" s="115">
        <f t="shared" si="4"/>
        <v>3.4387298300319329</v>
      </c>
      <c r="AN819" s="115">
        <f t="shared" si="5"/>
        <v>3.6828796479641999</v>
      </c>
      <c r="AO819" s="115">
        <f t="shared" si="5"/>
        <v>3.9185839454339089</v>
      </c>
      <c r="AP819" s="115">
        <f t="shared" si="5"/>
        <v>4.1497803982145092</v>
      </c>
      <c r="AQ819" s="115">
        <f t="shared" si="5"/>
        <v>4.2576746885680867</v>
      </c>
      <c r="AR819" s="115">
        <f t="shared" si="5"/>
        <v>4.376889579847993</v>
      </c>
      <c r="AS819" s="115">
        <f t="shared" si="5"/>
        <v>4.4775580401844968</v>
      </c>
      <c r="AT819" s="115">
        <f t="shared" si="5"/>
        <v>4.4551702499835741</v>
      </c>
      <c r="AU819" s="115">
        <f t="shared" si="5"/>
        <v>4.4640805904835412</v>
      </c>
      <c r="AV819" s="115">
        <f t="shared" si="5"/>
        <v>4.5042573157978927</v>
      </c>
      <c r="AW819" s="115">
        <f t="shared" si="5"/>
        <v>4.553804146271669</v>
      </c>
      <c r="AX819" s="115">
        <f t="shared" si="5"/>
        <v>4.6630954457821892</v>
      </c>
      <c r="AY819" s="115">
        <f t="shared" si="5"/>
        <v>4.87759783628817</v>
      </c>
      <c r="AZ819" s="115">
        <f t="shared" si="5"/>
        <v>5.0483137605582558</v>
      </c>
      <c r="BA819" s="115">
        <f t="shared" si="5"/>
        <v>5.1492800357694213</v>
      </c>
      <c r="BB819" s="115">
        <f t="shared" si="5"/>
        <v>5.2831613166994265</v>
      </c>
      <c r="BC819" s="115">
        <f t="shared" si="5"/>
        <v>5.3624087364499173</v>
      </c>
      <c r="BD819" s="115">
        <f t="shared" si="6"/>
        <v>5.4642945024424652</v>
      </c>
      <c r="BE819" s="115">
        <f t="shared" si="6"/>
        <v>5.6063661595059697</v>
      </c>
      <c r="BF819" s="115">
        <f t="shared" si="6"/>
        <v>5.7016743842175703</v>
      </c>
      <c r="BG819" s="115">
        <f t="shared" si="6"/>
        <v>5.8499179182072272</v>
      </c>
      <c r="BH819" s="115">
        <f t="shared" si="6"/>
        <v>5.9961658661624071</v>
      </c>
      <c r="BI819" s="115">
        <f t="shared" si="6"/>
        <v>6.27798566187204</v>
      </c>
      <c r="BJ819" s="115">
        <f t="shared" si="6"/>
        <v>6.4851591887138165</v>
      </c>
      <c r="BK819" s="115">
        <f t="shared" si="6"/>
        <v>6.6213475316768058</v>
      </c>
      <c r="BL819" s="115">
        <f t="shared" si="6"/>
        <v>6.6941823545252497</v>
      </c>
      <c r="BM819" s="115">
        <f t="shared" si="6"/>
        <v>6.8146776369067039</v>
      </c>
      <c r="BN819" s="115">
        <f t="shared" si="6"/>
        <v>6.910083123823398</v>
      </c>
      <c r="BO819" s="115">
        <f t="shared" si="6"/>
        <v>6.9860940381854544</v>
      </c>
      <c r="BP819" s="115">
        <f t="shared" si="6"/>
        <v>7.2096490474073889</v>
      </c>
      <c r="BQ819" s="115">
        <f t="shared" si="6"/>
        <v>7.2312779945496102</v>
      </c>
      <c r="BR819" s="115">
        <f t="shared" si="6"/>
        <v>7.3397471644678536</v>
      </c>
      <c r="BS819" s="115">
        <f t="shared" si="6"/>
        <v>7.5305805907440178</v>
      </c>
      <c r="BT819" s="115">
        <f t="shared" si="7"/>
        <v>7.7037839443311293</v>
      </c>
      <c r="BU819" s="115">
        <f t="shared" si="7"/>
        <v>7.9194898947724015</v>
      </c>
      <c r="BV819" s="115">
        <f t="shared" si="7"/>
        <v>7.998684793720126</v>
      </c>
      <c r="BW819" s="115">
        <f t="shared" si="7"/>
        <v>8.0626742720698878</v>
      </c>
      <c r="BX819" s="115">
        <f t="shared" si="7"/>
        <v>8.0787996206140278</v>
      </c>
      <c r="BY819" s="115">
        <f t="shared" si="7"/>
        <v>8.1919028153026243</v>
      </c>
      <c r="BZ819" s="115">
        <f t="shared" si="7"/>
        <v>8.2902056490862552</v>
      </c>
      <c r="CA819" s="115">
        <f t="shared" si="7"/>
        <v>8.5057509959624973</v>
      </c>
      <c r="CB819" s="115">
        <f t="shared" si="7"/>
        <v>8.6418430118978975</v>
      </c>
      <c r="CC819" s="115">
        <f t="shared" si="7"/>
        <v>8.79739618611206</v>
      </c>
      <c r="CD819" s="115">
        <f t="shared" si="7"/>
        <v>9.3428347496510078</v>
      </c>
      <c r="CE819" s="115">
        <f t="shared" si="7"/>
        <v>10.090261529623088</v>
      </c>
      <c r="CF819" s="115">
        <f t="shared" si="7"/>
        <v>10.372788852452535</v>
      </c>
      <c r="CG819" s="115">
        <f t="shared" si="7"/>
        <v>10.766954828845732</v>
      </c>
    </row>
    <row r="820" spans="1:85">
      <c r="A820" s="3"/>
      <c r="B820" s="113">
        <v>1956</v>
      </c>
      <c r="C820" s="113"/>
      <c r="D820" s="3"/>
      <c r="E820" s="116"/>
      <c r="F820" s="116"/>
      <c r="G820" s="116"/>
      <c r="H820" s="116"/>
      <c r="I820" s="116"/>
      <c r="J820" s="116"/>
      <c r="K820" s="116"/>
      <c r="L820" s="116"/>
      <c r="M820" s="116"/>
      <c r="N820" s="116"/>
      <c r="O820" s="114">
        <v>1</v>
      </c>
      <c r="P820" s="115">
        <f t="shared" si="3"/>
        <v>1.064882400648824</v>
      </c>
      <c r="Q820" s="115">
        <f t="shared" si="3"/>
        <v>1.0832657474993241</v>
      </c>
      <c r="R820" s="115">
        <f t="shared" si="3"/>
        <v>1.0924574209245743</v>
      </c>
      <c r="S820" s="115">
        <f t="shared" si="3"/>
        <v>1.1203027845363611</v>
      </c>
      <c r="T820" s="115">
        <f t="shared" si="3"/>
        <v>1.1389564747228982</v>
      </c>
      <c r="U820" s="115">
        <f t="shared" si="3"/>
        <v>1.1608542849418761</v>
      </c>
      <c r="V820" s="115">
        <f t="shared" si="3"/>
        <v>1.2051905920519059</v>
      </c>
      <c r="W820" s="115">
        <f t="shared" si="3"/>
        <v>1.228089213300892</v>
      </c>
      <c r="X820" s="115">
        <f t="shared" si="4"/>
        <v>1.3312487072181671</v>
      </c>
      <c r="Y820" s="115">
        <f t="shared" si="4"/>
        <v>1.3884924016285483</v>
      </c>
      <c r="Z820" s="115">
        <f t="shared" si="4"/>
        <v>1.4690249609230042</v>
      </c>
      <c r="AA820" s="115">
        <f t="shared" si="4"/>
        <v>1.5263169343990013</v>
      </c>
      <c r="AB820" s="115">
        <f t="shared" si="4"/>
        <v>1.5766853932341682</v>
      </c>
      <c r="AC820" s="115">
        <f t="shared" si="4"/>
        <v>1.6854766853673258</v>
      </c>
      <c r="AD820" s="115">
        <f t="shared" si="4"/>
        <v>1.7764924263771615</v>
      </c>
      <c r="AE820" s="115">
        <f t="shared" si="4"/>
        <v>1.9115058507818259</v>
      </c>
      <c r="AF820" s="115">
        <f t="shared" si="4"/>
        <v>2.0529572837396812</v>
      </c>
      <c r="AG820" s="115">
        <f t="shared" si="4"/>
        <v>2.2192468237225955</v>
      </c>
      <c r="AH820" s="115">
        <f t="shared" si="4"/>
        <v>2.43673301244741</v>
      </c>
      <c r="AI820" s="115">
        <f t="shared" si="4"/>
        <v>2.6974634447792827</v>
      </c>
      <c r="AJ820" s="115">
        <f t="shared" si="4"/>
        <v>2.9213529106959633</v>
      </c>
      <c r="AK820" s="115">
        <f t="shared" si="4"/>
        <v>3.1200049086232888</v>
      </c>
      <c r="AL820" s="115">
        <f t="shared" si="4"/>
        <v>3.2510451147854669</v>
      </c>
      <c r="AM820" s="115">
        <f t="shared" si="4"/>
        <v>3.3745848291473148</v>
      </c>
      <c r="AN820" s="115">
        <f t="shared" si="5"/>
        <v>3.6141803520167741</v>
      </c>
      <c r="AO820" s="115">
        <f t="shared" si="5"/>
        <v>3.8454878945458479</v>
      </c>
      <c r="AP820" s="115">
        <f t="shared" si="5"/>
        <v>4.0723716803240526</v>
      </c>
      <c r="AQ820" s="115">
        <f t="shared" si="5"/>
        <v>4.1782533440124778</v>
      </c>
      <c r="AR820" s="115">
        <f t="shared" si="5"/>
        <v>4.2952444376448273</v>
      </c>
      <c r="AS820" s="115">
        <f t="shared" si="5"/>
        <v>4.3940350597106583</v>
      </c>
      <c r="AT820" s="115">
        <f t="shared" si="5"/>
        <v>4.3720648844121053</v>
      </c>
      <c r="AU820" s="115">
        <f t="shared" si="5"/>
        <v>4.3808090141809295</v>
      </c>
      <c r="AV820" s="115">
        <f t="shared" si="5"/>
        <v>4.4202362953085572</v>
      </c>
      <c r="AW820" s="115">
        <f t="shared" si="5"/>
        <v>4.4688588945569512</v>
      </c>
      <c r="AX820" s="115">
        <f t="shared" si="5"/>
        <v>4.5761115080263179</v>
      </c>
      <c r="AY820" s="115">
        <f t="shared" si="5"/>
        <v>4.7866126373955291</v>
      </c>
      <c r="AZ820" s="115">
        <f t="shared" si="5"/>
        <v>4.9541440797043723</v>
      </c>
      <c r="BA820" s="115">
        <f t="shared" si="5"/>
        <v>5.0532269612984599</v>
      </c>
      <c r="BB820" s="115">
        <f t="shared" si="5"/>
        <v>5.18461086229222</v>
      </c>
      <c r="BC820" s="115">
        <f t="shared" si="5"/>
        <v>5.2623800252266024</v>
      </c>
      <c r="BD820" s="115">
        <f t="shared" si="6"/>
        <v>5.3623652457059077</v>
      </c>
      <c r="BE820" s="115">
        <f t="shared" si="6"/>
        <v>5.5017867420942617</v>
      </c>
      <c r="BF820" s="115">
        <f t="shared" si="6"/>
        <v>5.5953171167098636</v>
      </c>
      <c r="BG820" s="115">
        <f t="shared" si="6"/>
        <v>5.7407953617443201</v>
      </c>
      <c r="BH820" s="115">
        <f t="shared" si="6"/>
        <v>5.8843152457879278</v>
      </c>
      <c r="BI820" s="115">
        <f t="shared" si="6"/>
        <v>6.1608780623399602</v>
      </c>
      <c r="BJ820" s="115">
        <f t="shared" si="6"/>
        <v>6.3641870383971781</v>
      </c>
      <c r="BK820" s="115">
        <f t="shared" si="6"/>
        <v>6.4978349662035182</v>
      </c>
      <c r="BL820" s="115">
        <f t="shared" si="6"/>
        <v>6.5693111508317559</v>
      </c>
      <c r="BM820" s="115">
        <f t="shared" si="6"/>
        <v>6.6875587515467272</v>
      </c>
      <c r="BN820" s="115">
        <f t="shared" si="6"/>
        <v>6.7811845740683818</v>
      </c>
      <c r="BO820" s="115">
        <f t="shared" si="6"/>
        <v>6.8557776043831335</v>
      </c>
      <c r="BP820" s="115">
        <f t="shared" si="6"/>
        <v>7.0751624877233938</v>
      </c>
      <c r="BQ820" s="115">
        <f t="shared" si="6"/>
        <v>7.0963879751865635</v>
      </c>
      <c r="BR820" s="115">
        <f t="shared" si="6"/>
        <v>7.202833794814361</v>
      </c>
      <c r="BS820" s="115">
        <f t="shared" si="6"/>
        <v>7.3901074734795342</v>
      </c>
      <c r="BT820" s="115">
        <f t="shared" si="7"/>
        <v>7.5600799453695631</v>
      </c>
      <c r="BU820" s="115">
        <f t="shared" si="7"/>
        <v>7.7717621838399111</v>
      </c>
      <c r="BV820" s="115">
        <f t="shared" si="7"/>
        <v>7.8494798056783104</v>
      </c>
      <c r="BW820" s="115">
        <f t="shared" si="7"/>
        <v>7.9122756441237367</v>
      </c>
      <c r="BX820" s="115">
        <f t="shared" si="7"/>
        <v>7.9281001954119841</v>
      </c>
      <c r="BY820" s="115">
        <f t="shared" si="7"/>
        <v>8.0390935981477512</v>
      </c>
      <c r="BZ820" s="115">
        <f t="shared" si="7"/>
        <v>8.1355627213255239</v>
      </c>
      <c r="CA820" s="115">
        <f t="shared" si="7"/>
        <v>8.3470873520799884</v>
      </c>
      <c r="CB820" s="115">
        <f t="shared" si="7"/>
        <v>8.4806407497132685</v>
      </c>
      <c r="CC820" s="115">
        <f t="shared" si="7"/>
        <v>8.6332922832081067</v>
      </c>
      <c r="CD820" s="115">
        <f t="shared" si="7"/>
        <v>9.1685564047670098</v>
      </c>
      <c r="CE820" s="115">
        <f t="shared" si="7"/>
        <v>9.902040917148371</v>
      </c>
      <c r="CF820" s="115">
        <f t="shared" si="7"/>
        <v>10.179298062828526</v>
      </c>
      <c r="CG820" s="115">
        <f t="shared" si="7"/>
        <v>10.56611138921601</v>
      </c>
    </row>
    <row r="821" spans="1:85">
      <c r="A821" s="3"/>
      <c r="B821" s="113">
        <v>1957</v>
      </c>
      <c r="C821" s="113"/>
      <c r="D821" s="3"/>
      <c r="E821" s="116"/>
      <c r="F821" s="116"/>
      <c r="G821" s="116"/>
      <c r="H821" s="116"/>
      <c r="I821" s="116"/>
      <c r="J821" s="116"/>
      <c r="K821" s="116"/>
      <c r="L821" s="116"/>
      <c r="M821" s="116"/>
      <c r="N821" s="116"/>
      <c r="O821" s="116"/>
      <c r="P821" s="114">
        <v>1</v>
      </c>
      <c r="Q821" s="115">
        <f t="shared" si="3"/>
        <v>1.0172632647880173</v>
      </c>
      <c r="R821" s="115">
        <f t="shared" si="3"/>
        <v>1.0258948971820261</v>
      </c>
      <c r="S821" s="115">
        <f t="shared" si="3"/>
        <v>1.0520436659050521</v>
      </c>
      <c r="T821" s="115">
        <f t="shared" si="3"/>
        <v>1.0695608022340697</v>
      </c>
      <c r="U821" s="115">
        <f t="shared" si="3"/>
        <v>1.0901243970550902</v>
      </c>
      <c r="V821" s="115">
        <f t="shared" si="3"/>
        <v>1.131759329779132</v>
      </c>
      <c r="W821" s="115">
        <f t="shared" si="3"/>
        <v>1.1532627570449354</v>
      </c>
      <c r="X821" s="115">
        <f t="shared" si="4"/>
        <v>1.2501368286367101</v>
      </c>
      <c r="Y821" s="115">
        <f t="shared" si="4"/>
        <v>1.3038927122680886</v>
      </c>
      <c r="Z821" s="115">
        <f t="shared" si="4"/>
        <v>1.3795184895796377</v>
      </c>
      <c r="AA821" s="115">
        <f t="shared" si="4"/>
        <v>1.4333197106732436</v>
      </c>
      <c r="AB821" s="115">
        <f t="shared" si="4"/>
        <v>1.4806192611254605</v>
      </c>
      <c r="AC821" s="115">
        <f t="shared" si="4"/>
        <v>1.5827819901431173</v>
      </c>
      <c r="AD821" s="115">
        <f t="shared" si="4"/>
        <v>1.6682522176108456</v>
      </c>
      <c r="AE821" s="115">
        <f t="shared" si="4"/>
        <v>1.7950393861492699</v>
      </c>
      <c r="AF821" s="115">
        <f t="shared" si="4"/>
        <v>1.9278723007243161</v>
      </c>
      <c r="AG821" s="115">
        <f t="shared" si="4"/>
        <v>2.0840299570829859</v>
      </c>
      <c r="AH821" s="115">
        <f t="shared" si="4"/>
        <v>2.2882648928771188</v>
      </c>
      <c r="AI821" s="115">
        <f t="shared" si="4"/>
        <v>2.5331092364149703</v>
      </c>
      <c r="AJ821" s="115">
        <f t="shared" si="4"/>
        <v>2.7433573030374125</v>
      </c>
      <c r="AK821" s="115">
        <f t="shared" si="4"/>
        <v>2.9299055996439569</v>
      </c>
      <c r="AL821" s="115">
        <f t="shared" si="4"/>
        <v>3.0529616348290034</v>
      </c>
      <c r="AM821" s="115">
        <f t="shared" si="4"/>
        <v>3.1689741769525055</v>
      </c>
      <c r="AN821" s="115">
        <f t="shared" si="5"/>
        <v>3.3939713435161334</v>
      </c>
      <c r="AO821" s="115">
        <f t="shared" si="5"/>
        <v>3.611185509501166</v>
      </c>
      <c r="AP821" s="115">
        <f t="shared" si="5"/>
        <v>3.8242454545617348</v>
      </c>
      <c r="AQ821" s="115">
        <f t="shared" si="5"/>
        <v>3.9236758363803399</v>
      </c>
      <c r="AR821" s="115">
        <f t="shared" si="5"/>
        <v>4.0335387597989891</v>
      </c>
      <c r="AS821" s="115">
        <f t="shared" si="5"/>
        <v>4.1263101512743656</v>
      </c>
      <c r="AT821" s="115">
        <f t="shared" si="5"/>
        <v>4.1056786005179937</v>
      </c>
      <c r="AU821" s="115">
        <f t="shared" si="5"/>
        <v>4.1138899577190298</v>
      </c>
      <c r="AV821" s="115">
        <f t="shared" si="5"/>
        <v>4.1509149673385002</v>
      </c>
      <c r="AW821" s="115">
        <f t="shared" si="5"/>
        <v>4.196575031979223</v>
      </c>
      <c r="AX821" s="115">
        <f t="shared" si="5"/>
        <v>4.2972928327467246</v>
      </c>
      <c r="AY821" s="115">
        <f t="shared" si="5"/>
        <v>4.4949683030530743</v>
      </c>
      <c r="AZ821" s="115">
        <f t="shared" si="5"/>
        <v>4.6522921936599317</v>
      </c>
      <c r="BA821" s="115">
        <f t="shared" si="5"/>
        <v>4.7453380375331307</v>
      </c>
      <c r="BB821" s="115">
        <f t="shared" si="5"/>
        <v>4.868716826508992</v>
      </c>
      <c r="BC821" s="115">
        <f t="shared" si="5"/>
        <v>4.9417475789066261</v>
      </c>
      <c r="BD821" s="115">
        <f t="shared" si="6"/>
        <v>5.0356407829058512</v>
      </c>
      <c r="BE821" s="115">
        <f t="shared" si="6"/>
        <v>5.1665674432614033</v>
      </c>
      <c r="BF821" s="115">
        <f t="shared" si="6"/>
        <v>5.2543990897968467</v>
      </c>
      <c r="BG821" s="115">
        <f t="shared" si="6"/>
        <v>5.3910134661315645</v>
      </c>
      <c r="BH821" s="115">
        <f t="shared" si="6"/>
        <v>5.5257888027848532</v>
      </c>
      <c r="BI821" s="115">
        <f t="shared" si="6"/>
        <v>5.7855008765157407</v>
      </c>
      <c r="BJ821" s="115">
        <f t="shared" si="6"/>
        <v>5.9764224054407595</v>
      </c>
      <c r="BK821" s="115">
        <f t="shared" si="6"/>
        <v>6.1019272759550152</v>
      </c>
      <c r="BL821" s="115">
        <f t="shared" si="6"/>
        <v>6.16904847599052</v>
      </c>
      <c r="BM821" s="115">
        <f t="shared" si="6"/>
        <v>6.2800913485583498</v>
      </c>
      <c r="BN821" s="115">
        <f t="shared" si="6"/>
        <v>6.3680126274381665</v>
      </c>
      <c r="BO821" s="115">
        <f t="shared" si="6"/>
        <v>6.4380607663399854</v>
      </c>
      <c r="BP821" s="115">
        <f t="shared" si="6"/>
        <v>6.6440787108628649</v>
      </c>
      <c r="BQ821" s="115">
        <f t="shared" si="6"/>
        <v>6.6640109469954529</v>
      </c>
      <c r="BR821" s="115">
        <f t="shared" si="6"/>
        <v>6.7639711112003837</v>
      </c>
      <c r="BS821" s="115">
        <f t="shared" si="6"/>
        <v>6.9398343600915942</v>
      </c>
      <c r="BT821" s="115">
        <f t="shared" si="7"/>
        <v>7.0994505503737004</v>
      </c>
      <c r="BU821" s="115">
        <f t="shared" si="7"/>
        <v>7.2982351657841642</v>
      </c>
      <c r="BV821" s="115">
        <f t="shared" si="7"/>
        <v>7.3712175174420063</v>
      </c>
      <c r="BW821" s="115">
        <f t="shared" si="7"/>
        <v>7.430187257581542</v>
      </c>
      <c r="BX821" s="115">
        <f t="shared" si="7"/>
        <v>7.4450476320967054</v>
      </c>
      <c r="BY821" s="115">
        <f t="shared" si="7"/>
        <v>7.5492782989460592</v>
      </c>
      <c r="BZ821" s="115">
        <f t="shared" si="7"/>
        <v>7.6398696385334119</v>
      </c>
      <c r="CA821" s="115">
        <f t="shared" si="7"/>
        <v>7.838506249135281</v>
      </c>
      <c r="CB821" s="115">
        <f t="shared" si="7"/>
        <v>7.9639223491214457</v>
      </c>
      <c r="CC821" s="115">
        <f t="shared" si="7"/>
        <v>8.1072729514056316</v>
      </c>
      <c r="CD821" s="115">
        <f t="shared" si="7"/>
        <v>8.6099238743927806</v>
      </c>
      <c r="CE821" s="115">
        <f t="shared" si="7"/>
        <v>9.2987177843442037</v>
      </c>
      <c r="CF821" s="115">
        <f t="shared" si="7"/>
        <v>9.5590818823058417</v>
      </c>
      <c r="CG821" s="115">
        <f t="shared" si="7"/>
        <v>9.9223269938334635</v>
      </c>
    </row>
    <row r="822" spans="1:85">
      <c r="A822" s="3"/>
      <c r="B822" s="113">
        <v>1958</v>
      </c>
      <c r="C822" s="113"/>
      <c r="D822" s="3"/>
      <c r="E822" s="116"/>
      <c r="F822" s="116"/>
      <c r="G822" s="116"/>
      <c r="H822" s="116"/>
      <c r="I822" s="116"/>
      <c r="J822" s="116"/>
      <c r="K822" s="116"/>
      <c r="L822" s="116"/>
      <c r="M822" s="116"/>
      <c r="N822" s="116"/>
      <c r="O822" s="116"/>
      <c r="P822" s="116"/>
      <c r="Q822" s="114">
        <v>1</v>
      </c>
      <c r="R822" s="115">
        <f t="shared" si="3"/>
        <v>1.0084851509857751</v>
      </c>
      <c r="S822" s="115">
        <f t="shared" si="3"/>
        <v>1.0341901672073872</v>
      </c>
      <c r="T822" s="115">
        <f t="shared" si="3"/>
        <v>1.0514100324432247</v>
      </c>
      <c r="U822" s="115">
        <f t="shared" si="3"/>
        <v>1.0716246568505119</v>
      </c>
      <c r="V822" s="115">
        <f t="shared" si="3"/>
        <v>1.1125530321936614</v>
      </c>
      <c r="W822" s="115">
        <f t="shared" si="3"/>
        <v>1.1336915398053409</v>
      </c>
      <c r="X822" s="115">
        <f t="shared" si="4"/>
        <v>1.2289216291489895</v>
      </c>
      <c r="Y822" s="115">
        <f t="shared" si="4"/>
        <v>1.281765259202396</v>
      </c>
      <c r="Z822" s="115">
        <f t="shared" si="4"/>
        <v>1.3561076442361351</v>
      </c>
      <c r="AA822" s="115">
        <f t="shared" si="4"/>
        <v>1.4089958423613442</v>
      </c>
      <c r="AB822" s="115">
        <f t="shared" si="4"/>
        <v>1.4554927051592685</v>
      </c>
      <c r="AC822" s="115">
        <f t="shared" si="4"/>
        <v>1.555921701815258</v>
      </c>
      <c r="AD822" s="115">
        <f t="shared" si="4"/>
        <v>1.639941473713282</v>
      </c>
      <c r="AE822" s="115">
        <f t="shared" si="4"/>
        <v>1.7645770257154916</v>
      </c>
      <c r="AF822" s="115">
        <f t="shared" si="4"/>
        <v>1.8951557256184381</v>
      </c>
      <c r="AG822" s="115">
        <f t="shared" si="4"/>
        <v>2.0486633393935314</v>
      </c>
      <c r="AH822" s="115">
        <f t="shared" si="4"/>
        <v>2.2494323466540975</v>
      </c>
      <c r="AI822" s="115">
        <f t="shared" si="4"/>
        <v>2.4901216077460857</v>
      </c>
      <c r="AJ822" s="115">
        <f t="shared" si="4"/>
        <v>2.6968017011890106</v>
      </c>
      <c r="AK822" s="115">
        <f t="shared" si="4"/>
        <v>2.8801842168698637</v>
      </c>
      <c r="AL822" s="115">
        <f t="shared" si="4"/>
        <v>3.0011519539783982</v>
      </c>
      <c r="AM822" s="115">
        <f t="shared" si="4"/>
        <v>3.1151957282295775</v>
      </c>
      <c r="AN822" s="115">
        <f t="shared" si="5"/>
        <v>3.3363746249338773</v>
      </c>
      <c r="AO822" s="115">
        <f t="shared" si="5"/>
        <v>3.5499026009296455</v>
      </c>
      <c r="AP822" s="115">
        <f t="shared" si="5"/>
        <v>3.7593468543844946</v>
      </c>
      <c r="AQ822" s="115">
        <f t="shared" si="5"/>
        <v>3.8570898725984915</v>
      </c>
      <c r="AR822" s="115">
        <f t="shared" si="5"/>
        <v>3.9650883890312492</v>
      </c>
      <c r="AS822" s="115">
        <f t="shared" si="5"/>
        <v>4.0562854219789672</v>
      </c>
      <c r="AT822" s="115">
        <f t="shared" si="5"/>
        <v>4.0360039948690725</v>
      </c>
      <c r="AU822" s="115">
        <f t="shared" si="5"/>
        <v>4.0440760028588105</v>
      </c>
      <c r="AV822" s="115">
        <f t="shared" si="5"/>
        <v>4.0804726868845398</v>
      </c>
      <c r="AW822" s="115">
        <f t="shared" si="5"/>
        <v>4.1253578864402689</v>
      </c>
      <c r="AX822" s="115">
        <f t="shared" si="5"/>
        <v>4.2243664757148354</v>
      </c>
      <c r="AY822" s="115">
        <f t="shared" si="5"/>
        <v>4.4186873335977177</v>
      </c>
      <c r="AZ822" s="115">
        <f t="shared" si="5"/>
        <v>4.5733413902736375</v>
      </c>
      <c r="BA822" s="115">
        <f t="shared" si="5"/>
        <v>4.6648082180791102</v>
      </c>
      <c r="BB822" s="115">
        <f t="shared" si="5"/>
        <v>4.7860932317491676</v>
      </c>
      <c r="BC822" s="115">
        <f t="shared" si="5"/>
        <v>4.8578846302254046</v>
      </c>
      <c r="BD822" s="115">
        <f t="shared" si="6"/>
        <v>4.9501844381996865</v>
      </c>
      <c r="BE822" s="115">
        <f t="shared" si="6"/>
        <v>5.0788892335928786</v>
      </c>
      <c r="BF822" s="115">
        <f t="shared" si="6"/>
        <v>5.1652303505639567</v>
      </c>
      <c r="BG822" s="115">
        <f t="shared" si="6"/>
        <v>5.2995263396786196</v>
      </c>
      <c r="BH822" s="115">
        <f t="shared" si="6"/>
        <v>5.4320144981705845</v>
      </c>
      <c r="BI822" s="115">
        <f t="shared" si="6"/>
        <v>5.6873191795846019</v>
      </c>
      <c r="BJ822" s="115">
        <f t="shared" si="6"/>
        <v>5.875000712510893</v>
      </c>
      <c r="BK822" s="115">
        <f t="shared" si="6"/>
        <v>5.9983757274736211</v>
      </c>
      <c r="BL822" s="115">
        <f t="shared" si="6"/>
        <v>6.0643578604758304</v>
      </c>
      <c r="BM822" s="115">
        <f t="shared" si="6"/>
        <v>6.173516301964395</v>
      </c>
      <c r="BN822" s="115">
        <f t="shared" si="6"/>
        <v>6.2599455301918967</v>
      </c>
      <c r="BO822" s="115">
        <f t="shared" si="6"/>
        <v>6.3288049310240071</v>
      </c>
      <c r="BP822" s="115">
        <f t="shared" si="6"/>
        <v>6.5313266888167751</v>
      </c>
      <c r="BQ822" s="115">
        <f t="shared" si="6"/>
        <v>6.5509206688832249</v>
      </c>
      <c r="BR822" s="115">
        <f t="shared" si="6"/>
        <v>6.6491844789164727</v>
      </c>
      <c r="BS822" s="115">
        <f t="shared" si="6"/>
        <v>6.8220632753683015</v>
      </c>
      <c r="BT822" s="115">
        <f t="shared" si="7"/>
        <v>6.9789707307017714</v>
      </c>
      <c r="BU822" s="115">
        <f t="shared" si="7"/>
        <v>7.1743819111614213</v>
      </c>
      <c r="BV822" s="115">
        <f t="shared" si="7"/>
        <v>7.246125730273036</v>
      </c>
      <c r="BW822" s="115">
        <f t="shared" si="7"/>
        <v>7.3040947361152204</v>
      </c>
      <c r="BX822" s="115">
        <f t="shared" si="7"/>
        <v>7.3187029255874512</v>
      </c>
      <c r="BY822" s="115">
        <f t="shared" si="7"/>
        <v>7.4211647665456759</v>
      </c>
      <c r="BZ822" s="115">
        <f t="shared" si="7"/>
        <v>7.5102187437442245</v>
      </c>
      <c r="CA822" s="115">
        <f t="shared" si="7"/>
        <v>7.7054844310815742</v>
      </c>
      <c r="CB822" s="115">
        <f t="shared" si="7"/>
        <v>7.8287721819788798</v>
      </c>
      <c r="CC822" s="115">
        <f t="shared" si="7"/>
        <v>7.9696900812545</v>
      </c>
      <c r="CD822" s="115">
        <f t="shared" si="7"/>
        <v>8.4638108662922793</v>
      </c>
      <c r="CE822" s="115">
        <f t="shared" si="7"/>
        <v>9.1409157355956623</v>
      </c>
      <c r="CF822" s="115">
        <f t="shared" si="7"/>
        <v>9.3968613761923407</v>
      </c>
      <c r="CG822" s="115">
        <f t="shared" si="7"/>
        <v>9.7539421084876494</v>
      </c>
    </row>
    <row r="823" spans="1:85">
      <c r="A823" s="3"/>
      <c r="B823" s="113">
        <v>1959</v>
      </c>
      <c r="C823" s="113"/>
      <c r="D823" s="3"/>
      <c r="E823" s="116"/>
      <c r="F823" s="116"/>
      <c r="G823" s="116"/>
      <c r="H823" s="116"/>
      <c r="I823" s="116"/>
      <c r="J823" s="116"/>
      <c r="K823" s="116"/>
      <c r="L823" s="116"/>
      <c r="M823" s="116"/>
      <c r="N823" s="116"/>
      <c r="O823" s="116"/>
      <c r="P823" s="116"/>
      <c r="Q823" s="116"/>
      <c r="R823" s="114">
        <v>1</v>
      </c>
      <c r="S823" s="115">
        <f t="shared" si="3"/>
        <v>1.0254887404107893</v>
      </c>
      <c r="T823" s="115">
        <f t="shared" si="3"/>
        <v>1.0425637218510271</v>
      </c>
      <c r="U823" s="115">
        <f t="shared" si="3"/>
        <v>1.062608265280871</v>
      </c>
      <c r="V823" s="115">
        <f t="shared" si="3"/>
        <v>1.1031922791388271</v>
      </c>
      <c r="W823" s="115">
        <f t="shared" si="3"/>
        <v>1.1241529324424648</v>
      </c>
      <c r="X823" s="115">
        <f t="shared" si="4"/>
        <v>1.2185817787676321</v>
      </c>
      <c r="Y823" s="115">
        <f t="shared" si="4"/>
        <v>1.2709807952546401</v>
      </c>
      <c r="Z823" s="115">
        <f t="shared" si="4"/>
        <v>1.3446976813794094</v>
      </c>
      <c r="AA823" s="115">
        <f t="shared" si="4"/>
        <v>1.3971408909532061</v>
      </c>
      <c r="AB823" s="115">
        <f t="shared" si="4"/>
        <v>1.4432465403546619</v>
      </c>
      <c r="AC823" s="115">
        <f t="shared" si="4"/>
        <v>1.5428305516391336</v>
      </c>
      <c r="AD823" s="115">
        <f t="shared" si="4"/>
        <v>1.626143401427647</v>
      </c>
      <c r="AE823" s="115">
        <f t="shared" si="4"/>
        <v>1.7497302999361484</v>
      </c>
      <c r="AF823" s="115">
        <f t="shared" si="4"/>
        <v>1.8792103421314235</v>
      </c>
      <c r="AG823" s="115">
        <f t="shared" si="4"/>
        <v>2.0314263798440688</v>
      </c>
      <c r="AH823" s="115">
        <f t="shared" si="4"/>
        <v>2.2305061650687876</v>
      </c>
      <c r="AI823" s="115">
        <f t="shared" si="4"/>
        <v>2.4691703247311478</v>
      </c>
      <c r="AJ823" s="115">
        <f t="shared" si="4"/>
        <v>2.6741114616838328</v>
      </c>
      <c r="AK823" s="115">
        <f t="shared" si="4"/>
        <v>2.8559510410783338</v>
      </c>
      <c r="AL823" s="115">
        <f t="shared" si="4"/>
        <v>2.9759009848036237</v>
      </c>
      <c r="AM823" s="115">
        <f t="shared" si="4"/>
        <v>3.0889852222261616</v>
      </c>
      <c r="AN823" s="115">
        <f t="shared" si="5"/>
        <v>3.3083031730042189</v>
      </c>
      <c r="AO823" s="115">
        <f t="shared" si="5"/>
        <v>3.5200345760764891</v>
      </c>
      <c r="AP823" s="115">
        <f t="shared" si="5"/>
        <v>3.7277166160650017</v>
      </c>
      <c r="AQ823" s="115">
        <f t="shared" si="5"/>
        <v>3.8246372480826918</v>
      </c>
      <c r="AR823" s="115">
        <f t="shared" si="5"/>
        <v>3.9317270910290074</v>
      </c>
      <c r="AS823" s="115">
        <f t="shared" si="5"/>
        <v>4.022156814122674</v>
      </c>
      <c r="AT823" s="115">
        <f t="shared" si="5"/>
        <v>4.0020460300520604</v>
      </c>
      <c r="AU823" s="115">
        <f t="shared" si="5"/>
        <v>4.0100501221121645</v>
      </c>
      <c r="AV823" s="115">
        <f t="shared" si="5"/>
        <v>4.0461405732111739</v>
      </c>
      <c r="AW823" s="115">
        <f t="shared" si="5"/>
        <v>4.0906481195164961</v>
      </c>
      <c r="AX823" s="115">
        <f t="shared" si="5"/>
        <v>4.1888236743848921</v>
      </c>
      <c r="AY823" s="115">
        <f t="shared" si="5"/>
        <v>4.3815095634065973</v>
      </c>
      <c r="AZ823" s="115">
        <f t="shared" si="5"/>
        <v>4.5348623981258278</v>
      </c>
      <c r="BA823" s="115">
        <f t="shared" si="5"/>
        <v>4.6255596460883446</v>
      </c>
      <c r="BB823" s="115">
        <f t="shared" si="5"/>
        <v>4.7458241968866419</v>
      </c>
      <c r="BC823" s="115">
        <f t="shared" si="5"/>
        <v>4.8170115598399414</v>
      </c>
      <c r="BD823" s="115">
        <f t="shared" si="6"/>
        <v>4.9085347794769003</v>
      </c>
      <c r="BE823" s="115">
        <f t="shared" si="6"/>
        <v>5.0361566837432994</v>
      </c>
      <c r="BF823" s="115">
        <f t="shared" si="6"/>
        <v>5.1217713473669351</v>
      </c>
      <c r="BG823" s="115">
        <f t="shared" si="6"/>
        <v>5.2549374023984754</v>
      </c>
      <c r="BH823" s="115">
        <f t="shared" si="6"/>
        <v>5.3863108374584368</v>
      </c>
      <c r="BI823" s="115">
        <f t="shared" si="6"/>
        <v>5.6394674468189825</v>
      </c>
      <c r="BJ823" s="115">
        <f t="shared" si="6"/>
        <v>5.8255698725640084</v>
      </c>
      <c r="BK823" s="115">
        <f t="shared" si="6"/>
        <v>5.9479068398878523</v>
      </c>
      <c r="BL823" s="115">
        <f t="shared" si="6"/>
        <v>6.013333815126618</v>
      </c>
      <c r="BM823" s="115">
        <f t="shared" si="6"/>
        <v>6.1215738237988973</v>
      </c>
      <c r="BN823" s="115">
        <f t="shared" si="6"/>
        <v>6.2072758573320819</v>
      </c>
      <c r="BO823" s="115">
        <f t="shared" si="6"/>
        <v>6.2755558917627345</v>
      </c>
      <c r="BP823" s="115">
        <f t="shared" si="6"/>
        <v>6.4763736802991421</v>
      </c>
      <c r="BQ823" s="115">
        <f t="shared" si="6"/>
        <v>6.4958028013400391</v>
      </c>
      <c r="BR823" s="115">
        <f t="shared" si="6"/>
        <v>6.5932398433601387</v>
      </c>
      <c r="BS823" s="115">
        <f t="shared" si="6"/>
        <v>6.7646640792875026</v>
      </c>
      <c r="BT823" s="115">
        <f t="shared" si="7"/>
        <v>6.9202513531111149</v>
      </c>
      <c r="BU823" s="115">
        <f t="shared" si="7"/>
        <v>7.1140183909982264</v>
      </c>
      <c r="BV823" s="115">
        <f t="shared" si="7"/>
        <v>7.1851585749082085</v>
      </c>
      <c r="BW823" s="115">
        <f t="shared" si="7"/>
        <v>7.2426398435074741</v>
      </c>
      <c r="BX823" s="115">
        <f t="shared" si="7"/>
        <v>7.2571251231944887</v>
      </c>
      <c r="BY823" s="115">
        <f t="shared" si="7"/>
        <v>7.3587248749192113</v>
      </c>
      <c r="BZ823" s="115">
        <f t="shared" si="7"/>
        <v>7.4470295734182423</v>
      </c>
      <c r="CA823" s="115">
        <f t="shared" si="7"/>
        <v>7.6406523423271171</v>
      </c>
      <c r="CB823" s="115">
        <f t="shared" si="7"/>
        <v>7.7629027798043513</v>
      </c>
      <c r="CC823" s="115">
        <f t="shared" si="7"/>
        <v>7.9026350298408294</v>
      </c>
      <c r="CD823" s="115">
        <f t="shared" si="7"/>
        <v>8.3925984016909609</v>
      </c>
      <c r="CE823" s="115">
        <f t="shared" si="7"/>
        <v>9.064006273826239</v>
      </c>
      <c r="CF823" s="115">
        <f t="shared" si="7"/>
        <v>9.3177984494933739</v>
      </c>
      <c r="CG823" s="115">
        <f t="shared" si="7"/>
        <v>9.6718747905741225</v>
      </c>
    </row>
    <row r="824" spans="1:85">
      <c r="A824" s="3"/>
      <c r="B824" s="113">
        <v>1960</v>
      </c>
      <c r="C824" s="113"/>
      <c r="D824" s="3"/>
      <c r="E824" s="116"/>
      <c r="F824" s="116"/>
      <c r="G824" s="116"/>
      <c r="H824" s="116"/>
      <c r="I824" s="116"/>
      <c r="J824" s="116"/>
      <c r="K824" s="116"/>
      <c r="L824" s="116"/>
      <c r="M824" s="116"/>
      <c r="N824" s="116"/>
      <c r="O824" s="116"/>
      <c r="P824" s="116"/>
      <c r="Q824" s="116"/>
      <c r="R824" s="116"/>
      <c r="S824" s="114">
        <v>1</v>
      </c>
      <c r="T824" s="115">
        <f t="shared" si="3"/>
        <v>1.0166505791505793</v>
      </c>
      <c r="U824" s="115">
        <f t="shared" si="3"/>
        <v>1.0361969111969114</v>
      </c>
      <c r="V824" s="115">
        <f t="shared" si="3"/>
        <v>1.075772200772201</v>
      </c>
      <c r="W824" s="115">
        <f t="shared" si="3"/>
        <v>1.0962118725868728</v>
      </c>
      <c r="X824" s="115">
        <f t="shared" si="4"/>
        <v>1.1882936698841702</v>
      </c>
      <c r="Y824" s="115">
        <f t="shared" si="4"/>
        <v>1.2393902976891895</v>
      </c>
      <c r="Z824" s="115">
        <f t="shared" si="4"/>
        <v>1.3112749349551627</v>
      </c>
      <c r="AA824" s="115">
        <f t="shared" si="4"/>
        <v>1.3624146574184139</v>
      </c>
      <c r="AB824" s="115">
        <f t="shared" si="4"/>
        <v>1.4073743411132216</v>
      </c>
      <c r="AC824" s="115">
        <f t="shared" si="4"/>
        <v>1.5044831706500339</v>
      </c>
      <c r="AD824" s="115">
        <f t="shared" si="4"/>
        <v>1.5857252618651358</v>
      </c>
      <c r="AE824" s="115">
        <f t="shared" si="4"/>
        <v>1.7062403817668863</v>
      </c>
      <c r="AF824" s="115">
        <f t="shared" si="4"/>
        <v>1.832502170017636</v>
      </c>
      <c r="AG824" s="115">
        <f t="shared" si="4"/>
        <v>1.9809348457890645</v>
      </c>
      <c r="AH824" s="115">
        <f t="shared" si="4"/>
        <v>2.1750664606763932</v>
      </c>
      <c r="AI824" s="115">
        <f t="shared" si="4"/>
        <v>2.4077985719687671</v>
      </c>
      <c r="AJ824" s="115">
        <f t="shared" si="4"/>
        <v>2.6076458534421749</v>
      </c>
      <c r="AK824" s="115">
        <f t="shared" si="4"/>
        <v>2.784965771476243</v>
      </c>
      <c r="AL824" s="115">
        <f t="shared" si="4"/>
        <v>2.9019343338782453</v>
      </c>
      <c r="AM824" s="115">
        <f t="shared" si="4"/>
        <v>3.0122078385656188</v>
      </c>
      <c r="AN824" s="115">
        <f t="shared" si="5"/>
        <v>3.2260745951037775</v>
      </c>
      <c r="AO824" s="115">
        <f t="shared" si="5"/>
        <v>3.4325433691904195</v>
      </c>
      <c r="AP824" s="115">
        <f t="shared" si="5"/>
        <v>3.6350634279726539</v>
      </c>
      <c r="AQ824" s="115">
        <f t="shared" si="5"/>
        <v>3.729575077099943</v>
      </c>
      <c r="AR824" s="115">
        <f t="shared" si="5"/>
        <v>3.8340031792587412</v>
      </c>
      <c r="AS824" s="115">
        <f t="shared" si="5"/>
        <v>3.9221852523816918</v>
      </c>
      <c r="AT824" s="115">
        <f t="shared" si="5"/>
        <v>3.9025743261197832</v>
      </c>
      <c r="AU824" s="115">
        <f t="shared" si="5"/>
        <v>3.9103794747720229</v>
      </c>
      <c r="AV824" s="115">
        <f t="shared" si="5"/>
        <v>3.9455728900449705</v>
      </c>
      <c r="AW824" s="115">
        <f t="shared" si="5"/>
        <v>3.9889741918354646</v>
      </c>
      <c r="AX824" s="115">
        <f t="shared" si="5"/>
        <v>4.0847095724395155</v>
      </c>
      <c r="AY824" s="115">
        <f t="shared" si="5"/>
        <v>4.2726062127717332</v>
      </c>
      <c r="AZ824" s="115">
        <f t="shared" si="5"/>
        <v>4.422147430218744</v>
      </c>
      <c r="BA824" s="115">
        <f t="shared" si="5"/>
        <v>4.5105903788231192</v>
      </c>
      <c r="BB824" s="115">
        <f t="shared" si="5"/>
        <v>4.6278657286725204</v>
      </c>
      <c r="BC824" s="115">
        <f t="shared" si="5"/>
        <v>4.6972837146026079</v>
      </c>
      <c r="BD824" s="115">
        <f t="shared" si="6"/>
        <v>4.7865321051800569</v>
      </c>
      <c r="BE824" s="115">
        <f t="shared" si="6"/>
        <v>4.9109819399147385</v>
      </c>
      <c r="BF824" s="115">
        <f t="shared" si="6"/>
        <v>4.9944686328932884</v>
      </c>
      <c r="BG824" s="115">
        <f t="shared" si="6"/>
        <v>5.1243248173485139</v>
      </c>
      <c r="BH824" s="115">
        <f t="shared" si="6"/>
        <v>5.2524329377822259</v>
      </c>
      <c r="BI824" s="115">
        <f t="shared" si="6"/>
        <v>5.49929728585799</v>
      </c>
      <c r="BJ824" s="115">
        <f t="shared" si="6"/>
        <v>5.6807740962913034</v>
      </c>
      <c r="BK824" s="115">
        <f t="shared" si="6"/>
        <v>5.8000703523134201</v>
      </c>
      <c r="BL824" s="115">
        <f t="shared" si="6"/>
        <v>5.863871126188867</v>
      </c>
      <c r="BM824" s="115">
        <f t="shared" si="6"/>
        <v>5.969420806460267</v>
      </c>
      <c r="BN824" s="115">
        <f t="shared" si="6"/>
        <v>6.0529926977507111</v>
      </c>
      <c r="BO824" s="115">
        <f t="shared" si="6"/>
        <v>6.1195756174259683</v>
      </c>
      <c r="BP824" s="115">
        <f t="shared" si="6"/>
        <v>6.3154020371835999</v>
      </c>
      <c r="BQ824" s="115">
        <f t="shared" si="6"/>
        <v>6.3343482432951497</v>
      </c>
      <c r="BR824" s="115">
        <f t="shared" si="6"/>
        <v>6.4293634669445767</v>
      </c>
      <c r="BS824" s="115">
        <f t="shared" si="6"/>
        <v>6.5965269170851357</v>
      </c>
      <c r="BT824" s="115">
        <f t="shared" si="7"/>
        <v>6.7482470361780935</v>
      </c>
      <c r="BU824" s="115">
        <f t="shared" si="7"/>
        <v>6.9371979531910801</v>
      </c>
      <c r="BV824" s="115">
        <f t="shared" si="7"/>
        <v>7.0065699327229911</v>
      </c>
      <c r="BW824" s="115">
        <f t="shared" si="7"/>
        <v>7.0626224921847749</v>
      </c>
      <c r="BX824" s="115">
        <f t="shared" si="7"/>
        <v>7.0767477371691445</v>
      </c>
      <c r="BY824" s="115">
        <f t="shared" si="7"/>
        <v>7.1758222054895127</v>
      </c>
      <c r="BZ824" s="115">
        <f t="shared" si="7"/>
        <v>7.2619320719553873</v>
      </c>
      <c r="CA824" s="115">
        <f t="shared" si="7"/>
        <v>7.4507423058262274</v>
      </c>
      <c r="CB824" s="115">
        <f t="shared" si="7"/>
        <v>7.5699541827194468</v>
      </c>
      <c r="CC824" s="115">
        <f t="shared" si="7"/>
        <v>7.7062133580083971</v>
      </c>
      <c r="CD824" s="115">
        <f t="shared" si="7"/>
        <v>8.1839985862049183</v>
      </c>
      <c r="CE824" s="115">
        <f t="shared" si="7"/>
        <v>8.8387184731013129</v>
      </c>
      <c r="CF824" s="115">
        <f t="shared" si="7"/>
        <v>9.0862025903481491</v>
      </c>
      <c r="CG824" s="115">
        <f t="shared" si="7"/>
        <v>9.4314782887813795</v>
      </c>
    </row>
    <row r="825" spans="1:85">
      <c r="A825" s="3"/>
      <c r="B825" s="113">
        <v>1961</v>
      </c>
      <c r="C825" s="113"/>
      <c r="D825" s="3"/>
      <c r="E825" s="116"/>
      <c r="F825" s="116"/>
      <c r="G825" s="116"/>
      <c r="H825" s="116"/>
      <c r="I825" s="116"/>
      <c r="J825" s="116"/>
      <c r="K825" s="116"/>
      <c r="L825" s="116"/>
      <c r="M825" s="116"/>
      <c r="N825" s="116"/>
      <c r="O825" s="116"/>
      <c r="P825" s="116"/>
      <c r="Q825" s="116"/>
      <c r="R825" s="116"/>
      <c r="S825" s="116"/>
      <c r="T825" s="114">
        <v>1</v>
      </c>
      <c r="U825" s="115">
        <f t="shared" si="3"/>
        <v>1.0192262046047946</v>
      </c>
      <c r="V825" s="115">
        <f t="shared" si="3"/>
        <v>1.058153334915737</v>
      </c>
      <c r="W825" s="115">
        <f t="shared" si="3"/>
        <v>1.0782582482791359</v>
      </c>
      <c r="X825" s="115">
        <f t="shared" si="4"/>
        <v>1.1688319411345833</v>
      </c>
      <c r="Y825" s="115">
        <f t="shared" si="4"/>
        <v>1.2190917146033704</v>
      </c>
      <c r="Z825" s="115">
        <f t="shared" si="4"/>
        <v>1.289799034050366</v>
      </c>
      <c r="AA825" s="115">
        <f t="shared" si="4"/>
        <v>1.3401011963783303</v>
      </c>
      <c r="AB825" s="115">
        <f t="shared" si="4"/>
        <v>1.384324535858815</v>
      </c>
      <c r="AC825" s="115">
        <f t="shared" si="4"/>
        <v>1.4798429288330732</v>
      </c>
      <c r="AD825" s="115">
        <f t="shared" si="4"/>
        <v>1.5597544469900593</v>
      </c>
      <c r="AE825" s="115">
        <f t="shared" si="4"/>
        <v>1.6782957849613038</v>
      </c>
      <c r="AF825" s="115">
        <f t="shared" si="4"/>
        <v>1.8024896730484403</v>
      </c>
      <c r="AG825" s="115">
        <f t="shared" si="4"/>
        <v>1.948491336565364</v>
      </c>
      <c r="AH825" s="115">
        <f t="shared" si="4"/>
        <v>2.1394434875487698</v>
      </c>
      <c r="AI825" s="115">
        <f t="shared" si="4"/>
        <v>2.3683639407164883</v>
      </c>
      <c r="AJ825" s="115">
        <f t="shared" si="4"/>
        <v>2.5649381477959565</v>
      </c>
      <c r="AK825" s="115">
        <f t="shared" si="4"/>
        <v>2.7393539418460819</v>
      </c>
      <c r="AL825" s="115">
        <f t="shared" si="4"/>
        <v>2.8544068074036173</v>
      </c>
      <c r="AM825" s="115">
        <f t="shared" si="4"/>
        <v>2.9628742660849547</v>
      </c>
      <c r="AN825" s="115">
        <f t="shared" si="5"/>
        <v>3.1732383389769865</v>
      </c>
      <c r="AO825" s="115">
        <f t="shared" si="5"/>
        <v>3.3763255926715137</v>
      </c>
      <c r="AP825" s="115">
        <f t="shared" si="5"/>
        <v>3.5755288026391328</v>
      </c>
      <c r="AQ825" s="115">
        <f t="shared" si="5"/>
        <v>3.6684925515077502</v>
      </c>
      <c r="AR825" s="115">
        <f t="shared" si="5"/>
        <v>3.7712103429499675</v>
      </c>
      <c r="AS825" s="115">
        <f t="shared" si="5"/>
        <v>3.8579481808378162</v>
      </c>
      <c r="AT825" s="115">
        <f t="shared" si="5"/>
        <v>3.838658439933627</v>
      </c>
      <c r="AU825" s="115">
        <f t="shared" si="5"/>
        <v>3.8463357568134944</v>
      </c>
      <c r="AV825" s="115">
        <f t="shared" si="5"/>
        <v>3.8809527786248155</v>
      </c>
      <c r="AW825" s="115">
        <f t="shared" si="5"/>
        <v>3.9236432591896881</v>
      </c>
      <c r="AX825" s="115">
        <f t="shared" si="5"/>
        <v>4.0178106974102406</v>
      </c>
      <c r="AY825" s="115">
        <f t="shared" si="5"/>
        <v>4.2026299894911121</v>
      </c>
      <c r="AZ825" s="115">
        <f t="shared" si="5"/>
        <v>4.3497220391233009</v>
      </c>
      <c r="BA825" s="115">
        <f t="shared" si="5"/>
        <v>4.4367164799057672</v>
      </c>
      <c r="BB825" s="115">
        <f t="shared" si="5"/>
        <v>4.5520711083833172</v>
      </c>
      <c r="BC825" s="115">
        <f t="shared" ref="BC825:BQ825" si="8">BB825*BC$807</f>
        <v>4.6203521750090664</v>
      </c>
      <c r="BD825" s="115">
        <f t="shared" si="8"/>
        <v>4.7081388663342381</v>
      </c>
      <c r="BE825" s="115">
        <f t="shared" si="8"/>
        <v>4.830550476858928</v>
      </c>
      <c r="BF825" s="115">
        <f t="shared" si="8"/>
        <v>4.9126698349655289</v>
      </c>
      <c r="BG825" s="115">
        <f t="shared" si="8"/>
        <v>5.0403992506746329</v>
      </c>
      <c r="BH825" s="115">
        <f t="shared" si="8"/>
        <v>5.1664092319414987</v>
      </c>
      <c r="BI825" s="115">
        <f t="shared" si="8"/>
        <v>5.4092304658427484</v>
      </c>
      <c r="BJ825" s="115">
        <f t="shared" si="8"/>
        <v>5.5877350712155582</v>
      </c>
      <c r="BK825" s="115">
        <f t="shared" si="8"/>
        <v>5.705077507711084</v>
      </c>
      <c r="BL825" s="115">
        <f t="shared" si="8"/>
        <v>5.7678333602959055</v>
      </c>
      <c r="BM825" s="115">
        <f t="shared" si="8"/>
        <v>5.8716543607812319</v>
      </c>
      <c r="BN825" s="115">
        <f t="shared" si="8"/>
        <v>5.9538575218321697</v>
      </c>
      <c r="BO825" s="115">
        <f t="shared" si="8"/>
        <v>6.0193499545723226</v>
      </c>
      <c r="BP825" s="115">
        <f t="shared" si="8"/>
        <v>6.2119691531186367</v>
      </c>
      <c r="BQ825" s="115">
        <f t="shared" si="8"/>
        <v>6.2306050605779921</v>
      </c>
      <c r="BR825" s="115">
        <f t="shared" si="6"/>
        <v>6.324064136486661</v>
      </c>
      <c r="BS825" s="115">
        <f t="shared" si="6"/>
        <v>6.4884898040353143</v>
      </c>
      <c r="BT825" s="115">
        <f t="shared" si="7"/>
        <v>6.637725069528126</v>
      </c>
      <c r="BU825" s="115">
        <f t="shared" si="7"/>
        <v>6.8235813714749138</v>
      </c>
      <c r="BV825" s="115">
        <f t="shared" si="7"/>
        <v>6.8918171851896632</v>
      </c>
      <c r="BW825" s="115">
        <f t="shared" si="7"/>
        <v>6.946951722671181</v>
      </c>
      <c r="BX825" s="115">
        <f t="shared" si="7"/>
        <v>6.960845626116523</v>
      </c>
      <c r="BY825" s="115">
        <f t="shared" si="7"/>
        <v>7.0582974648821546</v>
      </c>
      <c r="BZ825" s="115">
        <f t="shared" si="7"/>
        <v>7.1429970344607403</v>
      </c>
      <c r="CA825" s="115">
        <f t="shared" si="7"/>
        <v>7.3287149573567199</v>
      </c>
      <c r="CB825" s="115">
        <f t="shared" si="7"/>
        <v>7.4459743966744272</v>
      </c>
      <c r="CC825" s="115">
        <f t="shared" si="7"/>
        <v>7.5800019358145674</v>
      </c>
      <c r="CD825" s="115">
        <f t="shared" si="7"/>
        <v>8.0499620558350706</v>
      </c>
      <c r="CE825" s="115">
        <f t="shared" si="7"/>
        <v>8.6939590203018771</v>
      </c>
      <c r="CF825" s="115">
        <f t="shared" si="7"/>
        <v>8.9373898728703303</v>
      </c>
      <c r="CG825" s="115">
        <f t="shared" si="7"/>
        <v>9.2770106880394039</v>
      </c>
    </row>
    <row r="826" spans="1:85">
      <c r="A826" s="3"/>
      <c r="B826" s="113">
        <v>1962</v>
      </c>
      <c r="C826" s="113"/>
      <c r="D826" s="3"/>
      <c r="E826" s="116"/>
      <c r="F826" s="116"/>
      <c r="G826" s="116"/>
      <c r="H826" s="116"/>
      <c r="I826" s="116"/>
      <c r="J826" s="116"/>
      <c r="K826" s="116"/>
      <c r="L826" s="116"/>
      <c r="M826" s="116"/>
      <c r="N826" s="116"/>
      <c r="O826" s="116"/>
      <c r="P826" s="116"/>
      <c r="Q826" s="116"/>
      <c r="R826" s="116"/>
      <c r="S826" s="116"/>
      <c r="T826" s="116"/>
      <c r="U826" s="114">
        <v>1</v>
      </c>
      <c r="V826" s="115">
        <f t="shared" ref="V826:AK841" si="9">U826*V$807</f>
        <v>1.0381928272007452</v>
      </c>
      <c r="W826" s="115">
        <f t="shared" si="9"/>
        <v>1.0579184909175594</v>
      </c>
      <c r="X826" s="115">
        <f t="shared" si="9"/>
        <v>1.1467836441546344</v>
      </c>
      <c r="Y826" s="115">
        <f t="shared" si="9"/>
        <v>1.1960953408532835</v>
      </c>
      <c r="Z826" s="115">
        <f t="shared" si="9"/>
        <v>1.2654688706227739</v>
      </c>
      <c r="AA826" s="115">
        <f t="shared" si="9"/>
        <v>1.3148221565770619</v>
      </c>
      <c r="AB826" s="115">
        <f t="shared" si="9"/>
        <v>1.3582112877441048</v>
      </c>
      <c r="AC826" s="115">
        <f t="shared" si="9"/>
        <v>1.4519278665984481</v>
      </c>
      <c r="AD826" s="115">
        <f t="shared" si="9"/>
        <v>1.5303319713947643</v>
      </c>
      <c r="AE826" s="115">
        <f t="shared" si="9"/>
        <v>1.6466372012207664</v>
      </c>
      <c r="AF826" s="115">
        <f t="shared" si="9"/>
        <v>1.7684883541111032</v>
      </c>
      <c r="AG826" s="115">
        <f t="shared" si="9"/>
        <v>1.9117359107941025</v>
      </c>
      <c r="AH826" s="115">
        <f t="shared" si="9"/>
        <v>2.0990860300519247</v>
      </c>
      <c r="AI826" s="115">
        <f t="shared" si="9"/>
        <v>2.3236882352674808</v>
      </c>
      <c r="AJ826" s="115">
        <f t="shared" si="9"/>
        <v>2.5165543587946817</v>
      </c>
      <c r="AK826" s="115">
        <f t="shared" si="9"/>
        <v>2.68768005519272</v>
      </c>
      <c r="AL826" s="115">
        <f t="shared" ref="AL826:BA841" si="10">AK826*AL$807</f>
        <v>2.8005626175108143</v>
      </c>
      <c r="AM826" s="115">
        <f t="shared" si="10"/>
        <v>2.9069839969762254</v>
      </c>
      <c r="AN826" s="115">
        <f t="shared" si="10"/>
        <v>3.1133798607615373</v>
      </c>
      <c r="AO826" s="115">
        <f t="shared" si="10"/>
        <v>3.3126361718502757</v>
      </c>
      <c r="AP826" s="115">
        <f t="shared" si="10"/>
        <v>3.5080817059894418</v>
      </c>
      <c r="AQ826" s="115">
        <f t="shared" si="10"/>
        <v>3.5992918303451673</v>
      </c>
      <c r="AR826" s="115">
        <f t="shared" si="10"/>
        <v>3.7000720015948323</v>
      </c>
      <c r="AS826" s="115">
        <f t="shared" si="10"/>
        <v>3.7851736576315131</v>
      </c>
      <c r="AT826" s="115">
        <f t="shared" si="10"/>
        <v>3.7662477893433555</v>
      </c>
      <c r="AU826" s="115">
        <f t="shared" si="10"/>
        <v>3.7737802849220423</v>
      </c>
      <c r="AV826" s="115">
        <f t="shared" si="10"/>
        <v>3.8077443074863404</v>
      </c>
      <c r="AW826" s="115">
        <f t="shared" si="10"/>
        <v>3.8496294948686898</v>
      </c>
      <c r="AX826" s="115">
        <f t="shared" si="10"/>
        <v>3.9420206027455382</v>
      </c>
      <c r="AY826" s="115">
        <f t="shared" si="10"/>
        <v>4.1233535504718333</v>
      </c>
      <c r="AZ826" s="115">
        <f t="shared" si="10"/>
        <v>4.2676709247383471</v>
      </c>
      <c r="BA826" s="115">
        <f t="shared" si="10"/>
        <v>4.3530243432331144</v>
      </c>
      <c r="BB826" s="115">
        <f t="shared" ref="BB826:BQ841" si="11">BA826*BB$807</f>
        <v>4.4662029761571755</v>
      </c>
      <c r="BC826" s="115">
        <f t="shared" si="11"/>
        <v>4.533196020799533</v>
      </c>
      <c r="BD826" s="115">
        <f t="shared" si="11"/>
        <v>4.6193267451947237</v>
      </c>
      <c r="BE826" s="115">
        <f t="shared" si="11"/>
        <v>4.7394292405697866</v>
      </c>
      <c r="BF826" s="115">
        <f t="shared" si="11"/>
        <v>4.8199995376594726</v>
      </c>
      <c r="BG826" s="115">
        <f t="shared" si="11"/>
        <v>4.9453195256386193</v>
      </c>
      <c r="BH826" s="115">
        <f t="shared" si="11"/>
        <v>5.0689525137795846</v>
      </c>
      <c r="BI826" s="115">
        <f t="shared" si="11"/>
        <v>5.3071932819272245</v>
      </c>
      <c r="BJ826" s="115">
        <f t="shared" si="11"/>
        <v>5.4823306602308222</v>
      </c>
      <c r="BK826" s="115">
        <f t="shared" si="11"/>
        <v>5.5974596040956692</v>
      </c>
      <c r="BL826" s="115">
        <f t="shared" si="11"/>
        <v>5.6590316597407213</v>
      </c>
      <c r="BM826" s="115">
        <f t="shared" si="11"/>
        <v>5.7608942296160546</v>
      </c>
      <c r="BN826" s="115">
        <f t="shared" si="11"/>
        <v>5.8415467488306794</v>
      </c>
      <c r="BO826" s="115">
        <f t="shared" si="11"/>
        <v>5.9058037630678166</v>
      </c>
      <c r="BP826" s="115">
        <f t="shared" si="11"/>
        <v>6.0947894834859868</v>
      </c>
      <c r="BQ826" s="115">
        <f t="shared" si="11"/>
        <v>6.113073851936444</v>
      </c>
      <c r="BR826" s="115">
        <f t="shared" ref="BR826:CG841" si="12">BQ826*BR$807</f>
        <v>6.2047699597154899</v>
      </c>
      <c r="BS826" s="115">
        <f t="shared" si="12"/>
        <v>6.3660939786680926</v>
      </c>
      <c r="BT826" s="115">
        <f t="shared" si="12"/>
        <v>6.5125141401774584</v>
      </c>
      <c r="BU826" s="115">
        <f t="shared" si="12"/>
        <v>6.6948645361024273</v>
      </c>
      <c r="BV826" s="115">
        <f t="shared" si="12"/>
        <v>6.7618131814634514</v>
      </c>
      <c r="BW826" s="115">
        <f t="shared" si="12"/>
        <v>6.8159076869151587</v>
      </c>
      <c r="BX826" s="115">
        <f t="shared" si="12"/>
        <v>6.8295395022889887</v>
      </c>
      <c r="BY826" s="115">
        <f t="shared" si="12"/>
        <v>6.9251530553210348</v>
      </c>
      <c r="BZ826" s="115">
        <f t="shared" si="12"/>
        <v>7.0082548919848868</v>
      </c>
      <c r="CA826" s="115">
        <f t="shared" si="12"/>
        <v>7.190469519176494</v>
      </c>
      <c r="CB826" s="115">
        <f t="shared" si="12"/>
        <v>7.3055170314833182</v>
      </c>
      <c r="CC826" s="115">
        <f t="shared" si="12"/>
        <v>7.437016338050018</v>
      </c>
      <c r="CD826" s="115">
        <f t="shared" si="12"/>
        <v>7.8981113510091197</v>
      </c>
      <c r="CE826" s="115">
        <f t="shared" si="12"/>
        <v>8.5299602590898491</v>
      </c>
      <c r="CF826" s="115">
        <f t="shared" si="12"/>
        <v>8.7687991463443655</v>
      </c>
      <c r="CG826" s="115">
        <f t="shared" si="12"/>
        <v>9.102013513905451</v>
      </c>
    </row>
    <row r="827" spans="1:85">
      <c r="A827" s="3"/>
      <c r="B827" s="113">
        <v>1963</v>
      </c>
      <c r="C827" s="113"/>
      <c r="D827" s="3"/>
      <c r="E827" s="116"/>
      <c r="F827" s="116"/>
      <c r="G827" s="116"/>
      <c r="H827" s="116"/>
      <c r="I827" s="116"/>
      <c r="J827" s="116"/>
      <c r="K827" s="116"/>
      <c r="L827" s="116"/>
      <c r="M827" s="116"/>
      <c r="N827" s="116"/>
      <c r="O827" s="116"/>
      <c r="P827" s="116"/>
      <c r="Q827" s="116"/>
      <c r="R827" s="116"/>
      <c r="S827" s="116"/>
      <c r="T827" s="116"/>
      <c r="U827" s="116"/>
      <c r="V827" s="114">
        <v>1</v>
      </c>
      <c r="W827" s="115">
        <f t="shared" si="9"/>
        <v>1.0189999999999999</v>
      </c>
      <c r="X827" s="115">
        <f t="shared" si="9"/>
        <v>1.1045959999999999</v>
      </c>
      <c r="Y827" s="115">
        <f t="shared" si="9"/>
        <v>1.1520936279999998</v>
      </c>
      <c r="Z827" s="115">
        <f t="shared" si="9"/>
        <v>1.2189150584239998</v>
      </c>
      <c r="AA827" s="115">
        <f t="shared" si="9"/>
        <v>1.2664527457025356</v>
      </c>
      <c r="AB827" s="115">
        <f t="shared" si="9"/>
        <v>1.3082456863107192</v>
      </c>
      <c r="AC827" s="115">
        <f t="shared" si="9"/>
        <v>1.3985146386661589</v>
      </c>
      <c r="AD827" s="115">
        <f t="shared" si="9"/>
        <v>1.4740344291541316</v>
      </c>
      <c r="AE827" s="115">
        <f t="shared" si="9"/>
        <v>1.5860610457698456</v>
      </c>
      <c r="AF827" s="115">
        <f t="shared" si="9"/>
        <v>1.7034295631568144</v>
      </c>
      <c r="AG827" s="115">
        <f t="shared" si="9"/>
        <v>1.8414073577725163</v>
      </c>
      <c r="AH827" s="115">
        <f t="shared" si="9"/>
        <v>2.0218652788342228</v>
      </c>
      <c r="AI827" s="115">
        <f t="shared" si="9"/>
        <v>2.2382048636694845</v>
      </c>
      <c r="AJ827" s="115">
        <f t="shared" si="9"/>
        <v>2.4239758673540517</v>
      </c>
      <c r="AK827" s="115">
        <f t="shared" si="9"/>
        <v>2.5888062263341274</v>
      </c>
      <c r="AL827" s="115">
        <f t="shared" si="10"/>
        <v>2.6975360878401609</v>
      </c>
      <c r="AM827" s="115">
        <f t="shared" si="10"/>
        <v>2.800042459178087</v>
      </c>
      <c r="AN827" s="115">
        <f t="shared" si="10"/>
        <v>2.9988454737797312</v>
      </c>
      <c r="AO827" s="115">
        <f t="shared" si="10"/>
        <v>3.190771584101634</v>
      </c>
      <c r="AP827" s="115">
        <f t="shared" si="10"/>
        <v>3.3790271075636302</v>
      </c>
      <c r="AQ827" s="115">
        <f t="shared" si="10"/>
        <v>3.4668818123602847</v>
      </c>
      <c r="AR827" s="115">
        <f t="shared" si="10"/>
        <v>3.5639545031063729</v>
      </c>
      <c r="AS827" s="115">
        <f t="shared" si="10"/>
        <v>3.6459254566778192</v>
      </c>
      <c r="AT827" s="115">
        <f t="shared" si="10"/>
        <v>3.6276958293944301</v>
      </c>
      <c r="AU827" s="115">
        <f t="shared" si="10"/>
        <v>3.6349512210532189</v>
      </c>
      <c r="AV827" s="115">
        <f t="shared" si="10"/>
        <v>3.6676657820426977</v>
      </c>
      <c r="AW827" s="115">
        <f t="shared" si="10"/>
        <v>3.7080101056451671</v>
      </c>
      <c r="AX827" s="115">
        <f t="shared" si="10"/>
        <v>3.797002348180651</v>
      </c>
      <c r="AY827" s="115">
        <f t="shared" si="10"/>
        <v>3.9716644561969612</v>
      </c>
      <c r="AZ827" s="115">
        <f t="shared" si="10"/>
        <v>4.1106727121638542</v>
      </c>
      <c r="BA827" s="115">
        <f t="shared" si="10"/>
        <v>4.1928861664071313</v>
      </c>
      <c r="BB827" s="115">
        <f t="shared" si="11"/>
        <v>4.3019012067337172</v>
      </c>
      <c r="BC827" s="115">
        <f t="shared" si="11"/>
        <v>4.3664297248347221</v>
      </c>
      <c r="BD827" s="115">
        <f t="shared" si="11"/>
        <v>4.4493918896065816</v>
      </c>
      <c r="BE827" s="115">
        <f t="shared" si="11"/>
        <v>4.5650760787363529</v>
      </c>
      <c r="BF827" s="115">
        <f t="shared" si="11"/>
        <v>4.6426823720748702</v>
      </c>
      <c r="BG827" s="115">
        <f t="shared" si="11"/>
        <v>4.7633921137488171</v>
      </c>
      <c r="BH827" s="115">
        <f t="shared" si="11"/>
        <v>4.8824769165925375</v>
      </c>
      <c r="BI827" s="115">
        <f t="shared" si="11"/>
        <v>5.1119533316723862</v>
      </c>
      <c r="BJ827" s="115">
        <f t="shared" si="11"/>
        <v>5.2806477916175742</v>
      </c>
      <c r="BK827" s="115">
        <f t="shared" si="11"/>
        <v>5.3915413952415427</v>
      </c>
      <c r="BL827" s="115">
        <f t="shared" si="11"/>
        <v>5.4508483505891991</v>
      </c>
      <c r="BM827" s="115">
        <f t="shared" si="11"/>
        <v>5.548963620899805</v>
      </c>
      <c r="BN827" s="115">
        <f t="shared" si="11"/>
        <v>5.6266491115924024</v>
      </c>
      <c r="BO827" s="115">
        <f t="shared" si="11"/>
        <v>5.6885422518199187</v>
      </c>
      <c r="BP827" s="115">
        <f t="shared" si="11"/>
        <v>5.870575603878156</v>
      </c>
      <c r="BQ827" s="115">
        <f t="shared" si="11"/>
        <v>5.8881873306897896</v>
      </c>
      <c r="BR827" s="115">
        <f t="shared" si="12"/>
        <v>5.9765101406501362</v>
      </c>
      <c r="BS827" s="115">
        <f t="shared" si="12"/>
        <v>6.1318994043070401</v>
      </c>
      <c r="BT827" s="115">
        <f t="shared" si="12"/>
        <v>6.2729330906061014</v>
      </c>
      <c r="BU827" s="115">
        <f t="shared" si="12"/>
        <v>6.4485752171430724</v>
      </c>
      <c r="BV827" s="115">
        <f t="shared" si="12"/>
        <v>6.5130609693145027</v>
      </c>
      <c r="BW827" s="115">
        <f t="shared" si="12"/>
        <v>6.5651654570690186</v>
      </c>
      <c r="BX827" s="115">
        <f t="shared" si="12"/>
        <v>6.5782957879831567</v>
      </c>
      <c r="BY827" s="115">
        <f t="shared" si="12"/>
        <v>6.6703919290149214</v>
      </c>
      <c r="BZ827" s="115">
        <f t="shared" si="12"/>
        <v>6.7504366321631002</v>
      </c>
      <c r="CA827" s="115">
        <f t="shared" si="12"/>
        <v>6.9259479845993406</v>
      </c>
      <c r="CB827" s="115">
        <f t="shared" si="12"/>
        <v>7.0367631523529299</v>
      </c>
      <c r="CC827" s="115">
        <f t="shared" si="12"/>
        <v>7.1634248890952827</v>
      </c>
      <c r="CD827" s="115">
        <f t="shared" si="12"/>
        <v>7.6075572322191904</v>
      </c>
      <c r="CE827" s="115">
        <f t="shared" si="12"/>
        <v>8.2161618107967254</v>
      </c>
      <c r="CF827" s="115">
        <f t="shared" si="12"/>
        <v>8.4462143414990347</v>
      </c>
      <c r="CG827" s="115">
        <f t="shared" si="12"/>
        <v>8.7671704864759992</v>
      </c>
    </row>
    <row r="828" spans="1:85">
      <c r="A828" s="3"/>
      <c r="B828" s="113">
        <v>1964</v>
      </c>
      <c r="C828" s="113"/>
      <c r="D828" s="3"/>
      <c r="E828" s="116"/>
      <c r="F828" s="116"/>
      <c r="G828" s="116"/>
      <c r="H828" s="116"/>
      <c r="I828" s="116"/>
      <c r="J828" s="116"/>
      <c r="K828" s="116"/>
      <c r="L828" s="116"/>
      <c r="M828" s="116"/>
      <c r="N828" s="116"/>
      <c r="O828" s="116"/>
      <c r="P828" s="116"/>
      <c r="Q828" s="116"/>
      <c r="R828" s="116"/>
      <c r="S828" s="116"/>
      <c r="T828" s="116"/>
      <c r="U828" s="116"/>
      <c r="V828" s="116"/>
      <c r="W828" s="114">
        <v>1</v>
      </c>
      <c r="X828" s="115">
        <f t="shared" si="9"/>
        <v>1.0840000000000001</v>
      </c>
      <c r="Y828" s="115">
        <f t="shared" si="9"/>
        <v>1.130612</v>
      </c>
      <c r="Z828" s="115">
        <f t="shared" si="9"/>
        <v>1.1961874960000001</v>
      </c>
      <c r="AA828" s="115">
        <f t="shared" si="9"/>
        <v>1.2428388083440001</v>
      </c>
      <c r="AB828" s="115">
        <f t="shared" si="9"/>
        <v>1.2838524890193519</v>
      </c>
      <c r="AC828" s="115">
        <f t="shared" si="9"/>
        <v>1.3724383107616871</v>
      </c>
      <c r="AD828" s="115">
        <f t="shared" si="9"/>
        <v>1.4465499795428183</v>
      </c>
      <c r="AE828" s="115">
        <f t="shared" si="9"/>
        <v>1.5564877779880726</v>
      </c>
      <c r="AF828" s="115">
        <f t="shared" si="9"/>
        <v>1.6716678735591901</v>
      </c>
      <c r="AG828" s="115">
        <f t="shared" si="9"/>
        <v>1.8070729713174845</v>
      </c>
      <c r="AH828" s="115">
        <f t="shared" si="9"/>
        <v>1.9841661225065981</v>
      </c>
      <c r="AI828" s="115">
        <f t="shared" si="9"/>
        <v>2.1964718976148041</v>
      </c>
      <c r="AJ828" s="115">
        <f t="shared" si="9"/>
        <v>2.3787790651168326</v>
      </c>
      <c r="AK828" s="115">
        <f t="shared" si="9"/>
        <v>2.5405360415447773</v>
      </c>
      <c r="AL828" s="115">
        <f t="shared" si="10"/>
        <v>2.647238555289658</v>
      </c>
      <c r="AM828" s="115">
        <f t="shared" si="10"/>
        <v>2.747833620390665</v>
      </c>
      <c r="AN828" s="115">
        <f t="shared" si="10"/>
        <v>2.9429298074384023</v>
      </c>
      <c r="AO828" s="115">
        <f t="shared" si="10"/>
        <v>3.1312773151144602</v>
      </c>
      <c r="AP828" s="115">
        <f t="shared" si="10"/>
        <v>3.3160226767062131</v>
      </c>
      <c r="AQ828" s="115">
        <f t="shared" si="10"/>
        <v>3.4022392663005747</v>
      </c>
      <c r="AR828" s="115">
        <f t="shared" si="10"/>
        <v>3.497501965756991</v>
      </c>
      <c r="AS828" s="115">
        <f t="shared" si="10"/>
        <v>3.5779445109694015</v>
      </c>
      <c r="AT828" s="115">
        <f t="shared" si="10"/>
        <v>3.5600547884145546</v>
      </c>
      <c r="AU828" s="115">
        <f t="shared" si="10"/>
        <v>3.5671748979913835</v>
      </c>
      <c r="AV828" s="115">
        <f t="shared" si="10"/>
        <v>3.5992794720733055</v>
      </c>
      <c r="AW828" s="115">
        <f t="shared" si="10"/>
        <v>3.6388715462661114</v>
      </c>
      <c r="AX828" s="115">
        <f t="shared" si="10"/>
        <v>3.7262044633764981</v>
      </c>
      <c r="AY828" s="115">
        <f t="shared" si="10"/>
        <v>3.8976098686918172</v>
      </c>
      <c r="AZ828" s="115">
        <f t="shared" si="10"/>
        <v>4.0340262140960306</v>
      </c>
      <c r="BA828" s="115">
        <f t="shared" si="10"/>
        <v>4.1147067383779516</v>
      </c>
      <c r="BB828" s="115">
        <f t="shared" si="11"/>
        <v>4.2216891135757786</v>
      </c>
      <c r="BC828" s="115">
        <f t="shared" si="11"/>
        <v>4.285014450279415</v>
      </c>
      <c r="BD828" s="115">
        <f t="shared" si="11"/>
        <v>4.366429724834723</v>
      </c>
      <c r="BE828" s="115">
        <f t="shared" si="11"/>
        <v>4.4799568976804256</v>
      </c>
      <c r="BF828" s="115">
        <f t="shared" si="11"/>
        <v>4.5561161649409927</v>
      </c>
      <c r="BG828" s="115">
        <f t="shared" si="11"/>
        <v>4.6745751852294584</v>
      </c>
      <c r="BH828" s="115">
        <f t="shared" si="11"/>
        <v>4.7914395648601946</v>
      </c>
      <c r="BI828" s="115">
        <f t="shared" si="11"/>
        <v>5.0166372244086235</v>
      </c>
      <c r="BJ828" s="115">
        <f t="shared" si="11"/>
        <v>5.1821862528141081</v>
      </c>
      <c r="BK828" s="115">
        <f t="shared" si="11"/>
        <v>5.2910121641232042</v>
      </c>
      <c r="BL828" s="115">
        <f t="shared" si="11"/>
        <v>5.3492132979285589</v>
      </c>
      <c r="BM828" s="115">
        <f t="shared" si="11"/>
        <v>5.4454991372912733</v>
      </c>
      <c r="BN828" s="115">
        <f t="shared" si="11"/>
        <v>5.5217361252133514</v>
      </c>
      <c r="BO828" s="115">
        <f t="shared" si="11"/>
        <v>5.5824752225906975</v>
      </c>
      <c r="BP828" s="115">
        <f t="shared" si="11"/>
        <v>5.7611144297135999</v>
      </c>
      <c r="BQ828" s="115">
        <f t="shared" si="11"/>
        <v>5.77839777300274</v>
      </c>
      <c r="BR828" s="115">
        <f t="shared" si="12"/>
        <v>5.865073739597781</v>
      </c>
      <c r="BS828" s="115">
        <f t="shared" si="12"/>
        <v>6.0175656568273235</v>
      </c>
      <c r="BT828" s="115">
        <f t="shared" si="12"/>
        <v>6.1559696669343511</v>
      </c>
      <c r="BU828" s="115">
        <f t="shared" si="12"/>
        <v>6.3283368176085135</v>
      </c>
      <c r="BV828" s="115">
        <f t="shared" si="12"/>
        <v>6.3916201857845989</v>
      </c>
      <c r="BW828" s="115">
        <f t="shared" si="12"/>
        <v>6.4427531472708761</v>
      </c>
      <c r="BX828" s="115">
        <f t="shared" si="12"/>
        <v>6.4556386535654182</v>
      </c>
      <c r="BY828" s="115">
        <f t="shared" si="12"/>
        <v>6.5460175947153338</v>
      </c>
      <c r="BZ828" s="115">
        <f t="shared" si="12"/>
        <v>6.6245698058519178</v>
      </c>
      <c r="CA828" s="115">
        <f t="shared" si="12"/>
        <v>6.7968086208040681</v>
      </c>
      <c r="CB828" s="115">
        <f t="shared" si="12"/>
        <v>6.9055575587369331</v>
      </c>
      <c r="CC828" s="115">
        <f t="shared" si="12"/>
        <v>7.0298575947941977</v>
      </c>
      <c r="CD828" s="115">
        <f t="shared" si="12"/>
        <v>7.4657087656714385</v>
      </c>
      <c r="CE828" s="115">
        <f t="shared" si="12"/>
        <v>8.0629654669251547</v>
      </c>
      <c r="CF828" s="115">
        <f t="shared" si="12"/>
        <v>8.2887284999990598</v>
      </c>
      <c r="CG828" s="115">
        <f t="shared" si="12"/>
        <v>8.6037001829990238</v>
      </c>
    </row>
    <row r="829" spans="1:85">
      <c r="A829" s="3"/>
      <c r="B829" s="113">
        <v>1965</v>
      </c>
      <c r="C829" s="113"/>
      <c r="D829" s="3"/>
      <c r="E829" s="116"/>
      <c r="F829" s="116"/>
      <c r="G829" s="116"/>
      <c r="H829" s="116"/>
      <c r="I829" s="116"/>
      <c r="J829" s="116"/>
      <c r="K829" s="116"/>
      <c r="L829" s="116"/>
      <c r="M829" s="116"/>
      <c r="N829" s="116"/>
      <c r="O829" s="116"/>
      <c r="P829" s="116"/>
      <c r="Q829" s="116"/>
      <c r="R829" s="116"/>
      <c r="S829" s="116"/>
      <c r="T829" s="116"/>
      <c r="U829" s="116"/>
      <c r="V829" s="116"/>
      <c r="W829" s="116"/>
      <c r="X829" s="114">
        <v>1</v>
      </c>
      <c r="Y829" s="115">
        <f t="shared" si="9"/>
        <v>1.0429999999999999</v>
      </c>
      <c r="Z829" s="115">
        <f t="shared" si="9"/>
        <v>1.103494</v>
      </c>
      <c r="AA829" s="115">
        <f t="shared" si="9"/>
        <v>1.1465302659999999</v>
      </c>
      <c r="AB829" s="115">
        <f t="shared" si="9"/>
        <v>1.1843657647779997</v>
      </c>
      <c r="AC829" s="115">
        <f t="shared" si="9"/>
        <v>1.2660870025476816</v>
      </c>
      <c r="AD829" s="115">
        <f t="shared" si="9"/>
        <v>1.3344557006852564</v>
      </c>
      <c r="AE829" s="115">
        <f t="shared" si="9"/>
        <v>1.4358743339373361</v>
      </c>
      <c r="AF829" s="115">
        <f t="shared" si="9"/>
        <v>1.5421290346486991</v>
      </c>
      <c r="AG829" s="115">
        <f t="shared" si="9"/>
        <v>1.6670414864552436</v>
      </c>
      <c r="AH829" s="115">
        <f t="shared" si="9"/>
        <v>1.8304115521278577</v>
      </c>
      <c r="AI829" s="115">
        <f t="shared" si="9"/>
        <v>2.0262655882055385</v>
      </c>
      <c r="AJ829" s="115">
        <f t="shared" si="9"/>
        <v>2.1944456320265981</v>
      </c>
      <c r="AK829" s="115">
        <f t="shared" si="9"/>
        <v>2.3436679350044067</v>
      </c>
      <c r="AL829" s="115">
        <f t="shared" si="10"/>
        <v>2.442101988274592</v>
      </c>
      <c r="AM829" s="115">
        <f t="shared" si="10"/>
        <v>2.5349018638290266</v>
      </c>
      <c r="AN829" s="115">
        <f t="shared" si="10"/>
        <v>2.7148798961608875</v>
      </c>
      <c r="AO829" s="115">
        <f t="shared" si="10"/>
        <v>2.8886322095151846</v>
      </c>
      <c r="AP829" s="115">
        <f t="shared" si="10"/>
        <v>3.0590615098765803</v>
      </c>
      <c r="AQ829" s="115">
        <f t="shared" si="10"/>
        <v>3.1385971091333715</v>
      </c>
      <c r="AR829" s="115">
        <f t="shared" si="10"/>
        <v>3.2264778281891062</v>
      </c>
      <c r="AS829" s="115">
        <f t="shared" si="10"/>
        <v>3.3006868182374554</v>
      </c>
      <c r="AT829" s="115">
        <f t="shared" si="10"/>
        <v>3.2841833841462682</v>
      </c>
      <c r="AU829" s="115">
        <f t="shared" si="10"/>
        <v>3.290751750914561</v>
      </c>
      <c r="AV829" s="115">
        <f t="shared" si="10"/>
        <v>3.3203685166727919</v>
      </c>
      <c r="AW829" s="115">
        <f t="shared" si="10"/>
        <v>3.3568925703561923</v>
      </c>
      <c r="AX829" s="115">
        <f t="shared" si="10"/>
        <v>3.4374579920447408</v>
      </c>
      <c r="AY829" s="115">
        <f t="shared" si="10"/>
        <v>3.5955810596787989</v>
      </c>
      <c r="AZ829" s="115">
        <f t="shared" si="10"/>
        <v>3.7214263967675567</v>
      </c>
      <c r="BA829" s="115">
        <f t="shared" si="10"/>
        <v>3.7958549247029079</v>
      </c>
      <c r="BB829" s="115">
        <f t="shared" si="11"/>
        <v>3.8945471527451834</v>
      </c>
      <c r="BC829" s="115">
        <f t="shared" si="11"/>
        <v>3.9529653600363606</v>
      </c>
      <c r="BD829" s="115">
        <f t="shared" si="11"/>
        <v>4.0280717018770513</v>
      </c>
      <c r="BE829" s="115">
        <f t="shared" si="11"/>
        <v>4.1328015661258544</v>
      </c>
      <c r="BF829" s="115">
        <f t="shared" si="11"/>
        <v>4.2030591927499934</v>
      </c>
      <c r="BG829" s="115">
        <f t="shared" si="11"/>
        <v>4.3123387317614936</v>
      </c>
      <c r="BH829" s="115">
        <f t="shared" si="11"/>
        <v>4.4201472000555304</v>
      </c>
      <c r="BI829" s="115">
        <f t="shared" si="11"/>
        <v>4.6278941184581397</v>
      </c>
      <c r="BJ829" s="115">
        <f t="shared" si="11"/>
        <v>4.7806146243672583</v>
      </c>
      <c r="BK829" s="115">
        <f t="shared" si="11"/>
        <v>4.8810075314789705</v>
      </c>
      <c r="BL829" s="115">
        <f t="shared" si="11"/>
        <v>4.9346986143252387</v>
      </c>
      <c r="BM829" s="115">
        <f t="shared" si="11"/>
        <v>5.0235231893830932</v>
      </c>
      <c r="BN829" s="115">
        <f t="shared" si="11"/>
        <v>5.0938525140344568</v>
      </c>
      <c r="BO829" s="115">
        <f t="shared" si="11"/>
        <v>5.1498848916888349</v>
      </c>
      <c r="BP829" s="115">
        <f t="shared" si="11"/>
        <v>5.3146812082228774</v>
      </c>
      <c r="BQ829" s="115">
        <f t="shared" si="11"/>
        <v>5.330625251847545</v>
      </c>
      <c r="BR829" s="115">
        <f t="shared" si="12"/>
        <v>5.4105846306252579</v>
      </c>
      <c r="BS829" s="115">
        <f t="shared" si="12"/>
        <v>5.5512598310215147</v>
      </c>
      <c r="BT829" s="115">
        <f t="shared" si="12"/>
        <v>5.6789388071350091</v>
      </c>
      <c r="BU829" s="115">
        <f t="shared" si="12"/>
        <v>5.8379490937347898</v>
      </c>
      <c r="BV829" s="115">
        <f t="shared" si="12"/>
        <v>5.8963285846721378</v>
      </c>
      <c r="BW829" s="115">
        <f t="shared" si="12"/>
        <v>5.943499213349515</v>
      </c>
      <c r="BX829" s="115">
        <f t="shared" si="12"/>
        <v>5.9553862117762142</v>
      </c>
      <c r="BY829" s="115">
        <f t="shared" si="12"/>
        <v>6.0387616187410815</v>
      </c>
      <c r="BZ829" s="115">
        <f t="shared" si="12"/>
        <v>6.1112267581659747</v>
      </c>
      <c r="CA829" s="115">
        <f t="shared" si="12"/>
        <v>6.2701186538782903</v>
      </c>
      <c r="CB829" s="115">
        <f t="shared" si="12"/>
        <v>6.3704405523403427</v>
      </c>
      <c r="CC829" s="115">
        <f t="shared" si="12"/>
        <v>6.4851084822824694</v>
      </c>
      <c r="CD829" s="115">
        <f t="shared" si="12"/>
        <v>6.8871852081839826</v>
      </c>
      <c r="CE829" s="115">
        <f t="shared" si="12"/>
        <v>7.4381600248387016</v>
      </c>
      <c r="CF829" s="115">
        <f t="shared" si="12"/>
        <v>7.6464285055341854</v>
      </c>
      <c r="CG829" s="115">
        <f t="shared" si="12"/>
        <v>7.9369927887444849</v>
      </c>
    </row>
    <row r="830" spans="1:85">
      <c r="A830" s="3"/>
      <c r="B830" s="113">
        <v>1966</v>
      </c>
      <c r="C830" s="113"/>
      <c r="D830" s="3"/>
      <c r="E830" s="116"/>
      <c r="F830" s="116"/>
      <c r="G830" s="116"/>
      <c r="H830" s="116"/>
      <c r="I830" s="116"/>
      <c r="J830" s="116"/>
      <c r="K830" s="116"/>
      <c r="L830" s="116"/>
      <c r="M830" s="116"/>
      <c r="N830" s="116"/>
      <c r="O830" s="116"/>
      <c r="P830" s="116"/>
      <c r="Q830" s="116"/>
      <c r="R830" s="116"/>
      <c r="S830" s="116"/>
      <c r="T830" s="116"/>
      <c r="U830" s="116"/>
      <c r="V830" s="116"/>
      <c r="W830" s="116"/>
      <c r="X830" s="116"/>
      <c r="Y830" s="114">
        <v>1</v>
      </c>
      <c r="Z830" s="115">
        <f t="shared" si="9"/>
        <v>1.0580000000000001</v>
      </c>
      <c r="AA830" s="115">
        <f t="shared" si="9"/>
        <v>1.099262</v>
      </c>
      <c r="AB830" s="115">
        <f t="shared" si="9"/>
        <v>1.135537646</v>
      </c>
      <c r="AC830" s="115">
        <f t="shared" si="9"/>
        <v>1.2138897435739999</v>
      </c>
      <c r="AD830" s="115">
        <f t="shared" si="9"/>
        <v>1.279439789726996</v>
      </c>
      <c r="AE830" s="115">
        <f t="shared" si="9"/>
        <v>1.3766772137462477</v>
      </c>
      <c r="AF830" s="115">
        <f t="shared" si="9"/>
        <v>1.4785513275634701</v>
      </c>
      <c r="AG830" s="115">
        <f t="shared" si="9"/>
        <v>1.598313985096111</v>
      </c>
      <c r="AH830" s="115">
        <f t="shared" si="9"/>
        <v>1.7549487556355301</v>
      </c>
      <c r="AI830" s="115">
        <f t="shared" si="9"/>
        <v>1.9427282724885317</v>
      </c>
      <c r="AJ830" s="115">
        <f t="shared" si="9"/>
        <v>2.1039747191050799</v>
      </c>
      <c r="AK830" s="115">
        <f t="shared" si="9"/>
        <v>2.2470450000042255</v>
      </c>
      <c r="AL830" s="115">
        <f t="shared" si="10"/>
        <v>2.3414208900044029</v>
      </c>
      <c r="AM830" s="115">
        <f t="shared" si="10"/>
        <v>2.4303948838245701</v>
      </c>
      <c r="AN830" s="115">
        <f t="shared" si="10"/>
        <v>2.6029529205761146</v>
      </c>
      <c r="AO830" s="115">
        <f t="shared" si="10"/>
        <v>2.7695419074929859</v>
      </c>
      <c r="AP830" s="115">
        <f t="shared" si="10"/>
        <v>2.9329448800350719</v>
      </c>
      <c r="AQ830" s="115">
        <f t="shared" si="10"/>
        <v>3.0092014469159838</v>
      </c>
      <c r="AR830" s="115">
        <f t="shared" si="10"/>
        <v>3.0934590874296313</v>
      </c>
      <c r="AS830" s="115">
        <f t="shared" si="10"/>
        <v>3.1646086464405125</v>
      </c>
      <c r="AT830" s="115">
        <f t="shared" si="10"/>
        <v>3.1487856032083101</v>
      </c>
      <c r="AU830" s="115">
        <f t="shared" si="10"/>
        <v>3.155083174414727</v>
      </c>
      <c r="AV830" s="115">
        <f t="shared" si="10"/>
        <v>3.1834789229844591</v>
      </c>
      <c r="AW830" s="115">
        <f t="shared" si="10"/>
        <v>3.2184971911372879</v>
      </c>
      <c r="AX830" s="115">
        <f t="shared" si="10"/>
        <v>3.2957411237245831</v>
      </c>
      <c r="AY830" s="115">
        <f t="shared" si="10"/>
        <v>3.4473452154159139</v>
      </c>
      <c r="AZ830" s="115">
        <f t="shared" si="10"/>
        <v>3.5680022979554704</v>
      </c>
      <c r="BA830" s="115">
        <f t="shared" si="10"/>
        <v>3.6393623439145797</v>
      </c>
      <c r="BB830" s="115">
        <f t="shared" si="11"/>
        <v>3.7339857648563588</v>
      </c>
      <c r="BC830" s="115">
        <f t="shared" si="11"/>
        <v>3.7899955513292038</v>
      </c>
      <c r="BD830" s="115">
        <f t="shared" si="11"/>
        <v>3.8620054668044586</v>
      </c>
      <c r="BE830" s="115">
        <f t="shared" si="11"/>
        <v>3.9624176089413745</v>
      </c>
      <c r="BF830" s="115">
        <f t="shared" si="11"/>
        <v>4.0297787082933771</v>
      </c>
      <c r="BG830" s="115">
        <f t="shared" si="11"/>
        <v>4.1345529547090054</v>
      </c>
      <c r="BH830" s="115">
        <f t="shared" si="11"/>
        <v>4.2379167785767304</v>
      </c>
      <c r="BI830" s="115">
        <f t="shared" si="11"/>
        <v>4.4370988671698361</v>
      </c>
      <c r="BJ830" s="115">
        <f t="shared" si="11"/>
        <v>4.5835231297864407</v>
      </c>
      <c r="BK830" s="115">
        <f t="shared" si="11"/>
        <v>4.6797771155119552</v>
      </c>
      <c r="BL830" s="115">
        <f t="shared" si="11"/>
        <v>4.7312546637825861</v>
      </c>
      <c r="BM830" s="115">
        <f t="shared" si="11"/>
        <v>4.8164172477306728</v>
      </c>
      <c r="BN830" s="115">
        <f t="shared" si="11"/>
        <v>4.8838470891989019</v>
      </c>
      <c r="BO830" s="115">
        <f t="shared" si="11"/>
        <v>4.9375694071800895</v>
      </c>
      <c r="BP830" s="115">
        <f t="shared" si="11"/>
        <v>5.0955716282098527</v>
      </c>
      <c r="BQ830" s="115">
        <f t="shared" si="11"/>
        <v>5.1108583430944821</v>
      </c>
      <c r="BR830" s="115">
        <f t="shared" si="12"/>
        <v>5.1875212182408985</v>
      </c>
      <c r="BS830" s="115">
        <f t="shared" si="12"/>
        <v>5.3223967699151622</v>
      </c>
      <c r="BT830" s="115">
        <f t="shared" si="12"/>
        <v>5.4448118956232108</v>
      </c>
      <c r="BU830" s="115">
        <f t="shared" si="12"/>
        <v>5.5972666287006607</v>
      </c>
      <c r="BV830" s="115">
        <f t="shared" si="12"/>
        <v>5.6532392949876673</v>
      </c>
      <c r="BW830" s="115">
        <f t="shared" si="12"/>
        <v>5.6984652093475683</v>
      </c>
      <c r="BX830" s="115">
        <f t="shared" si="12"/>
        <v>5.7098621397662637</v>
      </c>
      <c r="BY830" s="115">
        <f t="shared" si="12"/>
        <v>5.7898002097229915</v>
      </c>
      <c r="BZ830" s="115">
        <f t="shared" si="12"/>
        <v>5.8592778122396671</v>
      </c>
      <c r="CA830" s="115">
        <f t="shared" si="12"/>
        <v>6.0116190353578984</v>
      </c>
      <c r="CB830" s="115">
        <f t="shared" si="12"/>
        <v>6.1078049399236249</v>
      </c>
      <c r="CC830" s="115">
        <f t="shared" si="12"/>
        <v>6.2177454288422505</v>
      </c>
      <c r="CD830" s="115">
        <f t="shared" si="12"/>
        <v>6.6032456454304702</v>
      </c>
      <c r="CE830" s="115">
        <f t="shared" si="12"/>
        <v>7.1315052970649084</v>
      </c>
      <c r="CF830" s="115">
        <f t="shared" si="12"/>
        <v>7.3311874453827262</v>
      </c>
      <c r="CG830" s="115">
        <f t="shared" si="12"/>
        <v>7.6097725683072701</v>
      </c>
    </row>
    <row r="831" spans="1:85">
      <c r="A831" s="3"/>
      <c r="B831" s="113">
        <v>1967</v>
      </c>
      <c r="C831" s="113"/>
      <c r="D831" s="3"/>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4">
        <v>1</v>
      </c>
      <c r="AA831" s="115">
        <f t="shared" si="9"/>
        <v>1.0389999999999999</v>
      </c>
      <c r="AB831" s="115">
        <f t="shared" si="9"/>
        <v>1.0732869999999999</v>
      </c>
      <c r="AC831" s="115">
        <f t="shared" si="9"/>
        <v>1.1473438029999998</v>
      </c>
      <c r="AD831" s="115">
        <f t="shared" si="9"/>
        <v>1.2093003683619998</v>
      </c>
      <c r="AE831" s="115">
        <f t="shared" si="9"/>
        <v>1.3012071963575118</v>
      </c>
      <c r="AF831" s="115">
        <f t="shared" si="9"/>
        <v>1.3974965288879677</v>
      </c>
      <c r="AG831" s="115">
        <f t="shared" si="9"/>
        <v>1.510693747727893</v>
      </c>
      <c r="AH831" s="115">
        <f t="shared" si="9"/>
        <v>1.6587417350052267</v>
      </c>
      <c r="AI831" s="115">
        <f t="shared" si="9"/>
        <v>1.836227100650786</v>
      </c>
      <c r="AJ831" s="115">
        <f t="shared" si="9"/>
        <v>1.9886339500048011</v>
      </c>
      <c r="AK831" s="115">
        <f t="shared" si="9"/>
        <v>2.1238610586051276</v>
      </c>
      <c r="AL831" s="115">
        <f t="shared" si="10"/>
        <v>2.213063223066543</v>
      </c>
      <c r="AM831" s="115">
        <f t="shared" si="10"/>
        <v>2.2971596255430717</v>
      </c>
      <c r="AN831" s="115">
        <f t="shared" si="10"/>
        <v>2.4602579589566296</v>
      </c>
      <c r="AO831" s="115">
        <f t="shared" si="10"/>
        <v>2.6177144683298539</v>
      </c>
      <c r="AP831" s="115">
        <f t="shared" si="10"/>
        <v>2.7721596219613152</v>
      </c>
      <c r="AQ831" s="115">
        <f t="shared" si="10"/>
        <v>2.8442357721323095</v>
      </c>
      <c r="AR831" s="115">
        <f t="shared" si="10"/>
        <v>2.9238743737520143</v>
      </c>
      <c r="AS831" s="115">
        <f t="shared" si="10"/>
        <v>2.9911234843483103</v>
      </c>
      <c r="AT831" s="115">
        <f t="shared" si="10"/>
        <v>2.9761678669265685</v>
      </c>
      <c r="AU831" s="115">
        <f t="shared" si="10"/>
        <v>2.9821202026604219</v>
      </c>
      <c r="AV831" s="115">
        <f t="shared" si="10"/>
        <v>3.0089592844843653</v>
      </c>
      <c r="AW831" s="115">
        <f t="shared" si="10"/>
        <v>3.0420578366136932</v>
      </c>
      <c r="AX831" s="115">
        <f t="shared" si="10"/>
        <v>3.1150672246924218</v>
      </c>
      <c r="AY831" s="115">
        <f t="shared" si="10"/>
        <v>3.2583603170282736</v>
      </c>
      <c r="AZ831" s="115">
        <f t="shared" si="10"/>
        <v>3.3724029281242629</v>
      </c>
      <c r="BA831" s="115">
        <f t="shared" si="10"/>
        <v>3.4398509866867482</v>
      </c>
      <c r="BB831" s="115">
        <f t="shared" si="11"/>
        <v>3.5292871123406035</v>
      </c>
      <c r="BC831" s="115">
        <f t="shared" si="11"/>
        <v>3.5822264190257123</v>
      </c>
      <c r="BD831" s="115">
        <f t="shared" si="11"/>
        <v>3.6502887209872004</v>
      </c>
      <c r="BE831" s="115">
        <f t="shared" si="11"/>
        <v>3.7451962277328676</v>
      </c>
      <c r="BF831" s="115">
        <f t="shared" si="11"/>
        <v>3.8088645636043261</v>
      </c>
      <c r="BG831" s="115">
        <f t="shared" si="11"/>
        <v>3.9078950422580387</v>
      </c>
      <c r="BH831" s="115">
        <f t="shared" si="11"/>
        <v>4.0055924183144898</v>
      </c>
      <c r="BI831" s="115">
        <f t="shared" si="11"/>
        <v>4.1938552619752709</v>
      </c>
      <c r="BJ831" s="115">
        <f t="shared" si="11"/>
        <v>4.3322524856204545</v>
      </c>
      <c r="BK831" s="115">
        <f t="shared" si="11"/>
        <v>4.4232297878184834</v>
      </c>
      <c r="BL831" s="115">
        <f t="shared" si="11"/>
        <v>4.471885315484486</v>
      </c>
      <c r="BM831" s="115">
        <f t="shared" si="11"/>
        <v>4.5523792511632069</v>
      </c>
      <c r="BN831" s="115">
        <f t="shared" si="11"/>
        <v>4.6161125606794915</v>
      </c>
      <c r="BO831" s="115">
        <f t="shared" si="11"/>
        <v>4.6668897988469658</v>
      </c>
      <c r="BP831" s="115">
        <f t="shared" si="11"/>
        <v>4.8162302724100687</v>
      </c>
      <c r="BQ831" s="115">
        <f t="shared" si="11"/>
        <v>4.8306789632272986</v>
      </c>
      <c r="BR831" s="115">
        <f t="shared" si="12"/>
        <v>4.9031391476757076</v>
      </c>
      <c r="BS831" s="115">
        <f t="shared" si="12"/>
        <v>5.0306207655152759</v>
      </c>
      <c r="BT831" s="115">
        <f t="shared" si="12"/>
        <v>5.1463250431221272</v>
      </c>
      <c r="BU831" s="115">
        <f t="shared" si="12"/>
        <v>5.2904221443295469</v>
      </c>
      <c r="BV831" s="115">
        <f t="shared" si="12"/>
        <v>5.3433263657728425</v>
      </c>
      <c r="BW831" s="115">
        <f t="shared" si="12"/>
        <v>5.3860729766990252</v>
      </c>
      <c r="BX831" s="115">
        <f t="shared" si="12"/>
        <v>5.3968451226524232</v>
      </c>
      <c r="BY831" s="115">
        <f t="shared" si="12"/>
        <v>5.4724009543695571</v>
      </c>
      <c r="BZ831" s="115">
        <f t="shared" si="12"/>
        <v>5.5380697658219917</v>
      </c>
      <c r="CA831" s="115">
        <f t="shared" si="12"/>
        <v>5.6820595797333633</v>
      </c>
      <c r="CB831" s="115">
        <f t="shared" si="12"/>
        <v>5.7729725330090975</v>
      </c>
      <c r="CC831" s="115">
        <f t="shared" si="12"/>
        <v>5.8768860386032618</v>
      </c>
      <c r="CD831" s="115">
        <f t="shared" si="12"/>
        <v>6.2412529729966639</v>
      </c>
      <c r="CE831" s="115">
        <f t="shared" si="12"/>
        <v>6.7405532108363975</v>
      </c>
      <c r="CF831" s="115">
        <f t="shared" si="12"/>
        <v>6.929288700739817</v>
      </c>
      <c r="CG831" s="115">
        <f t="shared" si="12"/>
        <v>7.1926016713679299</v>
      </c>
    </row>
    <row r="832" spans="1:85">
      <c r="A832" s="3"/>
      <c r="B832" s="113">
        <v>1968</v>
      </c>
      <c r="C832" s="113"/>
      <c r="D832" s="3"/>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4">
        <v>1</v>
      </c>
      <c r="AB832" s="115">
        <f t="shared" si="9"/>
        <v>1.0329999999999999</v>
      </c>
      <c r="AC832" s="115">
        <f t="shared" si="9"/>
        <v>1.104277</v>
      </c>
      <c r="AD832" s="115">
        <f t="shared" si="9"/>
        <v>1.163907958</v>
      </c>
      <c r="AE832" s="115">
        <f t="shared" si="9"/>
        <v>1.252364962808</v>
      </c>
      <c r="AF832" s="115">
        <f t="shared" si="9"/>
        <v>1.345039970055792</v>
      </c>
      <c r="AG832" s="115">
        <f t="shared" si="9"/>
        <v>1.453988207630311</v>
      </c>
      <c r="AH832" s="115">
        <f t="shared" si="9"/>
        <v>1.5964790519780816</v>
      </c>
      <c r="AI832" s="115">
        <f t="shared" si="9"/>
        <v>1.7673023105397363</v>
      </c>
      <c r="AJ832" s="115">
        <f t="shared" si="9"/>
        <v>1.9139884023145344</v>
      </c>
      <c r="AK832" s="115">
        <f t="shared" si="9"/>
        <v>2.044139613671923</v>
      </c>
      <c r="AL832" s="115">
        <f t="shared" si="10"/>
        <v>2.1299934774461438</v>
      </c>
      <c r="AM832" s="115">
        <f t="shared" si="10"/>
        <v>2.2109332295890973</v>
      </c>
      <c r="AN832" s="115">
        <f t="shared" si="10"/>
        <v>2.3679094888899233</v>
      </c>
      <c r="AO832" s="115">
        <f t="shared" si="10"/>
        <v>2.5194556961788783</v>
      </c>
      <c r="AP832" s="115">
        <f t="shared" si="10"/>
        <v>2.668103582253432</v>
      </c>
      <c r="AQ832" s="115">
        <f t="shared" si="10"/>
        <v>2.7374742753920214</v>
      </c>
      <c r="AR832" s="115">
        <f t="shared" si="10"/>
        <v>2.8141235551029982</v>
      </c>
      <c r="AS832" s="115">
        <f t="shared" si="10"/>
        <v>2.8788483968703669</v>
      </c>
      <c r="AT832" s="115">
        <f t="shared" si="10"/>
        <v>2.864454154886015</v>
      </c>
      <c r="AU832" s="115">
        <f t="shared" si="10"/>
        <v>2.8701830631957872</v>
      </c>
      <c r="AV832" s="115">
        <f t="shared" si="10"/>
        <v>2.8960147107645491</v>
      </c>
      <c r="AW832" s="115">
        <f t="shared" si="10"/>
        <v>2.9278708725829588</v>
      </c>
      <c r="AX832" s="115">
        <f t="shared" si="10"/>
        <v>2.99813977352495</v>
      </c>
      <c r="AY832" s="115">
        <f t="shared" si="10"/>
        <v>3.1360542031070979</v>
      </c>
      <c r="AZ832" s="115">
        <f t="shared" si="10"/>
        <v>3.2458161002158463</v>
      </c>
      <c r="BA832" s="115">
        <f t="shared" si="10"/>
        <v>3.3107324222201635</v>
      </c>
      <c r="BB832" s="115">
        <f t="shared" si="11"/>
        <v>3.3968114651978878</v>
      </c>
      <c r="BC832" s="115">
        <f t="shared" si="11"/>
        <v>3.4477636371758558</v>
      </c>
      <c r="BD832" s="115">
        <f t="shared" si="11"/>
        <v>3.5132711462821966</v>
      </c>
      <c r="BE832" s="115">
        <f t="shared" si="11"/>
        <v>3.6046161960855336</v>
      </c>
      <c r="BF832" s="115">
        <f t="shared" si="11"/>
        <v>3.6658946714189873</v>
      </c>
      <c r="BG832" s="115">
        <f t="shared" si="11"/>
        <v>3.7612079328758812</v>
      </c>
      <c r="BH832" s="115">
        <f t="shared" si="11"/>
        <v>3.8552381311977779</v>
      </c>
      <c r="BI832" s="115">
        <f t="shared" si="11"/>
        <v>4.0364343233640732</v>
      </c>
      <c r="BJ832" s="115">
        <f t="shared" si="11"/>
        <v>4.1696366560350873</v>
      </c>
      <c r="BK832" s="115">
        <f t="shared" si="11"/>
        <v>4.2571990258118237</v>
      </c>
      <c r="BL832" s="115">
        <f t="shared" si="11"/>
        <v>4.3040282150957534</v>
      </c>
      <c r="BM832" s="115">
        <f t="shared" si="11"/>
        <v>4.3815007229674769</v>
      </c>
      <c r="BN832" s="115">
        <f t="shared" si="11"/>
        <v>4.442841733089022</v>
      </c>
      <c r="BO832" s="115">
        <f t="shared" si="11"/>
        <v>4.4917129921530004</v>
      </c>
      <c r="BP832" s="115">
        <f t="shared" si="11"/>
        <v>4.6354478079018966</v>
      </c>
      <c r="BQ832" s="115">
        <f t="shared" si="11"/>
        <v>4.6493541513256016</v>
      </c>
      <c r="BR832" s="115">
        <f t="shared" si="12"/>
        <v>4.7190944635954848</v>
      </c>
      <c r="BS832" s="115">
        <f t="shared" si="12"/>
        <v>4.8417909196489672</v>
      </c>
      <c r="BT832" s="115">
        <f t="shared" si="12"/>
        <v>4.9531521108008931</v>
      </c>
      <c r="BU832" s="115">
        <f t="shared" si="12"/>
        <v>5.0918403699033181</v>
      </c>
      <c r="BV832" s="115">
        <f t="shared" si="12"/>
        <v>5.1427587736023517</v>
      </c>
      <c r="BW832" s="115">
        <f t="shared" si="12"/>
        <v>5.1839008437911707</v>
      </c>
      <c r="BX832" s="115">
        <f t="shared" si="12"/>
        <v>5.1942686454787532</v>
      </c>
      <c r="BY832" s="115">
        <f t="shared" si="12"/>
        <v>5.2669884065154555</v>
      </c>
      <c r="BZ832" s="115">
        <f t="shared" si="12"/>
        <v>5.3301922673936408</v>
      </c>
      <c r="CA832" s="115">
        <f t="shared" si="12"/>
        <v>5.4687772663458754</v>
      </c>
      <c r="CB832" s="115">
        <f t="shared" si="12"/>
        <v>5.5562777026074093</v>
      </c>
      <c r="CC832" s="115">
        <f t="shared" si="12"/>
        <v>5.6562907012543429</v>
      </c>
      <c r="CD832" s="115">
        <f t="shared" si="12"/>
        <v>6.0069807247321121</v>
      </c>
      <c r="CE832" s="115">
        <f t="shared" si="12"/>
        <v>6.4875391827106812</v>
      </c>
      <c r="CF832" s="115">
        <f t="shared" si="12"/>
        <v>6.6691902798265801</v>
      </c>
      <c r="CG832" s="115">
        <f t="shared" si="12"/>
        <v>6.9226195104599899</v>
      </c>
    </row>
    <row r="833" spans="1:85">
      <c r="A833" s="3"/>
      <c r="B833" s="113">
        <v>1969</v>
      </c>
      <c r="C833" s="113"/>
      <c r="D833" s="3"/>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4">
        <v>1</v>
      </c>
      <c r="AC833" s="115">
        <f t="shared" si="9"/>
        <v>1.069</v>
      </c>
      <c r="AD833" s="115">
        <f t="shared" si="9"/>
        <v>1.1267259999999999</v>
      </c>
      <c r="AE833" s="115">
        <f t="shared" si="9"/>
        <v>1.212357176</v>
      </c>
      <c r="AF833" s="115">
        <f t="shared" si="9"/>
        <v>1.3020716070240002</v>
      </c>
      <c r="AG833" s="115">
        <f t="shared" si="9"/>
        <v>1.4075394071929441</v>
      </c>
      <c r="AH833" s="115">
        <f t="shared" si="9"/>
        <v>1.5454782690978528</v>
      </c>
      <c r="AI833" s="115">
        <f t="shared" si="9"/>
        <v>1.7108444438913231</v>
      </c>
      <c r="AJ833" s="115">
        <f t="shared" si="9"/>
        <v>1.8528445327343028</v>
      </c>
      <c r="AK833" s="115">
        <f t="shared" si="9"/>
        <v>1.9788379609602356</v>
      </c>
      <c r="AL833" s="115">
        <f t="shared" si="10"/>
        <v>2.0619491553205656</v>
      </c>
      <c r="AM833" s="115">
        <f t="shared" si="10"/>
        <v>2.1403032232227472</v>
      </c>
      <c r="AN833" s="115">
        <f t="shared" si="10"/>
        <v>2.2922647520715622</v>
      </c>
      <c r="AO833" s="115">
        <f t="shared" si="10"/>
        <v>2.4389696962041425</v>
      </c>
      <c r="AP833" s="115">
        <f t="shared" si="10"/>
        <v>2.5828689082801866</v>
      </c>
      <c r="AQ833" s="115">
        <f t="shared" si="10"/>
        <v>2.6500234998954713</v>
      </c>
      <c r="AR833" s="115">
        <f t="shared" si="10"/>
        <v>2.7242241578925444</v>
      </c>
      <c r="AS833" s="115">
        <f t="shared" si="10"/>
        <v>2.7868813135240726</v>
      </c>
      <c r="AT833" s="115">
        <f t="shared" si="10"/>
        <v>2.7729469069564523</v>
      </c>
      <c r="AU833" s="115">
        <f t="shared" si="10"/>
        <v>2.7784928007703651</v>
      </c>
      <c r="AV833" s="115">
        <f t="shared" si="10"/>
        <v>2.8034992359772981</v>
      </c>
      <c r="AW833" s="115">
        <f t="shared" si="10"/>
        <v>2.8343377275730481</v>
      </c>
      <c r="AX833" s="115">
        <f t="shared" si="10"/>
        <v>2.9023618330348016</v>
      </c>
      <c r="AY833" s="115">
        <f t="shared" si="10"/>
        <v>3.0358704773544027</v>
      </c>
      <c r="AZ833" s="115">
        <f t="shared" si="10"/>
        <v>3.1421259440618066</v>
      </c>
      <c r="BA833" s="115">
        <f t="shared" si="10"/>
        <v>3.2049684629430426</v>
      </c>
      <c r="BB833" s="115">
        <f t="shared" si="11"/>
        <v>3.2882976429795616</v>
      </c>
      <c r="BC833" s="115">
        <f t="shared" si="11"/>
        <v>3.3376221076242549</v>
      </c>
      <c r="BD833" s="115">
        <f t="shared" si="11"/>
        <v>3.4010369276691153</v>
      </c>
      <c r="BE833" s="115">
        <f t="shared" si="11"/>
        <v>3.4894638877885122</v>
      </c>
      <c r="BF833" s="115">
        <f t="shared" si="11"/>
        <v>3.5487847738809166</v>
      </c>
      <c r="BG833" s="115">
        <f t="shared" si="11"/>
        <v>3.6410531780018207</v>
      </c>
      <c r="BH833" s="115">
        <f t="shared" si="11"/>
        <v>3.732079507451866</v>
      </c>
      <c r="BI833" s="115">
        <f t="shared" si="11"/>
        <v>3.9074872443021036</v>
      </c>
      <c r="BJ833" s="115">
        <f t="shared" si="11"/>
        <v>4.0364343233640723</v>
      </c>
      <c r="BK833" s="115">
        <f t="shared" si="11"/>
        <v>4.1211994441547173</v>
      </c>
      <c r="BL833" s="115">
        <f t="shared" si="11"/>
        <v>4.1665326380404188</v>
      </c>
      <c r="BM833" s="115">
        <f t="shared" si="11"/>
        <v>4.2415302255251461</v>
      </c>
      <c r="BN833" s="115">
        <f t="shared" si="11"/>
        <v>4.3009116486824981</v>
      </c>
      <c r="BO833" s="115">
        <f t="shared" si="11"/>
        <v>4.3482216768180049</v>
      </c>
      <c r="BP833" s="115">
        <f t="shared" si="11"/>
        <v>4.487364770476181</v>
      </c>
      <c r="BQ833" s="115">
        <f t="shared" si="11"/>
        <v>4.5008268647876086</v>
      </c>
      <c r="BR833" s="115">
        <f t="shared" si="12"/>
        <v>4.5683392677594226</v>
      </c>
      <c r="BS833" s="115">
        <f t="shared" si="12"/>
        <v>4.6871160887211678</v>
      </c>
      <c r="BT833" s="115">
        <f t="shared" si="12"/>
        <v>4.794919758761754</v>
      </c>
      <c r="BU833" s="115">
        <f t="shared" si="12"/>
        <v>4.9291775120070831</v>
      </c>
      <c r="BV833" s="115">
        <f t="shared" si="12"/>
        <v>4.9784692871271536</v>
      </c>
      <c r="BW833" s="115">
        <f t="shared" si="12"/>
        <v>5.0182970414241712</v>
      </c>
      <c r="BX833" s="115">
        <f t="shared" si="12"/>
        <v>5.0283336355070194</v>
      </c>
      <c r="BY833" s="115">
        <f t="shared" si="12"/>
        <v>5.0987303064041178</v>
      </c>
      <c r="BZ833" s="115">
        <f t="shared" si="12"/>
        <v>5.1599150700809675</v>
      </c>
      <c r="CA833" s="115">
        <f t="shared" si="12"/>
        <v>5.2940728619030724</v>
      </c>
      <c r="CB833" s="115">
        <f t="shared" si="12"/>
        <v>5.3787780276935218</v>
      </c>
      <c r="CC833" s="115">
        <f t="shared" si="12"/>
        <v>5.475596032192005</v>
      </c>
      <c r="CD833" s="115">
        <f t="shared" si="12"/>
        <v>5.8150829861879094</v>
      </c>
      <c r="CE833" s="115">
        <f t="shared" si="12"/>
        <v>6.2802896250829425</v>
      </c>
      <c r="CF833" s="115">
        <f t="shared" si="12"/>
        <v>6.4561377345852655</v>
      </c>
      <c r="CG833" s="115">
        <f t="shared" si="12"/>
        <v>6.701470968499506</v>
      </c>
    </row>
    <row r="834" spans="1:85">
      <c r="A834" s="3"/>
      <c r="B834" s="113">
        <v>1970</v>
      </c>
      <c r="C834" s="113"/>
      <c r="D834" s="3"/>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4">
        <v>1</v>
      </c>
      <c r="AD834" s="115">
        <f t="shared" si="9"/>
        <v>1.054</v>
      </c>
      <c r="AE834" s="115">
        <f t="shared" si="9"/>
        <v>1.1341040000000002</v>
      </c>
      <c r="AF834" s="115">
        <f t="shared" si="9"/>
        <v>1.2180276960000003</v>
      </c>
      <c r="AG834" s="115">
        <f t="shared" si="9"/>
        <v>1.3166879393760003</v>
      </c>
      <c r="AH834" s="115">
        <f t="shared" si="9"/>
        <v>1.4457233574348485</v>
      </c>
      <c r="AI834" s="115">
        <f t="shared" si="9"/>
        <v>1.6004157566803772</v>
      </c>
      <c r="AJ834" s="115">
        <f t="shared" si="9"/>
        <v>1.7332502644848484</v>
      </c>
      <c r="AK834" s="115">
        <f t="shared" si="9"/>
        <v>1.8511112824698182</v>
      </c>
      <c r="AL834" s="115">
        <f t="shared" si="10"/>
        <v>1.9288579563335506</v>
      </c>
      <c r="AM834" s="115">
        <f t="shared" si="10"/>
        <v>2.0021545586742255</v>
      </c>
      <c r="AN834" s="115">
        <f t="shared" si="10"/>
        <v>2.1443075323400955</v>
      </c>
      <c r="AO834" s="115">
        <f t="shared" si="10"/>
        <v>2.281543214409862</v>
      </c>
      <c r="AP834" s="115">
        <f t="shared" si="10"/>
        <v>2.4161542640600437</v>
      </c>
      <c r="AQ834" s="115">
        <f t="shared" si="10"/>
        <v>2.478974274925605</v>
      </c>
      <c r="AR834" s="115">
        <f t="shared" si="10"/>
        <v>2.5483855546235219</v>
      </c>
      <c r="AS834" s="115">
        <f t="shared" si="10"/>
        <v>2.6069984223798626</v>
      </c>
      <c r="AT834" s="115">
        <f t="shared" si="10"/>
        <v>2.5939634302679631</v>
      </c>
      <c r="AU834" s="115">
        <f t="shared" si="10"/>
        <v>2.5991513571284992</v>
      </c>
      <c r="AV834" s="115">
        <f t="shared" si="10"/>
        <v>2.6225437193426555</v>
      </c>
      <c r="AW834" s="115">
        <f t="shared" si="10"/>
        <v>2.6513917002554246</v>
      </c>
      <c r="AX834" s="115">
        <f t="shared" si="10"/>
        <v>2.7150251010615549</v>
      </c>
      <c r="AY834" s="115">
        <f t="shared" si="10"/>
        <v>2.8399162557103867</v>
      </c>
      <c r="AZ834" s="115">
        <f t="shared" si="10"/>
        <v>2.9393133246602501</v>
      </c>
      <c r="BA834" s="115">
        <f t="shared" si="10"/>
        <v>2.9980995911534549</v>
      </c>
      <c r="BB834" s="115">
        <f t="shared" si="11"/>
        <v>3.076050180523445</v>
      </c>
      <c r="BC834" s="115">
        <f t="shared" si="11"/>
        <v>3.1221909332312965</v>
      </c>
      <c r="BD834" s="115">
        <f t="shared" si="11"/>
        <v>3.1815125609626906</v>
      </c>
      <c r="BE834" s="115">
        <f t="shared" si="11"/>
        <v>3.2642318875477208</v>
      </c>
      <c r="BF834" s="115">
        <f t="shared" si="11"/>
        <v>3.3197238296360316</v>
      </c>
      <c r="BG834" s="115">
        <f t="shared" si="11"/>
        <v>3.4060366492065683</v>
      </c>
      <c r="BH834" s="115">
        <f t="shared" si="11"/>
        <v>3.4911875654367321</v>
      </c>
      <c r="BI834" s="115">
        <f t="shared" si="11"/>
        <v>3.6552733810122584</v>
      </c>
      <c r="BJ834" s="115">
        <f t="shared" si="11"/>
        <v>3.7758974025856626</v>
      </c>
      <c r="BK834" s="115">
        <f t="shared" si="11"/>
        <v>3.855191248039961</v>
      </c>
      <c r="BL834" s="115">
        <f t="shared" si="11"/>
        <v>3.8975983517684001</v>
      </c>
      <c r="BM834" s="115">
        <f t="shared" si="11"/>
        <v>3.9677551221002312</v>
      </c>
      <c r="BN834" s="115">
        <f t="shared" si="11"/>
        <v>4.023303693809634</v>
      </c>
      <c r="BO834" s="115">
        <f t="shared" si="11"/>
        <v>4.0675600344415397</v>
      </c>
      <c r="BP834" s="115">
        <f t="shared" si="11"/>
        <v>4.1977219555436687</v>
      </c>
      <c r="BQ834" s="115">
        <f t="shared" si="11"/>
        <v>4.2103151214102992</v>
      </c>
      <c r="BR834" s="115">
        <f t="shared" si="12"/>
        <v>4.2734698482314535</v>
      </c>
      <c r="BS834" s="115">
        <f t="shared" si="12"/>
        <v>4.3845800642854718</v>
      </c>
      <c r="BT834" s="115">
        <f t="shared" si="12"/>
        <v>4.4854254057640368</v>
      </c>
      <c r="BU834" s="115">
        <f t="shared" si="12"/>
        <v>4.6110173171254303</v>
      </c>
      <c r="BV834" s="115">
        <f t="shared" si="12"/>
        <v>4.657127490296685</v>
      </c>
      <c r="BW834" s="115">
        <f t="shared" si="12"/>
        <v>4.6943845102190584</v>
      </c>
      <c r="BX834" s="115">
        <f t="shared" si="12"/>
        <v>4.7037732792394964</v>
      </c>
      <c r="BY834" s="115">
        <f t="shared" si="12"/>
        <v>4.7696261051488493</v>
      </c>
      <c r="BZ834" s="115">
        <f t="shared" si="12"/>
        <v>4.8268616184106357</v>
      </c>
      <c r="CA834" s="115">
        <f t="shared" si="12"/>
        <v>4.9523600204893121</v>
      </c>
      <c r="CB834" s="115">
        <f t="shared" si="12"/>
        <v>5.0315977808171413</v>
      </c>
      <c r="CC834" s="115">
        <f t="shared" si="12"/>
        <v>5.1221665408718495</v>
      </c>
      <c r="CD834" s="115">
        <f t="shared" si="12"/>
        <v>5.4397408664059048</v>
      </c>
      <c r="CE834" s="115">
        <f t="shared" si="12"/>
        <v>5.8749201357183773</v>
      </c>
      <c r="CF834" s="115">
        <f t="shared" si="12"/>
        <v>6.039417899518492</v>
      </c>
      <c r="CG834" s="115">
        <f t="shared" si="12"/>
        <v>6.2689157797001949</v>
      </c>
    </row>
    <row r="835" spans="1:85">
      <c r="A835" s="3"/>
      <c r="B835" s="113">
        <v>1971</v>
      </c>
      <c r="C835" s="113"/>
      <c r="D835" s="3"/>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4">
        <v>1</v>
      </c>
      <c r="AE835" s="115">
        <f t="shared" si="9"/>
        <v>1.0760000000000001</v>
      </c>
      <c r="AF835" s="115">
        <f t="shared" si="9"/>
        <v>1.1556240000000002</v>
      </c>
      <c r="AG835" s="115">
        <f t="shared" si="9"/>
        <v>1.2492295440000001</v>
      </c>
      <c r="AH835" s="115">
        <f t="shared" si="9"/>
        <v>1.3716540393120003</v>
      </c>
      <c r="AI835" s="115">
        <f t="shared" si="9"/>
        <v>1.5184210215183842</v>
      </c>
      <c r="AJ835" s="115">
        <f t="shared" si="9"/>
        <v>1.6444499663044101</v>
      </c>
      <c r="AK835" s="115">
        <f t="shared" si="9"/>
        <v>1.75627256401311</v>
      </c>
      <c r="AL835" s="115">
        <f t="shared" si="10"/>
        <v>1.8300360117016607</v>
      </c>
      <c r="AM835" s="115">
        <f t="shared" si="10"/>
        <v>1.8995773801463238</v>
      </c>
      <c r="AN835" s="115">
        <f t="shared" si="10"/>
        <v>2.0344473741367128</v>
      </c>
      <c r="AO835" s="115">
        <f t="shared" si="10"/>
        <v>2.1646520060814627</v>
      </c>
      <c r="AP835" s="115">
        <f t="shared" si="10"/>
        <v>2.2923664744402688</v>
      </c>
      <c r="AQ835" s="115">
        <f t="shared" si="10"/>
        <v>2.3519680027757159</v>
      </c>
      <c r="AR835" s="115">
        <f t="shared" si="10"/>
        <v>2.4178231068534362</v>
      </c>
      <c r="AS835" s="115">
        <f t="shared" si="10"/>
        <v>2.473433038311065</v>
      </c>
      <c r="AT835" s="115">
        <f t="shared" si="10"/>
        <v>2.4610658731195096</v>
      </c>
      <c r="AU835" s="115">
        <f t="shared" si="10"/>
        <v>2.4659880048657485</v>
      </c>
      <c r="AV835" s="115">
        <f t="shared" si="10"/>
        <v>2.4881818969095399</v>
      </c>
      <c r="AW835" s="115">
        <f t="shared" si="10"/>
        <v>2.5155518977755444</v>
      </c>
      <c r="AX835" s="115">
        <f t="shared" si="10"/>
        <v>2.5759251433221575</v>
      </c>
      <c r="AY835" s="115">
        <f t="shared" si="10"/>
        <v>2.6944176999149767</v>
      </c>
      <c r="AZ835" s="115">
        <f t="shared" si="10"/>
        <v>2.7887223194120008</v>
      </c>
      <c r="BA835" s="115">
        <f t="shared" si="10"/>
        <v>2.8444967658002409</v>
      </c>
      <c r="BB835" s="115">
        <f t="shared" si="11"/>
        <v>2.9184536817110471</v>
      </c>
      <c r="BC835" s="115">
        <f t="shared" si="11"/>
        <v>2.9622304869367126</v>
      </c>
      <c r="BD835" s="115">
        <f t="shared" si="11"/>
        <v>3.0185128661885101</v>
      </c>
      <c r="BE835" s="115">
        <f t="shared" si="11"/>
        <v>3.0969942007094113</v>
      </c>
      <c r="BF835" s="115">
        <f t="shared" si="11"/>
        <v>3.149643102121471</v>
      </c>
      <c r="BG835" s="115">
        <f t="shared" si="11"/>
        <v>3.2315338227766293</v>
      </c>
      <c r="BH835" s="115">
        <f t="shared" si="11"/>
        <v>3.3123221683460446</v>
      </c>
      <c r="BI835" s="115">
        <f t="shared" si="11"/>
        <v>3.4680013102583085</v>
      </c>
      <c r="BJ835" s="115">
        <f t="shared" si="11"/>
        <v>3.5824453534968326</v>
      </c>
      <c r="BK835" s="115">
        <f t="shared" si="11"/>
        <v>3.6576767059202657</v>
      </c>
      <c r="BL835" s="115">
        <f t="shared" si="11"/>
        <v>3.6979111496853885</v>
      </c>
      <c r="BM835" s="115">
        <f t="shared" si="11"/>
        <v>3.7644735503797255</v>
      </c>
      <c r="BN835" s="115">
        <f t="shared" si="11"/>
        <v>3.8171761800850419</v>
      </c>
      <c r="BO835" s="115">
        <f t="shared" si="11"/>
        <v>3.859165118065977</v>
      </c>
      <c r="BP835" s="115">
        <f t="shared" si="11"/>
        <v>3.9826584018440885</v>
      </c>
      <c r="BQ835" s="115">
        <f t="shared" si="11"/>
        <v>3.9946063770496205</v>
      </c>
      <c r="BR835" s="115">
        <f t="shared" si="12"/>
        <v>4.0545254727053646</v>
      </c>
      <c r="BS835" s="115">
        <f t="shared" si="12"/>
        <v>4.1599431349957046</v>
      </c>
      <c r="BT835" s="115">
        <f t="shared" si="12"/>
        <v>4.2556218271006054</v>
      </c>
      <c r="BU835" s="115">
        <f t="shared" si="12"/>
        <v>4.3747792382594222</v>
      </c>
      <c r="BV835" s="115">
        <f t="shared" si="12"/>
        <v>4.4185270306420161</v>
      </c>
      <c r="BW835" s="115">
        <f t="shared" si="12"/>
        <v>4.4538752468871525</v>
      </c>
      <c r="BX835" s="115">
        <f t="shared" si="12"/>
        <v>4.462782997380927</v>
      </c>
      <c r="BY835" s="115">
        <f t="shared" si="12"/>
        <v>4.5252619593442605</v>
      </c>
      <c r="BZ835" s="115">
        <f t="shared" si="12"/>
        <v>4.5795651028563915</v>
      </c>
      <c r="CA835" s="115">
        <f t="shared" si="12"/>
        <v>4.6986337955306574</v>
      </c>
      <c r="CB835" s="115">
        <f t="shared" si="12"/>
        <v>4.7738119362591478</v>
      </c>
      <c r="CC835" s="115">
        <f t="shared" si="12"/>
        <v>4.8597405511118126</v>
      </c>
      <c r="CD835" s="115">
        <f t="shared" si="12"/>
        <v>5.161044465280745</v>
      </c>
      <c r="CE835" s="115">
        <f t="shared" si="12"/>
        <v>5.5739280225032051</v>
      </c>
      <c r="CF835" s="115">
        <f t="shared" si="12"/>
        <v>5.729998007133295</v>
      </c>
      <c r="CG835" s="115">
        <f t="shared" si="12"/>
        <v>5.9477379314043608</v>
      </c>
    </row>
    <row r="836" spans="1:85">
      <c r="A836" s="3"/>
      <c r="B836" s="113">
        <v>1972</v>
      </c>
      <c r="C836" s="113"/>
      <c r="D836" s="3"/>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4">
        <v>1</v>
      </c>
      <c r="AF836" s="115">
        <f t="shared" si="9"/>
        <v>1.0740000000000001</v>
      </c>
      <c r="AG836" s="115">
        <f t="shared" si="9"/>
        <v>1.1609940000000001</v>
      </c>
      <c r="AH836" s="115">
        <f t="shared" si="9"/>
        <v>1.2747714120000002</v>
      </c>
      <c r="AI836" s="115">
        <f t="shared" si="9"/>
        <v>1.4111719530840001</v>
      </c>
      <c r="AJ836" s="115">
        <f t="shared" si="9"/>
        <v>1.5282992251899721</v>
      </c>
      <c r="AK836" s="115">
        <f t="shared" si="9"/>
        <v>1.6322235725028902</v>
      </c>
      <c r="AL836" s="115">
        <f t="shared" si="10"/>
        <v>1.7007769625480116</v>
      </c>
      <c r="AM836" s="115">
        <f t="shared" si="10"/>
        <v>1.7654064871248361</v>
      </c>
      <c r="AN836" s="115">
        <f t="shared" si="10"/>
        <v>1.8907503477106993</v>
      </c>
      <c r="AO836" s="115">
        <f t="shared" si="10"/>
        <v>2.0117583699641841</v>
      </c>
      <c r="AP836" s="115">
        <f t="shared" si="10"/>
        <v>2.1304521137920709</v>
      </c>
      <c r="AQ836" s="115">
        <f t="shared" si="10"/>
        <v>2.1858438687506649</v>
      </c>
      <c r="AR836" s="115">
        <f t="shared" si="10"/>
        <v>2.2470474970756835</v>
      </c>
      <c r="AS836" s="115">
        <f t="shared" si="10"/>
        <v>2.2987295895084241</v>
      </c>
      <c r="AT836" s="115">
        <f t="shared" si="10"/>
        <v>2.2872359415608821</v>
      </c>
      <c r="AU836" s="115">
        <f t="shared" si="10"/>
        <v>2.2918104134440038</v>
      </c>
      <c r="AV836" s="115">
        <f t="shared" si="10"/>
        <v>2.3124367071649998</v>
      </c>
      <c r="AW836" s="115">
        <f t="shared" si="10"/>
        <v>2.3378735109438145</v>
      </c>
      <c r="AX836" s="115">
        <f t="shared" si="10"/>
        <v>2.393982475206466</v>
      </c>
      <c r="AY836" s="115">
        <f t="shared" si="10"/>
        <v>2.5041056690659635</v>
      </c>
      <c r="AZ836" s="115">
        <f t="shared" si="10"/>
        <v>2.5917493674832719</v>
      </c>
      <c r="BA836" s="115">
        <f t="shared" si="10"/>
        <v>2.6435843548329374</v>
      </c>
      <c r="BB836" s="115">
        <f t="shared" si="11"/>
        <v>2.7123175480585937</v>
      </c>
      <c r="BC836" s="115">
        <f t="shared" si="11"/>
        <v>2.7530023112794724</v>
      </c>
      <c r="BD836" s="115">
        <f t="shared" si="11"/>
        <v>2.8053093551937822</v>
      </c>
      <c r="BE836" s="115">
        <f t="shared" si="11"/>
        <v>2.8782473984288206</v>
      </c>
      <c r="BF836" s="115">
        <f t="shared" si="11"/>
        <v>2.9271776042021105</v>
      </c>
      <c r="BG836" s="115">
        <f t="shared" si="11"/>
        <v>3.0032842219113656</v>
      </c>
      <c r="BH836" s="115">
        <f t="shared" si="11"/>
        <v>3.0783663274591495</v>
      </c>
      <c r="BI836" s="115">
        <f t="shared" si="11"/>
        <v>3.2230495448497294</v>
      </c>
      <c r="BJ836" s="115">
        <f t="shared" si="11"/>
        <v>3.3294101798297704</v>
      </c>
      <c r="BK836" s="115">
        <f t="shared" si="11"/>
        <v>3.3993277936061954</v>
      </c>
      <c r="BL836" s="115">
        <f t="shared" si="11"/>
        <v>3.4367203993358633</v>
      </c>
      <c r="BM836" s="115">
        <f t="shared" si="11"/>
        <v>3.4985813665239087</v>
      </c>
      <c r="BN836" s="115">
        <f t="shared" si="11"/>
        <v>3.5475615056552434</v>
      </c>
      <c r="BO836" s="115">
        <f t="shared" si="11"/>
        <v>3.5865846822174507</v>
      </c>
      <c r="BP836" s="115">
        <f t="shared" si="11"/>
        <v>3.7013553920484092</v>
      </c>
      <c r="BQ836" s="115">
        <f t="shared" si="11"/>
        <v>3.7124594582245543</v>
      </c>
      <c r="BR836" s="115">
        <f t="shared" si="12"/>
        <v>3.7681463500979224</v>
      </c>
      <c r="BS836" s="115">
        <f t="shared" si="12"/>
        <v>3.8661181552004686</v>
      </c>
      <c r="BT836" s="115">
        <f t="shared" si="12"/>
        <v>3.9550388727700789</v>
      </c>
      <c r="BU836" s="115">
        <f t="shared" si="12"/>
        <v>4.0657799612076415</v>
      </c>
      <c r="BV836" s="115">
        <f t="shared" si="12"/>
        <v>4.106437760819718</v>
      </c>
      <c r="BW836" s="115">
        <f t="shared" si="12"/>
        <v>4.1392892629062761</v>
      </c>
      <c r="BX836" s="115">
        <f t="shared" si="12"/>
        <v>4.1475678414320889</v>
      </c>
      <c r="BY836" s="115">
        <f t="shared" si="12"/>
        <v>4.2056337912121382</v>
      </c>
      <c r="BZ836" s="115">
        <f t="shared" si="12"/>
        <v>4.2561013967066836</v>
      </c>
      <c r="CA836" s="115">
        <f t="shared" si="12"/>
        <v>4.3667600330210572</v>
      </c>
      <c r="CB836" s="115">
        <f t="shared" si="12"/>
        <v>4.4366281935493941</v>
      </c>
      <c r="CC836" s="115">
        <f t="shared" si="12"/>
        <v>4.516487501033283</v>
      </c>
      <c r="CD836" s="115">
        <f t="shared" si="12"/>
        <v>4.796509726097347</v>
      </c>
      <c r="CE836" s="115">
        <f t="shared" si="12"/>
        <v>5.1802305041851353</v>
      </c>
      <c r="CF836" s="115">
        <f t="shared" si="12"/>
        <v>5.325276958302319</v>
      </c>
      <c r="CG836" s="115">
        <f t="shared" si="12"/>
        <v>5.5276374827178074</v>
      </c>
    </row>
    <row r="837" spans="1:85">
      <c r="A837" s="3"/>
      <c r="B837" s="113">
        <v>1973</v>
      </c>
      <c r="C837" s="113"/>
      <c r="D837" s="3"/>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4">
        <v>1</v>
      </c>
      <c r="AG837" s="115">
        <f t="shared" si="9"/>
        <v>1.081</v>
      </c>
      <c r="AH837" s="115">
        <f t="shared" si="9"/>
        <v>1.186938</v>
      </c>
      <c r="AI837" s="115">
        <f t="shared" si="9"/>
        <v>1.313940366</v>
      </c>
      <c r="AJ837" s="115">
        <f t="shared" si="9"/>
        <v>1.4229974163779999</v>
      </c>
      <c r="AK837" s="115">
        <f t="shared" si="9"/>
        <v>1.519761240691704</v>
      </c>
      <c r="AL837" s="115">
        <f t="shared" si="10"/>
        <v>1.5835912128007557</v>
      </c>
      <c r="AM837" s="115">
        <f t="shared" si="10"/>
        <v>1.6437676788871844</v>
      </c>
      <c r="AN837" s="115">
        <f t="shared" si="10"/>
        <v>1.7604751840881745</v>
      </c>
      <c r="AO837" s="115">
        <f t="shared" si="10"/>
        <v>1.8731455958698178</v>
      </c>
      <c r="AP837" s="115">
        <f t="shared" si="10"/>
        <v>1.9836611860261368</v>
      </c>
      <c r="AQ837" s="115">
        <f t="shared" si="10"/>
        <v>2.0352363768628163</v>
      </c>
      <c r="AR837" s="115">
        <f t="shared" si="10"/>
        <v>2.0922229954149754</v>
      </c>
      <c r="AS837" s="115">
        <f t="shared" si="10"/>
        <v>2.1403441243095198</v>
      </c>
      <c r="AT837" s="115">
        <f t="shared" si="10"/>
        <v>2.1296424036879724</v>
      </c>
      <c r="AU837" s="115">
        <f t="shared" si="10"/>
        <v>2.1339016884953486</v>
      </c>
      <c r="AV837" s="115">
        <f t="shared" si="10"/>
        <v>2.1531068036918066</v>
      </c>
      <c r="AW837" s="115">
        <f t="shared" si="10"/>
        <v>2.1767909785324164</v>
      </c>
      <c r="AX837" s="115">
        <f t="shared" si="10"/>
        <v>2.2290339620171946</v>
      </c>
      <c r="AY837" s="115">
        <f t="shared" si="10"/>
        <v>2.3315695242699856</v>
      </c>
      <c r="AZ837" s="115">
        <f t="shared" si="10"/>
        <v>2.4131744576194349</v>
      </c>
      <c r="BA837" s="115">
        <f t="shared" si="10"/>
        <v>2.4614379467718237</v>
      </c>
      <c r="BB837" s="115">
        <f t="shared" si="11"/>
        <v>2.5254353333878914</v>
      </c>
      <c r="BC837" s="115">
        <f t="shared" si="11"/>
        <v>2.5633168633887093</v>
      </c>
      <c r="BD837" s="115">
        <f t="shared" si="11"/>
        <v>2.6120198837930948</v>
      </c>
      <c r="BE837" s="115">
        <f t="shared" si="11"/>
        <v>2.6799324007717154</v>
      </c>
      <c r="BF837" s="115">
        <f t="shared" si="11"/>
        <v>2.7254912515848342</v>
      </c>
      <c r="BG837" s="115">
        <f t="shared" si="11"/>
        <v>2.7963540241260398</v>
      </c>
      <c r="BH837" s="115">
        <f t="shared" si="11"/>
        <v>2.8662628747291907</v>
      </c>
      <c r="BI837" s="115">
        <f t="shared" si="11"/>
        <v>3.0009772298414625</v>
      </c>
      <c r="BJ837" s="115">
        <f t="shared" si="11"/>
        <v>3.1000094784262306</v>
      </c>
      <c r="BK837" s="115">
        <f t="shared" si="11"/>
        <v>3.1651096774731813</v>
      </c>
      <c r="BL837" s="115">
        <f t="shared" si="11"/>
        <v>3.1999258839253861</v>
      </c>
      <c r="BM837" s="115">
        <f t="shared" si="11"/>
        <v>3.257524549836043</v>
      </c>
      <c r="BN837" s="115">
        <f t="shared" si="11"/>
        <v>3.3031298935337476</v>
      </c>
      <c r="BO837" s="115">
        <f t="shared" si="11"/>
        <v>3.3394643223626184</v>
      </c>
      <c r="BP837" s="115">
        <f t="shared" si="11"/>
        <v>3.4463271806782223</v>
      </c>
      <c r="BQ837" s="115">
        <f t="shared" si="11"/>
        <v>3.4566661622202566</v>
      </c>
      <c r="BR837" s="115">
        <f t="shared" si="12"/>
        <v>3.5085161546535599</v>
      </c>
      <c r="BS837" s="115">
        <f t="shared" si="12"/>
        <v>3.5997375746745526</v>
      </c>
      <c r="BT837" s="115">
        <f t="shared" si="12"/>
        <v>3.682531538892067</v>
      </c>
      <c r="BU837" s="115">
        <f t="shared" si="12"/>
        <v>3.7856424219810449</v>
      </c>
      <c r="BV837" s="115">
        <f t="shared" si="12"/>
        <v>3.8234988462008554</v>
      </c>
      <c r="BW837" s="115">
        <f t="shared" si="12"/>
        <v>3.8540868369704624</v>
      </c>
      <c r="BX837" s="115">
        <f t="shared" si="12"/>
        <v>3.8617950106444034</v>
      </c>
      <c r="BY837" s="115">
        <f t="shared" si="12"/>
        <v>3.9158601407934253</v>
      </c>
      <c r="BZ837" s="115">
        <f t="shared" si="12"/>
        <v>3.9628504624829466</v>
      </c>
      <c r="CA837" s="115">
        <f t="shared" si="12"/>
        <v>4.0658845745075034</v>
      </c>
      <c r="CB837" s="115">
        <f t="shared" si="12"/>
        <v>4.1309387276996237</v>
      </c>
      <c r="CC837" s="115">
        <f t="shared" si="12"/>
        <v>4.2052956247982172</v>
      </c>
      <c r="CD837" s="115">
        <f t="shared" si="12"/>
        <v>4.4660239535357071</v>
      </c>
      <c r="CE837" s="115">
        <f t="shared" si="12"/>
        <v>4.8233058698185642</v>
      </c>
      <c r="CF837" s="115">
        <f t="shared" si="12"/>
        <v>4.9583584341734843</v>
      </c>
      <c r="CG837" s="115">
        <f t="shared" si="12"/>
        <v>5.1467760546720767</v>
      </c>
    </row>
    <row r="838" spans="1:85">
      <c r="A838" s="3"/>
      <c r="B838" s="113">
        <v>1974</v>
      </c>
      <c r="C838" s="113"/>
      <c r="D838" s="3"/>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4">
        <v>1</v>
      </c>
      <c r="AH838" s="115">
        <f t="shared" si="9"/>
        <v>1.0980000000000001</v>
      </c>
      <c r="AI838" s="115">
        <f t="shared" si="9"/>
        <v>1.2154860000000001</v>
      </c>
      <c r="AJ838" s="115">
        <f t="shared" si="9"/>
        <v>1.3163713379999999</v>
      </c>
      <c r="AK838" s="115">
        <f t="shared" si="9"/>
        <v>1.4058845889839999</v>
      </c>
      <c r="AL838" s="115">
        <f t="shared" si="10"/>
        <v>1.4649317417213279</v>
      </c>
      <c r="AM838" s="115">
        <f t="shared" si="10"/>
        <v>1.5205991479067384</v>
      </c>
      <c r="AN838" s="115">
        <f t="shared" si="10"/>
        <v>1.6285616874081168</v>
      </c>
      <c r="AO838" s="115">
        <f t="shared" si="10"/>
        <v>1.7327896354022363</v>
      </c>
      <c r="AP838" s="115">
        <f t="shared" si="10"/>
        <v>1.8350242238909682</v>
      </c>
      <c r="AQ838" s="115">
        <f t="shared" si="10"/>
        <v>1.8827348537121333</v>
      </c>
      <c r="AR838" s="115">
        <f t="shared" si="10"/>
        <v>1.9354514296160732</v>
      </c>
      <c r="AS838" s="115">
        <f t="shared" si="10"/>
        <v>1.9799668124972427</v>
      </c>
      <c r="AT838" s="115">
        <f t="shared" si="10"/>
        <v>1.9700669784347564</v>
      </c>
      <c r="AU838" s="115">
        <f t="shared" si="10"/>
        <v>1.9740071123916259</v>
      </c>
      <c r="AV838" s="115">
        <f t="shared" si="10"/>
        <v>1.9917731764031503</v>
      </c>
      <c r="AW838" s="115">
        <f t="shared" si="10"/>
        <v>2.0136826813435849</v>
      </c>
      <c r="AX838" s="115">
        <f t="shared" si="10"/>
        <v>2.062011065695831</v>
      </c>
      <c r="AY838" s="115">
        <f t="shared" si="10"/>
        <v>2.1568635747178395</v>
      </c>
      <c r="AZ838" s="115">
        <f t="shared" si="10"/>
        <v>2.2323537998329637</v>
      </c>
      <c r="BA838" s="115">
        <f t="shared" si="10"/>
        <v>2.2770008758296232</v>
      </c>
      <c r="BB838" s="115">
        <f t="shared" si="11"/>
        <v>2.3362028986011936</v>
      </c>
      <c r="BC838" s="115">
        <f t="shared" si="11"/>
        <v>2.3712459420802112</v>
      </c>
      <c r="BD838" s="115">
        <f t="shared" si="11"/>
        <v>2.4162996149797351</v>
      </c>
      <c r="BE838" s="115">
        <f t="shared" si="11"/>
        <v>2.4791234049692084</v>
      </c>
      <c r="BF838" s="115">
        <f t="shared" si="11"/>
        <v>2.5212685028536845</v>
      </c>
      <c r="BG838" s="115">
        <f t="shared" si="11"/>
        <v>2.5868214839278805</v>
      </c>
      <c r="BH838" s="115">
        <f t="shared" si="11"/>
        <v>2.6514920210260771</v>
      </c>
      <c r="BI838" s="115">
        <f t="shared" si="11"/>
        <v>2.7761121460143023</v>
      </c>
      <c r="BJ838" s="115">
        <f t="shared" si="11"/>
        <v>2.8677238468327739</v>
      </c>
      <c r="BK838" s="115">
        <f t="shared" si="11"/>
        <v>2.927946047616262</v>
      </c>
      <c r="BL838" s="115">
        <f t="shared" si="11"/>
        <v>2.9601534541400407</v>
      </c>
      <c r="BM838" s="115">
        <f t="shared" si="11"/>
        <v>3.0134362163145614</v>
      </c>
      <c r="BN838" s="115">
        <f t="shared" si="11"/>
        <v>3.0556243233429652</v>
      </c>
      <c r="BO838" s="115">
        <f t="shared" si="11"/>
        <v>3.0892361908997374</v>
      </c>
      <c r="BP838" s="115">
        <f t="shared" si="11"/>
        <v>3.188091749008529</v>
      </c>
      <c r="BQ838" s="115">
        <f t="shared" si="11"/>
        <v>3.1976560242555543</v>
      </c>
      <c r="BR838" s="115">
        <f t="shared" si="12"/>
        <v>3.2456208646193874</v>
      </c>
      <c r="BS838" s="115">
        <f t="shared" si="12"/>
        <v>3.3300070070994914</v>
      </c>
      <c r="BT838" s="115">
        <f t="shared" si="12"/>
        <v>3.4065971682627794</v>
      </c>
      <c r="BU838" s="115">
        <f t="shared" si="12"/>
        <v>3.5019818889741372</v>
      </c>
      <c r="BV838" s="115">
        <f t="shared" si="12"/>
        <v>3.5370017078638787</v>
      </c>
      <c r="BW838" s="115">
        <f t="shared" si="12"/>
        <v>3.5652977215267896</v>
      </c>
      <c r="BX838" s="115">
        <f t="shared" si="12"/>
        <v>3.5724283169698432</v>
      </c>
      <c r="BY838" s="115">
        <f t="shared" si="12"/>
        <v>3.6224423134074208</v>
      </c>
      <c r="BZ838" s="115">
        <f t="shared" si="12"/>
        <v>3.66591162116831</v>
      </c>
      <c r="CA838" s="115">
        <f>BZ838*CA$807</f>
        <v>3.7612253233186861</v>
      </c>
      <c r="CB838" s="115">
        <f t="shared" si="12"/>
        <v>3.821404928491785</v>
      </c>
      <c r="CC838" s="115">
        <f t="shared" si="12"/>
        <v>3.8901902172046374</v>
      </c>
      <c r="CD838" s="115">
        <f t="shared" si="12"/>
        <v>4.1313820106713255</v>
      </c>
      <c r="CE838" s="115">
        <f t="shared" si="12"/>
        <v>4.4618925715250315</v>
      </c>
      <c r="CF838" s="115">
        <f t="shared" si="12"/>
        <v>4.5868255635277322</v>
      </c>
      <c r="CG838" s="115">
        <f t="shared" si="12"/>
        <v>4.7611249349417859</v>
      </c>
    </row>
    <row r="839" spans="1:85">
      <c r="A839" s="3"/>
      <c r="B839" s="113">
        <v>1975</v>
      </c>
      <c r="C839" s="113"/>
      <c r="D839" s="3"/>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4">
        <v>1</v>
      </c>
      <c r="AI839" s="115">
        <f t="shared" si="9"/>
        <v>1.107</v>
      </c>
      <c r="AJ839" s="115">
        <f t="shared" si="9"/>
        <v>1.1988809999999999</v>
      </c>
      <c r="AK839" s="115">
        <f t="shared" si="9"/>
        <v>1.280404908</v>
      </c>
      <c r="AL839" s="115">
        <f t="shared" si="10"/>
        <v>1.3341819141360001</v>
      </c>
      <c r="AM839" s="115">
        <f t="shared" si="10"/>
        <v>1.384880826873168</v>
      </c>
      <c r="AN839" s="115">
        <f t="shared" si="10"/>
        <v>1.4832073655811628</v>
      </c>
      <c r="AO839" s="115">
        <f t="shared" si="10"/>
        <v>1.5781326369783573</v>
      </c>
      <c r="AP839" s="115">
        <f t="shared" si="10"/>
        <v>1.6712424625600804</v>
      </c>
      <c r="AQ839" s="115">
        <f t="shared" si="10"/>
        <v>1.7146947665866425</v>
      </c>
      <c r="AR839" s="115">
        <f t="shared" si="10"/>
        <v>1.7627062200510686</v>
      </c>
      <c r="AS839" s="115">
        <f t="shared" si="10"/>
        <v>1.803248463112243</v>
      </c>
      <c r="AT839" s="115">
        <f t="shared" si="10"/>
        <v>1.7942322207966817</v>
      </c>
      <c r="AU839" s="115">
        <f t="shared" si="10"/>
        <v>1.797820685238275</v>
      </c>
      <c r="AV839" s="115">
        <f t="shared" si="10"/>
        <v>1.8140010714054193</v>
      </c>
      <c r="AW839" s="115">
        <f t="shared" si="10"/>
        <v>1.8339550831908789</v>
      </c>
      <c r="AX839" s="115">
        <f t="shared" si="10"/>
        <v>1.8779700051874599</v>
      </c>
      <c r="AY839" s="115">
        <f t="shared" si="10"/>
        <v>1.9643566254260831</v>
      </c>
      <c r="AZ839" s="115">
        <f t="shared" si="10"/>
        <v>2.0331091073159957</v>
      </c>
      <c r="BA839" s="115">
        <f t="shared" si="10"/>
        <v>2.0737712894623157</v>
      </c>
      <c r="BB839" s="115">
        <f t="shared" si="11"/>
        <v>2.1276893429883361</v>
      </c>
      <c r="BC839" s="115">
        <f t="shared" si="11"/>
        <v>2.159604683133161</v>
      </c>
      <c r="BD839" s="115">
        <f t="shared" si="11"/>
        <v>2.2006371721126907</v>
      </c>
      <c r="BE839" s="115">
        <f t="shared" si="11"/>
        <v>2.2578537385876207</v>
      </c>
      <c r="BF839" s="115">
        <f t="shared" si="11"/>
        <v>2.2962372521436101</v>
      </c>
      <c r="BG839" s="115">
        <f t="shared" si="11"/>
        <v>2.355939420699344</v>
      </c>
      <c r="BH839" s="115">
        <f t="shared" si="11"/>
        <v>2.4148379062168273</v>
      </c>
      <c r="BI839" s="115">
        <f t="shared" si="11"/>
        <v>2.5283352878090182</v>
      </c>
      <c r="BJ839" s="115">
        <f t="shared" si="11"/>
        <v>2.6117703523067157</v>
      </c>
      <c r="BK839" s="115">
        <f t="shared" si="11"/>
        <v>2.6666175297051566</v>
      </c>
      <c r="BL839" s="115">
        <f t="shared" si="11"/>
        <v>2.695950322531913</v>
      </c>
      <c r="BM839" s="115">
        <f t="shared" si="11"/>
        <v>2.7444774283374875</v>
      </c>
      <c r="BN839" s="115">
        <f t="shared" si="11"/>
        <v>2.7829001123342123</v>
      </c>
      <c r="BO839" s="115">
        <f t="shared" si="11"/>
        <v>2.8135120135698886</v>
      </c>
      <c r="BP839" s="115">
        <f t="shared" si="11"/>
        <v>2.9035443980041249</v>
      </c>
      <c r="BQ839" s="115">
        <f t="shared" si="11"/>
        <v>2.912255031198137</v>
      </c>
      <c r="BR839" s="115">
        <f t="shared" si="12"/>
        <v>2.9559388566661089</v>
      </c>
      <c r="BS839" s="115">
        <f t="shared" si="12"/>
        <v>3.0327932669394277</v>
      </c>
      <c r="BT839" s="115">
        <f t="shared" si="12"/>
        <v>3.1025475120790342</v>
      </c>
      <c r="BU839" s="115">
        <f t="shared" si="12"/>
        <v>3.1894188424172474</v>
      </c>
      <c r="BV839" s="115">
        <f t="shared" si="12"/>
        <v>3.22131303084142</v>
      </c>
      <c r="BW839" s="115">
        <f t="shared" si="12"/>
        <v>3.2470835350881515</v>
      </c>
      <c r="BX839" s="115">
        <f t="shared" si="12"/>
        <v>3.2535777021583279</v>
      </c>
      <c r="BY839" s="115">
        <f t="shared" si="12"/>
        <v>3.2991277899885443</v>
      </c>
      <c r="BZ839" s="115">
        <f t="shared" si="12"/>
        <v>3.3387173234684067</v>
      </c>
      <c r="CA839" s="115">
        <f t="shared" si="12"/>
        <v>3.4255239738785854</v>
      </c>
      <c r="CB839" s="115">
        <f t="shared" si="12"/>
        <v>3.4803323574606426</v>
      </c>
      <c r="CC839" s="115">
        <f t="shared" si="12"/>
        <v>3.5429783398949342</v>
      </c>
      <c r="CD839" s="115">
        <f t="shared" si="12"/>
        <v>3.7626429969684203</v>
      </c>
      <c r="CE839" s="115">
        <f t="shared" si="12"/>
        <v>4.0636544367258942</v>
      </c>
      <c r="CF839" s="115">
        <f t="shared" si="12"/>
        <v>4.1774367609542198</v>
      </c>
      <c r="CG839" s="115">
        <f t="shared" si="12"/>
        <v>4.3361793578704804</v>
      </c>
    </row>
    <row r="840" spans="1:85">
      <c r="A840" s="3"/>
      <c r="B840" s="113">
        <v>1976</v>
      </c>
      <c r="C840" s="113"/>
      <c r="D840" s="3"/>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4">
        <v>1</v>
      </c>
      <c r="AJ840" s="115">
        <f t="shared" si="9"/>
        <v>1.083</v>
      </c>
      <c r="AK840" s="115">
        <f t="shared" si="9"/>
        <v>1.156644</v>
      </c>
      <c r="AL840" s="115">
        <f t="shared" si="10"/>
        <v>1.2052230480000001</v>
      </c>
      <c r="AM840" s="115">
        <f t="shared" si="10"/>
        <v>1.2510215238240001</v>
      </c>
      <c r="AN840" s="115">
        <f t="shared" si="10"/>
        <v>1.3398440520155042</v>
      </c>
      <c r="AO840" s="115">
        <f t="shared" si="10"/>
        <v>1.4255940713444966</v>
      </c>
      <c r="AP840" s="115">
        <f t="shared" si="10"/>
        <v>1.5097041215538218</v>
      </c>
      <c r="AQ840" s="115">
        <f t="shared" si="10"/>
        <v>1.5489564287142212</v>
      </c>
      <c r="AR840" s="115">
        <f t="shared" si="10"/>
        <v>1.5923272087182194</v>
      </c>
      <c r="AS840" s="115">
        <f t="shared" si="10"/>
        <v>1.6289507345187384</v>
      </c>
      <c r="AT840" s="115">
        <f t="shared" si="10"/>
        <v>1.6208059808461448</v>
      </c>
      <c r="AU840" s="115">
        <f t="shared" si="10"/>
        <v>1.6240475928078371</v>
      </c>
      <c r="AV840" s="115">
        <f t="shared" si="10"/>
        <v>1.6386640211431074</v>
      </c>
      <c r="AW840" s="115">
        <f t="shared" si="10"/>
        <v>1.6566893253756814</v>
      </c>
      <c r="AX840" s="115">
        <f t="shared" si="10"/>
        <v>1.6964498691846976</v>
      </c>
      <c r="AY840" s="115">
        <f t="shared" si="10"/>
        <v>1.7744865631671938</v>
      </c>
      <c r="AZ840" s="115">
        <f t="shared" si="10"/>
        <v>1.8365935928780455</v>
      </c>
      <c r="BA840" s="115">
        <f t="shared" si="10"/>
        <v>1.8733254647356063</v>
      </c>
      <c r="BB840" s="115">
        <f t="shared" si="11"/>
        <v>1.9220319268187323</v>
      </c>
      <c r="BC840" s="115">
        <f t="shared" si="11"/>
        <v>1.9508624057210131</v>
      </c>
      <c r="BD840" s="115">
        <f t="shared" si="11"/>
        <v>1.9879287914297121</v>
      </c>
      <c r="BE840" s="115">
        <f t="shared" si="11"/>
        <v>2.0396149400068846</v>
      </c>
      <c r="BF840" s="115">
        <f t="shared" si="11"/>
        <v>2.0742883939870014</v>
      </c>
      <c r="BG840" s="115">
        <f t="shared" si="11"/>
        <v>2.1282198922306637</v>
      </c>
      <c r="BH840" s="115">
        <f t="shared" si="11"/>
        <v>2.1814253895364302</v>
      </c>
      <c r="BI840" s="115">
        <f t="shared" si="11"/>
        <v>2.2839523828446424</v>
      </c>
      <c r="BJ840" s="115">
        <f t="shared" si="11"/>
        <v>2.3593228114785156</v>
      </c>
      <c r="BK840" s="115">
        <f t="shared" si="11"/>
        <v>2.4088685905195644</v>
      </c>
      <c r="BL840" s="115">
        <f t="shared" si="11"/>
        <v>2.4353661450152795</v>
      </c>
      <c r="BM840" s="115">
        <f t="shared" si="11"/>
        <v>2.4792027356255546</v>
      </c>
      <c r="BN840" s="115">
        <f t="shared" si="11"/>
        <v>2.5139115739243123</v>
      </c>
      <c r="BO840" s="115">
        <f t="shared" si="11"/>
        <v>2.5415646012374795</v>
      </c>
      <c r="BP840" s="115">
        <f t="shared" si="11"/>
        <v>2.6228946684770791</v>
      </c>
      <c r="BQ840" s="115">
        <f t="shared" si="11"/>
        <v>2.6307633524825103</v>
      </c>
      <c r="BR840" s="115">
        <f t="shared" si="12"/>
        <v>2.6702248027697477</v>
      </c>
      <c r="BS840" s="115">
        <f t="shared" si="12"/>
        <v>2.7396506476417612</v>
      </c>
      <c r="BT840" s="115">
        <f t="shared" si="12"/>
        <v>2.8026626125375214</v>
      </c>
      <c r="BU840" s="115">
        <f t="shared" si="12"/>
        <v>2.881137165688572</v>
      </c>
      <c r="BV840" s="115">
        <f t="shared" si="12"/>
        <v>2.9099485373454579</v>
      </c>
      <c r="BW840" s="115">
        <f t="shared" si="12"/>
        <v>2.9332281256442214</v>
      </c>
      <c r="BX840" s="115">
        <f t="shared" si="12"/>
        <v>2.9390945818955099</v>
      </c>
      <c r="BY840" s="115">
        <f t="shared" si="12"/>
        <v>2.9802419060420471</v>
      </c>
      <c r="BZ840" s="115">
        <f t="shared" si="12"/>
        <v>3.0160048089145515</v>
      </c>
      <c r="CA840" s="115">
        <f t="shared" si="12"/>
        <v>3.09442093394633</v>
      </c>
      <c r="CB840" s="115">
        <f t="shared" si="12"/>
        <v>3.1439316688894712</v>
      </c>
      <c r="CC840" s="115">
        <f t="shared" si="12"/>
        <v>3.2005224389294815</v>
      </c>
      <c r="CD840" s="115">
        <f t="shared" si="12"/>
        <v>3.3989548301431096</v>
      </c>
      <c r="CE840" s="115">
        <f t="shared" si="12"/>
        <v>3.6708712165545587</v>
      </c>
      <c r="CF840" s="115">
        <f t="shared" si="12"/>
        <v>3.7736556106180865</v>
      </c>
      <c r="CG840" s="115">
        <f t="shared" si="12"/>
        <v>3.9170545238215739</v>
      </c>
    </row>
    <row r="841" spans="1:85">
      <c r="A841" s="3"/>
      <c r="B841" s="113">
        <v>1977</v>
      </c>
      <c r="C841" s="113"/>
      <c r="D841" s="3"/>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4">
        <v>1</v>
      </c>
      <c r="AK841" s="115">
        <f t="shared" si="9"/>
        <v>1.0680000000000001</v>
      </c>
      <c r="AL841" s="115">
        <f t="shared" si="10"/>
        <v>1.1128560000000001</v>
      </c>
      <c r="AM841" s="115">
        <f t="shared" si="10"/>
        <v>1.1551445280000001</v>
      </c>
      <c r="AN841" s="115">
        <f t="shared" si="10"/>
        <v>1.237159789488</v>
      </c>
      <c r="AO841" s="115">
        <f t="shared" si="10"/>
        <v>1.316338016015232</v>
      </c>
      <c r="AP841" s="115">
        <f t="shared" si="10"/>
        <v>1.3940019589601307</v>
      </c>
      <c r="AQ841" s="115">
        <f t="shared" si="10"/>
        <v>1.430246009893094</v>
      </c>
      <c r="AR841" s="115">
        <f t="shared" si="10"/>
        <v>1.4702928981701007</v>
      </c>
      <c r="AS841" s="115">
        <f t="shared" si="10"/>
        <v>1.5041096348280127</v>
      </c>
      <c r="AT841" s="115">
        <f t="shared" si="10"/>
        <v>1.4965890866538727</v>
      </c>
      <c r="AU841" s="115">
        <f t="shared" si="10"/>
        <v>1.4995822648271804</v>
      </c>
      <c r="AV841" s="115">
        <f t="shared" si="10"/>
        <v>1.5130785052106248</v>
      </c>
      <c r="AW841" s="115">
        <f t="shared" si="10"/>
        <v>1.5297223687679415</v>
      </c>
      <c r="AX841" s="115">
        <f t="shared" si="10"/>
        <v>1.5664357056183722</v>
      </c>
      <c r="AY841" s="115">
        <f t="shared" si="10"/>
        <v>1.6384917480768173</v>
      </c>
      <c r="AZ841" s="115">
        <f t="shared" si="10"/>
        <v>1.6958389592595058</v>
      </c>
      <c r="BA841" s="115">
        <f t="shared" ref="BA841:BO857" si="13">AZ841*BA$807</f>
        <v>1.729755738444696</v>
      </c>
      <c r="BB841" s="115">
        <f t="shared" si="11"/>
        <v>1.774729387644258</v>
      </c>
      <c r="BC841" s="115">
        <f t="shared" si="11"/>
        <v>1.8013503284589216</v>
      </c>
      <c r="BD841" s="115">
        <f t="shared" si="11"/>
        <v>1.8355759846996409</v>
      </c>
      <c r="BE841" s="115">
        <f t="shared" si="11"/>
        <v>1.8833009603018316</v>
      </c>
      <c r="BF841" s="115">
        <f t="shared" si="11"/>
        <v>1.9153170766269625</v>
      </c>
      <c r="BG841" s="115">
        <f t="shared" si="11"/>
        <v>1.9651153206192635</v>
      </c>
      <c r="BH841" s="115">
        <f t="shared" si="11"/>
        <v>2.0142432036347451</v>
      </c>
      <c r="BI841" s="115">
        <f t="shared" si="11"/>
        <v>2.108912634205578</v>
      </c>
      <c r="BJ841" s="115">
        <f t="shared" si="11"/>
        <v>2.1785067511343619</v>
      </c>
      <c r="BK841" s="115">
        <f t="shared" si="11"/>
        <v>2.2242553929081832</v>
      </c>
      <c r="BL841" s="115">
        <f t="shared" si="11"/>
        <v>2.2487222022301729</v>
      </c>
      <c r="BM841" s="115">
        <f t="shared" si="11"/>
        <v>2.289199201870316</v>
      </c>
      <c r="BN841" s="115">
        <f t="shared" si="11"/>
        <v>2.3212479906965005</v>
      </c>
      <c r="BO841" s="115">
        <f t="shared" si="11"/>
        <v>2.3467817185941615</v>
      </c>
      <c r="BP841" s="115">
        <f t="shared" si="11"/>
        <v>2.4218787335891747</v>
      </c>
      <c r="BQ841" s="115">
        <f t="shared" ref="BP841:CE857" si="14">BP841*BQ$807</f>
        <v>2.4291443697899422</v>
      </c>
      <c r="BR841" s="115">
        <f t="shared" si="12"/>
        <v>2.4655815353367911</v>
      </c>
      <c r="BS841" s="115">
        <f t="shared" si="12"/>
        <v>2.5296866552555479</v>
      </c>
      <c r="BT841" s="115">
        <f t="shared" si="12"/>
        <v>2.5878694483264253</v>
      </c>
      <c r="BU841" s="115">
        <f t="shared" si="12"/>
        <v>2.6603297928795651</v>
      </c>
      <c r="BV841" s="115">
        <f t="shared" si="12"/>
        <v>2.6869330908083606</v>
      </c>
      <c r="BW841" s="115">
        <f t="shared" si="12"/>
        <v>2.7084285555348275</v>
      </c>
      <c r="BX841" s="115">
        <f t="shared" si="12"/>
        <v>2.7138454126458971</v>
      </c>
      <c r="BY841" s="115">
        <f t="shared" si="12"/>
        <v>2.7518392484229395</v>
      </c>
      <c r="BZ841" s="115">
        <f t="shared" si="12"/>
        <v>2.7848613194040146</v>
      </c>
      <c r="CA841" s="115">
        <f t="shared" si="12"/>
        <v>2.8572677137085192</v>
      </c>
      <c r="CB841" s="115">
        <f t="shared" si="12"/>
        <v>2.9029839971278557</v>
      </c>
      <c r="CC841" s="115">
        <f t="shared" si="12"/>
        <v>2.9552377090761572</v>
      </c>
      <c r="CD841" s="115">
        <f t="shared" si="12"/>
        <v>3.1384624470388793</v>
      </c>
      <c r="CE841" s="115">
        <f t="shared" si="12"/>
        <v>3.3895394428019898</v>
      </c>
      <c r="CF841" s="115">
        <f t="shared" si="12"/>
        <v>3.4844465472004456</v>
      </c>
      <c r="CG841" s="115">
        <f t="shared" si="12"/>
        <v>3.6168555159940627</v>
      </c>
    </row>
    <row r="842" spans="1:85">
      <c r="A842" s="3"/>
      <c r="B842" s="113">
        <v>1978</v>
      </c>
      <c r="C842" s="113"/>
      <c r="D842" s="3"/>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4">
        <v>1</v>
      </c>
      <c r="AL842" s="115">
        <f t="shared" ref="AL842:AZ856" si="15">AK842*AL$807</f>
        <v>1.042</v>
      </c>
      <c r="AM842" s="115">
        <f t="shared" si="15"/>
        <v>1.081596</v>
      </c>
      <c r="AN842" s="115">
        <f t="shared" si="15"/>
        <v>1.1583893160000001</v>
      </c>
      <c r="AO842" s="115">
        <f t="shared" si="15"/>
        <v>1.232526232224</v>
      </c>
      <c r="AP842" s="115">
        <f t="shared" si="15"/>
        <v>1.3052452799252159</v>
      </c>
      <c r="AQ842" s="115">
        <f t="shared" si="15"/>
        <v>1.3391816572032715</v>
      </c>
      <c r="AR842" s="115">
        <f t="shared" si="15"/>
        <v>1.3766787436049632</v>
      </c>
      <c r="AS842" s="115">
        <f t="shared" si="15"/>
        <v>1.4083423547078773</v>
      </c>
      <c r="AT842" s="115">
        <f t="shared" si="15"/>
        <v>1.401300642934338</v>
      </c>
      <c r="AU842" s="115">
        <f t="shared" si="15"/>
        <v>1.4041032442202066</v>
      </c>
      <c r="AV842" s="115">
        <f t="shared" si="15"/>
        <v>1.4167401734181884</v>
      </c>
      <c r="AW842" s="115">
        <f t="shared" si="15"/>
        <v>1.4323243153257883</v>
      </c>
      <c r="AX842" s="115">
        <f t="shared" si="15"/>
        <v>1.4667000988936072</v>
      </c>
      <c r="AY842" s="115">
        <f t="shared" si="15"/>
        <v>1.5341683034427132</v>
      </c>
      <c r="AZ842" s="115">
        <f t="shared" si="15"/>
        <v>1.5878641940632079</v>
      </c>
      <c r="BA842" s="115">
        <f t="shared" si="13"/>
        <v>1.619621477944472</v>
      </c>
      <c r="BB842" s="115">
        <f t="shared" si="13"/>
        <v>1.6617316363710284</v>
      </c>
      <c r="BC842" s="115">
        <f t="shared" si="13"/>
        <v>1.6866576109165936</v>
      </c>
      <c r="BD842" s="115">
        <f t="shared" si="13"/>
        <v>1.7187041055240087</v>
      </c>
      <c r="BE842" s="115">
        <f t="shared" si="13"/>
        <v>1.7633904122676329</v>
      </c>
      <c r="BF842" s="115">
        <f t="shared" si="13"/>
        <v>1.7933680492761825</v>
      </c>
      <c r="BG842" s="115">
        <f t="shared" si="13"/>
        <v>1.8399956185573634</v>
      </c>
      <c r="BH842" s="115">
        <f t="shared" si="13"/>
        <v>1.8859955090212972</v>
      </c>
      <c r="BI842" s="115">
        <f t="shared" si="13"/>
        <v>1.974637297945298</v>
      </c>
      <c r="BJ842" s="115">
        <f t="shared" si="13"/>
        <v>2.0398003287774928</v>
      </c>
      <c r="BK842" s="115">
        <f t="shared" si="13"/>
        <v>2.0826361356818199</v>
      </c>
      <c r="BL842" s="115">
        <f t="shared" si="13"/>
        <v>2.1055451331743198</v>
      </c>
      <c r="BM842" s="115">
        <f t="shared" si="13"/>
        <v>2.1434449455714577</v>
      </c>
      <c r="BN842" s="115">
        <f t="shared" si="13"/>
        <v>2.1734531748094583</v>
      </c>
      <c r="BO842" s="115">
        <f t="shared" si="13"/>
        <v>2.1973611597323623</v>
      </c>
      <c r="BP842" s="115">
        <f t="shared" si="14"/>
        <v>2.2676767168437979</v>
      </c>
      <c r="BQ842" s="115">
        <f t="shared" si="14"/>
        <v>2.274479746994329</v>
      </c>
      <c r="BR842" s="115">
        <f t="shared" si="14"/>
        <v>2.3085969431992437</v>
      </c>
      <c r="BS842" s="115">
        <f t="shared" si="14"/>
        <v>2.368620463722424</v>
      </c>
      <c r="BT842" s="115">
        <f t="shared" si="14"/>
        <v>2.4230987343880397</v>
      </c>
      <c r="BU842" s="115">
        <f t="shared" si="14"/>
        <v>2.490945498950905</v>
      </c>
      <c r="BV842" s="115">
        <f t="shared" si="14"/>
        <v>2.5158549539404143</v>
      </c>
      <c r="BW842" s="115">
        <f t="shared" si="14"/>
        <v>2.5359817935719375</v>
      </c>
      <c r="BX842" s="115">
        <f t="shared" si="14"/>
        <v>2.5410537571590814</v>
      </c>
      <c r="BY842" s="115">
        <f t="shared" si="14"/>
        <v>2.5766285097593085</v>
      </c>
      <c r="BZ842" s="115">
        <f t="shared" si="14"/>
        <v>2.60754805187642</v>
      </c>
      <c r="CA842" s="115">
        <f t="shared" si="14"/>
        <v>2.6753443012252069</v>
      </c>
      <c r="CB842" s="115">
        <f t="shared" si="14"/>
        <v>2.7181498100448103</v>
      </c>
      <c r="CC842" s="115">
        <f t="shared" si="14"/>
        <v>2.7670765066256169</v>
      </c>
      <c r="CD842" s="115">
        <f t="shared" si="14"/>
        <v>2.9386352500364055</v>
      </c>
      <c r="CE842" s="115">
        <f t="shared" si="14"/>
        <v>3.1737260700393182</v>
      </c>
      <c r="CF842" s="115">
        <f t="shared" ref="CF842:CG873" si="16">CE842*CF$807</f>
        <v>3.2625904000004193</v>
      </c>
      <c r="CG842" s="115">
        <f t="shared" si="16"/>
        <v>3.3865688352004355</v>
      </c>
    </row>
    <row r="843" spans="1:85">
      <c r="A843" s="3"/>
      <c r="B843" s="113">
        <v>1979</v>
      </c>
      <c r="C843" s="113"/>
      <c r="D843" s="3"/>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4">
        <v>1</v>
      </c>
      <c r="AM843" s="115">
        <f t="shared" si="15"/>
        <v>1.038</v>
      </c>
      <c r="AN843" s="115">
        <f t="shared" si="15"/>
        <v>1.1116980000000001</v>
      </c>
      <c r="AO843" s="115">
        <f t="shared" si="15"/>
        <v>1.1828466720000002</v>
      </c>
      <c r="AP843" s="115">
        <f t="shared" si="15"/>
        <v>1.2526346256480001</v>
      </c>
      <c r="AQ843" s="115">
        <f t="shared" si="15"/>
        <v>1.2852031259148482</v>
      </c>
      <c r="AR843" s="115">
        <f t="shared" si="15"/>
        <v>1.3211888134404639</v>
      </c>
      <c r="AS843" s="115">
        <f t="shared" si="15"/>
        <v>1.3515761561495945</v>
      </c>
      <c r="AT843" s="115">
        <f t="shared" si="15"/>
        <v>1.3448182753688465</v>
      </c>
      <c r="AU843" s="115">
        <f t="shared" si="15"/>
        <v>1.3475079119195841</v>
      </c>
      <c r="AV843" s="115">
        <f t="shared" si="15"/>
        <v>1.3596354831268602</v>
      </c>
      <c r="AW843" s="115">
        <f t="shared" si="15"/>
        <v>1.3745914734412557</v>
      </c>
      <c r="AX843" s="115">
        <f t="shared" si="15"/>
        <v>1.4075816688038458</v>
      </c>
      <c r="AY843" s="115">
        <f t="shared" si="15"/>
        <v>1.4723304255688228</v>
      </c>
      <c r="AZ843" s="115">
        <f t="shared" si="15"/>
        <v>1.5238619904637314</v>
      </c>
      <c r="BA843" s="115">
        <f t="shared" si="13"/>
        <v>1.5543392302730061</v>
      </c>
      <c r="BB843" s="115">
        <f t="shared" si="13"/>
        <v>1.5947520502601042</v>
      </c>
      <c r="BC843" s="115">
        <f t="shared" si="13"/>
        <v>1.6186733310140056</v>
      </c>
      <c r="BD843" s="115">
        <f t="shared" si="13"/>
        <v>1.6494281243032716</v>
      </c>
      <c r="BE843" s="115">
        <f t="shared" si="13"/>
        <v>1.6923132555351568</v>
      </c>
      <c r="BF843" s="115">
        <f t="shared" si="13"/>
        <v>1.7210825808792543</v>
      </c>
      <c r="BG843" s="115">
        <f t="shared" si="13"/>
        <v>1.7658307279821148</v>
      </c>
      <c r="BH843" s="115">
        <f t="shared" si="13"/>
        <v>1.8099764961816676</v>
      </c>
      <c r="BI843" s="115">
        <f t="shared" si="13"/>
        <v>1.8950453915022059</v>
      </c>
      <c r="BJ843" s="115">
        <f t="shared" si="13"/>
        <v>1.9575818894217785</v>
      </c>
      <c r="BK843" s="115">
        <f t="shared" si="13"/>
        <v>1.9986911090996355</v>
      </c>
      <c r="BL843" s="115">
        <f t="shared" si="13"/>
        <v>2.0206767112997315</v>
      </c>
      <c r="BM843" s="115">
        <f t="shared" si="13"/>
        <v>2.0570488921031265</v>
      </c>
      <c r="BN843" s="115">
        <f t="shared" si="13"/>
        <v>2.0858475765925704</v>
      </c>
      <c r="BO843" s="115">
        <f t="shared" si="13"/>
        <v>2.1087918999350883</v>
      </c>
      <c r="BP843" s="115">
        <f t="shared" si="14"/>
        <v>2.176273240733011</v>
      </c>
      <c r="BQ843" s="115">
        <f t="shared" si="14"/>
        <v>2.1828020604552099</v>
      </c>
      <c r="BR843" s="115">
        <f t="shared" si="14"/>
        <v>2.2155440913620379</v>
      </c>
      <c r="BS843" s="115">
        <f t="shared" si="14"/>
        <v>2.273148237737451</v>
      </c>
      <c r="BT843" s="115">
        <f t="shared" si="14"/>
        <v>2.3254306472054123</v>
      </c>
      <c r="BU843" s="115">
        <f t="shared" si="14"/>
        <v>2.3905427053271637</v>
      </c>
      <c r="BV843" s="115">
        <f t="shared" si="14"/>
        <v>2.4144481323804352</v>
      </c>
      <c r="BW843" s="115">
        <f t="shared" si="14"/>
        <v>2.4337637174394788</v>
      </c>
      <c r="BX843" s="115">
        <f t="shared" si="14"/>
        <v>2.4386312448743577</v>
      </c>
      <c r="BY843" s="115">
        <f t="shared" si="14"/>
        <v>2.4727720823025989</v>
      </c>
      <c r="BZ843" s="115">
        <f t="shared" si="14"/>
        <v>2.5024453472902302</v>
      </c>
      <c r="CA843" s="115">
        <f t="shared" si="14"/>
        <v>2.5675089263197761</v>
      </c>
      <c r="CB843" s="115">
        <f t="shared" si="14"/>
        <v>2.6085890691408924</v>
      </c>
      <c r="CC843" s="115">
        <f t="shared" si="14"/>
        <v>2.6555436723854284</v>
      </c>
      <c r="CD843" s="115">
        <f t="shared" si="14"/>
        <v>2.820187380073325</v>
      </c>
      <c r="CE843" s="115">
        <f t="shared" si="14"/>
        <v>3.0458023704791914</v>
      </c>
      <c r="CF843" s="115">
        <f t="shared" si="16"/>
        <v>3.131084836852609</v>
      </c>
      <c r="CG843" s="115">
        <f t="shared" si="16"/>
        <v>3.2500660606530083</v>
      </c>
    </row>
    <row r="844" spans="1:85">
      <c r="A844" s="3"/>
      <c r="B844" s="113">
        <v>1980</v>
      </c>
      <c r="C844" s="113"/>
      <c r="D844" s="3"/>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4">
        <v>1</v>
      </c>
      <c r="AN844" s="115">
        <f t="shared" si="15"/>
        <v>1.071</v>
      </c>
      <c r="AO844" s="115">
        <f t="shared" si="15"/>
        <v>1.1395440000000001</v>
      </c>
      <c r="AP844" s="115">
        <f t="shared" si="15"/>
        <v>1.2067770960000002</v>
      </c>
      <c r="AQ844" s="115">
        <f t="shared" si="15"/>
        <v>1.2381533004960001</v>
      </c>
      <c r="AR844" s="115">
        <f t="shared" si="15"/>
        <v>1.2728215929098883</v>
      </c>
      <c r="AS844" s="115">
        <f t="shared" si="15"/>
        <v>1.3020964895468157</v>
      </c>
      <c r="AT844" s="115">
        <f t="shared" si="15"/>
        <v>1.2955860070990817</v>
      </c>
      <c r="AU844" s="115">
        <f t="shared" si="15"/>
        <v>1.2981771791132799</v>
      </c>
      <c r="AV844" s="115">
        <f t="shared" si="15"/>
        <v>1.3098607737252992</v>
      </c>
      <c r="AW844" s="115">
        <f t="shared" si="15"/>
        <v>1.3242692422362774</v>
      </c>
      <c r="AX844" s="115">
        <f t="shared" si="15"/>
        <v>1.356051704049948</v>
      </c>
      <c r="AY844" s="115">
        <f t="shared" si="15"/>
        <v>1.4184300824362457</v>
      </c>
      <c r="AZ844" s="115">
        <f t="shared" si="15"/>
        <v>1.4680751353215142</v>
      </c>
      <c r="BA844" s="115">
        <f t="shared" si="13"/>
        <v>1.4974366380279445</v>
      </c>
      <c r="BB844" s="115">
        <f t="shared" si="13"/>
        <v>1.536369990616671</v>
      </c>
      <c r="BC844" s="115">
        <f t="shared" si="13"/>
        <v>1.5594155404759209</v>
      </c>
      <c r="BD844" s="115">
        <f t="shared" si="13"/>
        <v>1.5890444357449633</v>
      </c>
      <c r="BE844" s="115">
        <f t="shared" si="13"/>
        <v>1.6303595910743325</v>
      </c>
      <c r="BF844" s="115">
        <f t="shared" si="13"/>
        <v>1.658075704122596</v>
      </c>
      <c r="BG844" s="115">
        <f t="shared" si="13"/>
        <v>1.7011856724297836</v>
      </c>
      <c r="BH844" s="115">
        <f t="shared" si="13"/>
        <v>1.7437153142405279</v>
      </c>
      <c r="BI844" s="115">
        <f t="shared" si="13"/>
        <v>1.8256699340098326</v>
      </c>
      <c r="BJ844" s="115">
        <f t="shared" si="13"/>
        <v>1.8859170418321569</v>
      </c>
      <c r="BK844" s="115">
        <f t="shared" si="13"/>
        <v>1.9255212997106321</v>
      </c>
      <c r="BL844" s="115">
        <f t="shared" si="13"/>
        <v>1.9467020340074488</v>
      </c>
      <c r="BM844" s="115">
        <f t="shared" si="13"/>
        <v>1.9817426706195829</v>
      </c>
      <c r="BN844" s="115">
        <f t="shared" si="13"/>
        <v>2.0094870680082573</v>
      </c>
      <c r="BO844" s="115">
        <f t="shared" si="13"/>
        <v>2.0315914257563481</v>
      </c>
      <c r="BP844" s="115">
        <f t="shared" si="14"/>
        <v>2.0966023513805512</v>
      </c>
      <c r="BQ844" s="115">
        <f t="shared" si="14"/>
        <v>2.1028921584346927</v>
      </c>
      <c r="BR844" s="115">
        <f t="shared" si="14"/>
        <v>2.134435540811213</v>
      </c>
      <c r="BS844" s="115">
        <f t="shared" si="14"/>
        <v>2.1899308648723044</v>
      </c>
      <c r="BT844" s="115">
        <f t="shared" si="14"/>
        <v>2.2402992747643671</v>
      </c>
      <c r="BU844" s="115">
        <f t="shared" si="14"/>
        <v>2.3030276544577695</v>
      </c>
      <c r="BV844" s="115">
        <f t="shared" si="14"/>
        <v>2.3260579310023473</v>
      </c>
      <c r="BW844" s="115">
        <f t="shared" si="14"/>
        <v>2.3446663944503658</v>
      </c>
      <c r="BX844" s="115">
        <f t="shared" si="14"/>
        <v>2.3493557272392667</v>
      </c>
      <c r="BY844" s="115">
        <f t="shared" si="14"/>
        <v>2.3822467074206166</v>
      </c>
      <c r="BZ844" s="115">
        <f t="shared" si="14"/>
        <v>2.4108336679096642</v>
      </c>
      <c r="CA844" s="115">
        <f t="shared" si="14"/>
        <v>2.4735153432753156</v>
      </c>
      <c r="CB844" s="115">
        <f t="shared" si="14"/>
        <v>2.5130915887677205</v>
      </c>
      <c r="CC844" s="115">
        <f t="shared" si="14"/>
        <v>2.5583272373655395</v>
      </c>
      <c r="CD844" s="115">
        <f t="shared" si="14"/>
        <v>2.7169435260822032</v>
      </c>
      <c r="CE844" s="115">
        <f t="shared" si="14"/>
        <v>2.9342990081687796</v>
      </c>
      <c r="CF844" s="115">
        <f t="shared" si="16"/>
        <v>3.0164593803975057</v>
      </c>
      <c r="CG844" s="115">
        <f t="shared" si="16"/>
        <v>3.1310848368526112</v>
      </c>
    </row>
    <row r="845" spans="1:85">
      <c r="A845" s="3"/>
      <c r="B845" s="113">
        <v>1981</v>
      </c>
      <c r="C845" s="113"/>
      <c r="D845" s="3"/>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4">
        <v>1</v>
      </c>
      <c r="AO845" s="115">
        <f t="shared" si="15"/>
        <v>1.0640000000000001</v>
      </c>
      <c r="AP845" s="115">
        <f t="shared" si="15"/>
        <v>1.126776</v>
      </c>
      <c r="AQ845" s="115">
        <f t="shared" si="15"/>
        <v>1.1560721760000001</v>
      </c>
      <c r="AR845" s="115">
        <f t="shared" si="15"/>
        <v>1.1884421969280001</v>
      </c>
      <c r="AS845" s="115">
        <f t="shared" si="15"/>
        <v>1.2157763674573441</v>
      </c>
      <c r="AT845" s="115">
        <f t="shared" si="15"/>
        <v>1.2096974856200573</v>
      </c>
      <c r="AU845" s="115">
        <f t="shared" si="15"/>
        <v>1.2121168805912974</v>
      </c>
      <c r="AV845" s="115">
        <f t="shared" si="15"/>
        <v>1.2230259325166191</v>
      </c>
      <c r="AW845" s="115">
        <f t="shared" si="15"/>
        <v>1.2364792177743018</v>
      </c>
      <c r="AX845" s="115">
        <f t="shared" si="15"/>
        <v>1.2661547190008851</v>
      </c>
      <c r="AY845" s="115">
        <f t="shared" si="15"/>
        <v>1.3243978360749258</v>
      </c>
      <c r="AZ845" s="115">
        <f t="shared" si="15"/>
        <v>1.3707517603375481</v>
      </c>
      <c r="BA845" s="115">
        <f t="shared" si="13"/>
        <v>1.3981667955442991</v>
      </c>
      <c r="BB845" s="115">
        <f t="shared" si="13"/>
        <v>1.434519132228451</v>
      </c>
      <c r="BC845" s="115">
        <f t="shared" si="13"/>
        <v>1.4560369192118776</v>
      </c>
      <c r="BD845" s="115">
        <f t="shared" si="13"/>
        <v>1.4837016206769031</v>
      </c>
      <c r="BE845" s="115">
        <f t="shared" si="13"/>
        <v>1.5222778628145026</v>
      </c>
      <c r="BF845" s="115">
        <f t="shared" si="13"/>
        <v>1.548156586482349</v>
      </c>
      <c r="BG845" s="115">
        <f t="shared" si="13"/>
        <v>1.58840865773089</v>
      </c>
      <c r="BH845" s="115">
        <f t="shared" si="13"/>
        <v>1.6281188741741621</v>
      </c>
      <c r="BI845" s="115">
        <f t="shared" si="13"/>
        <v>1.7046404612603476</v>
      </c>
      <c r="BJ845" s="115">
        <f t="shared" si="13"/>
        <v>1.760893596481939</v>
      </c>
      <c r="BK845" s="115">
        <f t="shared" si="13"/>
        <v>1.7978723620080594</v>
      </c>
      <c r="BL845" s="115">
        <f t="shared" si="13"/>
        <v>1.8176489579901478</v>
      </c>
      <c r="BM845" s="115">
        <f t="shared" si="13"/>
        <v>1.8503666392339706</v>
      </c>
      <c r="BN845" s="115">
        <f t="shared" si="13"/>
        <v>1.8762717721832463</v>
      </c>
      <c r="BO845" s="115">
        <f t="shared" si="13"/>
        <v>1.8969107616772618</v>
      </c>
      <c r="BP845" s="115">
        <f t="shared" si="14"/>
        <v>1.9576119060509343</v>
      </c>
      <c r="BQ845" s="115">
        <f t="shared" si="14"/>
        <v>1.9634847417690868</v>
      </c>
      <c r="BR845" s="115">
        <f t="shared" si="14"/>
        <v>1.992937012895623</v>
      </c>
      <c r="BS845" s="115">
        <f t="shared" si="14"/>
        <v>2.0447533752309091</v>
      </c>
      <c r="BT845" s="115">
        <f t="shared" si="14"/>
        <v>2.0917827028612197</v>
      </c>
      <c r="BU845" s="115">
        <f t="shared" si="14"/>
        <v>2.150352618541334</v>
      </c>
      <c r="BV845" s="115">
        <f t="shared" si="14"/>
        <v>2.1718561447267475</v>
      </c>
      <c r="BW845" s="115">
        <f t="shared" si="14"/>
        <v>2.1892309938845615</v>
      </c>
      <c r="BX845" s="115">
        <f t="shared" si="14"/>
        <v>2.1936094558723305</v>
      </c>
      <c r="BY845" s="115">
        <f t="shared" si="14"/>
        <v>2.224319988254543</v>
      </c>
      <c r="BZ845" s="115">
        <f t="shared" si="14"/>
        <v>2.2510118281135973</v>
      </c>
      <c r="CA845" s="115">
        <f t="shared" si="14"/>
        <v>2.309538135644551</v>
      </c>
      <c r="CB845" s="115">
        <f t="shared" si="14"/>
        <v>2.3464907458148638</v>
      </c>
      <c r="CC845" s="115">
        <f t="shared" si="14"/>
        <v>2.3887275792395313</v>
      </c>
      <c r="CD845" s="115">
        <f t="shared" si="14"/>
        <v>2.5368286891523821</v>
      </c>
      <c r="CE845" s="115">
        <f t="shared" si="14"/>
        <v>2.7397749842845727</v>
      </c>
      <c r="CF845" s="115">
        <f t="shared" si="16"/>
        <v>2.8164886838445407</v>
      </c>
      <c r="CG845" s="115">
        <f t="shared" si="16"/>
        <v>2.9235152538306335</v>
      </c>
    </row>
    <row r="846" spans="1:85">
      <c r="A846" s="3"/>
      <c r="B846" s="113">
        <v>1982</v>
      </c>
      <c r="C846" s="113"/>
      <c r="D846" s="3"/>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4">
        <v>1</v>
      </c>
      <c r="AP846" s="115">
        <f t="shared" si="15"/>
        <v>1.0589999999999999</v>
      </c>
      <c r="AQ846" s="115">
        <f t="shared" si="15"/>
        <v>1.0865339999999999</v>
      </c>
      <c r="AR846" s="115">
        <f t="shared" si="15"/>
        <v>1.116956952</v>
      </c>
      <c r="AS846" s="115">
        <f t="shared" si="15"/>
        <v>1.1426469618959998</v>
      </c>
      <c r="AT846" s="115">
        <f t="shared" si="15"/>
        <v>1.1369337270865199</v>
      </c>
      <c r="AU846" s="115">
        <f t="shared" si="15"/>
        <v>1.139207594540693</v>
      </c>
      <c r="AV846" s="115">
        <f t="shared" si="15"/>
        <v>1.149460462891559</v>
      </c>
      <c r="AW846" s="115">
        <f t="shared" si="15"/>
        <v>1.1621045279833659</v>
      </c>
      <c r="AX846" s="115">
        <f t="shared" si="15"/>
        <v>1.1899950366549668</v>
      </c>
      <c r="AY846" s="115">
        <f t="shared" si="15"/>
        <v>1.2447348083410952</v>
      </c>
      <c r="AZ846" s="115">
        <f t="shared" si="15"/>
        <v>1.2883005266330334</v>
      </c>
      <c r="BA846" s="115">
        <f t="shared" si="13"/>
        <v>1.3140665371656941</v>
      </c>
      <c r="BB846" s="115">
        <f t="shared" si="13"/>
        <v>1.3482322671320022</v>
      </c>
      <c r="BC846" s="115">
        <f t="shared" si="13"/>
        <v>1.3684557511389821</v>
      </c>
      <c r="BD846" s="115">
        <f t="shared" si="13"/>
        <v>1.3944564104106227</v>
      </c>
      <c r="BE846" s="115">
        <f t="shared" si="13"/>
        <v>1.430712277081299</v>
      </c>
      <c r="BF846" s="115">
        <f t="shared" si="13"/>
        <v>1.455034385791681</v>
      </c>
      <c r="BG846" s="115">
        <f t="shared" si="13"/>
        <v>1.4928652798222648</v>
      </c>
      <c r="BH846" s="115">
        <f t="shared" si="13"/>
        <v>1.5301869118178213</v>
      </c>
      <c r="BI846" s="115">
        <f t="shared" si="13"/>
        <v>1.6021056966732588</v>
      </c>
      <c r="BJ846" s="115">
        <f t="shared" si="13"/>
        <v>1.6549751846634762</v>
      </c>
      <c r="BK846" s="115">
        <f t="shared" si="13"/>
        <v>1.689729663541409</v>
      </c>
      <c r="BL846" s="115">
        <f t="shared" si="13"/>
        <v>1.7083166898403643</v>
      </c>
      <c r="BM846" s="115">
        <f t="shared" si="13"/>
        <v>1.739066390257491</v>
      </c>
      <c r="BN846" s="115">
        <f t="shared" si="13"/>
        <v>1.7634133197210959</v>
      </c>
      <c r="BO846" s="115">
        <f t="shared" si="13"/>
        <v>1.7828108662380278</v>
      </c>
      <c r="BP846" s="115">
        <f t="shared" si="14"/>
        <v>1.8398608139576447</v>
      </c>
      <c r="BQ846" s="115">
        <f t="shared" si="14"/>
        <v>1.8453803963995175</v>
      </c>
      <c r="BR846" s="115">
        <f t="shared" si="14"/>
        <v>1.8730611023455099</v>
      </c>
      <c r="BS846" s="115">
        <f t="shared" si="14"/>
        <v>1.9217606910064933</v>
      </c>
      <c r="BT846" s="115">
        <f t="shared" si="14"/>
        <v>1.9659611868996425</v>
      </c>
      <c r="BU846" s="115">
        <f t="shared" si="14"/>
        <v>2.0210081001328324</v>
      </c>
      <c r="BV846" s="115">
        <f t="shared" si="14"/>
        <v>2.0412181811341608</v>
      </c>
      <c r="BW846" s="115">
        <f t="shared" si="14"/>
        <v>2.0575479265832342</v>
      </c>
      <c r="BX846" s="115">
        <f t="shared" si="14"/>
        <v>2.0616630224364005</v>
      </c>
      <c r="BY846" s="115">
        <f t="shared" si="14"/>
        <v>2.0905263047505103</v>
      </c>
      <c r="BZ846" s="115">
        <f t="shared" si="14"/>
        <v>2.1156126204075165</v>
      </c>
      <c r="CA846" s="115">
        <f t="shared" si="14"/>
        <v>2.170618548538112</v>
      </c>
      <c r="CB846" s="115">
        <f t="shared" si="14"/>
        <v>2.2053484453147219</v>
      </c>
      <c r="CC846" s="115">
        <f t="shared" si="14"/>
        <v>2.2450447173303867</v>
      </c>
      <c r="CD846" s="115">
        <f t="shared" si="14"/>
        <v>2.3842374898048706</v>
      </c>
      <c r="CE846" s="115">
        <f t="shared" si="14"/>
        <v>2.5749764889892606</v>
      </c>
      <c r="CF846" s="115">
        <f t="shared" si="16"/>
        <v>2.6470758306809601</v>
      </c>
      <c r="CG846" s="115">
        <f t="shared" si="16"/>
        <v>2.7476647122468365</v>
      </c>
    </row>
    <row r="847" spans="1:85">
      <c r="A847" s="3"/>
      <c r="B847" s="113">
        <v>1983</v>
      </c>
      <c r="C847" s="113"/>
      <c r="D847" s="3"/>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4">
        <v>1</v>
      </c>
      <c r="AQ847" s="115">
        <f t="shared" si="15"/>
        <v>1.026</v>
      </c>
      <c r="AR847" s="115">
        <f t="shared" si="15"/>
        <v>1.0547280000000001</v>
      </c>
      <c r="AS847" s="115">
        <f t="shared" si="15"/>
        <v>1.0789867440000001</v>
      </c>
      <c r="AT847" s="115">
        <f t="shared" si="15"/>
        <v>1.0735918102799999</v>
      </c>
      <c r="AU847" s="115">
        <f t="shared" si="15"/>
        <v>1.0757389939005599</v>
      </c>
      <c r="AV847" s="115">
        <f t="shared" si="15"/>
        <v>1.0854206448456649</v>
      </c>
      <c r="AW847" s="115">
        <f t="shared" si="15"/>
        <v>1.097360271938967</v>
      </c>
      <c r="AX847" s="115">
        <f t="shared" si="15"/>
        <v>1.1236969184655023</v>
      </c>
      <c r="AY847" s="115">
        <f t="shared" si="15"/>
        <v>1.1753869767149154</v>
      </c>
      <c r="AZ847" s="115">
        <f t="shared" si="15"/>
        <v>1.2165255208999375</v>
      </c>
      <c r="BA847" s="115">
        <f t="shared" si="13"/>
        <v>1.2408560313179362</v>
      </c>
      <c r="BB847" s="115">
        <f t="shared" si="13"/>
        <v>1.2731182881322025</v>
      </c>
      <c r="BC847" s="115">
        <f t="shared" si="13"/>
        <v>1.2922150624541855</v>
      </c>
      <c r="BD847" s="115">
        <f t="shared" si="13"/>
        <v>1.3167671486408148</v>
      </c>
      <c r="BE847" s="115">
        <f t="shared" si="13"/>
        <v>1.3510030945054761</v>
      </c>
      <c r="BF847" s="115">
        <f t="shared" si="13"/>
        <v>1.3739701471120691</v>
      </c>
      <c r="BG847" s="115">
        <f t="shared" si="13"/>
        <v>1.409693370936983</v>
      </c>
      <c r="BH847" s="115">
        <f t="shared" si="13"/>
        <v>1.4449357052104075</v>
      </c>
      <c r="BI847" s="115">
        <f t="shared" si="13"/>
        <v>1.5128476833552966</v>
      </c>
      <c r="BJ847" s="115">
        <f t="shared" si="13"/>
        <v>1.5627716569060213</v>
      </c>
      <c r="BK847" s="115">
        <f t="shared" si="13"/>
        <v>1.5955898617010476</v>
      </c>
      <c r="BL847" s="115">
        <f t="shared" si="13"/>
        <v>1.6131413501797589</v>
      </c>
      <c r="BM847" s="115">
        <f t="shared" si="13"/>
        <v>1.6421778944829946</v>
      </c>
      <c r="BN847" s="115">
        <f t="shared" si="13"/>
        <v>1.6651683850057566</v>
      </c>
      <c r="BO847" s="115">
        <f t="shared" si="13"/>
        <v>1.6834852372408198</v>
      </c>
      <c r="BP847" s="115">
        <f t="shared" si="14"/>
        <v>1.7373567648325261</v>
      </c>
      <c r="BQ847" s="115">
        <f t="shared" si="14"/>
        <v>1.7425688351270234</v>
      </c>
      <c r="BR847" s="115">
        <f t="shared" si="14"/>
        <v>1.7687073676539287</v>
      </c>
      <c r="BS847" s="115">
        <f t="shared" si="14"/>
        <v>1.8146937592129309</v>
      </c>
      <c r="BT847" s="115">
        <f t="shared" si="14"/>
        <v>1.856431715674828</v>
      </c>
      <c r="BU847" s="115">
        <f t="shared" si="14"/>
        <v>1.9084118037137232</v>
      </c>
      <c r="BV847" s="115">
        <f t="shared" si="14"/>
        <v>1.9274959217508605</v>
      </c>
      <c r="BW847" s="115">
        <f t="shared" si="14"/>
        <v>1.9429158891248675</v>
      </c>
      <c r="BX847" s="115">
        <f t="shared" si="14"/>
        <v>1.9468017209031172</v>
      </c>
      <c r="BY847" s="115">
        <f t="shared" si="14"/>
        <v>1.9740569449957608</v>
      </c>
      <c r="BZ847" s="115">
        <f t="shared" si="14"/>
        <v>1.99774562833571</v>
      </c>
      <c r="CA847" s="115">
        <f t="shared" si="14"/>
        <v>2.0496870146724384</v>
      </c>
      <c r="CB847" s="115">
        <f t="shared" si="14"/>
        <v>2.0824820069071976</v>
      </c>
      <c r="CC847" s="115">
        <f t="shared" si="14"/>
        <v>2.1199666830315271</v>
      </c>
      <c r="CD847" s="115">
        <f t="shared" si="14"/>
        <v>2.2514046173794817</v>
      </c>
      <c r="CE847" s="115">
        <f t="shared" si="14"/>
        <v>2.4315169867698403</v>
      </c>
      <c r="CF847" s="115">
        <f t="shared" si="16"/>
        <v>2.499599462399396</v>
      </c>
      <c r="CG847" s="115">
        <f t="shared" si="16"/>
        <v>2.5945842419705731</v>
      </c>
    </row>
    <row r="848" spans="1:85">
      <c r="A848" s="3"/>
      <c r="B848" s="113">
        <v>1984</v>
      </c>
      <c r="C848" s="113"/>
      <c r="D848" s="3"/>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4">
        <v>1</v>
      </c>
      <c r="AR848" s="115">
        <f t="shared" si="15"/>
        <v>1.028</v>
      </c>
      <c r="AS848" s="115">
        <f t="shared" si="15"/>
        <v>1.051644</v>
      </c>
      <c r="AT848" s="115">
        <f t="shared" si="15"/>
        <v>1.04638578</v>
      </c>
      <c r="AU848" s="115">
        <f t="shared" si="15"/>
        <v>1.0484785515600001</v>
      </c>
      <c r="AV848" s="115">
        <f t="shared" si="15"/>
        <v>1.0579148585240401</v>
      </c>
      <c r="AW848" s="115">
        <f t="shared" si="15"/>
        <v>1.0695519219678045</v>
      </c>
      <c r="AX848" s="115">
        <f t="shared" si="15"/>
        <v>1.0952211680950319</v>
      </c>
      <c r="AY848" s="115">
        <f t="shared" si="15"/>
        <v>1.1456013418274034</v>
      </c>
      <c r="AZ848" s="115">
        <f t="shared" si="15"/>
        <v>1.1856973887913624</v>
      </c>
      <c r="BA848" s="115">
        <f t="shared" si="13"/>
        <v>1.2094113365671897</v>
      </c>
      <c r="BB848" s="115">
        <f t="shared" si="13"/>
        <v>1.2408560313179366</v>
      </c>
      <c r="BC848" s="115">
        <f t="shared" si="13"/>
        <v>1.2594688717877056</v>
      </c>
      <c r="BD848" s="115">
        <f t="shared" si="13"/>
        <v>1.283398780351672</v>
      </c>
      <c r="BE848" s="115">
        <f t="shared" si="13"/>
        <v>1.3167671486408155</v>
      </c>
      <c r="BF848" s="115">
        <f t="shared" si="13"/>
        <v>1.3391521901677093</v>
      </c>
      <c r="BG848" s="115">
        <f t="shared" si="13"/>
        <v>1.3739701471120698</v>
      </c>
      <c r="BH848" s="115">
        <f t="shared" si="13"/>
        <v>1.4083194007898714</v>
      </c>
      <c r="BI848" s="115">
        <f t="shared" si="13"/>
        <v>1.4745104126269952</v>
      </c>
      <c r="BJ848" s="115">
        <f t="shared" si="13"/>
        <v>1.523169256243686</v>
      </c>
      <c r="BK848" s="115">
        <f t="shared" si="13"/>
        <v>1.5551558106248033</v>
      </c>
      <c r="BL848" s="115">
        <f t="shared" si="13"/>
        <v>1.5722625245416759</v>
      </c>
      <c r="BM848" s="115">
        <f t="shared" si="13"/>
        <v>1.6005632499834261</v>
      </c>
      <c r="BN848" s="115">
        <f t="shared" si="13"/>
        <v>1.6229711354831942</v>
      </c>
      <c r="BO848" s="115">
        <f t="shared" si="13"/>
        <v>1.6408238179735091</v>
      </c>
      <c r="BP848" s="115">
        <f t="shared" si="14"/>
        <v>1.6933301801486613</v>
      </c>
      <c r="BQ848" s="115">
        <f t="shared" si="14"/>
        <v>1.698410170689107</v>
      </c>
      <c r="BR848" s="115">
        <f t="shared" si="14"/>
        <v>1.7238863232494435</v>
      </c>
      <c r="BS848" s="115">
        <f t="shared" si="14"/>
        <v>1.7687073676539291</v>
      </c>
      <c r="BT848" s="115">
        <f t="shared" si="14"/>
        <v>1.8093876371099693</v>
      </c>
      <c r="BU848" s="115">
        <f t="shared" si="14"/>
        <v>1.8600504909490485</v>
      </c>
      <c r="BV848" s="115">
        <f t="shared" si="14"/>
        <v>1.8786509958585391</v>
      </c>
      <c r="BW848" s="115">
        <f t="shared" si="14"/>
        <v>1.8936802038254075</v>
      </c>
      <c r="BX848" s="115">
        <f t="shared" si="14"/>
        <v>1.8974675642330583</v>
      </c>
      <c r="BY848" s="115">
        <f t="shared" si="14"/>
        <v>1.9240321101323212</v>
      </c>
      <c r="BZ848" s="115">
        <f t="shared" si="14"/>
        <v>1.9471204954539092</v>
      </c>
      <c r="CA848" s="115">
        <f t="shared" si="14"/>
        <v>1.9977456283357109</v>
      </c>
      <c r="CB848" s="115">
        <f t="shared" si="14"/>
        <v>2.0297095583890825</v>
      </c>
      <c r="CC848" s="115">
        <f t="shared" si="14"/>
        <v>2.0662443304400862</v>
      </c>
      <c r="CD848" s="115">
        <f t="shared" si="14"/>
        <v>2.1943514789273717</v>
      </c>
      <c r="CE848" s="115">
        <f t="shared" si="14"/>
        <v>2.3698995972415617</v>
      </c>
      <c r="CF848" s="115">
        <f t="shared" si="16"/>
        <v>2.4362567859643254</v>
      </c>
      <c r="CG848" s="115">
        <f t="shared" si="16"/>
        <v>2.5288345438309698</v>
      </c>
    </row>
    <row r="849" spans="1:85">
      <c r="A849" s="3"/>
      <c r="B849" s="113">
        <v>1985</v>
      </c>
      <c r="C849" s="113"/>
      <c r="D849" s="3"/>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4">
        <v>1</v>
      </c>
      <c r="AS849" s="115">
        <f t="shared" si="15"/>
        <v>1.0229999999999999</v>
      </c>
      <c r="AT849" s="115">
        <f t="shared" si="15"/>
        <v>1.0178849999999999</v>
      </c>
      <c r="AU849" s="115">
        <f t="shared" si="15"/>
        <v>1.0199207699999999</v>
      </c>
      <c r="AV849" s="115">
        <f t="shared" si="15"/>
        <v>1.0291000569299997</v>
      </c>
      <c r="AW849" s="115">
        <f t="shared" si="15"/>
        <v>1.0404201575562295</v>
      </c>
      <c r="AX849" s="115">
        <f t="shared" si="15"/>
        <v>1.0653902413375791</v>
      </c>
      <c r="AY849" s="115">
        <f t="shared" si="15"/>
        <v>1.1143981924391078</v>
      </c>
      <c r="AZ849" s="115">
        <f t="shared" si="15"/>
        <v>1.1534021291744765</v>
      </c>
      <c r="BA849" s="115">
        <f t="shared" si="13"/>
        <v>1.176470171757966</v>
      </c>
      <c r="BB849" s="115">
        <f t="shared" si="13"/>
        <v>1.2070583962236732</v>
      </c>
      <c r="BC849" s="115">
        <f t="shared" si="13"/>
        <v>1.2251642721670282</v>
      </c>
      <c r="BD849" s="115">
        <f t="shared" si="13"/>
        <v>1.2484423933382016</v>
      </c>
      <c r="BE849" s="115">
        <f t="shared" si="13"/>
        <v>1.2809018955649949</v>
      </c>
      <c r="BF849" s="115">
        <f t="shared" si="13"/>
        <v>1.3026772277895997</v>
      </c>
      <c r="BG849" s="115">
        <f t="shared" si="13"/>
        <v>1.3365468357121293</v>
      </c>
      <c r="BH849" s="115">
        <f t="shared" si="13"/>
        <v>1.3699605066049323</v>
      </c>
      <c r="BI849" s="115">
        <f t="shared" si="13"/>
        <v>1.434348650415364</v>
      </c>
      <c r="BJ849" s="115">
        <f t="shared" si="13"/>
        <v>1.4816821558790709</v>
      </c>
      <c r="BK849" s="115">
        <f t="shared" si="13"/>
        <v>1.5127974811525313</v>
      </c>
      <c r="BL849" s="115">
        <f t="shared" si="13"/>
        <v>1.5294382534452091</v>
      </c>
      <c r="BM849" s="115">
        <f t="shared" si="13"/>
        <v>1.556968142007223</v>
      </c>
      <c r="BN849" s="115">
        <f t="shared" si="13"/>
        <v>1.5787656959953242</v>
      </c>
      <c r="BO849" s="115">
        <f t="shared" si="13"/>
        <v>1.5961321186512727</v>
      </c>
      <c r="BP849" s="115">
        <f t="shared" si="14"/>
        <v>1.6472083464481135</v>
      </c>
      <c r="BQ849" s="115">
        <f t="shared" si="14"/>
        <v>1.6521499714874577</v>
      </c>
      <c r="BR849" s="115">
        <f t="shared" si="14"/>
        <v>1.6769322210597695</v>
      </c>
      <c r="BS849" s="115">
        <f t="shared" si="14"/>
        <v>1.7205324588073234</v>
      </c>
      <c r="BT849" s="115">
        <f t="shared" si="14"/>
        <v>1.7601047053598917</v>
      </c>
      <c r="BU849" s="115">
        <f t="shared" si="14"/>
        <v>1.8093876371099686</v>
      </c>
      <c r="BV849" s="115">
        <f t="shared" si="14"/>
        <v>1.8274815134810682</v>
      </c>
      <c r="BW849" s="115">
        <f t="shared" si="14"/>
        <v>1.8421013655889169</v>
      </c>
      <c r="BX849" s="115">
        <f t="shared" si="14"/>
        <v>1.8457855683200948</v>
      </c>
      <c r="BY849" s="115">
        <f t="shared" si="14"/>
        <v>1.8716265662765761</v>
      </c>
      <c r="BZ849" s="115">
        <f t="shared" si="14"/>
        <v>1.894086085071895</v>
      </c>
      <c r="CA849" s="115">
        <f t="shared" si="14"/>
        <v>1.9433323232837643</v>
      </c>
      <c r="CB849" s="115">
        <f t="shared" si="14"/>
        <v>1.9744256404563045</v>
      </c>
      <c r="CC849" s="115">
        <f t="shared" si="14"/>
        <v>2.0099653019845181</v>
      </c>
      <c r="CD849" s="115">
        <f t="shared" si="14"/>
        <v>2.1345831507075581</v>
      </c>
      <c r="CE849" s="115">
        <f t="shared" si="14"/>
        <v>2.3053498027641628</v>
      </c>
      <c r="CF849" s="115">
        <f t="shared" si="16"/>
        <v>2.3698995972415595</v>
      </c>
      <c r="CG849" s="115">
        <f t="shared" si="16"/>
        <v>2.4599557819367388</v>
      </c>
    </row>
    <row r="850" spans="1:85">
      <c r="A850" s="3"/>
      <c r="B850" s="113">
        <v>1986</v>
      </c>
      <c r="C850" s="113"/>
      <c r="D850" s="3"/>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4">
        <v>1</v>
      </c>
      <c r="AT850" s="115">
        <f t="shared" si="15"/>
        <v>0.995</v>
      </c>
      <c r="AU850" s="115">
        <f t="shared" si="15"/>
        <v>0.99699000000000004</v>
      </c>
      <c r="AV850" s="115">
        <f t="shared" si="15"/>
        <v>1.00596291</v>
      </c>
      <c r="AW850" s="115">
        <f t="shared" si="15"/>
        <v>1.0170285020099998</v>
      </c>
      <c r="AX850" s="115">
        <f t="shared" si="15"/>
        <v>1.0414371860582399</v>
      </c>
      <c r="AY850" s="115">
        <f t="shared" si="15"/>
        <v>1.089343296616919</v>
      </c>
      <c r="AZ850" s="115">
        <f t="shared" si="15"/>
        <v>1.127470311998511</v>
      </c>
      <c r="BA850" s="115">
        <f t="shared" si="13"/>
        <v>1.1500197182384813</v>
      </c>
      <c r="BB850" s="115">
        <f t="shared" si="13"/>
        <v>1.1799202309126817</v>
      </c>
      <c r="BC850" s="115">
        <f t="shared" si="13"/>
        <v>1.1976190343763717</v>
      </c>
      <c r="BD850" s="115">
        <f t="shared" si="13"/>
        <v>1.2203737960295227</v>
      </c>
      <c r="BE850" s="115">
        <f t="shared" si="13"/>
        <v>1.2521035147262902</v>
      </c>
      <c r="BF850" s="115">
        <f t="shared" si="13"/>
        <v>1.2733892744766371</v>
      </c>
      <c r="BG850" s="115">
        <f t="shared" si="13"/>
        <v>1.3064973956130297</v>
      </c>
      <c r="BH850" s="115">
        <f t="shared" si="13"/>
        <v>1.3391598305033554</v>
      </c>
      <c r="BI850" s="115">
        <f t="shared" si="13"/>
        <v>1.4021003425370131</v>
      </c>
      <c r="BJ850" s="115">
        <f t="shared" si="13"/>
        <v>1.4483696538407345</v>
      </c>
      <c r="BK850" s="115">
        <f t="shared" si="13"/>
        <v>1.4787854165713898</v>
      </c>
      <c r="BL850" s="115">
        <f t="shared" si="13"/>
        <v>1.4950520561536751</v>
      </c>
      <c r="BM850" s="115">
        <f t="shared" si="13"/>
        <v>1.5219629931644412</v>
      </c>
      <c r="BN850" s="115">
        <f t="shared" si="13"/>
        <v>1.5432704750687434</v>
      </c>
      <c r="BO850" s="115">
        <f t="shared" si="13"/>
        <v>1.5602464502944995</v>
      </c>
      <c r="BP850" s="115">
        <f t="shared" si="14"/>
        <v>1.6101743367039236</v>
      </c>
      <c r="BQ850" s="115">
        <f t="shared" si="14"/>
        <v>1.6150048597140352</v>
      </c>
      <c r="BR850" s="115">
        <f t="shared" si="14"/>
        <v>1.6392299326097455</v>
      </c>
      <c r="BS850" s="115">
        <f t="shared" si="14"/>
        <v>1.6818499108575988</v>
      </c>
      <c r="BT850" s="115">
        <f t="shared" si="14"/>
        <v>1.7205324588073234</v>
      </c>
      <c r="BU850" s="115">
        <f t="shared" si="14"/>
        <v>1.7687073676539284</v>
      </c>
      <c r="BV850" s="115">
        <f t="shared" si="14"/>
        <v>1.7863944413304678</v>
      </c>
      <c r="BW850" s="115">
        <f t="shared" si="14"/>
        <v>1.8006855968611115</v>
      </c>
      <c r="BX850" s="115">
        <f t="shared" si="14"/>
        <v>1.8042869680548337</v>
      </c>
      <c r="BY850" s="115">
        <f t="shared" si="14"/>
        <v>1.8295469856076014</v>
      </c>
      <c r="BZ850" s="115">
        <f t="shared" si="14"/>
        <v>1.8515015494348928</v>
      </c>
      <c r="CA850" s="115">
        <f t="shared" si="14"/>
        <v>1.8996405897202</v>
      </c>
      <c r="CB850" s="115">
        <f t="shared" si="14"/>
        <v>1.9300348391557232</v>
      </c>
      <c r="CC850" s="115">
        <f t="shared" si="14"/>
        <v>1.9647754662605261</v>
      </c>
      <c r="CD850" s="115">
        <f t="shared" si="14"/>
        <v>2.086591545168679</v>
      </c>
      <c r="CE850" s="115">
        <f t="shared" si="14"/>
        <v>2.2535188687821734</v>
      </c>
      <c r="CF850" s="115">
        <f t="shared" si="16"/>
        <v>2.3166173971080743</v>
      </c>
      <c r="CG850" s="115">
        <f t="shared" si="16"/>
        <v>2.4046488581981813</v>
      </c>
    </row>
    <row r="851" spans="1:85">
      <c r="A851" s="3"/>
      <c r="B851" s="113">
        <v>1987</v>
      </c>
      <c r="C851" s="113"/>
      <c r="D851" s="3"/>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4">
        <v>1</v>
      </c>
      <c r="AU851" s="115">
        <f t="shared" si="15"/>
        <v>1.002</v>
      </c>
      <c r="AV851" s="115">
        <f t="shared" si="15"/>
        <v>1.011018</v>
      </c>
      <c r="AW851" s="115">
        <f t="shared" si="15"/>
        <v>1.0221391979999999</v>
      </c>
      <c r="AX851" s="115">
        <f t="shared" si="15"/>
        <v>1.0466705387519999</v>
      </c>
      <c r="AY851" s="115">
        <f t="shared" si="15"/>
        <v>1.094817383534592</v>
      </c>
      <c r="AZ851" s="115">
        <f t="shared" si="15"/>
        <v>1.1331359919583026</v>
      </c>
      <c r="BA851" s="115">
        <f t="shared" si="13"/>
        <v>1.1557987117974686</v>
      </c>
      <c r="BB851" s="115">
        <f t="shared" si="13"/>
        <v>1.1858494783042028</v>
      </c>
      <c r="BC851" s="115">
        <f t="shared" si="13"/>
        <v>1.2036372204787658</v>
      </c>
      <c r="BD851" s="115">
        <f t="shared" si="13"/>
        <v>1.2265063276678623</v>
      </c>
      <c r="BE851" s="115">
        <f t="shared" si="13"/>
        <v>1.2583954921872267</v>
      </c>
      <c r="BF851" s="115">
        <f t="shared" si="13"/>
        <v>1.2797882155544094</v>
      </c>
      <c r="BG851" s="115">
        <f t="shared" si="13"/>
        <v>1.3130627091588241</v>
      </c>
      <c r="BH851" s="115">
        <f t="shared" si="13"/>
        <v>1.3458892768877946</v>
      </c>
      <c r="BI851" s="115">
        <f t="shared" si="13"/>
        <v>1.4091460729015208</v>
      </c>
      <c r="BJ851" s="115">
        <f t="shared" si="13"/>
        <v>1.455647893307271</v>
      </c>
      <c r="BK851" s="115">
        <f t="shared" si="13"/>
        <v>1.4862164990667235</v>
      </c>
      <c r="BL851" s="115">
        <f t="shared" si="13"/>
        <v>1.5025648805564573</v>
      </c>
      <c r="BM851" s="115">
        <f t="shared" si="13"/>
        <v>1.5296110484064736</v>
      </c>
      <c r="BN851" s="115">
        <f t="shared" si="13"/>
        <v>1.5510256030841643</v>
      </c>
      <c r="BO851" s="115">
        <f t="shared" si="13"/>
        <v>1.56808688471809</v>
      </c>
      <c r="BP851" s="115">
        <f t="shared" si="14"/>
        <v>1.618265665029069</v>
      </c>
      <c r="BQ851" s="115">
        <f t="shared" si="14"/>
        <v>1.6231204620241559</v>
      </c>
      <c r="BR851" s="115">
        <f t="shared" si="14"/>
        <v>1.6474672689545182</v>
      </c>
      <c r="BS851" s="115">
        <f t="shared" si="14"/>
        <v>1.6903014179473357</v>
      </c>
      <c r="BT851" s="115">
        <f t="shared" si="14"/>
        <v>1.7291783505601241</v>
      </c>
      <c r="BU851" s="115">
        <f t="shared" si="14"/>
        <v>1.7775953443758077</v>
      </c>
      <c r="BV851" s="115">
        <f t="shared" si="14"/>
        <v>1.7953712978195657</v>
      </c>
      <c r="BW851" s="115">
        <f t="shared" si="14"/>
        <v>1.8097342682021222</v>
      </c>
      <c r="BX851" s="115">
        <f t="shared" si="14"/>
        <v>1.8133537367385264</v>
      </c>
      <c r="BY851" s="115">
        <f t="shared" si="14"/>
        <v>1.8387406890528657</v>
      </c>
      <c r="BZ851" s="115">
        <f t="shared" si="14"/>
        <v>1.8608055773215002</v>
      </c>
      <c r="CA851" s="115">
        <f t="shared" si="14"/>
        <v>1.9091865223318591</v>
      </c>
      <c r="CB851" s="115">
        <f t="shared" si="14"/>
        <v>1.939733506689169</v>
      </c>
      <c r="CC851" s="115">
        <f t="shared" si="14"/>
        <v>1.974648709809574</v>
      </c>
      <c r="CD851" s="115">
        <f t="shared" si="14"/>
        <v>2.0970769298177676</v>
      </c>
      <c r="CE851" s="115">
        <f t="shared" si="14"/>
        <v>2.2648430842031892</v>
      </c>
      <c r="CF851" s="115">
        <f t="shared" si="16"/>
        <v>2.3282586905608786</v>
      </c>
      <c r="CG851" s="115">
        <f t="shared" si="16"/>
        <v>2.4167325208021921</v>
      </c>
    </row>
    <row r="852" spans="1:85">
      <c r="A852" s="3"/>
      <c r="B852" s="113">
        <v>1988</v>
      </c>
      <c r="C852" s="113"/>
      <c r="D852" s="3"/>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4">
        <v>1</v>
      </c>
      <c r="AV852" s="115">
        <f t="shared" si="15"/>
        <v>1.0089999999999999</v>
      </c>
      <c r="AW852" s="115">
        <f t="shared" si="15"/>
        <v>1.0200989999999999</v>
      </c>
      <c r="AX852" s="115">
        <f t="shared" si="15"/>
        <v>1.0445813759999998</v>
      </c>
      <c r="AY852" s="115">
        <f t="shared" si="15"/>
        <v>1.0926321192959998</v>
      </c>
      <c r="AZ852" s="115">
        <f t="shared" si="15"/>
        <v>1.1308742434713597</v>
      </c>
      <c r="BA852" s="115">
        <f t="shared" si="13"/>
        <v>1.1534917283407868</v>
      </c>
      <c r="BB852" s="115">
        <f t="shared" si="13"/>
        <v>1.1834825132776474</v>
      </c>
      <c r="BC852" s="115">
        <f t="shared" si="13"/>
        <v>1.201234750976812</v>
      </c>
      <c r="BD852" s="115">
        <f t="shared" si="13"/>
        <v>1.2240582112453713</v>
      </c>
      <c r="BE852" s="115">
        <f t="shared" si="13"/>
        <v>1.255883724737751</v>
      </c>
      <c r="BF852" s="115">
        <f t="shared" si="13"/>
        <v>1.2772337480582927</v>
      </c>
      <c r="BG852" s="115">
        <f t="shared" si="13"/>
        <v>1.3104418255078083</v>
      </c>
      <c r="BH852" s="115">
        <f t="shared" si="13"/>
        <v>1.3432028711455033</v>
      </c>
      <c r="BI852" s="115">
        <f t="shared" si="13"/>
        <v>1.4063334060893418</v>
      </c>
      <c r="BJ852" s="115">
        <f t="shared" si="13"/>
        <v>1.45274240849029</v>
      </c>
      <c r="BK852" s="115">
        <f t="shared" si="13"/>
        <v>1.4832499990685859</v>
      </c>
      <c r="BL852" s="115">
        <f t="shared" si="13"/>
        <v>1.4995657490583403</v>
      </c>
      <c r="BM852" s="115">
        <f t="shared" si="13"/>
        <v>1.5265579325413905</v>
      </c>
      <c r="BN852" s="115">
        <f t="shared" si="13"/>
        <v>1.5479297435969699</v>
      </c>
      <c r="BO852" s="115">
        <f t="shared" si="13"/>
        <v>1.5649569707765365</v>
      </c>
      <c r="BP852" s="115">
        <f t="shared" si="14"/>
        <v>1.6150355938413856</v>
      </c>
      <c r="BQ852" s="115">
        <f t="shared" si="14"/>
        <v>1.6198807006229097</v>
      </c>
      <c r="BR852" s="115">
        <f t="shared" si="14"/>
        <v>1.6441789111322531</v>
      </c>
      <c r="BS852" s="115">
        <f t="shared" si="14"/>
        <v>1.6869275628216918</v>
      </c>
      <c r="BT852" s="115">
        <f t="shared" si="14"/>
        <v>1.7257268967665904</v>
      </c>
      <c r="BU852" s="115">
        <f t="shared" si="14"/>
        <v>1.7740472498760549</v>
      </c>
      <c r="BV852" s="115">
        <f t="shared" si="14"/>
        <v>1.7917877223748155</v>
      </c>
      <c r="BW852" s="115">
        <f t="shared" si="14"/>
        <v>1.8061220241538141</v>
      </c>
      <c r="BX852" s="115">
        <f t="shared" si="14"/>
        <v>1.8097342682021218</v>
      </c>
      <c r="BY852" s="115">
        <f t="shared" si="14"/>
        <v>1.8350705479569516</v>
      </c>
      <c r="BZ852" s="115">
        <f t="shared" si="14"/>
        <v>1.857091394532435</v>
      </c>
      <c r="CA852" s="115">
        <f t="shared" si="14"/>
        <v>1.9053757707902783</v>
      </c>
      <c r="CB852" s="115">
        <f t="shared" si="14"/>
        <v>1.9358617831229228</v>
      </c>
      <c r="CC852" s="115">
        <f t="shared" si="14"/>
        <v>1.9707072952191353</v>
      </c>
      <c r="CD852" s="115">
        <f t="shared" si="14"/>
        <v>2.0928911475227219</v>
      </c>
      <c r="CE852" s="115">
        <f t="shared" si="14"/>
        <v>2.2603224393245398</v>
      </c>
      <c r="CF852" s="115">
        <f t="shared" si="16"/>
        <v>2.3236114676256268</v>
      </c>
      <c r="CG852" s="115">
        <f t="shared" si="16"/>
        <v>2.4119087033954005</v>
      </c>
    </row>
    <row r="853" spans="1:85">
      <c r="A853" s="3"/>
      <c r="B853" s="113">
        <v>1989</v>
      </c>
      <c r="C853" s="113"/>
      <c r="D853" s="3"/>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4">
        <v>1</v>
      </c>
      <c r="AW853" s="115">
        <f t="shared" si="15"/>
        <v>1.0109999999999999</v>
      </c>
      <c r="AX853" s="115">
        <f t="shared" si="15"/>
        <v>1.035264</v>
      </c>
      <c r="AY853" s="115">
        <f t="shared" si="15"/>
        <v>1.0828861439999999</v>
      </c>
      <c r="AZ853" s="115">
        <f t="shared" si="15"/>
        <v>1.1207871590399998</v>
      </c>
      <c r="BA853" s="115">
        <f t="shared" si="13"/>
        <v>1.1432029022207999</v>
      </c>
      <c r="BB853" s="115">
        <f t="shared" si="13"/>
        <v>1.1729261776785407</v>
      </c>
      <c r="BC853" s="115">
        <f t="shared" si="13"/>
        <v>1.1905200703437187</v>
      </c>
      <c r="BD853" s="115">
        <f t="shared" si="13"/>
        <v>1.2131399516802492</v>
      </c>
      <c r="BE853" s="115">
        <f t="shared" si="13"/>
        <v>1.2446815904239357</v>
      </c>
      <c r="BF853" s="115">
        <f t="shared" si="13"/>
        <v>1.2658411774611424</v>
      </c>
      <c r="BG853" s="115">
        <f t="shared" si="13"/>
        <v>1.2987530480751321</v>
      </c>
      <c r="BH853" s="115">
        <f t="shared" si="13"/>
        <v>1.3312218742770103</v>
      </c>
      <c r="BI853" s="115">
        <f t="shared" si="13"/>
        <v>1.3937893023680297</v>
      </c>
      <c r="BJ853" s="115">
        <f t="shared" si="13"/>
        <v>1.4397843493461746</v>
      </c>
      <c r="BK853" s="115">
        <f t="shared" si="13"/>
        <v>1.4700198206824442</v>
      </c>
      <c r="BL853" s="115">
        <f t="shared" si="13"/>
        <v>1.4861900387099509</v>
      </c>
      <c r="BM853" s="115">
        <f t="shared" si="13"/>
        <v>1.5129414594067301</v>
      </c>
      <c r="BN853" s="115">
        <f t="shared" si="13"/>
        <v>1.5341226398384242</v>
      </c>
      <c r="BO853" s="115">
        <f t="shared" si="13"/>
        <v>1.5509979888766467</v>
      </c>
      <c r="BP853" s="115">
        <f t="shared" si="14"/>
        <v>1.6006299245206994</v>
      </c>
      <c r="BQ853" s="115">
        <f t="shared" si="14"/>
        <v>1.6054318142942614</v>
      </c>
      <c r="BR853" s="115">
        <f t="shared" si="14"/>
        <v>1.6295132915086752</v>
      </c>
      <c r="BS853" s="115">
        <f t="shared" si="14"/>
        <v>1.6718806370879007</v>
      </c>
      <c r="BT853" s="115">
        <f t="shared" si="14"/>
        <v>1.7103338917409223</v>
      </c>
      <c r="BU853" s="115">
        <f t="shared" si="14"/>
        <v>1.7582232407096683</v>
      </c>
      <c r="BV853" s="115">
        <f t="shared" si="14"/>
        <v>1.775805473116765</v>
      </c>
      <c r="BW853" s="115">
        <f t="shared" si="14"/>
        <v>1.790011916901699</v>
      </c>
      <c r="BX853" s="115">
        <f t="shared" si="14"/>
        <v>1.7935919407355023</v>
      </c>
      <c r="BY853" s="115">
        <f t="shared" si="14"/>
        <v>1.8187022279057994</v>
      </c>
      <c r="BZ853" s="115">
        <f t="shared" si="14"/>
        <v>1.8405266546406689</v>
      </c>
      <c r="CA853" s="115">
        <f t="shared" si="14"/>
        <v>1.8883803476613263</v>
      </c>
      <c r="CB853" s="115">
        <f t="shared" si="14"/>
        <v>1.9185944332239075</v>
      </c>
      <c r="CC853" s="115">
        <f t="shared" si="14"/>
        <v>1.953129133021938</v>
      </c>
      <c r="CD853" s="115">
        <f t="shared" si="14"/>
        <v>2.0742231392692982</v>
      </c>
      <c r="CE853" s="115">
        <f t="shared" si="14"/>
        <v>2.2401609904108422</v>
      </c>
      <c r="CF853" s="115">
        <f t="shared" si="16"/>
        <v>2.3028854981423459</v>
      </c>
      <c r="CG853" s="115">
        <f t="shared" si="16"/>
        <v>2.390395147071755</v>
      </c>
    </row>
    <row r="854" spans="1:85">
      <c r="A854" s="3"/>
      <c r="B854" s="113">
        <v>1990</v>
      </c>
      <c r="C854" s="113"/>
      <c r="D854" s="3"/>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4">
        <v>1</v>
      </c>
      <c r="AX854" s="115">
        <f t="shared" si="15"/>
        <v>1.024</v>
      </c>
      <c r="AY854" s="115">
        <f t="shared" si="15"/>
        <v>1.0711040000000001</v>
      </c>
      <c r="AZ854" s="115">
        <f t="shared" si="15"/>
        <v>1.1085926399999999</v>
      </c>
      <c r="BA854" s="115">
        <f t="shared" si="13"/>
        <v>1.1307644928</v>
      </c>
      <c r="BB854" s="115">
        <f t="shared" si="13"/>
        <v>1.1601643696128001</v>
      </c>
      <c r="BC854" s="115">
        <f t="shared" si="13"/>
        <v>1.1775668351569919</v>
      </c>
      <c r="BD854" s="115">
        <f t="shared" si="13"/>
        <v>1.1999406050249746</v>
      </c>
      <c r="BE854" s="115">
        <f t="shared" si="13"/>
        <v>1.2311390607556238</v>
      </c>
      <c r="BF854" s="115">
        <f t="shared" si="13"/>
        <v>1.2520684247884692</v>
      </c>
      <c r="BG854" s="115">
        <f t="shared" si="13"/>
        <v>1.2846222038329695</v>
      </c>
      <c r="BH854" s="115">
        <f t="shared" si="13"/>
        <v>1.3167377589287936</v>
      </c>
      <c r="BI854" s="115">
        <f t="shared" si="13"/>
        <v>1.3786244335984468</v>
      </c>
      <c r="BJ854" s="115">
        <f t="shared" si="13"/>
        <v>1.4241190399071955</v>
      </c>
      <c r="BK854" s="115">
        <f t="shared" si="13"/>
        <v>1.4540255397452464</v>
      </c>
      <c r="BL854" s="115">
        <f t="shared" si="13"/>
        <v>1.470019820682444</v>
      </c>
      <c r="BM854" s="115">
        <f t="shared" si="13"/>
        <v>1.4964801774547281</v>
      </c>
      <c r="BN854" s="115">
        <f t="shared" si="13"/>
        <v>1.5174308999390942</v>
      </c>
      <c r="BO854" s="115">
        <f t="shared" si="13"/>
        <v>1.534122639838424</v>
      </c>
      <c r="BP854" s="115">
        <f t="shared" si="14"/>
        <v>1.5832145643132536</v>
      </c>
      <c r="BQ854" s="115">
        <f t="shared" si="14"/>
        <v>1.5879642080061931</v>
      </c>
      <c r="BR854" s="115">
        <f t="shared" si="14"/>
        <v>1.6117836711262858</v>
      </c>
      <c r="BS854" s="115">
        <f t="shared" si="14"/>
        <v>1.6536900465755693</v>
      </c>
      <c r="BT854" s="115">
        <f t="shared" si="14"/>
        <v>1.6917249176468072</v>
      </c>
      <c r="BU854" s="115">
        <f t="shared" si="14"/>
        <v>1.7390932153409178</v>
      </c>
      <c r="BV854" s="115">
        <f t="shared" si="14"/>
        <v>1.7564841474943269</v>
      </c>
      <c r="BW854" s="115">
        <f t="shared" si="14"/>
        <v>1.7705360206742815</v>
      </c>
      <c r="BX854" s="115">
        <f t="shared" si="14"/>
        <v>1.77407709271563</v>
      </c>
      <c r="BY854" s="115">
        <f t="shared" si="14"/>
        <v>1.7989141720136488</v>
      </c>
      <c r="BZ854" s="115">
        <f t="shared" si="14"/>
        <v>1.8205011420778126</v>
      </c>
      <c r="CA854" s="115">
        <f t="shared" si="14"/>
        <v>1.8678341717718356</v>
      </c>
      <c r="CB854" s="115">
        <f t="shared" si="14"/>
        <v>1.8977195185201849</v>
      </c>
      <c r="CC854" s="115">
        <f t="shared" si="14"/>
        <v>1.9318784698535483</v>
      </c>
      <c r="CD854" s="115">
        <f t="shared" si="14"/>
        <v>2.0516549349844682</v>
      </c>
      <c r="CE854" s="115">
        <f t="shared" si="14"/>
        <v>2.2157873297832258</v>
      </c>
      <c r="CF854" s="115">
        <f t="shared" si="16"/>
        <v>2.2778293750171561</v>
      </c>
      <c r="CG854" s="115">
        <f t="shared" si="16"/>
        <v>2.3643868912678081</v>
      </c>
    </row>
    <row r="855" spans="1:85">
      <c r="A855" s="3"/>
      <c r="B855" s="113">
        <v>1991</v>
      </c>
      <c r="C855" s="113"/>
      <c r="D855" s="3"/>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4">
        <v>1</v>
      </c>
      <c r="AY855" s="115">
        <f t="shared" si="15"/>
        <v>1.046</v>
      </c>
      <c r="AZ855" s="115">
        <f t="shared" si="15"/>
        <v>1.0826099999999999</v>
      </c>
      <c r="BA855" s="115">
        <f t="shared" si="13"/>
        <v>1.1042622</v>
      </c>
      <c r="BB855" s="115">
        <f t="shared" si="13"/>
        <v>1.1329730172000001</v>
      </c>
      <c r="BC855" s="115">
        <f t="shared" si="13"/>
        <v>1.1499676124580001</v>
      </c>
      <c r="BD855" s="115">
        <f t="shared" si="13"/>
        <v>1.1718169970947019</v>
      </c>
      <c r="BE855" s="115">
        <f t="shared" si="13"/>
        <v>1.2022842390191641</v>
      </c>
      <c r="BF855" s="115">
        <f t="shared" si="13"/>
        <v>1.2227230710824899</v>
      </c>
      <c r="BG855" s="115">
        <f t="shared" si="13"/>
        <v>1.2545138709306347</v>
      </c>
      <c r="BH855" s="115">
        <f t="shared" si="13"/>
        <v>1.2858767177039006</v>
      </c>
      <c r="BI855" s="115">
        <f t="shared" si="13"/>
        <v>1.3463129234359839</v>
      </c>
      <c r="BJ855" s="115">
        <f t="shared" si="13"/>
        <v>1.3907412499093712</v>
      </c>
      <c r="BK855" s="115">
        <f t="shared" si="13"/>
        <v>1.4199468161574678</v>
      </c>
      <c r="BL855" s="115">
        <f t="shared" si="13"/>
        <v>1.4355662311351998</v>
      </c>
      <c r="BM855" s="115">
        <f t="shared" si="13"/>
        <v>1.4614064232956334</v>
      </c>
      <c r="BN855" s="115">
        <f t="shared" si="13"/>
        <v>1.4818661132217723</v>
      </c>
      <c r="BO855" s="115">
        <f t="shared" si="13"/>
        <v>1.4981666404672116</v>
      </c>
      <c r="BP855" s="115">
        <f t="shared" si="14"/>
        <v>1.5461079729621625</v>
      </c>
      <c r="BQ855" s="115">
        <f t="shared" si="14"/>
        <v>1.5507462968810488</v>
      </c>
      <c r="BR855" s="115">
        <f t="shared" si="14"/>
        <v>1.5740074913342643</v>
      </c>
      <c r="BS855" s="115">
        <f t="shared" si="14"/>
        <v>1.6149316861089553</v>
      </c>
      <c r="BT855" s="115">
        <f t="shared" si="14"/>
        <v>1.6520751148894612</v>
      </c>
      <c r="BU855" s="115">
        <f t="shared" si="14"/>
        <v>1.6983332181063662</v>
      </c>
      <c r="BV855" s="115">
        <f t="shared" si="14"/>
        <v>1.7153165502874299</v>
      </c>
      <c r="BW855" s="115">
        <f t="shared" si="14"/>
        <v>1.7290390826897293</v>
      </c>
      <c r="BX855" s="115">
        <f t="shared" si="14"/>
        <v>1.7324971608551087</v>
      </c>
      <c r="BY855" s="115">
        <f t="shared" si="14"/>
        <v>1.7567521211070802</v>
      </c>
      <c r="BZ855" s="115">
        <f t="shared" si="14"/>
        <v>1.7778331465603652</v>
      </c>
      <c r="CA855" s="115">
        <f t="shared" si="14"/>
        <v>1.8240568083709348</v>
      </c>
      <c r="CB855" s="115">
        <f t="shared" si="14"/>
        <v>1.8532417173048696</v>
      </c>
      <c r="CC855" s="115">
        <f t="shared" si="14"/>
        <v>1.8866000682163573</v>
      </c>
      <c r="CD855" s="115">
        <f t="shared" si="14"/>
        <v>2.0035692724457714</v>
      </c>
      <c r="CE855" s="115">
        <f t="shared" si="14"/>
        <v>2.1638548142414331</v>
      </c>
      <c r="CF855" s="115">
        <f t="shared" si="16"/>
        <v>2.2244427490401932</v>
      </c>
      <c r="CG855" s="115">
        <f t="shared" si="16"/>
        <v>2.3089715735037206</v>
      </c>
    </row>
    <row r="856" spans="1:85">
      <c r="A856" s="3"/>
      <c r="B856" s="113">
        <v>1992</v>
      </c>
      <c r="C856" s="113"/>
      <c r="D856" s="3"/>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4">
        <v>1</v>
      </c>
      <c r="AZ856" s="115">
        <f t="shared" si="15"/>
        <v>1.0349999999999999</v>
      </c>
      <c r="BA856" s="115">
        <f t="shared" si="13"/>
        <v>1.0556999999999999</v>
      </c>
      <c r="BB856" s="115">
        <f t="shared" si="13"/>
        <v>1.0831481999999999</v>
      </c>
      <c r="BC856" s="115">
        <f t="shared" si="13"/>
        <v>1.0993954229999998</v>
      </c>
      <c r="BD856" s="115">
        <f t="shared" si="13"/>
        <v>1.1202839360369996</v>
      </c>
      <c r="BE856" s="115">
        <f t="shared" si="13"/>
        <v>1.1494113183739616</v>
      </c>
      <c r="BF856" s="115">
        <f t="shared" si="13"/>
        <v>1.1689513107863188</v>
      </c>
      <c r="BG856" s="115">
        <f t="shared" si="13"/>
        <v>1.1993440448667632</v>
      </c>
      <c r="BH856" s="115">
        <f t="shared" si="13"/>
        <v>1.2293276459884321</v>
      </c>
      <c r="BI856" s="115">
        <f t="shared" si="13"/>
        <v>1.2871060453498884</v>
      </c>
      <c r="BJ856" s="115">
        <f t="shared" si="13"/>
        <v>1.3295805448464346</v>
      </c>
      <c r="BK856" s="115">
        <f t="shared" si="13"/>
        <v>1.3575017362882096</v>
      </c>
      <c r="BL856" s="115">
        <f t="shared" si="13"/>
        <v>1.3724342553873798</v>
      </c>
      <c r="BM856" s="115">
        <f t="shared" si="13"/>
        <v>1.3971380719843527</v>
      </c>
      <c r="BN856" s="115">
        <f t="shared" si="13"/>
        <v>1.4166980049921336</v>
      </c>
      <c r="BO856" s="115">
        <f t="shared" si="13"/>
        <v>1.4322816830470468</v>
      </c>
      <c r="BP856" s="115">
        <f t="shared" si="14"/>
        <v>1.4781146969045524</v>
      </c>
      <c r="BQ856" s="115">
        <f t="shared" si="14"/>
        <v>1.482549040995266</v>
      </c>
      <c r="BR856" s="115">
        <f t="shared" si="14"/>
        <v>1.5047872766101948</v>
      </c>
      <c r="BS856" s="115">
        <f t="shared" si="14"/>
        <v>1.5439117458020599</v>
      </c>
      <c r="BT856" s="115">
        <f t="shared" si="14"/>
        <v>1.5794217159555071</v>
      </c>
      <c r="BU856" s="115">
        <f t="shared" si="14"/>
        <v>1.6236455240022614</v>
      </c>
      <c r="BV856" s="115">
        <f t="shared" si="14"/>
        <v>1.6398819792422841</v>
      </c>
      <c r="BW856" s="115">
        <f t="shared" si="14"/>
        <v>1.6530010350762223</v>
      </c>
      <c r="BX856" s="115">
        <f t="shared" si="14"/>
        <v>1.6563070371463748</v>
      </c>
      <c r="BY856" s="115">
        <f t="shared" si="14"/>
        <v>1.6794953356664242</v>
      </c>
      <c r="BZ856" s="115">
        <f t="shared" si="14"/>
        <v>1.6996492796944214</v>
      </c>
      <c r="CA856" s="115">
        <f t="shared" si="14"/>
        <v>1.7438401609664764</v>
      </c>
      <c r="CB856" s="115">
        <f t="shared" si="14"/>
        <v>1.77174160354194</v>
      </c>
      <c r="CC856" s="115">
        <f t="shared" si="14"/>
        <v>1.8036329524056949</v>
      </c>
      <c r="CD856" s="115">
        <f t="shared" si="14"/>
        <v>1.915458195454848</v>
      </c>
      <c r="CE856" s="115">
        <f t="shared" si="14"/>
        <v>2.068694851091236</v>
      </c>
      <c r="CF856" s="115">
        <f t="shared" si="16"/>
        <v>2.1266183069217908</v>
      </c>
      <c r="CG856" s="115">
        <f t="shared" si="16"/>
        <v>2.2074298025848189</v>
      </c>
    </row>
    <row r="857" spans="1:85">
      <c r="A857" s="3"/>
      <c r="B857" s="113">
        <v>1993</v>
      </c>
      <c r="C857" s="117"/>
      <c r="D857" s="3"/>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4">
        <v>1</v>
      </c>
      <c r="BA857" s="115">
        <f t="shared" si="13"/>
        <v>1.02</v>
      </c>
      <c r="BB857" s="115">
        <f t="shared" si="13"/>
        <v>1.0465200000000001</v>
      </c>
      <c r="BC857" s="115">
        <f t="shared" si="13"/>
        <v>1.0622178</v>
      </c>
      <c r="BD857" s="115">
        <f t="shared" si="13"/>
        <v>1.0823999381999998</v>
      </c>
      <c r="BE857" s="115">
        <f t="shared" si="13"/>
        <v>1.1105423365931999</v>
      </c>
      <c r="BF857" s="115">
        <f t="shared" si="13"/>
        <v>1.1294215563152843</v>
      </c>
      <c r="BG857" s="115">
        <f t="shared" si="13"/>
        <v>1.1587865167794817</v>
      </c>
      <c r="BH857" s="115">
        <f t="shared" si="13"/>
        <v>1.1877561796989686</v>
      </c>
      <c r="BI857" s="115">
        <f t="shared" si="13"/>
        <v>1.2435807201448201</v>
      </c>
      <c r="BJ857" s="115">
        <f t="shared" si="13"/>
        <v>1.2846188839095991</v>
      </c>
      <c r="BK857" s="115">
        <f t="shared" si="13"/>
        <v>1.3115958804717005</v>
      </c>
      <c r="BL857" s="115">
        <f t="shared" si="13"/>
        <v>1.3260234351568891</v>
      </c>
      <c r="BM857" s="115">
        <f t="shared" si="13"/>
        <v>1.3498918569897131</v>
      </c>
      <c r="BN857" s="115">
        <f t="shared" si="13"/>
        <v>1.3687903429875692</v>
      </c>
      <c r="BO857" s="115">
        <f t="shared" si="13"/>
        <v>1.3838470367604323</v>
      </c>
      <c r="BP857" s="115">
        <f t="shared" si="14"/>
        <v>1.4281301419367662</v>
      </c>
      <c r="BQ857" s="115">
        <f t="shared" si="14"/>
        <v>1.4324145323625763</v>
      </c>
      <c r="BR857" s="115">
        <f t="shared" si="14"/>
        <v>1.4539007503480148</v>
      </c>
      <c r="BS857" s="115">
        <f t="shared" si="14"/>
        <v>1.4917021698570632</v>
      </c>
      <c r="BT857" s="115">
        <f t="shared" si="14"/>
        <v>1.5260113197637755</v>
      </c>
      <c r="BU857" s="115">
        <f t="shared" si="14"/>
        <v>1.5687396367171613</v>
      </c>
      <c r="BV857" s="115">
        <f t="shared" si="14"/>
        <v>1.5844270330843329</v>
      </c>
      <c r="BW857" s="115">
        <f t="shared" si="14"/>
        <v>1.5971024493490076</v>
      </c>
      <c r="BX857" s="115">
        <f t="shared" si="14"/>
        <v>1.6002966542477055</v>
      </c>
      <c r="BY857" s="115">
        <f t="shared" si="14"/>
        <v>1.6227008074071734</v>
      </c>
      <c r="BZ857" s="115">
        <f t="shared" si="14"/>
        <v>1.6421732170960595</v>
      </c>
      <c r="CA857" s="115">
        <f t="shared" si="14"/>
        <v>1.684869720740557</v>
      </c>
      <c r="CB857" s="115">
        <f t="shared" si="14"/>
        <v>1.7118276362724059</v>
      </c>
      <c r="CC857" s="115">
        <f t="shared" si="14"/>
        <v>1.7426405337253092</v>
      </c>
      <c r="CD857" s="115">
        <f t="shared" ref="CC857:CG885" si="17">CC857*CD$807</f>
        <v>1.8506842468162785</v>
      </c>
      <c r="CE857" s="115">
        <f t="shared" si="17"/>
        <v>1.998738986561581</v>
      </c>
      <c r="CF857" s="115">
        <f t="shared" si="16"/>
        <v>2.0547036781853052</v>
      </c>
      <c r="CG857" s="115">
        <f t="shared" si="16"/>
        <v>2.132782417956347</v>
      </c>
    </row>
    <row r="858" spans="1:85">
      <c r="A858" s="3"/>
      <c r="B858" s="113">
        <v>1994</v>
      </c>
      <c r="C858" s="3"/>
      <c r="D858" s="3"/>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4">
        <v>1</v>
      </c>
      <c r="BB858" s="115">
        <f t="shared" ref="BB858:BQ873" si="18">BA858*BB$807</f>
        <v>1.026</v>
      </c>
      <c r="BC858" s="115">
        <f t="shared" si="18"/>
        <v>1.0413899999999998</v>
      </c>
      <c r="BD858" s="115">
        <f t="shared" si="18"/>
        <v>1.0611764099999996</v>
      </c>
      <c r="BE858" s="115">
        <f t="shared" si="18"/>
        <v>1.0887669966599995</v>
      </c>
      <c r="BF858" s="115">
        <f t="shared" si="18"/>
        <v>1.1072760356032194</v>
      </c>
      <c r="BG858" s="115">
        <f t="shared" si="18"/>
        <v>1.1360652125289032</v>
      </c>
      <c r="BH858" s="115">
        <f t="shared" si="18"/>
        <v>1.1644668428421256</v>
      </c>
      <c r="BI858" s="115">
        <f t="shared" si="18"/>
        <v>1.2191967844557055</v>
      </c>
      <c r="BJ858" s="115">
        <f t="shared" si="18"/>
        <v>1.2594302783427436</v>
      </c>
      <c r="BK858" s="115">
        <f t="shared" si="18"/>
        <v>1.2858783141879411</v>
      </c>
      <c r="BL858" s="115">
        <f t="shared" si="18"/>
        <v>1.3000229756440083</v>
      </c>
      <c r="BM858" s="115">
        <f t="shared" si="18"/>
        <v>1.3234233892056004</v>
      </c>
      <c r="BN858" s="115">
        <f t="shared" si="18"/>
        <v>1.3419513166544788</v>
      </c>
      <c r="BO858" s="115">
        <f t="shared" si="18"/>
        <v>1.3567127811376778</v>
      </c>
      <c r="BP858" s="115">
        <f t="shared" si="18"/>
        <v>1.4001275901340835</v>
      </c>
      <c r="BQ858" s="115">
        <f t="shared" si="18"/>
        <v>1.4043279729044855</v>
      </c>
      <c r="BR858" s="115">
        <f t="shared" ref="BR858:CB884" si="19">BQ858*BR$807</f>
        <v>1.4253928924980526</v>
      </c>
      <c r="BS858" s="115">
        <f t="shared" si="19"/>
        <v>1.4624531077030021</v>
      </c>
      <c r="BT858" s="115">
        <f t="shared" si="19"/>
        <v>1.496089529180171</v>
      </c>
      <c r="BU858" s="115">
        <f t="shared" si="19"/>
        <v>1.5379800359972158</v>
      </c>
      <c r="BV858" s="115">
        <f t="shared" si="19"/>
        <v>1.5533598363571879</v>
      </c>
      <c r="BW858" s="115">
        <f t="shared" si="19"/>
        <v>1.5657867150480453</v>
      </c>
      <c r="BX858" s="115">
        <f t="shared" si="19"/>
        <v>1.5689182884781414</v>
      </c>
      <c r="BY858" s="115">
        <f t="shared" si="19"/>
        <v>1.5908831445168354</v>
      </c>
      <c r="BZ858" s="115">
        <f t="shared" si="19"/>
        <v>1.6099737422510374</v>
      </c>
      <c r="CA858" s="115">
        <f t="shared" si="19"/>
        <v>1.6518330595495645</v>
      </c>
      <c r="CB858" s="115">
        <f t="shared" si="19"/>
        <v>1.6782623885023575</v>
      </c>
      <c r="CC858" s="115">
        <f t="shared" si="17"/>
        <v>1.7084711114954001</v>
      </c>
      <c r="CD858" s="115">
        <f t="shared" si="17"/>
        <v>1.814396320408115</v>
      </c>
      <c r="CE858" s="115">
        <f t="shared" si="17"/>
        <v>1.9595480260407643</v>
      </c>
      <c r="CF858" s="115">
        <f t="shared" si="16"/>
        <v>2.0144153707699055</v>
      </c>
      <c r="CG858" s="115">
        <f t="shared" si="16"/>
        <v>2.0909631548591618</v>
      </c>
    </row>
    <row r="859" spans="1:85">
      <c r="A859" s="3"/>
      <c r="B859" s="113">
        <v>1995</v>
      </c>
      <c r="C859" s="3"/>
      <c r="D859" s="3"/>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4">
        <v>1</v>
      </c>
      <c r="BC859" s="115">
        <f t="shared" si="18"/>
        <v>1.0149999999999999</v>
      </c>
      <c r="BD859" s="115">
        <f t="shared" si="18"/>
        <v>1.0342849999999999</v>
      </c>
      <c r="BE859" s="115">
        <f t="shared" si="18"/>
        <v>1.0611764099999998</v>
      </c>
      <c r="BF859" s="115">
        <f t="shared" si="18"/>
        <v>1.0792164089699998</v>
      </c>
      <c r="BG859" s="115">
        <f t="shared" si="18"/>
        <v>1.1072760356032199</v>
      </c>
      <c r="BH859" s="115">
        <f t="shared" si="18"/>
        <v>1.1349579364933002</v>
      </c>
      <c r="BI859" s="115">
        <f t="shared" si="18"/>
        <v>1.1883009595084852</v>
      </c>
      <c r="BJ859" s="115">
        <f t="shared" si="18"/>
        <v>1.2275148911722651</v>
      </c>
      <c r="BK859" s="115">
        <f t="shared" si="18"/>
        <v>1.2532927038868826</v>
      </c>
      <c r="BL859" s="115">
        <f t="shared" si="18"/>
        <v>1.2670789236296383</v>
      </c>
      <c r="BM859" s="115">
        <f t="shared" si="18"/>
        <v>1.2898863442549717</v>
      </c>
      <c r="BN859" s="115">
        <f t="shared" si="18"/>
        <v>1.3079447530745414</v>
      </c>
      <c r="BO859" s="115">
        <f t="shared" si="18"/>
        <v>1.3223321453583612</v>
      </c>
      <c r="BP859" s="115">
        <f t="shared" si="18"/>
        <v>1.3646467740098287</v>
      </c>
      <c r="BQ859" s="115">
        <f t="shared" si="18"/>
        <v>1.368740714331858</v>
      </c>
      <c r="BR859" s="115">
        <f t="shared" si="19"/>
        <v>1.3892718250468357</v>
      </c>
      <c r="BS859" s="115">
        <f t="shared" si="19"/>
        <v>1.4253928924980535</v>
      </c>
      <c r="BT859" s="115">
        <f t="shared" si="19"/>
        <v>1.4581769290255087</v>
      </c>
      <c r="BU859" s="115">
        <f t="shared" si="19"/>
        <v>1.4990058830382229</v>
      </c>
      <c r="BV859" s="115">
        <f t="shared" si="19"/>
        <v>1.5139959418686051</v>
      </c>
      <c r="BW859" s="115">
        <f t="shared" si="19"/>
        <v>1.5261079094035539</v>
      </c>
      <c r="BX859" s="115">
        <f t="shared" si="19"/>
        <v>1.529160125222361</v>
      </c>
      <c r="BY859" s="115">
        <f t="shared" si="19"/>
        <v>1.5505683669754742</v>
      </c>
      <c r="BZ859" s="115">
        <f t="shared" si="19"/>
        <v>1.5691751873791799</v>
      </c>
      <c r="CA859" s="115">
        <f t="shared" si="19"/>
        <v>1.6099737422510387</v>
      </c>
      <c r="CB859" s="115">
        <f t="shared" si="19"/>
        <v>1.6357333221270554</v>
      </c>
      <c r="CC859" s="115">
        <f t="shared" si="17"/>
        <v>1.6651765219253423</v>
      </c>
      <c r="CD859" s="115">
        <f t="shared" si="17"/>
        <v>1.7684174662847136</v>
      </c>
      <c r="CE859" s="115">
        <f t="shared" si="17"/>
        <v>1.9098908635874909</v>
      </c>
      <c r="CF859" s="115">
        <f t="shared" si="16"/>
        <v>1.9633678077679408</v>
      </c>
      <c r="CG859" s="115">
        <f t="shared" si="16"/>
        <v>2.0379757844631228</v>
      </c>
    </row>
    <row r="860" spans="1:85">
      <c r="A860" s="118"/>
      <c r="B860" s="113">
        <v>1996</v>
      </c>
      <c r="C860" s="118"/>
      <c r="D860" s="118"/>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4">
        <v>1</v>
      </c>
      <c r="BD860" s="115">
        <f t="shared" si="18"/>
        <v>1.0189999999999999</v>
      </c>
      <c r="BE860" s="115">
        <f t="shared" si="18"/>
        <v>1.0454939999999999</v>
      </c>
      <c r="BF860" s="115">
        <f t="shared" si="18"/>
        <v>1.0632673979999998</v>
      </c>
      <c r="BG860" s="115">
        <f t="shared" si="18"/>
        <v>1.0909123503479998</v>
      </c>
      <c r="BH860" s="115">
        <f t="shared" si="18"/>
        <v>1.1181851591066998</v>
      </c>
      <c r="BI860" s="115">
        <f t="shared" si="18"/>
        <v>1.1707398615847147</v>
      </c>
      <c r="BJ860" s="115">
        <f t="shared" si="18"/>
        <v>1.2093742770170102</v>
      </c>
      <c r="BK860" s="115">
        <f t="shared" si="18"/>
        <v>1.2347711368343672</v>
      </c>
      <c r="BL860" s="115">
        <f t="shared" si="18"/>
        <v>1.2483536193395453</v>
      </c>
      <c r="BM860" s="115">
        <f t="shared" si="18"/>
        <v>1.270823984487657</v>
      </c>
      <c r="BN860" s="115">
        <f t="shared" si="18"/>
        <v>1.2886155202704841</v>
      </c>
      <c r="BO860" s="115">
        <f t="shared" si="18"/>
        <v>1.3027902909934592</v>
      </c>
      <c r="BP860" s="115">
        <f t="shared" si="18"/>
        <v>1.3444795803052501</v>
      </c>
      <c r="BQ860" s="115">
        <f t="shared" si="18"/>
        <v>1.3485130190461656</v>
      </c>
      <c r="BR860" s="115">
        <f t="shared" si="19"/>
        <v>1.368740714331858</v>
      </c>
      <c r="BS860" s="115">
        <f t="shared" si="19"/>
        <v>1.4043279729044862</v>
      </c>
      <c r="BT860" s="115">
        <f t="shared" si="19"/>
        <v>1.4366275162812892</v>
      </c>
      <c r="BU860" s="115">
        <f t="shared" si="19"/>
        <v>1.4768530867371652</v>
      </c>
      <c r="BV860" s="115">
        <f t="shared" si="19"/>
        <v>1.4916216176045369</v>
      </c>
      <c r="BW860" s="115">
        <f t="shared" si="19"/>
        <v>1.5035545905453733</v>
      </c>
      <c r="BX860" s="115">
        <f t="shared" si="19"/>
        <v>1.5065616997264641</v>
      </c>
      <c r="BY860" s="115">
        <f t="shared" si="19"/>
        <v>1.5276535635226347</v>
      </c>
      <c r="BZ860" s="115">
        <f t="shared" si="19"/>
        <v>1.5459854062849063</v>
      </c>
      <c r="CA860" s="115">
        <f t="shared" si="19"/>
        <v>1.5861810268483139</v>
      </c>
      <c r="CB860" s="115">
        <f t="shared" si="19"/>
        <v>1.611559923277887</v>
      </c>
      <c r="CC860" s="115">
        <f t="shared" si="17"/>
        <v>1.6405680018968889</v>
      </c>
      <c r="CD860" s="115">
        <f t="shared" si="17"/>
        <v>1.742283218014496</v>
      </c>
      <c r="CE860" s="115">
        <f t="shared" si="17"/>
        <v>1.8816658754556559</v>
      </c>
      <c r="CF860" s="115">
        <f t="shared" si="16"/>
        <v>1.9343525199684144</v>
      </c>
      <c r="CG860" s="115">
        <f t="shared" si="16"/>
        <v>2.0078579157272141</v>
      </c>
    </row>
    <row r="861" spans="1:85">
      <c r="A861" s="3"/>
      <c r="B861" s="113">
        <v>1997</v>
      </c>
      <c r="C861" s="3"/>
      <c r="D861" s="3"/>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4">
        <v>1</v>
      </c>
      <c r="BE861" s="115">
        <f t="shared" si="18"/>
        <v>1.026</v>
      </c>
      <c r="BF861" s="115">
        <f t="shared" si="18"/>
        <v>1.043442</v>
      </c>
      <c r="BG861" s="115">
        <f t="shared" si="18"/>
        <v>1.070571492</v>
      </c>
      <c r="BH861" s="115">
        <f t="shared" si="18"/>
        <v>1.0973357792999998</v>
      </c>
      <c r="BI861" s="115">
        <f t="shared" si="18"/>
        <v>1.1489105609270998</v>
      </c>
      <c r="BJ861" s="115">
        <f t="shared" si="18"/>
        <v>1.186824609437694</v>
      </c>
      <c r="BK861" s="115">
        <f t="shared" si="18"/>
        <v>1.2117479262358855</v>
      </c>
      <c r="BL861" s="115">
        <f t="shared" si="18"/>
        <v>1.22507715342448</v>
      </c>
      <c r="BM861" s="115">
        <f t="shared" si="18"/>
        <v>1.2471285421861207</v>
      </c>
      <c r="BN861" s="115">
        <f t="shared" si="18"/>
        <v>1.2645883417767263</v>
      </c>
      <c r="BO861" s="115">
        <f t="shared" si="18"/>
        <v>1.2784988135362703</v>
      </c>
      <c r="BP861" s="115">
        <f t="shared" si="18"/>
        <v>1.3194107755694309</v>
      </c>
      <c r="BQ861" s="115">
        <f t="shared" si="18"/>
        <v>1.3233690078961391</v>
      </c>
      <c r="BR861" s="115">
        <f t="shared" si="19"/>
        <v>1.343219543014581</v>
      </c>
      <c r="BS861" s="115">
        <f t="shared" si="19"/>
        <v>1.3781432511329601</v>
      </c>
      <c r="BT861" s="115">
        <f t="shared" si="19"/>
        <v>1.409840545909018</v>
      </c>
      <c r="BU861" s="115">
        <f t="shared" si="19"/>
        <v>1.4493160811944705</v>
      </c>
      <c r="BV861" s="115">
        <f t="shared" si="19"/>
        <v>1.4638092420064153</v>
      </c>
      <c r="BW861" s="115">
        <f t="shared" si="19"/>
        <v>1.4755197159424667</v>
      </c>
      <c r="BX861" s="115">
        <f t="shared" si="19"/>
        <v>1.4784707553743517</v>
      </c>
      <c r="BY861" s="115">
        <f t="shared" si="19"/>
        <v>1.4991693459495927</v>
      </c>
      <c r="BZ861" s="115">
        <f t="shared" si="19"/>
        <v>1.5171593781009878</v>
      </c>
      <c r="CA861" s="115">
        <f t="shared" si="19"/>
        <v>1.5566055219316135</v>
      </c>
      <c r="CB861" s="115">
        <f t="shared" si="19"/>
        <v>1.5815112102825193</v>
      </c>
      <c r="CC861" s="115">
        <f t="shared" si="17"/>
        <v>1.6099784120676046</v>
      </c>
      <c r="CD861" s="115">
        <f t="shared" si="17"/>
        <v>1.7097970736157961</v>
      </c>
      <c r="CE861" s="115">
        <f t="shared" si="17"/>
        <v>1.84658083950506</v>
      </c>
      <c r="CF861" s="115">
        <f t="shared" si="16"/>
        <v>1.8982851030112018</v>
      </c>
      <c r="CG861" s="115">
        <f t="shared" si="16"/>
        <v>1.9704199369256274</v>
      </c>
    </row>
    <row r="862" spans="1:85">
      <c r="A862" s="3"/>
      <c r="B862" s="113">
        <v>1998</v>
      </c>
      <c r="C862" s="3"/>
      <c r="D862" s="3"/>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4">
        <v>1</v>
      </c>
      <c r="BF862" s="115">
        <f t="shared" si="18"/>
        <v>1.0169999999999999</v>
      </c>
      <c r="BG862" s="115">
        <f t="shared" si="18"/>
        <v>1.043442</v>
      </c>
      <c r="BH862" s="115">
        <f t="shared" si="18"/>
        <v>1.06952805</v>
      </c>
      <c r="BI862" s="115">
        <f t="shared" si="18"/>
        <v>1.1197958683499998</v>
      </c>
      <c r="BJ862" s="115">
        <f t="shared" si="18"/>
        <v>1.1567491320055496</v>
      </c>
      <c r="BK862" s="115">
        <f t="shared" si="18"/>
        <v>1.1810408637776662</v>
      </c>
      <c r="BL862" s="115">
        <f t="shared" si="18"/>
        <v>1.1940323132792203</v>
      </c>
      <c r="BM862" s="115">
        <f t="shared" si="18"/>
        <v>1.2155248949182462</v>
      </c>
      <c r="BN862" s="115">
        <f t="shared" si="18"/>
        <v>1.2325422434471016</v>
      </c>
      <c r="BO862" s="115">
        <f t="shared" si="18"/>
        <v>1.2461002081250196</v>
      </c>
      <c r="BP862" s="115">
        <f t="shared" si="18"/>
        <v>1.2859754147850204</v>
      </c>
      <c r="BQ862" s="115">
        <f t="shared" si="18"/>
        <v>1.2898333410293754</v>
      </c>
      <c r="BR862" s="115">
        <f t="shared" si="19"/>
        <v>1.3091808411448158</v>
      </c>
      <c r="BS862" s="115">
        <f t="shared" si="19"/>
        <v>1.343219543014581</v>
      </c>
      <c r="BT862" s="115">
        <f t="shared" si="19"/>
        <v>1.3741135925039163</v>
      </c>
      <c r="BU862" s="115">
        <f t="shared" si="19"/>
        <v>1.4125887730940261</v>
      </c>
      <c r="BV862" s="115">
        <f t="shared" si="19"/>
        <v>1.4267146608249663</v>
      </c>
      <c r="BW862" s="115">
        <f t="shared" si="19"/>
        <v>1.4381283781115661</v>
      </c>
      <c r="BX862" s="115">
        <f t="shared" si="19"/>
        <v>1.4410046348677892</v>
      </c>
      <c r="BY862" s="115">
        <f t="shared" si="19"/>
        <v>1.4611786997559382</v>
      </c>
      <c r="BZ862" s="115">
        <f t="shared" si="19"/>
        <v>1.4787128441530095</v>
      </c>
      <c r="CA862" s="115">
        <f t="shared" si="19"/>
        <v>1.5171593781009878</v>
      </c>
      <c r="CB862" s="115">
        <f t="shared" si="19"/>
        <v>1.5414339281506035</v>
      </c>
      <c r="CC862" s="115">
        <f t="shared" si="17"/>
        <v>1.5691797388573143</v>
      </c>
      <c r="CD862" s="115">
        <f t="shared" si="17"/>
        <v>1.666468882666468</v>
      </c>
      <c r="CE862" s="115">
        <f t="shared" si="17"/>
        <v>1.7997863932797855</v>
      </c>
      <c r="CF862" s="115">
        <f t="shared" si="16"/>
        <v>1.8501804122916194</v>
      </c>
      <c r="CG862" s="115">
        <f t="shared" si="16"/>
        <v>1.9204872679587011</v>
      </c>
    </row>
    <row r="863" spans="1:85">
      <c r="A863" s="3"/>
      <c r="B863" s="113">
        <v>1999</v>
      </c>
      <c r="C863" s="3"/>
      <c r="D863" s="3"/>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4">
        <v>1</v>
      </c>
      <c r="BG863" s="115">
        <f t="shared" si="18"/>
        <v>1.026</v>
      </c>
      <c r="BH863" s="115">
        <f t="shared" si="18"/>
        <v>1.05165</v>
      </c>
      <c r="BI863" s="115">
        <f t="shared" si="18"/>
        <v>1.1010775499999998</v>
      </c>
      <c r="BJ863" s="115">
        <f t="shared" si="18"/>
        <v>1.1374131091499997</v>
      </c>
      <c r="BK863" s="115">
        <f t="shared" si="18"/>
        <v>1.1612987844421496</v>
      </c>
      <c r="BL863" s="115">
        <f t="shared" si="18"/>
        <v>1.1740730710710132</v>
      </c>
      <c r="BM863" s="115">
        <f t="shared" si="18"/>
        <v>1.1952063863502915</v>
      </c>
      <c r="BN863" s="115">
        <f t="shared" si="18"/>
        <v>1.2119392757591956</v>
      </c>
      <c r="BO863" s="115">
        <f t="shared" si="18"/>
        <v>1.2252706077925466</v>
      </c>
      <c r="BP863" s="115">
        <f t="shared" si="18"/>
        <v>1.2644792672419081</v>
      </c>
      <c r="BQ863" s="115">
        <f t="shared" si="18"/>
        <v>1.2682727050436338</v>
      </c>
      <c r="BR863" s="115">
        <f t="shared" si="19"/>
        <v>1.2872967956192882</v>
      </c>
      <c r="BS863" s="115">
        <f t="shared" si="19"/>
        <v>1.3207665123053898</v>
      </c>
      <c r="BT863" s="115">
        <f t="shared" si="19"/>
        <v>1.3511441420884136</v>
      </c>
      <c r="BU863" s="115">
        <f t="shared" si="19"/>
        <v>1.3889761780668892</v>
      </c>
      <c r="BV863" s="115">
        <f t="shared" si="19"/>
        <v>1.402865939847558</v>
      </c>
      <c r="BW863" s="115">
        <f t="shared" si="19"/>
        <v>1.4140888673663385</v>
      </c>
      <c r="BX863" s="115">
        <f t="shared" si="19"/>
        <v>1.4169170451010713</v>
      </c>
      <c r="BY863" s="115">
        <f t="shared" si="19"/>
        <v>1.4367538837324862</v>
      </c>
      <c r="BZ863" s="115">
        <f t="shared" si="19"/>
        <v>1.4539949303372761</v>
      </c>
      <c r="CA863" s="115">
        <f t="shared" si="19"/>
        <v>1.4917987985260452</v>
      </c>
      <c r="CB863" s="115">
        <f t="shared" si="19"/>
        <v>1.5156675793024621</v>
      </c>
      <c r="CC863" s="115">
        <f t="shared" si="17"/>
        <v>1.5429495957299064</v>
      </c>
      <c r="CD863" s="115">
        <f t="shared" si="17"/>
        <v>1.6386124706651608</v>
      </c>
      <c r="CE863" s="115">
        <f t="shared" si="17"/>
        <v>1.7697014683183738</v>
      </c>
      <c r="CF863" s="115">
        <f t="shared" si="16"/>
        <v>1.8192531094312883</v>
      </c>
      <c r="CG863" s="115">
        <f t="shared" si="16"/>
        <v>1.8883847275896772</v>
      </c>
    </row>
    <row r="864" spans="1:85">
      <c r="A864" s="3"/>
      <c r="B864" s="113">
        <v>2000</v>
      </c>
      <c r="C864" s="3"/>
      <c r="D864" s="3"/>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4">
        <v>1</v>
      </c>
      <c r="BH864" s="115">
        <f t="shared" si="18"/>
        <v>1.0249999999999999</v>
      </c>
      <c r="BI864" s="115">
        <f t="shared" si="18"/>
        <v>1.0731749999999998</v>
      </c>
      <c r="BJ864" s="115">
        <f t="shared" si="18"/>
        <v>1.1085897749999998</v>
      </c>
      <c r="BK864" s="115">
        <f t="shared" si="18"/>
        <v>1.1318701602749996</v>
      </c>
      <c r="BL864" s="115">
        <f t="shared" si="18"/>
        <v>1.1443207320380244</v>
      </c>
      <c r="BM864" s="115">
        <f t="shared" si="18"/>
        <v>1.1649185052147089</v>
      </c>
      <c r="BN864" s="115">
        <f t="shared" si="18"/>
        <v>1.1812273642877147</v>
      </c>
      <c r="BO864" s="115">
        <f t="shared" si="18"/>
        <v>1.1942208652948794</v>
      </c>
      <c r="BP864" s="115">
        <f t="shared" si="18"/>
        <v>1.2324359329843155</v>
      </c>
      <c r="BQ864" s="115">
        <f t="shared" si="18"/>
        <v>1.2361332407832684</v>
      </c>
      <c r="BR864" s="115">
        <f t="shared" si="19"/>
        <v>1.2546752393950173</v>
      </c>
      <c r="BS864" s="115">
        <f t="shared" si="19"/>
        <v>1.2872967956192878</v>
      </c>
      <c r="BT864" s="115">
        <f t="shared" si="19"/>
        <v>1.3169046219185312</v>
      </c>
      <c r="BU864" s="115">
        <f t="shared" si="19"/>
        <v>1.3537779513322501</v>
      </c>
      <c r="BV864" s="115">
        <f t="shared" si="19"/>
        <v>1.3673157308455726</v>
      </c>
      <c r="BW864" s="115">
        <f t="shared" si="19"/>
        <v>1.3782542566923373</v>
      </c>
      <c r="BX864" s="115">
        <f t="shared" si="19"/>
        <v>1.381010765205722</v>
      </c>
      <c r="BY864" s="115">
        <f t="shared" si="19"/>
        <v>1.4003449159186021</v>
      </c>
      <c r="BZ864" s="115">
        <f t="shared" si="19"/>
        <v>1.4171490549096253</v>
      </c>
      <c r="CA864" s="115">
        <f t="shared" si="19"/>
        <v>1.4539949303372757</v>
      </c>
      <c r="CB864" s="115">
        <f t="shared" si="19"/>
        <v>1.4772588492226721</v>
      </c>
      <c r="CC864" s="115">
        <f t="shared" si="17"/>
        <v>1.5038495085086803</v>
      </c>
      <c r="CD864" s="115">
        <f t="shared" si="17"/>
        <v>1.5970881780362185</v>
      </c>
      <c r="CE864" s="115">
        <f t="shared" si="17"/>
        <v>1.7248552322791162</v>
      </c>
      <c r="CF864" s="115">
        <f t="shared" si="16"/>
        <v>1.7731511787829315</v>
      </c>
      <c r="CG864" s="115">
        <f t="shared" si="16"/>
        <v>1.8405309235766829</v>
      </c>
    </row>
    <row r="865" spans="1:85">
      <c r="A865" s="3"/>
      <c r="B865" s="113">
        <v>2001</v>
      </c>
      <c r="C865" s="3"/>
      <c r="D865" s="3"/>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4">
        <v>1</v>
      </c>
      <c r="BI865" s="115">
        <f t="shared" si="18"/>
        <v>1.0469999999999999</v>
      </c>
      <c r="BJ865" s="115">
        <f t="shared" si="18"/>
        <v>1.0815509999999999</v>
      </c>
      <c r="BK865" s="115">
        <f t="shared" si="18"/>
        <v>1.1042635709999997</v>
      </c>
      <c r="BL865" s="115">
        <f t="shared" si="18"/>
        <v>1.1164104702809996</v>
      </c>
      <c r="BM865" s="115">
        <f t="shared" si="18"/>
        <v>1.1365058587460577</v>
      </c>
      <c r="BN865" s="115">
        <f t="shared" si="18"/>
        <v>1.1524169407685025</v>
      </c>
      <c r="BO865" s="115">
        <f t="shared" si="18"/>
        <v>1.165093527116956</v>
      </c>
      <c r="BP865" s="115">
        <f t="shared" si="18"/>
        <v>1.2023765199846987</v>
      </c>
      <c r="BQ865" s="115">
        <f t="shared" si="18"/>
        <v>1.2059836495446528</v>
      </c>
      <c r="BR865" s="115">
        <f t="shared" si="19"/>
        <v>1.2240734042878225</v>
      </c>
      <c r="BS865" s="115">
        <f t="shared" si="19"/>
        <v>1.2558993127993059</v>
      </c>
      <c r="BT865" s="115">
        <f t="shared" si="19"/>
        <v>1.2847849969936898</v>
      </c>
      <c r="BU865" s="115">
        <f t="shared" si="19"/>
        <v>1.3207589769095132</v>
      </c>
      <c r="BV865" s="115">
        <f t="shared" si="19"/>
        <v>1.3339665666786082</v>
      </c>
      <c r="BW865" s="115">
        <f t="shared" si="19"/>
        <v>1.3446382992120371</v>
      </c>
      <c r="BX865" s="115">
        <f t="shared" si="19"/>
        <v>1.3473275758104613</v>
      </c>
      <c r="BY865" s="115">
        <f t="shared" si="19"/>
        <v>1.3661901618718078</v>
      </c>
      <c r="BZ865" s="115">
        <f t="shared" si="19"/>
        <v>1.3825844438142694</v>
      </c>
      <c r="CA865" s="115">
        <f t="shared" si="19"/>
        <v>1.4185316393534404</v>
      </c>
      <c r="CB865" s="115">
        <f t="shared" si="19"/>
        <v>1.4412281455830955</v>
      </c>
      <c r="CC865" s="115">
        <f t="shared" si="17"/>
        <v>1.4671702522035912</v>
      </c>
      <c r="CD865" s="115">
        <f t="shared" si="17"/>
        <v>1.558134807840214</v>
      </c>
      <c r="CE865" s="115">
        <f t="shared" si="17"/>
        <v>1.6827855924674311</v>
      </c>
      <c r="CF865" s="115">
        <f t="shared" si="16"/>
        <v>1.7299035890565193</v>
      </c>
      <c r="CG865" s="115">
        <f t="shared" si="16"/>
        <v>1.7956399254406672</v>
      </c>
    </row>
    <row r="866" spans="1:85">
      <c r="A866" s="3"/>
      <c r="B866" s="113">
        <v>2002</v>
      </c>
      <c r="C866" s="3"/>
      <c r="D866" s="3"/>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4">
        <v>1</v>
      </c>
      <c r="BJ866" s="115">
        <f t="shared" si="18"/>
        <v>1.0329999999999999</v>
      </c>
      <c r="BK866" s="115">
        <f t="shared" si="18"/>
        <v>1.0546929999999999</v>
      </c>
      <c r="BL866" s="115">
        <f t="shared" si="18"/>
        <v>1.0662946229999997</v>
      </c>
      <c r="BM866" s="115">
        <f t="shared" si="18"/>
        <v>1.0854879262139996</v>
      </c>
      <c r="BN866" s="115">
        <f t="shared" si="18"/>
        <v>1.1006847571809957</v>
      </c>
      <c r="BO866" s="115">
        <f t="shared" si="18"/>
        <v>1.1127922895099864</v>
      </c>
      <c r="BP866" s="115">
        <f t="shared" si="18"/>
        <v>1.148401642774306</v>
      </c>
      <c r="BQ866" s="115">
        <f t="shared" si="18"/>
        <v>1.1518468477026289</v>
      </c>
      <c r="BR866" s="115">
        <f t="shared" si="19"/>
        <v>1.1691245504181682</v>
      </c>
      <c r="BS866" s="115">
        <f t="shared" si="19"/>
        <v>1.1995217887290406</v>
      </c>
      <c r="BT866" s="115">
        <f t="shared" si="19"/>
        <v>1.2271107898698084</v>
      </c>
      <c r="BU866" s="115">
        <f t="shared" si="19"/>
        <v>1.2614698919861631</v>
      </c>
      <c r="BV866" s="115">
        <f t="shared" si="19"/>
        <v>1.2740845909060248</v>
      </c>
      <c r="BW866" s="115">
        <f t="shared" si="19"/>
        <v>1.284277267633273</v>
      </c>
      <c r="BX866" s="115">
        <f t="shared" si="19"/>
        <v>1.2868458221685395</v>
      </c>
      <c r="BY866" s="115">
        <f t="shared" si="19"/>
        <v>1.304861663678899</v>
      </c>
      <c r="BZ866" s="115">
        <f t="shared" si="19"/>
        <v>1.3205200036430458</v>
      </c>
      <c r="CA866" s="115">
        <f t="shared" si="19"/>
        <v>1.354853523737765</v>
      </c>
      <c r="CB866" s="115">
        <f t="shared" si="19"/>
        <v>1.3765311801175693</v>
      </c>
      <c r="CC866" s="115">
        <f t="shared" si="17"/>
        <v>1.4013087413596854</v>
      </c>
      <c r="CD866" s="115">
        <f t="shared" si="17"/>
        <v>1.4881898833239859</v>
      </c>
      <c r="CE866" s="115">
        <f t="shared" si="17"/>
        <v>1.6072450739899049</v>
      </c>
      <c r="CF866" s="115">
        <f t="shared" si="16"/>
        <v>1.6522479360616222</v>
      </c>
      <c r="CG866" s="115">
        <f t="shared" si="16"/>
        <v>1.7150333576319639</v>
      </c>
    </row>
    <row r="867" spans="1:85">
      <c r="A867" s="3"/>
      <c r="B867" s="113">
        <v>2003</v>
      </c>
      <c r="C867" s="3"/>
      <c r="D867" s="3"/>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4">
        <v>1</v>
      </c>
      <c r="BK867" s="115">
        <f t="shared" si="18"/>
        <v>1.0209999999999999</v>
      </c>
      <c r="BL867" s="115">
        <f t="shared" si="18"/>
        <v>1.0322309999999999</v>
      </c>
      <c r="BM867" s="115">
        <f t="shared" si="18"/>
        <v>1.0508111579999999</v>
      </c>
      <c r="BN867" s="115">
        <f t="shared" si="18"/>
        <v>1.0655225142119999</v>
      </c>
      <c r="BO867" s="115">
        <f t="shared" si="18"/>
        <v>1.0772432618683319</v>
      </c>
      <c r="BP867" s="115">
        <f t="shared" si="18"/>
        <v>1.1117150462481185</v>
      </c>
      <c r="BQ867" s="115">
        <f t="shared" si="18"/>
        <v>1.1150501913868627</v>
      </c>
      <c r="BR867" s="115">
        <f t="shared" si="19"/>
        <v>1.1317759442576656</v>
      </c>
      <c r="BS867" s="115">
        <f t="shared" si="19"/>
        <v>1.161202118808365</v>
      </c>
      <c r="BT867" s="115">
        <f t="shared" si="19"/>
        <v>1.1879097675409573</v>
      </c>
      <c r="BU867" s="115">
        <f t="shared" si="19"/>
        <v>1.2211712410321043</v>
      </c>
      <c r="BV867" s="115">
        <f t="shared" si="19"/>
        <v>1.2333829534424254</v>
      </c>
      <c r="BW867" s="115">
        <f t="shared" si="19"/>
        <v>1.2432500170699647</v>
      </c>
      <c r="BX867" s="115">
        <f t="shared" si="19"/>
        <v>1.2457365171041046</v>
      </c>
      <c r="BY867" s="115">
        <f t="shared" si="19"/>
        <v>1.263176828343562</v>
      </c>
      <c r="BZ867" s="115">
        <f t="shared" si="19"/>
        <v>1.2783349502836847</v>
      </c>
      <c r="CA867" s="115">
        <f t="shared" si="19"/>
        <v>1.3115716589910607</v>
      </c>
      <c r="CB867" s="115">
        <f t="shared" si="19"/>
        <v>1.3325568055349177</v>
      </c>
      <c r="CC867" s="115">
        <f t="shared" si="17"/>
        <v>1.3565428280345462</v>
      </c>
      <c r="CD867" s="115">
        <f t="shared" si="17"/>
        <v>1.440648483372688</v>
      </c>
      <c r="CE867" s="115">
        <f t="shared" si="17"/>
        <v>1.5559003620425031</v>
      </c>
      <c r="CF867" s="115">
        <f t="shared" si="16"/>
        <v>1.5994655721796933</v>
      </c>
      <c r="CG867" s="115">
        <f t="shared" si="16"/>
        <v>1.6602452639225218</v>
      </c>
    </row>
    <row r="868" spans="1:85">
      <c r="A868" s="3"/>
      <c r="B868" s="113">
        <v>2004</v>
      </c>
      <c r="C868" s="3"/>
      <c r="D868" s="3"/>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4">
        <v>1</v>
      </c>
      <c r="BL868" s="115">
        <f t="shared" si="18"/>
        <v>1.0109999999999999</v>
      </c>
      <c r="BM868" s="115">
        <f t="shared" si="18"/>
        <v>1.0291979999999998</v>
      </c>
      <c r="BN868" s="115">
        <f t="shared" si="18"/>
        <v>1.0436067719999997</v>
      </c>
      <c r="BO868" s="115">
        <f t="shared" si="18"/>
        <v>1.0550864464919996</v>
      </c>
      <c r="BP868" s="115">
        <f t="shared" si="18"/>
        <v>1.0888492127797436</v>
      </c>
      <c r="BQ868" s="115">
        <f t="shared" si="18"/>
        <v>1.0921157604180827</v>
      </c>
      <c r="BR868" s="115">
        <f t="shared" si="19"/>
        <v>1.1084974968243537</v>
      </c>
      <c r="BS868" s="115">
        <f t="shared" si="19"/>
        <v>1.137318431741787</v>
      </c>
      <c r="BT868" s="115">
        <f t="shared" si="19"/>
        <v>1.1634767556718479</v>
      </c>
      <c r="BU868" s="115">
        <f t="shared" si="19"/>
        <v>1.1960541048306597</v>
      </c>
      <c r="BV868" s="115">
        <f t="shared" si="19"/>
        <v>1.2080146458789662</v>
      </c>
      <c r="BW868" s="115">
        <f t="shared" si="19"/>
        <v>1.217678763045998</v>
      </c>
      <c r="BX868" s="115">
        <f t="shared" si="19"/>
        <v>1.22011412057209</v>
      </c>
      <c r="BY868" s="115">
        <f t="shared" si="19"/>
        <v>1.2371957182600992</v>
      </c>
      <c r="BZ868" s="115">
        <f t="shared" si="19"/>
        <v>1.2520420668792205</v>
      </c>
      <c r="CA868" s="115">
        <f t="shared" si="19"/>
        <v>1.2845951606180803</v>
      </c>
      <c r="CB868" s="115">
        <f t="shared" si="19"/>
        <v>1.3051486831879697</v>
      </c>
      <c r="CC868" s="115">
        <f t="shared" si="17"/>
        <v>1.3286413594853532</v>
      </c>
      <c r="CD868" s="115">
        <f t="shared" si="17"/>
        <v>1.4110171237734452</v>
      </c>
      <c r="CE868" s="115">
        <f t="shared" si="17"/>
        <v>1.523898493675321</v>
      </c>
      <c r="CF868" s="115">
        <f t="shared" si="16"/>
        <v>1.5665676514982301</v>
      </c>
      <c r="CG868" s="115">
        <f t="shared" si="16"/>
        <v>1.6260972222551628</v>
      </c>
    </row>
    <row r="869" spans="1:85">
      <c r="A869" s="3"/>
      <c r="B869" s="113">
        <v>2005</v>
      </c>
      <c r="C869" s="3"/>
      <c r="D869" s="3"/>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4">
        <v>1</v>
      </c>
      <c r="BM869" s="115">
        <f t="shared" si="18"/>
        <v>1.018</v>
      </c>
      <c r="BN869" s="115">
        <f t="shared" si="18"/>
        <v>1.0322519999999999</v>
      </c>
      <c r="BO869" s="115">
        <f t="shared" si="18"/>
        <v>1.0436067719999997</v>
      </c>
      <c r="BP869" s="115">
        <f t="shared" si="18"/>
        <v>1.0770021887039998</v>
      </c>
      <c r="BQ869" s="115">
        <f t="shared" si="18"/>
        <v>1.0802331952701116</v>
      </c>
      <c r="BR869" s="115">
        <f t="shared" si="19"/>
        <v>1.0964366931991631</v>
      </c>
      <c r="BS869" s="115">
        <f t="shared" si="19"/>
        <v>1.1249440472223413</v>
      </c>
      <c r="BT869" s="115">
        <f t="shared" si="19"/>
        <v>1.1508177603084551</v>
      </c>
      <c r="BU869" s="115">
        <f t="shared" si="19"/>
        <v>1.1830406575970918</v>
      </c>
      <c r="BV869" s="115">
        <f t="shared" si="19"/>
        <v>1.1948710641730627</v>
      </c>
      <c r="BW869" s="115">
        <f t="shared" si="19"/>
        <v>1.2044300326864472</v>
      </c>
      <c r="BX869" s="115">
        <f t="shared" si="19"/>
        <v>1.2068388927518201</v>
      </c>
      <c r="BY869" s="115">
        <f t="shared" si="19"/>
        <v>1.2237346372503457</v>
      </c>
      <c r="BZ869" s="115">
        <f t="shared" si="19"/>
        <v>1.2384194528973498</v>
      </c>
      <c r="CA869" s="115">
        <f t="shared" si="19"/>
        <v>1.2706183586726809</v>
      </c>
      <c r="CB869" s="115">
        <f t="shared" si="19"/>
        <v>1.2909482524114437</v>
      </c>
      <c r="CC869" s="115">
        <f t="shared" si="17"/>
        <v>1.3141853209548497</v>
      </c>
      <c r="CD869" s="115">
        <f t="shared" si="17"/>
        <v>1.3956648108540506</v>
      </c>
      <c r="CE869" s="115">
        <f t="shared" si="17"/>
        <v>1.5073179957223748</v>
      </c>
      <c r="CF869" s="115">
        <f t="shared" si="16"/>
        <v>1.5495228996026014</v>
      </c>
      <c r="CG869" s="115">
        <f t="shared" si="16"/>
        <v>1.6084047697875004</v>
      </c>
    </row>
    <row r="870" spans="1:85">
      <c r="A870" s="3"/>
      <c r="B870" s="113">
        <v>2006</v>
      </c>
      <c r="C870" s="3"/>
      <c r="D870" s="3"/>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4">
        <v>1</v>
      </c>
      <c r="BN870" s="115">
        <f t="shared" si="18"/>
        <v>1.014</v>
      </c>
      <c r="BO870" s="115">
        <f t="shared" si="18"/>
        <v>1.0251539999999999</v>
      </c>
      <c r="BP870" s="115">
        <f t="shared" si="18"/>
        <v>1.0579589279999999</v>
      </c>
      <c r="BQ870" s="115">
        <f t="shared" si="18"/>
        <v>1.0611328047839999</v>
      </c>
      <c r="BR870" s="115">
        <f t="shared" si="19"/>
        <v>1.0770497968557597</v>
      </c>
      <c r="BS870" s="115">
        <f t="shared" si="19"/>
        <v>1.1050530915740095</v>
      </c>
      <c r="BT870" s="115">
        <f t="shared" si="19"/>
        <v>1.1304693126802117</v>
      </c>
      <c r="BU870" s="115">
        <f t="shared" si="19"/>
        <v>1.1621224534352577</v>
      </c>
      <c r="BV870" s="115">
        <f t="shared" si="19"/>
        <v>1.1737436779696102</v>
      </c>
      <c r="BW870" s="115">
        <f t="shared" si="19"/>
        <v>1.183133627393367</v>
      </c>
      <c r="BX870" s="115">
        <f t="shared" si="19"/>
        <v>1.1854998946481539</v>
      </c>
      <c r="BY870" s="115">
        <f t="shared" si="19"/>
        <v>1.2020968931732281</v>
      </c>
      <c r="BZ870" s="115">
        <f t="shared" si="19"/>
        <v>1.2165220558913068</v>
      </c>
      <c r="CA870" s="115">
        <f t="shared" si="19"/>
        <v>1.2481516293444808</v>
      </c>
      <c r="CB870" s="115">
        <f t="shared" si="19"/>
        <v>1.2681220554139925</v>
      </c>
      <c r="CC870" s="115">
        <f t="shared" si="17"/>
        <v>1.2909482524114444</v>
      </c>
      <c r="CD870" s="115">
        <f t="shared" si="17"/>
        <v>1.370987044060954</v>
      </c>
      <c r="CE870" s="115">
        <f t="shared" si="17"/>
        <v>1.4806660075858304</v>
      </c>
      <c r="CF870" s="115">
        <f t="shared" si="16"/>
        <v>1.5221246557982337</v>
      </c>
      <c r="CG870" s="115">
        <f t="shared" si="16"/>
        <v>1.5799653927185666</v>
      </c>
    </row>
    <row r="871" spans="1:85">
      <c r="A871" s="3"/>
      <c r="B871" s="113">
        <v>2007</v>
      </c>
      <c r="C871" s="3"/>
      <c r="D871" s="3"/>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4">
        <v>1</v>
      </c>
      <c r="BO871" s="115">
        <f t="shared" si="18"/>
        <v>1.0109999999999999</v>
      </c>
      <c r="BP871" s="115">
        <f t="shared" si="18"/>
        <v>1.0433519999999998</v>
      </c>
      <c r="BQ871" s="115">
        <f t="shared" si="18"/>
        <v>1.0464820559999997</v>
      </c>
      <c r="BR871" s="115">
        <f t="shared" si="19"/>
        <v>1.0621792868399995</v>
      </c>
      <c r="BS871" s="115">
        <f t="shared" si="19"/>
        <v>1.0897959482978394</v>
      </c>
      <c r="BT871" s="115">
        <f t="shared" si="19"/>
        <v>1.1148612551086896</v>
      </c>
      <c r="BU871" s="115">
        <f t="shared" si="19"/>
        <v>1.1460773702517328</v>
      </c>
      <c r="BV871" s="115">
        <f t="shared" si="19"/>
        <v>1.1575381439542503</v>
      </c>
      <c r="BW871" s="115">
        <f t="shared" si="19"/>
        <v>1.1667984491058843</v>
      </c>
      <c r="BX871" s="115">
        <f t="shared" si="19"/>
        <v>1.1691320460040959</v>
      </c>
      <c r="BY871" s="115">
        <f t="shared" si="19"/>
        <v>1.1854998946481532</v>
      </c>
      <c r="BZ871" s="115">
        <f t="shared" si="19"/>
        <v>1.199725893383931</v>
      </c>
      <c r="CA871" s="115">
        <f t="shared" si="19"/>
        <v>1.2309187666119132</v>
      </c>
      <c r="CB871" s="115">
        <f t="shared" si="19"/>
        <v>1.2506134668777038</v>
      </c>
      <c r="CC871" s="115">
        <f t="shared" si="17"/>
        <v>1.2731245092815024</v>
      </c>
      <c r="CD871" s="115">
        <f t="shared" si="17"/>
        <v>1.3520582288569556</v>
      </c>
      <c r="CE871" s="115">
        <f t="shared" si="17"/>
        <v>1.4602228871655121</v>
      </c>
      <c r="CF871" s="115">
        <f t="shared" si="16"/>
        <v>1.5011091280061464</v>
      </c>
      <c r="CG871" s="115">
        <f t="shared" si="16"/>
        <v>1.5581512748703801</v>
      </c>
    </row>
    <row r="872" spans="1:85">
      <c r="A872" s="3"/>
      <c r="B872" s="113">
        <v>2008</v>
      </c>
      <c r="C872" s="3"/>
      <c r="D872" s="3"/>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4">
        <v>1</v>
      </c>
      <c r="BP872" s="115">
        <f t="shared" si="18"/>
        <v>1.032</v>
      </c>
      <c r="BQ872" s="115">
        <f t="shared" si="18"/>
        <v>1.035096</v>
      </c>
      <c r="BR872" s="115">
        <f t="shared" si="19"/>
        <v>1.0506224399999999</v>
      </c>
      <c r="BS872" s="115">
        <f t="shared" si="19"/>
        <v>1.0779386234399999</v>
      </c>
      <c r="BT872" s="115">
        <f t="shared" si="19"/>
        <v>1.1027312117791197</v>
      </c>
      <c r="BU872" s="115">
        <f t="shared" si="19"/>
        <v>1.133607685708935</v>
      </c>
      <c r="BV872" s="115">
        <f t="shared" si="19"/>
        <v>1.1449437625660244</v>
      </c>
      <c r="BW872" s="115">
        <f t="shared" si="19"/>
        <v>1.1541033126665525</v>
      </c>
      <c r="BX872" s="115">
        <f t="shared" si="19"/>
        <v>1.1564115192918856</v>
      </c>
      <c r="BY872" s="115">
        <f t="shared" si="19"/>
        <v>1.1726012805619719</v>
      </c>
      <c r="BZ872" s="115">
        <f t="shared" si="19"/>
        <v>1.1866724959287156</v>
      </c>
      <c r="CA872" s="115">
        <f t="shared" si="19"/>
        <v>1.2175259808228622</v>
      </c>
      <c r="CB872" s="115">
        <f t="shared" si="19"/>
        <v>1.2370063965160281</v>
      </c>
      <c r="CC872" s="115">
        <f t="shared" si="17"/>
        <v>1.2592725116533166</v>
      </c>
      <c r="CD872" s="115">
        <f t="shared" si="17"/>
        <v>1.3373474073758223</v>
      </c>
      <c r="CE872" s="115">
        <f t="shared" si="17"/>
        <v>1.4443351999658882</v>
      </c>
      <c r="CF872" s="115">
        <f t="shared" si="16"/>
        <v>1.4847765855649331</v>
      </c>
      <c r="CG872" s="115">
        <f t="shared" si="16"/>
        <v>1.5411980958164007</v>
      </c>
    </row>
    <row r="873" spans="1:85">
      <c r="A873" s="3"/>
      <c r="B873" s="113">
        <v>2009</v>
      </c>
      <c r="C873" s="3"/>
      <c r="D873" s="3"/>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4">
        <v>1</v>
      </c>
      <c r="BQ873" s="115">
        <f t="shared" si="18"/>
        <v>1.0029999999999999</v>
      </c>
      <c r="BR873" s="115">
        <f t="shared" si="19"/>
        <v>1.0180449999999999</v>
      </c>
      <c r="BS873" s="115">
        <f t="shared" si="19"/>
        <v>1.0445141699999998</v>
      </c>
      <c r="BT873" s="115">
        <f t="shared" si="19"/>
        <v>1.0685379959099996</v>
      </c>
      <c r="BU873" s="115">
        <f t="shared" si="19"/>
        <v>1.0984570597954797</v>
      </c>
      <c r="BV873" s="115">
        <f t="shared" si="19"/>
        <v>1.1094416303934345</v>
      </c>
      <c r="BW873" s="115">
        <f t="shared" si="19"/>
        <v>1.1183171634365821</v>
      </c>
      <c r="BX873" s="115">
        <f t="shared" si="19"/>
        <v>1.1205537977634552</v>
      </c>
      <c r="BY873" s="115">
        <f t="shared" si="19"/>
        <v>1.1362415509321435</v>
      </c>
      <c r="BZ873" s="115">
        <f t="shared" si="19"/>
        <v>1.1498764495433293</v>
      </c>
      <c r="CA873" s="115">
        <f t="shared" si="19"/>
        <v>1.179773237231456</v>
      </c>
      <c r="CB873" s="115">
        <f t="shared" si="19"/>
        <v>1.1986496090271592</v>
      </c>
      <c r="CC873" s="115">
        <f t="shared" si="17"/>
        <v>1.2202253019896481</v>
      </c>
      <c r="CD873" s="115">
        <f t="shared" si="17"/>
        <v>1.2958792707130062</v>
      </c>
      <c r="CE873" s="115">
        <f t="shared" si="17"/>
        <v>1.3995496123700468</v>
      </c>
      <c r="CF873" s="115">
        <f t="shared" si="16"/>
        <v>1.4387370015164083</v>
      </c>
      <c r="CG873" s="115">
        <f t="shared" si="16"/>
        <v>1.4934090075740318</v>
      </c>
    </row>
    <row r="874" spans="1:85">
      <c r="A874" s="3"/>
      <c r="B874" s="113">
        <v>2010</v>
      </c>
      <c r="C874" s="3"/>
      <c r="D874" s="3"/>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4">
        <v>1</v>
      </c>
      <c r="BR874" s="115">
        <f t="shared" si="19"/>
        <v>1.0149999999999999</v>
      </c>
      <c r="BS874" s="115">
        <f t="shared" si="19"/>
        <v>1.0413899999999998</v>
      </c>
      <c r="BT874" s="115">
        <f t="shared" si="19"/>
        <v>1.0653419699999997</v>
      </c>
      <c r="BU874" s="115">
        <f t="shared" si="19"/>
        <v>1.0951715451599997</v>
      </c>
      <c r="BV874" s="115">
        <f t="shared" si="19"/>
        <v>1.1061232606115996</v>
      </c>
      <c r="BW874" s="115">
        <f t="shared" si="19"/>
        <v>1.1149722466964924</v>
      </c>
      <c r="BX874" s="115">
        <f t="shared" si="19"/>
        <v>1.1172021911898855</v>
      </c>
      <c r="BY874" s="115">
        <f t="shared" si="19"/>
        <v>1.132843021866544</v>
      </c>
      <c r="BZ874" s="115">
        <f t="shared" si="19"/>
        <v>1.1464371381289424</v>
      </c>
      <c r="CA874" s="115">
        <f t="shared" si="19"/>
        <v>1.1762445037202949</v>
      </c>
      <c r="CB874" s="115">
        <f t="shared" si="19"/>
        <v>1.1950644157798196</v>
      </c>
      <c r="CC874" s="115">
        <f t="shared" si="17"/>
        <v>1.2165755752638563</v>
      </c>
      <c r="CD874" s="115">
        <f t="shared" si="17"/>
        <v>1.2920032609302154</v>
      </c>
      <c r="CE874" s="115">
        <f t="shared" si="17"/>
        <v>1.3953635218046327</v>
      </c>
      <c r="CF874" s="115">
        <f t="shared" si="17"/>
        <v>1.4344337004151626</v>
      </c>
      <c r="CG874" s="115">
        <f t="shared" si="17"/>
        <v>1.4889421810309389</v>
      </c>
    </row>
    <row r="875" spans="1:85">
      <c r="A875" s="3"/>
      <c r="B875" s="113">
        <v>2011</v>
      </c>
      <c r="C875" s="3"/>
      <c r="D875" s="3"/>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4">
        <v>1</v>
      </c>
      <c r="BS875" s="115">
        <f t="shared" si="19"/>
        <v>1.026</v>
      </c>
      <c r="BT875" s="115">
        <f t="shared" si="19"/>
        <v>1.049598</v>
      </c>
      <c r="BU875" s="115">
        <f t="shared" si="19"/>
        <v>1.0789867440000001</v>
      </c>
      <c r="BV875" s="115">
        <f t="shared" si="19"/>
        <v>1.08977661144</v>
      </c>
      <c r="BW875" s="115">
        <f t="shared" si="19"/>
        <v>1.09849482433152</v>
      </c>
      <c r="BX875" s="115">
        <f t="shared" si="19"/>
        <v>1.1006918139801831</v>
      </c>
      <c r="BY875" s="115">
        <f t="shared" si="19"/>
        <v>1.1161014993759057</v>
      </c>
      <c r="BZ875" s="115">
        <f t="shared" si="19"/>
        <v>1.1294947173684167</v>
      </c>
      <c r="CA875" s="115">
        <f t="shared" si="19"/>
        <v>1.1588615800199955</v>
      </c>
      <c r="CB875" s="115">
        <f t="shared" si="19"/>
        <v>1.1774033653003155</v>
      </c>
      <c r="CC875" s="115">
        <f t="shared" si="17"/>
        <v>1.1985966258757212</v>
      </c>
      <c r="CD875" s="115">
        <f t="shared" si="17"/>
        <v>1.272909616680016</v>
      </c>
      <c r="CE875" s="115">
        <f t="shared" si="17"/>
        <v>1.3747423860144175</v>
      </c>
      <c r="CF875" s="115">
        <f t="shared" si="17"/>
        <v>1.4132351728228212</v>
      </c>
      <c r="CG875" s="115">
        <f t="shared" si="17"/>
        <v>1.4669381093900884</v>
      </c>
    </row>
    <row r="876" spans="1:85">
      <c r="A876" s="3"/>
      <c r="B876" s="113">
        <v>2012</v>
      </c>
      <c r="C876" s="3"/>
      <c r="D876" s="3"/>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4">
        <v>1</v>
      </c>
      <c r="BT876" s="115">
        <f t="shared" si="19"/>
        <v>1.0229999999999999</v>
      </c>
      <c r="BU876" s="115">
        <f t="shared" si="19"/>
        <v>1.051644</v>
      </c>
      <c r="BV876" s="115">
        <f t="shared" si="19"/>
        <v>1.06216044</v>
      </c>
      <c r="BW876" s="115">
        <f t="shared" si="19"/>
        <v>1.0706577235199999</v>
      </c>
      <c r="BX876" s="115">
        <f t="shared" si="19"/>
        <v>1.0727990389670399</v>
      </c>
      <c r="BY876" s="115">
        <f t="shared" si="19"/>
        <v>1.0878182255125783</v>
      </c>
      <c r="BZ876" s="115">
        <f t="shared" si="19"/>
        <v>1.1008720442187292</v>
      </c>
      <c r="CA876" s="115">
        <f t="shared" si="19"/>
        <v>1.1294947173684162</v>
      </c>
      <c r="CB876" s="115">
        <f t="shared" si="19"/>
        <v>1.147566632846311</v>
      </c>
      <c r="CC876" s="115">
        <f t="shared" si="17"/>
        <v>1.1682228322375445</v>
      </c>
      <c r="CD876" s="115">
        <f t="shared" si="17"/>
        <v>1.2406526478362723</v>
      </c>
      <c r="CE876" s="115">
        <f t="shared" si="17"/>
        <v>1.3399048596631742</v>
      </c>
      <c r="CF876" s="115">
        <f t="shared" si="17"/>
        <v>1.3774221957337431</v>
      </c>
      <c r="CG876" s="115">
        <f t="shared" si="17"/>
        <v>1.4297642391716254</v>
      </c>
    </row>
    <row r="877" spans="1:85">
      <c r="A877" s="3"/>
      <c r="B877" s="113">
        <v>2013</v>
      </c>
      <c r="C877" s="3"/>
      <c r="D877" s="3"/>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4">
        <v>1</v>
      </c>
      <c r="BU877" s="115">
        <f t="shared" si="19"/>
        <v>1.028</v>
      </c>
      <c r="BV877" s="115">
        <f t="shared" si="19"/>
        <v>1.0382800000000001</v>
      </c>
      <c r="BW877" s="115">
        <f t="shared" si="19"/>
        <v>1.0465862400000001</v>
      </c>
      <c r="BX877" s="115">
        <f t="shared" si="19"/>
        <v>1.0486794124800001</v>
      </c>
      <c r="BY877" s="115">
        <f t="shared" si="19"/>
        <v>1.0633609242547202</v>
      </c>
      <c r="BZ877" s="115">
        <f t="shared" si="19"/>
        <v>1.0761212553457769</v>
      </c>
      <c r="CA877" s="115">
        <f t="shared" si="19"/>
        <v>1.1041004079847672</v>
      </c>
      <c r="CB877" s="115">
        <f t="shared" si="19"/>
        <v>1.1217660145125234</v>
      </c>
      <c r="CC877" s="115">
        <f t="shared" si="17"/>
        <v>1.1419578027737489</v>
      </c>
      <c r="CD877" s="115">
        <f t="shared" si="17"/>
        <v>1.2127591865457215</v>
      </c>
      <c r="CE877" s="115">
        <f t="shared" si="17"/>
        <v>1.3097799214693793</v>
      </c>
      <c r="CF877" s="115">
        <f t="shared" si="17"/>
        <v>1.3464537592705219</v>
      </c>
      <c r="CG877" s="115">
        <f t="shared" si="17"/>
        <v>1.3976190021228019</v>
      </c>
    </row>
    <row r="878" spans="1:85">
      <c r="A878" s="3"/>
      <c r="B878" s="113">
        <v>2014</v>
      </c>
      <c r="C878" s="3"/>
      <c r="D878" s="3"/>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4">
        <v>1</v>
      </c>
      <c r="BV878" s="115">
        <f t="shared" si="19"/>
        <v>1.01</v>
      </c>
      <c r="BW878" s="115">
        <f t="shared" si="19"/>
        <v>1.0180800000000001</v>
      </c>
      <c r="BX878" s="115">
        <f t="shared" si="19"/>
        <v>1.0201161600000002</v>
      </c>
      <c r="BY878" s="115">
        <f t="shared" si="19"/>
        <v>1.0343977862400002</v>
      </c>
      <c r="BZ878" s="115">
        <f t="shared" si="19"/>
        <v>1.0468105596748802</v>
      </c>
      <c r="CA878" s="115">
        <f t="shared" si="19"/>
        <v>1.0740276342264272</v>
      </c>
      <c r="CB878" s="115">
        <f t="shared" si="19"/>
        <v>1.09121207637405</v>
      </c>
      <c r="CC878" s="115">
        <f t="shared" si="17"/>
        <v>1.1108538937487831</v>
      </c>
      <c r="CD878" s="115">
        <f t="shared" si="17"/>
        <v>1.1797268351612076</v>
      </c>
      <c r="CE878" s="115">
        <f t="shared" si="17"/>
        <v>1.2741049819741042</v>
      </c>
      <c r="CF878" s="115">
        <f t="shared" si="17"/>
        <v>1.309779921469379</v>
      </c>
      <c r="CG878" s="115">
        <f t="shared" si="17"/>
        <v>1.3595515584852156</v>
      </c>
    </row>
    <row r="879" spans="1:85">
      <c r="A879" s="3"/>
      <c r="B879" s="113">
        <v>2015</v>
      </c>
      <c r="C879" s="3"/>
      <c r="D879" s="3"/>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4">
        <v>1</v>
      </c>
      <c r="BW879" s="115">
        <f t="shared" si="19"/>
        <v>1.008</v>
      </c>
      <c r="BX879" s="115">
        <f t="shared" si="19"/>
        <v>1.010016</v>
      </c>
      <c r="BY879" s="115">
        <f t="shared" si="19"/>
        <v>1.0241562239999999</v>
      </c>
      <c r="BZ879" s="115">
        <f t="shared" si="19"/>
        <v>1.036446098688</v>
      </c>
      <c r="CA879" s="115">
        <f t="shared" si="19"/>
        <v>1.063393697253888</v>
      </c>
      <c r="CB879" s="115">
        <f t="shared" si="19"/>
        <v>1.0804079964099502</v>
      </c>
      <c r="CC879" s="115">
        <f t="shared" si="17"/>
        <v>1.0998553403453293</v>
      </c>
      <c r="CD879" s="115">
        <f t="shared" si="17"/>
        <v>1.1680463714467397</v>
      </c>
      <c r="CE879" s="115">
        <f t="shared" si="17"/>
        <v>1.261490081162479</v>
      </c>
      <c r="CF879" s="115">
        <f t="shared" si="17"/>
        <v>1.2968118034350284</v>
      </c>
      <c r="CG879" s="115">
        <f t="shared" si="17"/>
        <v>1.3460906519655595</v>
      </c>
    </row>
    <row r="880" spans="1:85">
      <c r="A880" s="3"/>
      <c r="B880" s="113">
        <v>2016</v>
      </c>
      <c r="C880" s="3"/>
      <c r="D880" s="3"/>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4">
        <v>1</v>
      </c>
      <c r="BX880" s="115">
        <f t="shared" si="19"/>
        <v>1.002</v>
      </c>
      <c r="BY880" s="115">
        <f t="shared" si="19"/>
        <v>1.0160279999999999</v>
      </c>
      <c r="BZ880" s="115">
        <f t="shared" si="19"/>
        <v>1.028220336</v>
      </c>
      <c r="CA880" s="115">
        <f t="shared" si="19"/>
        <v>1.0549540647360001</v>
      </c>
      <c r="CB880" s="115">
        <f t="shared" si="19"/>
        <v>1.0718333297717761</v>
      </c>
      <c r="CC880" s="115">
        <f t="shared" si="17"/>
        <v>1.0911263297076681</v>
      </c>
      <c r="CD880" s="115">
        <f t="shared" si="17"/>
        <v>1.1587761621495436</v>
      </c>
      <c r="CE880" s="115">
        <f t="shared" si="17"/>
        <v>1.2514782551215071</v>
      </c>
      <c r="CF880" s="115">
        <f t="shared" si="17"/>
        <v>1.2865196462649093</v>
      </c>
      <c r="CG880" s="115">
        <f t="shared" si="17"/>
        <v>1.3354073928229759</v>
      </c>
    </row>
    <row r="881" spans="1:16383">
      <c r="A881" s="3"/>
      <c r="B881" s="113">
        <v>2017</v>
      </c>
      <c r="C881" s="3"/>
      <c r="D881" s="3"/>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4">
        <v>1</v>
      </c>
      <c r="BY881" s="115">
        <f t="shared" si="19"/>
        <v>1.014</v>
      </c>
      <c r="BZ881" s="115">
        <f t="shared" si="19"/>
        <v>1.026168</v>
      </c>
      <c r="CA881" s="115">
        <f t="shared" si="19"/>
        <v>1.052848368</v>
      </c>
      <c r="CB881" s="115">
        <f t="shared" si="19"/>
        <v>1.069693941888</v>
      </c>
      <c r="CC881" s="115">
        <f t="shared" si="17"/>
        <v>1.0889484328419841</v>
      </c>
      <c r="CD881" s="115">
        <f t="shared" si="17"/>
        <v>1.1564632356781872</v>
      </c>
      <c r="CE881" s="115">
        <f t="shared" si="17"/>
        <v>1.2489802945324422</v>
      </c>
      <c r="CF881" s="115">
        <f t="shared" si="17"/>
        <v>1.2839517427793505</v>
      </c>
      <c r="CG881" s="115">
        <f t="shared" si="17"/>
        <v>1.3327419090049659</v>
      </c>
    </row>
    <row r="882" spans="1:16383">
      <c r="A882" s="3"/>
      <c r="B882" s="113">
        <v>2018</v>
      </c>
      <c r="C882" s="3"/>
      <c r="D882" s="3"/>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4">
        <v>1</v>
      </c>
      <c r="BZ882" s="115">
        <f t="shared" si="19"/>
        <v>1.012</v>
      </c>
      <c r="CA882" s="115">
        <f t="shared" si="19"/>
        <v>1.0383120000000001</v>
      </c>
      <c r="CB882" s="115">
        <f t="shared" si="19"/>
        <v>1.0549249920000001</v>
      </c>
      <c r="CC882" s="115">
        <f t="shared" si="17"/>
        <v>1.0739136418560002</v>
      </c>
      <c r="CD882" s="115">
        <f t="shared" si="17"/>
        <v>1.1404962876510722</v>
      </c>
      <c r="CE882" s="115">
        <f t="shared" si="17"/>
        <v>1.2317359906631582</v>
      </c>
      <c r="CF882" s="115">
        <f t="shared" si="17"/>
        <v>1.2662245984017266</v>
      </c>
      <c r="CG882" s="115">
        <f t="shared" si="17"/>
        <v>1.3143411331409922</v>
      </c>
    </row>
    <row r="883" spans="1:16383">
      <c r="A883" s="3"/>
      <c r="B883" s="113">
        <v>2019</v>
      </c>
      <c r="C883" s="3"/>
      <c r="D883" s="3"/>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4">
        <v>1</v>
      </c>
      <c r="CA883" s="115">
        <f t="shared" si="19"/>
        <v>1.026</v>
      </c>
      <c r="CB883" s="115">
        <f t="shared" si="19"/>
        <v>1.042416</v>
      </c>
      <c r="CC883" s="115">
        <f t="shared" si="17"/>
        <v>1.0611794880000001</v>
      </c>
      <c r="CD883" s="115">
        <f t="shared" si="17"/>
        <v>1.1269726162560001</v>
      </c>
      <c r="CE883" s="115">
        <f t="shared" si="17"/>
        <v>1.2171304255564801</v>
      </c>
      <c r="CF883" s="115">
        <f t="shared" si="17"/>
        <v>1.2512100774720616</v>
      </c>
      <c r="CG883" s="115">
        <f t="shared" si="17"/>
        <v>1.298756060416</v>
      </c>
    </row>
    <row r="884" spans="1:16383">
      <c r="A884" s="3"/>
      <c r="B884" s="113">
        <v>2020</v>
      </c>
      <c r="C884" s="3"/>
      <c r="D884" s="3"/>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c r="BY884" s="116"/>
      <c r="BZ884" s="116"/>
      <c r="CA884" s="114">
        <v>1</v>
      </c>
      <c r="CB884" s="115">
        <f t="shared" si="19"/>
        <v>1.016</v>
      </c>
      <c r="CC884" s="115">
        <f t="shared" si="17"/>
        <v>1.0342880000000001</v>
      </c>
      <c r="CD884" s="115">
        <f t="shared" si="17"/>
        <v>1.0984138560000001</v>
      </c>
      <c r="CE884" s="115">
        <f t="shared" si="17"/>
        <v>1.1862869644800003</v>
      </c>
      <c r="CF884" s="115">
        <f t="shared" si="17"/>
        <v>1.2195029994854403</v>
      </c>
      <c r="CG884" s="115">
        <f t="shared" si="17"/>
        <v>1.2658441134658871</v>
      </c>
    </row>
    <row r="885" spans="1:16383">
      <c r="A885" s="3"/>
      <c r="B885" s="113">
        <v>2021</v>
      </c>
      <c r="C885" s="3"/>
      <c r="D885" s="3"/>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c r="BY885" s="116"/>
      <c r="BZ885" s="116"/>
      <c r="CA885" s="116"/>
      <c r="CB885" s="114">
        <v>1</v>
      </c>
      <c r="CC885" s="115">
        <f t="shared" si="17"/>
        <v>1.018</v>
      </c>
      <c r="CD885" s="115">
        <f t="shared" si="17"/>
        <v>1.081116</v>
      </c>
      <c r="CE885" s="115">
        <f t="shared" si="17"/>
        <v>1.1676052800000001</v>
      </c>
      <c r="CF885" s="115">
        <f t="shared" si="17"/>
        <v>1.2002982278400001</v>
      </c>
      <c r="CG885" s="115">
        <f t="shared" si="17"/>
        <v>1.24590956049792</v>
      </c>
    </row>
    <row r="886" spans="1:16383">
      <c r="A886" s="3"/>
      <c r="B886" s="113">
        <v>2022</v>
      </c>
      <c r="C886" s="3"/>
      <c r="D886" s="3"/>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c r="BY886" s="116"/>
      <c r="BZ886" s="116"/>
      <c r="CA886" s="116"/>
      <c r="CB886" s="116"/>
      <c r="CC886" s="114">
        <v>1</v>
      </c>
      <c r="CD886" s="115">
        <f>CC886*CD$807</f>
        <v>1.0620000000000001</v>
      </c>
      <c r="CE886" s="115">
        <f>CD886*CE$807</f>
        <v>1.1469600000000002</v>
      </c>
      <c r="CF886" s="115">
        <f t="shared" ref="CF886:CG889" si="20">CE886*CF$807</f>
        <v>1.1790748800000002</v>
      </c>
      <c r="CG886" s="115">
        <f t="shared" si="20"/>
        <v>1.2238797254400002</v>
      </c>
    </row>
    <row r="887" spans="1:16383">
      <c r="A887" s="3"/>
      <c r="B887" s="113">
        <v>2023</v>
      </c>
      <c r="C887" s="3"/>
      <c r="D887" s="3"/>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c r="BY887" s="116"/>
      <c r="BZ887" s="116"/>
      <c r="CA887" s="116"/>
      <c r="CB887" s="116"/>
      <c r="CC887" s="116"/>
      <c r="CD887" s="114">
        <v>1</v>
      </c>
      <c r="CE887" s="115">
        <f>CD887*CE$807</f>
        <v>1.08</v>
      </c>
      <c r="CF887" s="115">
        <f t="shared" si="20"/>
        <v>1.1102400000000001</v>
      </c>
      <c r="CG887" s="115">
        <f t="shared" si="20"/>
        <v>1.1524291200000001</v>
      </c>
    </row>
    <row r="888" spans="1:16383">
      <c r="A888" s="3"/>
      <c r="B888" s="113">
        <v>2024</v>
      </c>
      <c r="C888" s="3"/>
      <c r="D888" s="3"/>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c r="BY888" s="116"/>
      <c r="BZ888" s="116"/>
      <c r="CA888" s="116"/>
      <c r="CB888" s="116"/>
      <c r="CC888" s="116"/>
      <c r="CD888" s="116"/>
      <c r="CE888" s="114">
        <v>1</v>
      </c>
      <c r="CF888" s="115">
        <f t="shared" si="20"/>
        <v>1.028</v>
      </c>
      <c r="CG888" s="115">
        <f t="shared" si="20"/>
        <v>1.067064</v>
      </c>
    </row>
    <row r="889" spans="1:16383" ht="13.5" customHeight="1">
      <c r="A889" s="3"/>
      <c r="B889" s="113">
        <v>2025</v>
      </c>
      <c r="C889" s="3"/>
      <c r="D889" s="3"/>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c r="BY889" s="116"/>
      <c r="BZ889" s="116"/>
      <c r="CA889" s="116"/>
      <c r="CB889" s="116"/>
      <c r="CC889" s="116"/>
      <c r="CD889" s="116"/>
      <c r="CE889" s="116"/>
      <c r="CF889" s="114">
        <v>1</v>
      </c>
      <c r="CG889" s="115">
        <f t="shared" si="20"/>
        <v>1.038</v>
      </c>
    </row>
    <row r="890" spans="1:16383">
      <c r="A890" s="3"/>
      <c r="B890" s="113">
        <v>2026</v>
      </c>
      <c r="C890" s="3"/>
      <c r="D890" s="3"/>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c r="BY890" s="116"/>
      <c r="BZ890" s="116"/>
      <c r="CA890" s="116"/>
      <c r="CB890" s="116"/>
      <c r="CC890" s="116"/>
      <c r="CD890" s="116"/>
      <c r="CE890" s="116"/>
      <c r="CF890" s="116"/>
      <c r="CG890" s="114">
        <v>1</v>
      </c>
    </row>
    <row r="892" spans="1:16383" s="122" customFormat="1" ht="13">
      <c r="A892" s="96"/>
      <c r="B892" s="33" t="s">
        <v>913</v>
      </c>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121"/>
      <c r="CT892" s="121"/>
      <c r="CU892" s="121"/>
      <c r="CV892" s="121"/>
      <c r="CW892" s="121"/>
      <c r="CX892" s="121"/>
      <c r="CY892" s="121"/>
      <c r="CZ892" s="121"/>
      <c r="DA892" s="121"/>
      <c r="DB892" s="121"/>
      <c r="DC892" s="121"/>
      <c r="DD892" s="121"/>
      <c r="DE892" s="121"/>
      <c r="DF892" s="121"/>
      <c r="DG892" s="121"/>
      <c r="DH892" s="121"/>
      <c r="DI892" s="121"/>
      <c r="DJ892" s="121"/>
      <c r="DK892" s="121"/>
      <c r="DL892" s="121"/>
      <c r="DM892" s="121"/>
      <c r="DN892" s="121"/>
      <c r="DO892" s="121"/>
      <c r="DP892" s="121"/>
      <c r="DQ892" s="121"/>
      <c r="DR892" s="121"/>
      <c r="DS892" s="121"/>
      <c r="DT892" s="121"/>
      <c r="DU892" s="121"/>
      <c r="DV892" s="121"/>
      <c r="DW892" s="121"/>
      <c r="DX892" s="121"/>
      <c r="DY892" s="121"/>
      <c r="DZ892" s="121"/>
      <c r="EA892" s="121"/>
      <c r="EB892" s="121"/>
      <c r="EC892" s="121"/>
      <c r="ED892" s="121"/>
      <c r="EE892" s="121"/>
      <c r="EF892" s="121"/>
      <c r="EG892" s="121"/>
      <c r="EH892" s="121"/>
      <c r="EI892" s="121"/>
      <c r="EJ892" s="121"/>
      <c r="EK892" s="121"/>
      <c r="EL892" s="121"/>
      <c r="EM892" s="121"/>
      <c r="EN892" s="121"/>
      <c r="EO892" s="121"/>
      <c r="EP892" s="121"/>
      <c r="EQ892" s="121"/>
      <c r="ER892" s="121"/>
      <c r="ES892" s="121"/>
      <c r="ET892" s="121"/>
      <c r="EU892" s="121"/>
      <c r="EV892" s="121"/>
      <c r="EW892" s="121"/>
      <c r="EX892" s="121"/>
      <c r="EY892" s="121"/>
      <c r="EZ892" s="121"/>
      <c r="FA892" s="121"/>
      <c r="FB892" s="121"/>
      <c r="FC892" s="121"/>
      <c r="FD892" s="121"/>
      <c r="FE892" s="121"/>
      <c r="FF892" s="121"/>
      <c r="FG892" s="121"/>
      <c r="FH892" s="121"/>
      <c r="FI892" s="121"/>
      <c r="FJ892" s="121"/>
      <c r="FK892" s="121"/>
      <c r="FL892" s="121"/>
      <c r="FM892" s="121"/>
      <c r="FN892" s="121"/>
      <c r="FO892" s="121"/>
      <c r="FP892" s="121"/>
      <c r="FQ892" s="121"/>
      <c r="FR892" s="121"/>
      <c r="FS892" s="121"/>
      <c r="FT892" s="121"/>
      <c r="FU892" s="121"/>
      <c r="FV892" s="121"/>
      <c r="FW892" s="121"/>
      <c r="FX892" s="121"/>
      <c r="FY892" s="121"/>
      <c r="FZ892" s="121"/>
      <c r="GA892" s="121"/>
      <c r="GB892" s="121"/>
      <c r="GC892" s="121"/>
      <c r="GD892" s="121"/>
      <c r="GE892" s="121"/>
      <c r="GF892" s="121"/>
      <c r="GG892" s="121"/>
      <c r="GH892" s="121"/>
      <c r="GI892" s="121"/>
      <c r="GJ892" s="121"/>
      <c r="GK892" s="121"/>
      <c r="GL892" s="121"/>
      <c r="GM892" s="121"/>
      <c r="GN892" s="121"/>
      <c r="GO892" s="121"/>
      <c r="GP892" s="121"/>
      <c r="GQ892" s="121"/>
      <c r="GR892" s="121"/>
      <c r="GS892" s="121"/>
      <c r="GT892" s="121"/>
      <c r="GU892" s="121"/>
      <c r="GV892" s="121"/>
      <c r="GW892" s="121"/>
      <c r="GX892" s="121"/>
      <c r="GY892" s="121"/>
      <c r="GZ892" s="121"/>
      <c r="HA892" s="121"/>
      <c r="HB892" s="121"/>
      <c r="HC892" s="121"/>
      <c r="HD892" s="121"/>
      <c r="HE892" s="121"/>
      <c r="HF892" s="121"/>
      <c r="HG892" s="121"/>
      <c r="HH892" s="121"/>
      <c r="HI892" s="121"/>
      <c r="HJ892" s="121"/>
      <c r="HK892" s="121"/>
      <c r="HL892" s="121"/>
      <c r="HM892" s="121"/>
      <c r="HN892" s="121"/>
      <c r="HO892" s="121"/>
      <c r="HP892" s="121"/>
      <c r="HQ892" s="121"/>
      <c r="HR892" s="121"/>
      <c r="HS892" s="121"/>
      <c r="HT892" s="121"/>
      <c r="HU892" s="121"/>
      <c r="HV892" s="121"/>
      <c r="HW892" s="121"/>
      <c r="HX892" s="121"/>
      <c r="HY892" s="121"/>
      <c r="HZ892" s="121"/>
      <c r="IA892" s="121"/>
      <c r="IB892" s="121"/>
      <c r="IC892" s="121"/>
      <c r="ID892" s="121"/>
      <c r="IE892" s="121"/>
      <c r="IF892" s="121"/>
      <c r="IG892" s="121"/>
      <c r="IH892" s="121"/>
      <c r="II892" s="121"/>
      <c r="IJ892" s="121"/>
      <c r="IK892" s="121"/>
      <c r="IL892" s="121"/>
      <c r="IM892" s="121"/>
      <c r="IN892" s="121"/>
      <c r="IO892" s="121"/>
      <c r="IP892" s="121"/>
      <c r="IQ892" s="121"/>
      <c r="IR892" s="121"/>
      <c r="IS892" s="121"/>
      <c r="IT892" s="121"/>
      <c r="IU892" s="121"/>
      <c r="IV892" s="121"/>
      <c r="IW892" s="121"/>
      <c r="IX892" s="121"/>
      <c r="IY892" s="121"/>
      <c r="IZ892" s="121"/>
      <c r="JA892" s="121"/>
      <c r="JB892" s="121"/>
      <c r="JC892" s="121"/>
      <c r="JD892" s="121"/>
      <c r="JE892" s="121"/>
      <c r="JF892" s="121"/>
      <c r="JG892" s="121"/>
      <c r="JH892" s="121"/>
      <c r="JI892" s="121"/>
      <c r="JJ892" s="121"/>
      <c r="JK892" s="121"/>
      <c r="JL892" s="121"/>
      <c r="JM892" s="121"/>
      <c r="JN892" s="121"/>
      <c r="JO892" s="121"/>
      <c r="JP892" s="121"/>
      <c r="JQ892" s="121"/>
      <c r="JR892" s="121"/>
      <c r="JS892" s="121"/>
      <c r="JT892" s="121"/>
      <c r="JU892" s="121"/>
      <c r="JV892" s="121"/>
      <c r="JW892" s="121"/>
      <c r="JX892" s="121"/>
      <c r="JY892" s="121"/>
      <c r="JZ892" s="121"/>
      <c r="KA892" s="121"/>
      <c r="KB892" s="121"/>
      <c r="KC892" s="121"/>
      <c r="KD892" s="121"/>
      <c r="KE892" s="121"/>
      <c r="KF892" s="121"/>
      <c r="KG892" s="121"/>
      <c r="KH892" s="121"/>
      <c r="KI892" s="121"/>
      <c r="KJ892" s="121"/>
      <c r="KK892" s="121"/>
      <c r="KL892" s="121"/>
      <c r="KM892" s="121"/>
      <c r="KN892" s="121"/>
      <c r="KO892" s="121"/>
      <c r="KP892" s="121"/>
      <c r="KQ892" s="121"/>
      <c r="KR892" s="121"/>
      <c r="KS892" s="121"/>
      <c r="KT892" s="121"/>
      <c r="KU892" s="121"/>
      <c r="KV892" s="121"/>
      <c r="KW892" s="121"/>
      <c r="KX892" s="121"/>
      <c r="KY892" s="121"/>
      <c r="KZ892" s="121"/>
      <c r="LA892" s="121"/>
      <c r="LB892" s="121"/>
      <c r="LC892" s="121"/>
      <c r="LD892" s="121"/>
      <c r="LE892" s="121"/>
      <c r="LF892" s="121"/>
      <c r="LG892" s="121"/>
      <c r="LH892" s="121"/>
      <c r="LI892" s="121"/>
      <c r="LJ892" s="121"/>
      <c r="LK892" s="121"/>
      <c r="LL892" s="121"/>
      <c r="LM892" s="121"/>
      <c r="LN892" s="121"/>
      <c r="LO892" s="121"/>
      <c r="LP892" s="121"/>
      <c r="LQ892" s="121"/>
      <c r="LR892" s="121"/>
      <c r="LS892" s="121"/>
      <c r="LT892" s="121"/>
      <c r="LU892" s="121"/>
      <c r="LV892" s="121"/>
      <c r="LW892" s="121"/>
      <c r="LX892" s="121"/>
      <c r="LY892" s="121"/>
      <c r="LZ892" s="121"/>
      <c r="MA892" s="121"/>
      <c r="MB892" s="121"/>
      <c r="MC892" s="121"/>
      <c r="MD892" s="121"/>
      <c r="ME892" s="121"/>
      <c r="MF892" s="121"/>
      <c r="MG892" s="121"/>
      <c r="MH892" s="121"/>
      <c r="MI892" s="121"/>
      <c r="MJ892" s="121"/>
      <c r="MK892" s="121"/>
      <c r="ML892" s="121"/>
      <c r="MM892" s="121"/>
      <c r="MN892" s="121"/>
      <c r="MO892" s="121"/>
      <c r="MP892" s="121"/>
      <c r="MQ892" s="121"/>
      <c r="MR892" s="121"/>
      <c r="MS892" s="121"/>
      <c r="MT892" s="121"/>
      <c r="MU892" s="121"/>
      <c r="MV892" s="121"/>
      <c r="MW892" s="121"/>
      <c r="MX892" s="121"/>
      <c r="MY892" s="121"/>
      <c r="MZ892" s="121"/>
      <c r="NA892" s="121"/>
      <c r="NB892" s="121"/>
      <c r="NC892" s="121"/>
      <c r="ND892" s="121"/>
      <c r="NE892" s="121"/>
      <c r="NF892" s="121"/>
      <c r="NG892" s="121"/>
      <c r="NH892" s="121"/>
      <c r="NI892" s="121"/>
      <c r="NJ892" s="121"/>
      <c r="NK892" s="121"/>
      <c r="NL892" s="121"/>
      <c r="NM892" s="121"/>
      <c r="NN892" s="121"/>
      <c r="NO892" s="121"/>
      <c r="NP892" s="121"/>
      <c r="NQ892" s="121"/>
      <c r="NR892" s="121"/>
      <c r="NS892" s="121"/>
      <c r="NT892" s="121"/>
      <c r="NU892" s="121"/>
      <c r="NV892" s="121"/>
      <c r="NW892" s="121"/>
      <c r="NX892" s="121"/>
      <c r="NY892" s="121"/>
      <c r="NZ892" s="121"/>
      <c r="OA892" s="121"/>
      <c r="OB892" s="121"/>
      <c r="OC892" s="121"/>
      <c r="OD892" s="121"/>
      <c r="OE892" s="121"/>
      <c r="OF892" s="121"/>
      <c r="OG892" s="121"/>
      <c r="OH892" s="121"/>
      <c r="OI892" s="121"/>
      <c r="OJ892" s="121"/>
      <c r="OK892" s="121"/>
      <c r="OL892" s="121"/>
      <c r="OM892" s="121"/>
      <c r="ON892" s="121"/>
      <c r="OO892" s="121"/>
      <c r="OP892" s="121"/>
      <c r="OQ892" s="121"/>
      <c r="OR892" s="121"/>
      <c r="OS892" s="121"/>
      <c r="OT892" s="121"/>
      <c r="OU892" s="121"/>
      <c r="OV892" s="121"/>
      <c r="OW892" s="121"/>
      <c r="OX892" s="121"/>
      <c r="OY892" s="121"/>
      <c r="OZ892" s="121"/>
      <c r="PA892" s="121"/>
      <c r="PB892" s="121"/>
      <c r="PC892" s="121"/>
      <c r="PD892" s="121"/>
      <c r="PE892" s="121"/>
      <c r="PF892" s="121"/>
      <c r="PG892" s="121"/>
      <c r="PH892" s="121"/>
      <c r="PI892" s="121"/>
      <c r="PJ892" s="121"/>
      <c r="PK892" s="121"/>
      <c r="PL892" s="121"/>
      <c r="PM892" s="121"/>
      <c r="PN892" s="121"/>
      <c r="PO892" s="121"/>
      <c r="PP892" s="121"/>
      <c r="PQ892" s="121"/>
      <c r="PR892" s="121"/>
      <c r="PS892" s="121"/>
      <c r="PT892" s="121"/>
      <c r="PU892" s="121"/>
      <c r="PV892" s="121"/>
      <c r="PW892" s="121"/>
      <c r="PX892" s="121"/>
      <c r="PY892" s="121"/>
      <c r="PZ892" s="121"/>
      <c r="QA892" s="121"/>
      <c r="QB892" s="121"/>
      <c r="QC892" s="121"/>
      <c r="QD892" s="121"/>
      <c r="QE892" s="121"/>
      <c r="QF892" s="121"/>
      <c r="QG892" s="121"/>
      <c r="QH892" s="121"/>
      <c r="QI892" s="121"/>
      <c r="QJ892" s="121"/>
      <c r="QK892" s="121"/>
      <c r="QL892" s="121"/>
      <c r="QM892" s="121"/>
      <c r="QN892" s="121"/>
      <c r="QO892" s="121"/>
      <c r="QP892" s="121"/>
      <c r="QQ892" s="121"/>
      <c r="QR892" s="121"/>
      <c r="QS892" s="121"/>
      <c r="QT892" s="121"/>
      <c r="QU892" s="121"/>
      <c r="QV892" s="121"/>
      <c r="QW892" s="121"/>
      <c r="QX892" s="121"/>
      <c r="QY892" s="121"/>
      <c r="QZ892" s="121"/>
      <c r="RA892" s="121"/>
      <c r="RB892" s="121"/>
      <c r="RC892" s="121"/>
      <c r="RD892" s="121"/>
      <c r="RE892" s="121"/>
      <c r="RF892" s="121"/>
      <c r="RG892" s="121"/>
      <c r="RH892" s="121"/>
      <c r="RI892" s="121"/>
      <c r="RJ892" s="121"/>
      <c r="RK892" s="121"/>
      <c r="RL892" s="121"/>
      <c r="RM892" s="121"/>
      <c r="RN892" s="121"/>
      <c r="RO892" s="121"/>
      <c r="RP892" s="121"/>
      <c r="RQ892" s="121"/>
      <c r="RR892" s="121"/>
      <c r="RS892" s="121"/>
      <c r="RT892" s="121"/>
      <c r="RU892" s="121"/>
      <c r="RV892" s="121"/>
      <c r="RW892" s="121"/>
      <c r="RX892" s="121"/>
      <c r="RY892" s="121"/>
      <c r="RZ892" s="121"/>
      <c r="SA892" s="121"/>
      <c r="SB892" s="121"/>
      <c r="SC892" s="121"/>
      <c r="SD892" s="121"/>
      <c r="SE892" s="121"/>
      <c r="SF892" s="121"/>
      <c r="SG892" s="121"/>
      <c r="SH892" s="121"/>
      <c r="SI892" s="121"/>
      <c r="SJ892" s="121"/>
      <c r="SK892" s="121"/>
      <c r="SL892" s="121"/>
      <c r="SM892" s="121"/>
      <c r="SN892" s="121"/>
      <c r="SO892" s="121"/>
      <c r="SP892" s="121"/>
      <c r="SQ892" s="121"/>
      <c r="SR892" s="121"/>
      <c r="SS892" s="121"/>
      <c r="ST892" s="121"/>
      <c r="SU892" s="121"/>
      <c r="SV892" s="121"/>
      <c r="SW892" s="121"/>
      <c r="SX892" s="121"/>
      <c r="SY892" s="121"/>
      <c r="SZ892" s="121"/>
      <c r="TA892" s="121"/>
      <c r="TB892" s="121"/>
      <c r="TC892" s="121"/>
      <c r="TD892" s="121"/>
      <c r="TE892" s="121"/>
      <c r="TF892" s="121"/>
      <c r="TG892" s="121"/>
      <c r="TH892" s="121"/>
      <c r="TI892" s="121"/>
      <c r="TJ892" s="121"/>
      <c r="TK892" s="121"/>
      <c r="TL892" s="121"/>
      <c r="TM892" s="121"/>
      <c r="TN892" s="121"/>
      <c r="TO892" s="121"/>
      <c r="TP892" s="121"/>
      <c r="TQ892" s="121"/>
      <c r="TR892" s="121"/>
      <c r="TS892" s="121"/>
      <c r="TT892" s="121"/>
      <c r="TU892" s="121"/>
      <c r="TV892" s="121"/>
      <c r="TW892" s="121"/>
      <c r="TX892" s="121"/>
      <c r="TY892" s="121"/>
      <c r="TZ892" s="121"/>
      <c r="UA892" s="121"/>
      <c r="UB892" s="121"/>
      <c r="UC892" s="121"/>
      <c r="UD892" s="121"/>
      <c r="UE892" s="121"/>
      <c r="UF892" s="121"/>
      <c r="UG892" s="121"/>
      <c r="UH892" s="121"/>
      <c r="UI892" s="121"/>
      <c r="UJ892" s="121"/>
      <c r="UK892" s="121"/>
      <c r="UL892" s="121"/>
      <c r="UM892" s="121"/>
      <c r="UN892" s="121"/>
      <c r="UO892" s="121"/>
      <c r="UP892" s="121"/>
      <c r="UQ892" s="121"/>
      <c r="UR892" s="121"/>
      <c r="US892" s="121"/>
      <c r="UT892" s="121"/>
      <c r="UU892" s="121"/>
      <c r="UV892" s="121"/>
      <c r="UW892" s="121"/>
      <c r="UX892" s="121"/>
      <c r="UY892" s="121"/>
      <c r="UZ892" s="121"/>
      <c r="VA892" s="121"/>
      <c r="VB892" s="121"/>
      <c r="VC892" s="121"/>
      <c r="VD892" s="121"/>
      <c r="VE892" s="121"/>
      <c r="VF892" s="121"/>
      <c r="VG892" s="121"/>
      <c r="VH892" s="121"/>
      <c r="VI892" s="121"/>
      <c r="VJ892" s="121"/>
      <c r="VK892" s="121"/>
      <c r="VL892" s="121"/>
      <c r="VM892" s="121"/>
      <c r="VN892" s="121"/>
      <c r="VO892" s="121"/>
      <c r="VP892" s="121"/>
      <c r="VQ892" s="121"/>
      <c r="VR892" s="121"/>
      <c r="VS892" s="121"/>
      <c r="VT892" s="121"/>
      <c r="VU892" s="121"/>
      <c r="VV892" s="121"/>
      <c r="VW892" s="121"/>
      <c r="VX892" s="121"/>
      <c r="VY892" s="121"/>
      <c r="VZ892" s="121"/>
      <c r="WA892" s="121"/>
      <c r="WB892" s="121"/>
      <c r="WC892" s="121"/>
      <c r="WD892" s="121"/>
      <c r="WE892" s="121"/>
      <c r="WF892" s="121"/>
      <c r="WG892" s="121"/>
      <c r="WH892" s="121"/>
      <c r="WI892" s="121"/>
      <c r="WJ892" s="121"/>
      <c r="WK892" s="121"/>
      <c r="WL892" s="121"/>
      <c r="WM892" s="121"/>
      <c r="WN892" s="121"/>
      <c r="WO892" s="121"/>
      <c r="WP892" s="121"/>
      <c r="WQ892" s="121"/>
      <c r="WR892" s="121"/>
      <c r="WS892" s="121"/>
      <c r="WT892" s="121"/>
      <c r="WU892" s="121"/>
      <c r="WV892" s="121"/>
      <c r="WW892" s="121"/>
      <c r="WX892" s="121"/>
      <c r="WY892" s="121"/>
      <c r="WZ892" s="121"/>
      <c r="XA892" s="121"/>
      <c r="XB892" s="121"/>
      <c r="XC892" s="121"/>
      <c r="XD892" s="121"/>
      <c r="XE892" s="121"/>
      <c r="XF892" s="121"/>
      <c r="XG892" s="121"/>
      <c r="XH892" s="121"/>
      <c r="XI892" s="121"/>
      <c r="XJ892" s="121"/>
      <c r="XK892" s="121"/>
      <c r="XL892" s="121"/>
      <c r="XM892" s="121"/>
      <c r="XN892" s="121"/>
      <c r="XO892" s="121"/>
      <c r="XP892" s="121"/>
      <c r="XQ892" s="121"/>
      <c r="XR892" s="121"/>
      <c r="XS892" s="121"/>
      <c r="XT892" s="121"/>
      <c r="XU892" s="121"/>
      <c r="XV892" s="121"/>
      <c r="XW892" s="121"/>
      <c r="XX892" s="121"/>
      <c r="XY892" s="121"/>
      <c r="XZ892" s="121"/>
      <c r="YA892" s="121"/>
      <c r="YB892" s="121"/>
      <c r="YC892" s="121"/>
      <c r="YD892" s="121"/>
      <c r="YE892" s="121"/>
      <c r="YF892" s="121"/>
      <c r="YG892" s="121"/>
      <c r="YH892" s="121"/>
      <c r="YI892" s="121"/>
      <c r="YJ892" s="121"/>
      <c r="YK892" s="121"/>
      <c r="YL892" s="121"/>
      <c r="YM892" s="121"/>
      <c r="YN892" s="121"/>
      <c r="YO892" s="121"/>
      <c r="YP892" s="121"/>
      <c r="YQ892" s="121"/>
      <c r="YR892" s="121"/>
      <c r="YS892" s="121"/>
      <c r="YT892" s="121"/>
      <c r="YU892" s="121"/>
      <c r="YV892" s="121"/>
      <c r="YW892" s="121"/>
      <c r="YX892" s="121"/>
      <c r="YY892" s="121"/>
      <c r="YZ892" s="121"/>
      <c r="ZA892" s="121"/>
      <c r="ZB892" s="121"/>
      <c r="ZC892" s="121"/>
      <c r="ZD892" s="121"/>
      <c r="ZE892" s="121"/>
      <c r="ZF892" s="121"/>
      <c r="ZG892" s="121"/>
      <c r="ZH892" s="121"/>
      <c r="ZI892" s="121"/>
      <c r="ZJ892" s="121"/>
      <c r="ZK892" s="121"/>
      <c r="ZL892" s="121"/>
      <c r="ZM892" s="121"/>
      <c r="ZN892" s="121"/>
      <c r="ZO892" s="121"/>
      <c r="ZP892" s="121"/>
      <c r="ZQ892" s="121"/>
      <c r="ZR892" s="121"/>
      <c r="ZS892" s="121"/>
      <c r="ZT892" s="121"/>
      <c r="ZU892" s="121"/>
      <c r="ZV892" s="121"/>
      <c r="ZW892" s="121"/>
      <c r="ZX892" s="121"/>
      <c r="ZY892" s="121"/>
      <c r="ZZ892" s="121"/>
      <c r="AAA892" s="121"/>
      <c r="AAB892" s="121"/>
      <c r="AAC892" s="121"/>
      <c r="AAD892" s="121"/>
      <c r="AAE892" s="121"/>
      <c r="AAF892" s="121"/>
      <c r="AAG892" s="121"/>
      <c r="AAH892" s="121"/>
      <c r="AAI892" s="121"/>
      <c r="AAJ892" s="121"/>
      <c r="AAK892" s="121"/>
      <c r="AAL892" s="121"/>
      <c r="AAM892" s="121"/>
      <c r="AAN892" s="121"/>
      <c r="AAO892" s="121"/>
      <c r="AAP892" s="121"/>
      <c r="AAQ892" s="121"/>
      <c r="AAR892" s="121"/>
      <c r="AAS892" s="121"/>
      <c r="AAT892" s="121"/>
      <c r="AAU892" s="121"/>
      <c r="AAV892" s="121"/>
      <c r="AAW892" s="121"/>
      <c r="AAX892" s="121"/>
      <c r="AAY892" s="121"/>
      <c r="AAZ892" s="121"/>
      <c r="ABA892" s="121"/>
      <c r="ABB892" s="121"/>
      <c r="ABC892" s="121"/>
      <c r="ABD892" s="121"/>
      <c r="ABE892" s="121"/>
      <c r="ABF892" s="121"/>
      <c r="ABG892" s="121"/>
      <c r="ABH892" s="121"/>
      <c r="ABI892" s="121"/>
      <c r="ABJ892" s="121"/>
      <c r="ABK892" s="121"/>
      <c r="ABL892" s="121"/>
      <c r="ABM892" s="121"/>
      <c r="ABN892" s="121"/>
      <c r="ABO892" s="121"/>
      <c r="ABP892" s="121"/>
      <c r="ABQ892" s="121"/>
      <c r="ABR892" s="121"/>
      <c r="ABS892" s="121"/>
      <c r="ABT892" s="121"/>
      <c r="ABU892" s="121"/>
      <c r="ABV892" s="121"/>
      <c r="ABW892" s="121"/>
      <c r="ABX892" s="121"/>
      <c r="ABY892" s="121"/>
      <c r="ABZ892" s="121"/>
      <c r="ACA892" s="121"/>
      <c r="ACB892" s="121"/>
      <c r="ACC892" s="121"/>
      <c r="ACD892" s="121"/>
      <c r="ACE892" s="121"/>
      <c r="ACF892" s="121"/>
      <c r="ACG892" s="121"/>
      <c r="ACH892" s="121"/>
      <c r="ACI892" s="121"/>
      <c r="ACJ892" s="121"/>
      <c r="ACK892" s="121"/>
      <c r="ACL892" s="121"/>
      <c r="ACM892" s="121"/>
      <c r="ACN892" s="121"/>
      <c r="ACO892" s="121"/>
      <c r="ACP892" s="121"/>
      <c r="ACQ892" s="121"/>
      <c r="ACR892" s="121"/>
      <c r="ACS892" s="121"/>
      <c r="ACT892" s="121"/>
      <c r="ACU892" s="121"/>
      <c r="ACV892" s="121"/>
      <c r="ACW892" s="121"/>
      <c r="ACX892" s="121"/>
      <c r="ACY892" s="121"/>
      <c r="ACZ892" s="121"/>
      <c r="ADA892" s="121"/>
      <c r="ADB892" s="121"/>
      <c r="ADC892" s="121"/>
      <c r="ADD892" s="121"/>
      <c r="ADE892" s="121"/>
      <c r="ADF892" s="121"/>
      <c r="ADG892" s="121"/>
      <c r="ADH892" s="121"/>
      <c r="ADI892" s="121"/>
      <c r="ADJ892" s="121"/>
      <c r="ADK892" s="121"/>
      <c r="ADL892" s="121"/>
      <c r="ADM892" s="121"/>
      <c r="ADN892" s="121"/>
      <c r="ADO892" s="121"/>
      <c r="ADP892" s="121"/>
      <c r="ADQ892" s="121"/>
      <c r="ADR892" s="121"/>
      <c r="ADS892" s="121"/>
      <c r="ADT892" s="121"/>
      <c r="ADU892" s="121"/>
      <c r="ADV892" s="121"/>
      <c r="ADW892" s="121"/>
      <c r="ADX892" s="121"/>
      <c r="ADY892" s="121"/>
      <c r="ADZ892" s="121"/>
      <c r="AEA892" s="121"/>
      <c r="AEB892" s="121"/>
      <c r="AEC892" s="121"/>
      <c r="AED892" s="121"/>
      <c r="AEE892" s="121"/>
      <c r="AEF892" s="121"/>
      <c r="AEG892" s="121"/>
      <c r="AEH892" s="121"/>
      <c r="AEI892" s="121"/>
      <c r="AEJ892" s="121"/>
      <c r="AEK892" s="121"/>
      <c r="AEL892" s="121"/>
      <c r="AEM892" s="121"/>
      <c r="AEN892" s="121"/>
      <c r="AEO892" s="121"/>
      <c r="AEP892" s="121"/>
      <c r="AEQ892" s="121"/>
      <c r="AER892" s="121"/>
      <c r="AES892" s="121"/>
      <c r="AET892" s="121"/>
      <c r="AEU892" s="121"/>
      <c r="AEV892" s="121"/>
      <c r="AEW892" s="121"/>
      <c r="AEX892" s="121"/>
      <c r="AEY892" s="121"/>
      <c r="AEZ892" s="121"/>
      <c r="AFA892" s="121"/>
      <c r="AFB892" s="121"/>
      <c r="AFC892" s="121"/>
      <c r="AFD892" s="121"/>
      <c r="AFE892" s="121"/>
      <c r="AFF892" s="121"/>
      <c r="AFG892" s="121"/>
      <c r="AFH892" s="121"/>
      <c r="AFI892" s="121"/>
      <c r="AFJ892" s="121"/>
      <c r="AFK892" s="121"/>
      <c r="AFL892" s="121"/>
      <c r="AFM892" s="121"/>
      <c r="AFN892" s="121"/>
      <c r="AFO892" s="121"/>
      <c r="AFP892" s="121"/>
      <c r="AFQ892" s="121"/>
      <c r="AFR892" s="121"/>
      <c r="AFS892" s="121"/>
      <c r="AFT892" s="121"/>
      <c r="AFU892" s="121"/>
      <c r="AFV892" s="121"/>
      <c r="AFW892" s="121"/>
      <c r="AFX892" s="121"/>
      <c r="AFY892" s="121"/>
      <c r="AFZ892" s="121"/>
      <c r="AGA892" s="121"/>
      <c r="AGB892" s="121"/>
      <c r="AGC892" s="121"/>
      <c r="AGD892" s="121"/>
      <c r="AGE892" s="121"/>
      <c r="AGF892" s="121"/>
      <c r="AGG892" s="121"/>
      <c r="AGH892" s="121"/>
      <c r="AGI892" s="121"/>
      <c r="AGJ892" s="121"/>
      <c r="AGK892" s="121"/>
      <c r="AGL892" s="121"/>
      <c r="AGM892" s="121"/>
      <c r="AGN892" s="121"/>
      <c r="AGO892" s="121"/>
      <c r="AGP892" s="121"/>
      <c r="AGQ892" s="121"/>
      <c r="AGR892" s="121"/>
      <c r="AGS892" s="121"/>
      <c r="AGT892" s="121"/>
      <c r="AGU892" s="121"/>
      <c r="AGV892" s="121"/>
      <c r="AGW892" s="121"/>
      <c r="AGX892" s="121"/>
      <c r="AGY892" s="121"/>
      <c r="AGZ892" s="121"/>
      <c r="AHA892" s="121"/>
      <c r="AHB892" s="121"/>
      <c r="AHC892" s="121"/>
      <c r="AHD892" s="121"/>
      <c r="AHE892" s="121"/>
      <c r="AHF892" s="121"/>
      <c r="AHG892" s="121"/>
      <c r="AHH892" s="121"/>
      <c r="AHI892" s="121"/>
      <c r="AHJ892" s="121"/>
      <c r="AHK892" s="121"/>
      <c r="AHL892" s="121"/>
      <c r="AHM892" s="121"/>
      <c r="AHN892" s="121"/>
      <c r="AHO892" s="121"/>
      <c r="AHP892" s="121"/>
      <c r="AHQ892" s="121"/>
      <c r="AHR892" s="121"/>
      <c r="AHS892" s="121"/>
      <c r="AHT892" s="121"/>
      <c r="AHU892" s="121"/>
      <c r="AHV892" s="121"/>
      <c r="AHW892" s="121"/>
      <c r="AHX892" s="121"/>
      <c r="AHY892" s="121"/>
      <c r="AHZ892" s="121"/>
      <c r="AIA892" s="121"/>
      <c r="AIB892" s="121"/>
      <c r="AIC892" s="121"/>
      <c r="AID892" s="121"/>
      <c r="AIE892" s="121"/>
      <c r="AIF892" s="121"/>
      <c r="AIG892" s="121"/>
      <c r="AIH892" s="121"/>
      <c r="AII892" s="121"/>
      <c r="AIJ892" s="121"/>
      <c r="AIK892" s="121"/>
      <c r="AIL892" s="121"/>
      <c r="AIM892" s="121"/>
      <c r="AIN892" s="121"/>
      <c r="AIO892" s="121"/>
      <c r="AIP892" s="121"/>
      <c r="AIQ892" s="121"/>
      <c r="AIR892" s="121"/>
      <c r="AIS892" s="121"/>
      <c r="AIT892" s="121"/>
      <c r="AIU892" s="121"/>
      <c r="AIV892" s="121"/>
      <c r="AIW892" s="121"/>
      <c r="AIX892" s="121"/>
      <c r="AIY892" s="121"/>
      <c r="AIZ892" s="121"/>
      <c r="AJA892" s="121"/>
      <c r="AJB892" s="121"/>
      <c r="AJC892" s="121"/>
      <c r="AJD892" s="121"/>
      <c r="AJE892" s="121"/>
      <c r="AJF892" s="121"/>
      <c r="AJG892" s="121"/>
      <c r="AJH892" s="121"/>
      <c r="AJI892" s="121"/>
      <c r="AJJ892" s="121"/>
      <c r="AJK892" s="121"/>
      <c r="AJL892" s="121"/>
      <c r="AJM892" s="121"/>
      <c r="AJN892" s="121"/>
      <c r="AJO892" s="121"/>
      <c r="AJP892" s="121"/>
      <c r="AJQ892" s="121"/>
      <c r="AJR892" s="121"/>
      <c r="AJS892" s="121"/>
      <c r="AJT892" s="121"/>
      <c r="AJU892" s="121"/>
      <c r="AJV892" s="121"/>
      <c r="AJW892" s="121"/>
      <c r="AJX892" s="121"/>
      <c r="AJY892" s="121"/>
      <c r="AJZ892" s="121"/>
      <c r="AKA892" s="121"/>
      <c r="AKB892" s="121"/>
      <c r="AKC892" s="121"/>
      <c r="AKD892" s="121"/>
      <c r="AKE892" s="121"/>
      <c r="AKF892" s="121"/>
      <c r="AKG892" s="121"/>
      <c r="AKH892" s="121"/>
      <c r="AKI892" s="121"/>
      <c r="AKJ892" s="121"/>
      <c r="AKK892" s="121"/>
      <c r="AKL892" s="121"/>
      <c r="AKM892" s="121"/>
      <c r="AKN892" s="121"/>
      <c r="AKO892" s="121"/>
      <c r="AKP892" s="121"/>
      <c r="AKQ892" s="121"/>
      <c r="AKR892" s="121"/>
      <c r="AKS892" s="121"/>
      <c r="AKT892" s="121"/>
      <c r="AKU892" s="121"/>
      <c r="AKV892" s="121"/>
      <c r="AKW892" s="121"/>
      <c r="AKX892" s="121"/>
      <c r="AKY892" s="121"/>
      <c r="AKZ892" s="121"/>
      <c r="ALA892" s="121"/>
      <c r="ALB892" s="121"/>
      <c r="ALC892" s="121"/>
      <c r="ALD892" s="121"/>
      <c r="ALE892" s="121"/>
      <c r="ALF892" s="121"/>
      <c r="ALG892" s="121"/>
      <c r="ALH892" s="121"/>
      <c r="ALI892" s="121"/>
      <c r="ALJ892" s="121"/>
      <c r="ALK892" s="121"/>
      <c r="ALL892" s="121"/>
      <c r="ALM892" s="121"/>
      <c r="ALN892" s="121"/>
      <c r="ALO892" s="121"/>
      <c r="ALP892" s="121"/>
      <c r="ALQ892" s="121"/>
      <c r="ALR892" s="121"/>
      <c r="ALS892" s="121"/>
      <c r="ALT892" s="121"/>
      <c r="ALU892" s="121"/>
      <c r="ALV892" s="121"/>
      <c r="ALW892" s="121"/>
      <c r="ALX892" s="121"/>
      <c r="ALY892" s="121"/>
      <c r="ALZ892" s="121"/>
      <c r="AMA892" s="121"/>
      <c r="AMB892" s="121"/>
      <c r="AMC892" s="121"/>
      <c r="AMD892" s="121"/>
      <c r="AME892" s="121"/>
      <c r="AMF892" s="121"/>
      <c r="AMG892" s="121"/>
      <c r="AMH892" s="121"/>
      <c r="AMI892" s="121"/>
      <c r="AMJ892" s="121"/>
      <c r="AMK892" s="121"/>
      <c r="AML892" s="121"/>
      <c r="AMM892" s="121"/>
      <c r="AMN892" s="121"/>
      <c r="AMO892" s="121"/>
      <c r="AMP892" s="121"/>
      <c r="AMQ892" s="121"/>
      <c r="AMR892" s="121"/>
      <c r="AMS892" s="121"/>
      <c r="AMT892" s="121"/>
      <c r="AMU892" s="121"/>
      <c r="AMV892" s="121"/>
      <c r="AMW892" s="121"/>
      <c r="AMX892" s="121"/>
      <c r="AMY892" s="121"/>
      <c r="AMZ892" s="121"/>
      <c r="ANA892" s="121"/>
      <c r="ANB892" s="121"/>
      <c r="ANC892" s="121"/>
      <c r="AND892" s="121"/>
      <c r="ANE892" s="121"/>
      <c r="ANF892" s="121"/>
      <c r="ANG892" s="121"/>
      <c r="ANH892" s="121"/>
      <c r="ANI892" s="121"/>
      <c r="ANJ892" s="121"/>
      <c r="ANK892" s="121"/>
      <c r="ANL892" s="121"/>
      <c r="ANM892" s="121"/>
      <c r="ANN892" s="121"/>
      <c r="ANO892" s="121"/>
      <c r="ANP892" s="121"/>
      <c r="ANQ892" s="121"/>
      <c r="ANR892" s="121"/>
      <c r="ANS892" s="121"/>
      <c r="ANT892" s="121"/>
      <c r="ANU892" s="121"/>
      <c r="ANV892" s="121"/>
      <c r="ANW892" s="121"/>
      <c r="ANX892" s="121"/>
      <c r="ANY892" s="121"/>
      <c r="ANZ892" s="121"/>
      <c r="AOA892" s="121"/>
      <c r="AOB892" s="121"/>
      <c r="AOC892" s="121"/>
      <c r="AOD892" s="121"/>
      <c r="AOE892" s="121"/>
      <c r="AOF892" s="121"/>
      <c r="AOG892" s="121"/>
      <c r="AOH892" s="121"/>
      <c r="AOI892" s="121"/>
      <c r="AOJ892" s="121"/>
      <c r="AOK892" s="121"/>
      <c r="AOL892" s="121"/>
      <c r="AOM892" s="121"/>
      <c r="AON892" s="121"/>
      <c r="AOO892" s="121"/>
      <c r="AOP892" s="121"/>
      <c r="AOQ892" s="121"/>
      <c r="AOR892" s="121"/>
      <c r="AOS892" s="121"/>
      <c r="AOT892" s="121"/>
      <c r="AOU892" s="121"/>
      <c r="AOV892" s="121"/>
      <c r="AOW892" s="121"/>
      <c r="AOX892" s="121"/>
      <c r="AOY892" s="121"/>
      <c r="AOZ892" s="121"/>
      <c r="APA892" s="121"/>
      <c r="APB892" s="121"/>
      <c r="APC892" s="121"/>
      <c r="APD892" s="121"/>
      <c r="APE892" s="121"/>
      <c r="APF892" s="121"/>
      <c r="APG892" s="121"/>
      <c r="APH892" s="121"/>
      <c r="API892" s="121"/>
      <c r="APJ892" s="121"/>
      <c r="APK892" s="121"/>
      <c r="APL892" s="121"/>
      <c r="APM892" s="121"/>
      <c r="APN892" s="121"/>
      <c r="APO892" s="121"/>
      <c r="APP892" s="121"/>
      <c r="APQ892" s="121"/>
      <c r="APR892" s="121"/>
      <c r="APS892" s="121"/>
      <c r="APT892" s="121"/>
      <c r="APU892" s="121"/>
      <c r="APV892" s="121"/>
      <c r="APW892" s="121"/>
      <c r="APX892" s="121"/>
      <c r="APY892" s="121"/>
      <c r="APZ892" s="121"/>
      <c r="AQA892" s="121"/>
      <c r="AQB892" s="121"/>
      <c r="AQC892" s="121"/>
      <c r="AQD892" s="121"/>
      <c r="AQE892" s="121"/>
      <c r="AQF892" s="121"/>
      <c r="AQG892" s="121"/>
      <c r="AQH892" s="121"/>
      <c r="AQI892" s="121"/>
      <c r="AQJ892" s="121"/>
      <c r="AQK892" s="121"/>
      <c r="AQL892" s="121"/>
      <c r="AQM892" s="121"/>
      <c r="AQN892" s="121"/>
      <c r="AQO892" s="121"/>
      <c r="AQP892" s="121"/>
      <c r="AQQ892" s="121"/>
      <c r="AQR892" s="121"/>
      <c r="AQS892" s="121"/>
      <c r="AQT892" s="121"/>
      <c r="AQU892" s="121"/>
      <c r="AQV892" s="121"/>
      <c r="AQW892" s="121"/>
      <c r="AQX892" s="121"/>
      <c r="AQY892" s="121"/>
      <c r="AQZ892" s="121"/>
      <c r="ARA892" s="121"/>
      <c r="ARB892" s="121"/>
      <c r="ARC892" s="121"/>
      <c r="ARD892" s="121"/>
      <c r="ARE892" s="121"/>
      <c r="ARF892" s="121"/>
      <c r="ARG892" s="121"/>
      <c r="ARH892" s="121"/>
      <c r="ARI892" s="121"/>
      <c r="ARJ892" s="121"/>
      <c r="ARK892" s="121"/>
      <c r="ARL892" s="121"/>
      <c r="ARM892" s="121"/>
      <c r="ARN892" s="121"/>
      <c r="ARO892" s="121"/>
      <c r="ARP892" s="121"/>
      <c r="ARQ892" s="121"/>
      <c r="ARR892" s="121"/>
      <c r="ARS892" s="121"/>
      <c r="ART892" s="121"/>
      <c r="ARU892" s="121"/>
      <c r="ARV892" s="121"/>
      <c r="ARW892" s="121"/>
      <c r="ARX892" s="121"/>
      <c r="ARY892" s="121"/>
      <c r="ARZ892" s="121"/>
      <c r="ASA892" s="121"/>
      <c r="ASB892" s="121"/>
      <c r="ASC892" s="121"/>
      <c r="ASD892" s="121"/>
      <c r="ASE892" s="121"/>
      <c r="ASF892" s="121"/>
      <c r="ASG892" s="121"/>
      <c r="ASH892" s="121"/>
      <c r="ASI892" s="121"/>
      <c r="ASJ892" s="121"/>
      <c r="ASK892" s="121"/>
      <c r="ASL892" s="121"/>
      <c r="ASM892" s="121"/>
      <c r="ASN892" s="121"/>
      <c r="ASO892" s="121"/>
      <c r="ASP892" s="121"/>
      <c r="ASQ892" s="121"/>
      <c r="ASR892" s="121"/>
      <c r="ASS892" s="121"/>
      <c r="AST892" s="121"/>
      <c r="ASU892" s="121"/>
      <c r="ASV892" s="121"/>
      <c r="ASW892" s="121"/>
      <c r="ASX892" s="121"/>
      <c r="ASY892" s="121"/>
      <c r="ASZ892" s="121"/>
      <c r="ATA892" s="121"/>
      <c r="ATB892" s="121"/>
      <c r="ATC892" s="121"/>
      <c r="ATD892" s="121"/>
      <c r="ATE892" s="121"/>
      <c r="ATF892" s="121"/>
      <c r="ATG892" s="121"/>
      <c r="ATH892" s="121"/>
      <c r="ATI892" s="121"/>
      <c r="ATJ892" s="121"/>
      <c r="ATK892" s="121"/>
      <c r="ATL892" s="121"/>
      <c r="ATM892" s="121"/>
      <c r="ATN892" s="121"/>
      <c r="ATO892" s="121"/>
      <c r="ATP892" s="121"/>
      <c r="ATQ892" s="121"/>
      <c r="ATR892" s="121"/>
      <c r="ATS892" s="121"/>
      <c r="ATT892" s="121"/>
      <c r="ATU892" s="121"/>
      <c r="ATV892" s="121"/>
      <c r="ATW892" s="121"/>
      <c r="ATX892" s="121"/>
      <c r="ATY892" s="121"/>
      <c r="ATZ892" s="121"/>
      <c r="AUA892" s="121"/>
      <c r="AUB892" s="121"/>
      <c r="AUC892" s="121"/>
      <c r="AUD892" s="121"/>
      <c r="AUE892" s="121"/>
      <c r="AUF892" s="121"/>
      <c r="AUG892" s="121"/>
      <c r="AUH892" s="121"/>
      <c r="AUI892" s="121"/>
      <c r="AUJ892" s="121"/>
      <c r="AUK892" s="121"/>
      <c r="AUL892" s="121"/>
      <c r="AUM892" s="121"/>
      <c r="AUN892" s="121"/>
      <c r="AUO892" s="121"/>
      <c r="AUP892" s="121"/>
      <c r="AUQ892" s="121"/>
      <c r="AUR892" s="121"/>
      <c r="AUS892" s="121"/>
      <c r="AUT892" s="121"/>
      <c r="AUU892" s="121"/>
      <c r="AUV892" s="121"/>
      <c r="AUW892" s="121"/>
      <c r="AUX892" s="121"/>
      <c r="AUY892" s="121"/>
      <c r="AUZ892" s="121"/>
      <c r="AVA892" s="121"/>
      <c r="AVB892" s="121"/>
      <c r="AVC892" s="121"/>
      <c r="AVD892" s="121"/>
      <c r="AVE892" s="121"/>
      <c r="AVF892" s="121"/>
      <c r="AVG892" s="121"/>
      <c r="AVH892" s="121"/>
      <c r="AVI892" s="121"/>
      <c r="AVJ892" s="121"/>
      <c r="AVK892" s="121"/>
      <c r="AVL892" s="121"/>
      <c r="AVM892" s="121"/>
      <c r="AVN892" s="121"/>
      <c r="AVO892" s="121"/>
      <c r="AVP892" s="121"/>
      <c r="AVQ892" s="121"/>
      <c r="AVR892" s="121"/>
      <c r="AVS892" s="121"/>
      <c r="AVT892" s="121"/>
      <c r="AVU892" s="121"/>
      <c r="AVV892" s="121"/>
      <c r="AVW892" s="121"/>
      <c r="AVX892" s="121"/>
      <c r="AVY892" s="121"/>
      <c r="AVZ892" s="121"/>
      <c r="AWA892" s="121"/>
      <c r="AWB892" s="121"/>
      <c r="AWC892" s="121"/>
      <c r="AWD892" s="121"/>
      <c r="AWE892" s="121"/>
      <c r="AWF892" s="121"/>
      <c r="AWG892" s="121"/>
      <c r="AWH892" s="121"/>
      <c r="AWI892" s="121"/>
      <c r="AWJ892" s="121"/>
      <c r="AWK892" s="121"/>
      <c r="AWL892" s="121"/>
      <c r="AWM892" s="121"/>
      <c r="AWN892" s="121"/>
      <c r="AWO892" s="121"/>
      <c r="AWP892" s="121"/>
      <c r="AWQ892" s="121"/>
      <c r="AWR892" s="121"/>
      <c r="AWS892" s="121"/>
      <c r="AWT892" s="121"/>
      <c r="AWU892" s="121"/>
      <c r="AWV892" s="121"/>
      <c r="AWW892" s="121"/>
      <c r="AWX892" s="121"/>
      <c r="AWY892" s="121"/>
      <c r="AWZ892" s="121"/>
      <c r="AXA892" s="121"/>
      <c r="AXB892" s="121"/>
      <c r="AXC892" s="121"/>
      <c r="AXD892" s="121"/>
      <c r="AXE892" s="121"/>
      <c r="AXF892" s="121"/>
      <c r="AXG892" s="121"/>
      <c r="AXH892" s="121"/>
      <c r="AXI892" s="121"/>
      <c r="AXJ892" s="121"/>
      <c r="AXK892" s="121"/>
      <c r="AXL892" s="121"/>
      <c r="AXM892" s="121"/>
      <c r="AXN892" s="121"/>
      <c r="AXO892" s="121"/>
      <c r="AXP892" s="121"/>
      <c r="AXQ892" s="121"/>
      <c r="AXR892" s="121"/>
      <c r="AXS892" s="121"/>
      <c r="AXT892" s="121"/>
      <c r="AXU892" s="121"/>
      <c r="AXV892" s="121"/>
      <c r="AXW892" s="121"/>
      <c r="AXX892" s="121"/>
      <c r="AXY892" s="121"/>
      <c r="AXZ892" s="121"/>
      <c r="AYA892" s="121"/>
      <c r="AYB892" s="121"/>
      <c r="AYC892" s="121"/>
      <c r="AYD892" s="121"/>
      <c r="AYE892" s="121"/>
      <c r="AYF892" s="121"/>
      <c r="AYG892" s="121"/>
      <c r="AYH892" s="121"/>
      <c r="AYI892" s="121"/>
      <c r="AYJ892" s="121"/>
      <c r="AYK892" s="121"/>
      <c r="AYL892" s="121"/>
      <c r="AYM892" s="121"/>
      <c r="AYN892" s="121"/>
      <c r="AYO892" s="121"/>
      <c r="AYP892" s="121"/>
      <c r="AYQ892" s="121"/>
      <c r="AYR892" s="121"/>
      <c r="AYS892" s="121"/>
      <c r="AYT892" s="121"/>
      <c r="AYU892" s="121"/>
      <c r="AYV892" s="121"/>
      <c r="AYW892" s="121"/>
      <c r="AYX892" s="121"/>
      <c r="AYY892" s="121"/>
      <c r="AYZ892" s="121"/>
      <c r="AZA892" s="121"/>
      <c r="AZB892" s="121"/>
      <c r="AZC892" s="121"/>
      <c r="AZD892" s="121"/>
      <c r="AZE892" s="121"/>
      <c r="AZF892" s="121"/>
      <c r="AZG892" s="121"/>
      <c r="AZH892" s="121"/>
      <c r="AZI892" s="121"/>
      <c r="AZJ892" s="121"/>
      <c r="AZK892" s="121"/>
      <c r="AZL892" s="121"/>
      <c r="AZM892" s="121"/>
      <c r="AZN892" s="121"/>
      <c r="AZO892" s="121"/>
      <c r="AZP892" s="121"/>
      <c r="AZQ892" s="121"/>
      <c r="AZR892" s="121"/>
      <c r="AZS892" s="121"/>
      <c r="AZT892" s="121"/>
      <c r="AZU892" s="121"/>
      <c r="AZV892" s="121"/>
      <c r="AZW892" s="121"/>
      <c r="AZX892" s="121"/>
      <c r="AZY892" s="121"/>
      <c r="AZZ892" s="121"/>
      <c r="BAA892" s="121"/>
      <c r="BAB892" s="121"/>
      <c r="BAC892" s="121"/>
      <c r="BAD892" s="121"/>
      <c r="BAE892" s="121"/>
      <c r="BAF892" s="121"/>
      <c r="BAG892" s="121"/>
      <c r="BAH892" s="121"/>
      <c r="BAI892" s="121"/>
      <c r="BAJ892" s="121"/>
      <c r="BAK892" s="121"/>
      <c r="BAL892" s="121"/>
      <c r="BAM892" s="121"/>
      <c r="BAN892" s="121"/>
      <c r="BAO892" s="121"/>
      <c r="BAP892" s="121"/>
      <c r="BAQ892" s="121"/>
      <c r="BAR892" s="121"/>
      <c r="BAS892" s="121"/>
      <c r="BAT892" s="121"/>
      <c r="BAU892" s="121"/>
      <c r="BAV892" s="121"/>
      <c r="BAW892" s="121"/>
      <c r="BAX892" s="121"/>
      <c r="BAY892" s="121"/>
      <c r="BAZ892" s="121"/>
      <c r="BBA892" s="121"/>
      <c r="BBB892" s="121"/>
      <c r="BBC892" s="121"/>
      <c r="BBD892" s="121"/>
      <c r="BBE892" s="121"/>
      <c r="BBF892" s="121"/>
      <c r="BBG892" s="121"/>
      <c r="BBH892" s="121"/>
      <c r="BBI892" s="121"/>
      <c r="BBJ892" s="121"/>
      <c r="BBK892" s="121"/>
      <c r="BBL892" s="121"/>
      <c r="BBM892" s="121"/>
      <c r="BBN892" s="121"/>
      <c r="BBO892" s="121"/>
      <c r="BBP892" s="121"/>
      <c r="BBQ892" s="121"/>
      <c r="BBR892" s="121"/>
      <c r="BBS892" s="121"/>
      <c r="BBT892" s="121"/>
      <c r="BBU892" s="121"/>
      <c r="BBV892" s="121"/>
      <c r="BBW892" s="121"/>
      <c r="BBX892" s="121"/>
      <c r="BBY892" s="121"/>
      <c r="BBZ892" s="121"/>
      <c r="BCA892" s="121"/>
      <c r="BCB892" s="121"/>
      <c r="BCC892" s="121"/>
      <c r="BCD892" s="121"/>
      <c r="BCE892" s="121"/>
      <c r="BCF892" s="121"/>
      <c r="BCG892" s="121"/>
      <c r="BCH892" s="121"/>
      <c r="BCI892" s="121"/>
      <c r="BCJ892" s="121"/>
      <c r="BCK892" s="121"/>
      <c r="BCL892" s="121"/>
      <c r="BCM892" s="121"/>
      <c r="BCN892" s="121"/>
      <c r="BCO892" s="121"/>
      <c r="BCP892" s="121"/>
      <c r="BCQ892" s="121"/>
      <c r="BCR892" s="121"/>
      <c r="BCS892" s="121"/>
      <c r="BCT892" s="121"/>
      <c r="BCU892" s="121"/>
      <c r="BCV892" s="121"/>
      <c r="BCW892" s="121"/>
      <c r="BCX892" s="121"/>
      <c r="BCY892" s="121"/>
      <c r="BCZ892" s="121"/>
      <c r="BDA892" s="121"/>
      <c r="BDB892" s="121"/>
      <c r="BDC892" s="121"/>
      <c r="BDD892" s="121"/>
      <c r="BDE892" s="121"/>
      <c r="BDF892" s="121"/>
      <c r="BDG892" s="121"/>
      <c r="BDH892" s="121"/>
      <c r="BDI892" s="121"/>
      <c r="BDJ892" s="121"/>
      <c r="BDK892" s="121"/>
      <c r="BDL892" s="121"/>
      <c r="BDM892" s="121"/>
      <c r="BDN892" s="121"/>
      <c r="BDO892" s="121"/>
      <c r="BDP892" s="121"/>
      <c r="BDQ892" s="121"/>
      <c r="BDR892" s="121"/>
      <c r="BDS892" s="121"/>
      <c r="BDT892" s="121"/>
      <c r="BDU892" s="121"/>
      <c r="BDV892" s="121"/>
      <c r="BDW892" s="121"/>
      <c r="BDX892" s="121"/>
      <c r="BDY892" s="121"/>
      <c r="BDZ892" s="121"/>
      <c r="BEA892" s="121"/>
      <c r="BEB892" s="121"/>
      <c r="BEC892" s="121"/>
      <c r="BED892" s="121"/>
      <c r="BEE892" s="121"/>
      <c r="BEF892" s="121"/>
      <c r="BEG892" s="121"/>
      <c r="BEH892" s="121"/>
      <c r="BEI892" s="121"/>
      <c r="BEJ892" s="121"/>
      <c r="BEK892" s="121"/>
      <c r="BEL892" s="121"/>
      <c r="BEM892" s="121"/>
      <c r="BEN892" s="121"/>
      <c r="BEO892" s="121"/>
      <c r="BEP892" s="121"/>
      <c r="BEQ892" s="121"/>
      <c r="BER892" s="121"/>
      <c r="BES892" s="121"/>
      <c r="BET892" s="121"/>
      <c r="BEU892" s="121"/>
      <c r="BEV892" s="121"/>
      <c r="BEW892" s="121"/>
      <c r="BEX892" s="121"/>
      <c r="BEY892" s="121"/>
      <c r="BEZ892" s="121"/>
      <c r="BFA892" s="121"/>
      <c r="BFB892" s="121"/>
      <c r="BFC892" s="121"/>
      <c r="BFD892" s="121"/>
      <c r="BFE892" s="121"/>
      <c r="BFF892" s="121"/>
      <c r="BFG892" s="121"/>
      <c r="BFH892" s="121"/>
      <c r="BFI892" s="121"/>
      <c r="BFJ892" s="121"/>
      <c r="BFK892" s="121"/>
      <c r="BFL892" s="121"/>
      <c r="BFM892" s="121"/>
      <c r="BFN892" s="121"/>
      <c r="BFO892" s="121"/>
      <c r="BFP892" s="121"/>
      <c r="BFQ892" s="121"/>
      <c r="BFR892" s="121"/>
      <c r="BFS892" s="121"/>
      <c r="BFT892" s="121"/>
      <c r="BFU892" s="121"/>
      <c r="BFV892" s="121"/>
      <c r="BFW892" s="121"/>
      <c r="BFX892" s="121"/>
      <c r="BFY892" s="121"/>
      <c r="BFZ892" s="121"/>
      <c r="BGA892" s="121"/>
      <c r="BGB892" s="121"/>
      <c r="BGC892" s="121"/>
      <c r="BGD892" s="121"/>
      <c r="BGE892" s="121"/>
      <c r="BGF892" s="121"/>
      <c r="BGG892" s="121"/>
      <c r="BGH892" s="121"/>
      <c r="BGI892" s="121"/>
      <c r="BGJ892" s="121"/>
      <c r="BGK892" s="121"/>
      <c r="BGL892" s="121"/>
      <c r="BGM892" s="121"/>
      <c r="BGN892" s="121"/>
      <c r="BGO892" s="121"/>
      <c r="BGP892" s="121"/>
      <c r="BGQ892" s="121"/>
      <c r="BGR892" s="121"/>
      <c r="BGS892" s="121"/>
      <c r="BGT892" s="121"/>
      <c r="BGU892" s="121"/>
      <c r="BGV892" s="121"/>
      <c r="BGW892" s="121"/>
      <c r="BGX892" s="121"/>
      <c r="BGY892" s="121"/>
      <c r="BGZ892" s="121"/>
      <c r="BHA892" s="121"/>
      <c r="BHB892" s="121"/>
      <c r="BHC892" s="121"/>
      <c r="BHD892" s="121"/>
      <c r="BHE892" s="121"/>
      <c r="BHF892" s="121"/>
      <c r="BHG892" s="121"/>
      <c r="BHH892" s="121"/>
      <c r="BHI892" s="121"/>
      <c r="BHJ892" s="121"/>
      <c r="BHK892" s="121"/>
      <c r="BHL892" s="121"/>
      <c r="BHM892" s="121"/>
      <c r="BHN892" s="121"/>
      <c r="BHO892" s="121"/>
      <c r="BHP892" s="121"/>
      <c r="BHQ892" s="121"/>
      <c r="BHR892" s="121"/>
      <c r="BHS892" s="121"/>
      <c r="BHT892" s="121"/>
      <c r="BHU892" s="121"/>
      <c r="BHV892" s="121"/>
      <c r="BHW892" s="121"/>
      <c r="BHX892" s="121"/>
      <c r="BHY892" s="121"/>
      <c r="BHZ892" s="121"/>
      <c r="BIA892" s="121"/>
      <c r="BIB892" s="121"/>
      <c r="BIC892" s="121"/>
      <c r="BID892" s="121"/>
      <c r="BIE892" s="121"/>
      <c r="BIF892" s="121"/>
      <c r="BIG892" s="121"/>
      <c r="BIH892" s="121"/>
      <c r="BII892" s="121"/>
      <c r="BIJ892" s="121"/>
      <c r="BIK892" s="121"/>
      <c r="BIL892" s="121"/>
      <c r="BIM892" s="121"/>
      <c r="BIN892" s="121"/>
      <c r="BIO892" s="121"/>
      <c r="BIP892" s="121"/>
      <c r="BIQ892" s="121"/>
      <c r="BIR892" s="121"/>
      <c r="BIS892" s="121"/>
      <c r="BIT892" s="121"/>
      <c r="BIU892" s="121"/>
      <c r="BIV892" s="121"/>
      <c r="BIW892" s="121"/>
      <c r="BIX892" s="121"/>
      <c r="BIY892" s="121"/>
      <c r="BIZ892" s="121"/>
      <c r="BJA892" s="121"/>
      <c r="BJB892" s="121"/>
      <c r="BJC892" s="121"/>
      <c r="BJD892" s="121"/>
      <c r="BJE892" s="121"/>
      <c r="BJF892" s="121"/>
      <c r="BJG892" s="121"/>
      <c r="BJH892" s="121"/>
      <c r="BJI892" s="121"/>
      <c r="BJJ892" s="121"/>
      <c r="BJK892" s="121"/>
      <c r="BJL892" s="121"/>
      <c r="BJM892" s="121"/>
      <c r="BJN892" s="121"/>
      <c r="BJO892" s="121"/>
      <c r="BJP892" s="121"/>
      <c r="BJQ892" s="121"/>
      <c r="BJR892" s="121"/>
      <c r="BJS892" s="121"/>
      <c r="BJT892" s="121"/>
      <c r="BJU892" s="121"/>
      <c r="BJV892" s="121"/>
      <c r="BJW892" s="121"/>
      <c r="BJX892" s="121"/>
      <c r="BJY892" s="121"/>
      <c r="BJZ892" s="121"/>
      <c r="BKA892" s="121"/>
      <c r="BKB892" s="121"/>
      <c r="BKC892" s="121"/>
      <c r="BKD892" s="121"/>
      <c r="BKE892" s="121"/>
      <c r="BKF892" s="121"/>
      <c r="BKG892" s="121"/>
      <c r="BKH892" s="121"/>
      <c r="BKI892" s="121"/>
      <c r="BKJ892" s="121"/>
      <c r="BKK892" s="121"/>
      <c r="BKL892" s="121"/>
      <c r="BKM892" s="121"/>
      <c r="BKN892" s="121"/>
      <c r="BKO892" s="121"/>
      <c r="BKP892" s="121"/>
      <c r="BKQ892" s="121"/>
      <c r="BKR892" s="121"/>
      <c r="BKS892" s="121"/>
      <c r="BKT892" s="121"/>
      <c r="BKU892" s="121"/>
      <c r="BKV892" s="121"/>
      <c r="BKW892" s="121"/>
      <c r="BKX892" s="121"/>
      <c r="BKY892" s="121"/>
      <c r="BKZ892" s="121"/>
      <c r="BLA892" s="121"/>
      <c r="BLB892" s="121"/>
      <c r="BLC892" s="121"/>
      <c r="BLD892" s="121"/>
      <c r="BLE892" s="121"/>
      <c r="BLF892" s="121"/>
      <c r="BLG892" s="121"/>
      <c r="BLH892" s="121"/>
      <c r="BLI892" s="121"/>
      <c r="BLJ892" s="121"/>
      <c r="BLK892" s="121"/>
      <c r="BLL892" s="121"/>
      <c r="BLM892" s="121"/>
      <c r="BLN892" s="121"/>
      <c r="BLO892" s="121"/>
      <c r="BLP892" s="121"/>
      <c r="BLQ892" s="121"/>
      <c r="BLR892" s="121"/>
      <c r="BLS892" s="121"/>
      <c r="BLT892" s="121"/>
      <c r="BLU892" s="121"/>
      <c r="BLV892" s="121"/>
      <c r="BLW892" s="121"/>
      <c r="BLX892" s="121"/>
      <c r="BLY892" s="121"/>
      <c r="BLZ892" s="121"/>
      <c r="BMA892" s="121"/>
      <c r="BMB892" s="121"/>
      <c r="BMC892" s="121"/>
      <c r="BMD892" s="121"/>
      <c r="BME892" s="121"/>
      <c r="BMF892" s="121"/>
      <c r="BMG892" s="121"/>
      <c r="BMH892" s="121"/>
      <c r="BMI892" s="121"/>
      <c r="BMJ892" s="121"/>
      <c r="BMK892" s="121"/>
      <c r="BML892" s="121"/>
      <c r="BMM892" s="121"/>
      <c r="BMN892" s="121"/>
      <c r="BMO892" s="121"/>
      <c r="BMP892" s="121"/>
      <c r="BMQ892" s="121"/>
      <c r="BMR892" s="121"/>
      <c r="BMS892" s="121"/>
      <c r="BMT892" s="121"/>
      <c r="BMU892" s="121"/>
      <c r="BMV892" s="121"/>
      <c r="BMW892" s="121"/>
      <c r="BMX892" s="121"/>
      <c r="BMY892" s="121"/>
      <c r="BMZ892" s="121"/>
      <c r="BNA892" s="121"/>
      <c r="BNB892" s="121"/>
      <c r="BNC892" s="121"/>
      <c r="BND892" s="121"/>
      <c r="BNE892" s="121"/>
      <c r="BNF892" s="121"/>
      <c r="BNG892" s="121"/>
      <c r="BNH892" s="121"/>
      <c r="BNI892" s="121"/>
      <c r="BNJ892" s="121"/>
      <c r="BNK892" s="121"/>
      <c r="BNL892" s="121"/>
      <c r="BNM892" s="121"/>
      <c r="BNN892" s="121"/>
      <c r="BNO892" s="121"/>
      <c r="BNP892" s="121"/>
      <c r="BNQ892" s="121"/>
      <c r="BNR892" s="121"/>
      <c r="BNS892" s="121"/>
      <c r="BNT892" s="121"/>
      <c r="BNU892" s="121"/>
      <c r="BNV892" s="121"/>
      <c r="BNW892" s="121"/>
      <c r="BNX892" s="121"/>
      <c r="BNY892" s="121"/>
      <c r="BNZ892" s="121"/>
      <c r="BOA892" s="121"/>
      <c r="BOB892" s="121"/>
      <c r="BOC892" s="121"/>
      <c r="BOD892" s="121"/>
      <c r="BOE892" s="121"/>
      <c r="BOF892" s="121"/>
      <c r="BOG892" s="121"/>
      <c r="BOH892" s="121"/>
      <c r="BOI892" s="121"/>
      <c r="BOJ892" s="121"/>
      <c r="BOK892" s="121"/>
      <c r="BOL892" s="121"/>
      <c r="BOM892" s="121"/>
      <c r="BON892" s="121"/>
      <c r="BOO892" s="121"/>
      <c r="BOP892" s="121"/>
      <c r="BOQ892" s="121"/>
      <c r="BOR892" s="121"/>
      <c r="BOS892" s="121"/>
      <c r="BOT892" s="121"/>
      <c r="BOU892" s="121"/>
      <c r="BOV892" s="121"/>
      <c r="BOW892" s="121"/>
      <c r="BOX892" s="121"/>
      <c r="BOY892" s="121"/>
      <c r="BOZ892" s="121"/>
      <c r="BPA892" s="121"/>
      <c r="BPB892" s="121"/>
      <c r="BPC892" s="121"/>
      <c r="BPD892" s="121"/>
      <c r="BPE892" s="121"/>
      <c r="BPF892" s="121"/>
      <c r="BPG892" s="121"/>
      <c r="BPH892" s="121"/>
      <c r="BPI892" s="121"/>
      <c r="BPJ892" s="121"/>
      <c r="BPK892" s="121"/>
      <c r="BPL892" s="121"/>
      <c r="BPM892" s="121"/>
      <c r="BPN892" s="121"/>
      <c r="BPO892" s="121"/>
      <c r="BPP892" s="121"/>
      <c r="BPQ892" s="121"/>
      <c r="BPR892" s="121"/>
      <c r="BPS892" s="121"/>
      <c r="BPT892" s="121"/>
      <c r="BPU892" s="121"/>
      <c r="BPV892" s="121"/>
      <c r="BPW892" s="121"/>
      <c r="BPX892" s="121"/>
      <c r="BPY892" s="121"/>
      <c r="BPZ892" s="121"/>
      <c r="BQA892" s="121"/>
      <c r="BQB892" s="121"/>
      <c r="BQC892" s="121"/>
      <c r="BQD892" s="121"/>
      <c r="BQE892" s="121"/>
      <c r="BQF892" s="121"/>
      <c r="BQG892" s="121"/>
      <c r="BQH892" s="121"/>
      <c r="BQI892" s="121"/>
      <c r="BQJ892" s="121"/>
      <c r="BQK892" s="121"/>
      <c r="BQL892" s="121"/>
      <c r="BQM892" s="121"/>
      <c r="BQN892" s="121"/>
      <c r="BQO892" s="121"/>
      <c r="BQP892" s="121"/>
      <c r="BQQ892" s="121"/>
      <c r="BQR892" s="121"/>
      <c r="BQS892" s="121"/>
      <c r="BQT892" s="121"/>
      <c r="BQU892" s="121"/>
      <c r="BQV892" s="121"/>
      <c r="BQW892" s="121"/>
      <c r="BQX892" s="121"/>
      <c r="BQY892" s="121"/>
      <c r="BQZ892" s="121"/>
      <c r="BRA892" s="121"/>
      <c r="BRB892" s="121"/>
      <c r="BRC892" s="121"/>
      <c r="BRD892" s="121"/>
      <c r="BRE892" s="121"/>
      <c r="BRF892" s="121"/>
      <c r="BRG892" s="121"/>
      <c r="BRH892" s="121"/>
      <c r="BRI892" s="121"/>
      <c r="BRJ892" s="121"/>
      <c r="BRK892" s="121"/>
      <c r="BRL892" s="121"/>
      <c r="BRM892" s="121"/>
      <c r="BRN892" s="121"/>
      <c r="BRO892" s="121"/>
      <c r="BRP892" s="121"/>
      <c r="BRQ892" s="121"/>
      <c r="BRR892" s="121"/>
      <c r="BRS892" s="121"/>
      <c r="BRT892" s="121"/>
      <c r="BRU892" s="121"/>
      <c r="BRV892" s="121"/>
      <c r="BRW892" s="121"/>
      <c r="BRX892" s="121"/>
      <c r="BRY892" s="121"/>
      <c r="BRZ892" s="121"/>
      <c r="BSA892" s="121"/>
      <c r="BSB892" s="121"/>
      <c r="BSC892" s="121"/>
      <c r="BSD892" s="121"/>
      <c r="BSE892" s="121"/>
      <c r="BSF892" s="121"/>
      <c r="BSG892" s="121"/>
      <c r="BSH892" s="121"/>
      <c r="BSI892" s="121"/>
      <c r="BSJ892" s="121"/>
      <c r="BSK892" s="121"/>
      <c r="BSL892" s="121"/>
      <c r="BSM892" s="121"/>
      <c r="BSN892" s="121"/>
      <c r="BSO892" s="121"/>
      <c r="BSP892" s="121"/>
      <c r="BSQ892" s="121"/>
      <c r="BSR892" s="121"/>
      <c r="BSS892" s="121"/>
      <c r="BST892" s="121"/>
      <c r="BSU892" s="121"/>
      <c r="BSV892" s="121"/>
      <c r="BSW892" s="121"/>
      <c r="BSX892" s="121"/>
      <c r="BSY892" s="121"/>
      <c r="BSZ892" s="121"/>
      <c r="BTA892" s="121"/>
      <c r="BTB892" s="121"/>
      <c r="BTC892" s="121"/>
      <c r="BTD892" s="121"/>
      <c r="BTE892" s="121"/>
      <c r="BTF892" s="121"/>
      <c r="BTG892" s="121"/>
      <c r="BTH892" s="121"/>
      <c r="BTI892" s="121"/>
      <c r="BTJ892" s="121"/>
      <c r="BTK892" s="121"/>
      <c r="BTL892" s="121"/>
      <c r="BTM892" s="121"/>
      <c r="BTN892" s="121"/>
      <c r="BTO892" s="121"/>
      <c r="BTP892" s="121"/>
      <c r="BTQ892" s="121"/>
      <c r="BTR892" s="121"/>
      <c r="BTS892" s="121"/>
      <c r="BTT892" s="121"/>
      <c r="BTU892" s="121"/>
      <c r="BTV892" s="121"/>
      <c r="BTW892" s="121"/>
      <c r="BTX892" s="121"/>
      <c r="BTY892" s="121"/>
      <c r="BTZ892" s="121"/>
      <c r="BUA892" s="121"/>
      <c r="BUB892" s="121"/>
      <c r="BUC892" s="121"/>
      <c r="BUD892" s="121"/>
      <c r="BUE892" s="121"/>
      <c r="BUF892" s="121"/>
      <c r="BUG892" s="121"/>
      <c r="BUH892" s="121"/>
      <c r="BUI892" s="121"/>
      <c r="BUJ892" s="121"/>
      <c r="BUK892" s="121"/>
      <c r="BUL892" s="121"/>
      <c r="BUM892" s="121"/>
      <c r="BUN892" s="121"/>
      <c r="BUO892" s="121"/>
      <c r="BUP892" s="121"/>
      <c r="BUQ892" s="121"/>
      <c r="BUR892" s="121"/>
      <c r="BUS892" s="121"/>
      <c r="BUT892" s="121"/>
      <c r="BUU892" s="121"/>
      <c r="BUV892" s="121"/>
      <c r="BUW892" s="121"/>
      <c r="BUX892" s="121"/>
      <c r="BUY892" s="121"/>
      <c r="BUZ892" s="121"/>
      <c r="BVA892" s="121"/>
      <c r="BVB892" s="121"/>
      <c r="BVC892" s="121"/>
      <c r="BVD892" s="121"/>
      <c r="BVE892" s="121"/>
      <c r="BVF892" s="121"/>
      <c r="BVG892" s="121"/>
      <c r="BVH892" s="121"/>
      <c r="BVI892" s="121"/>
      <c r="BVJ892" s="121"/>
      <c r="BVK892" s="121"/>
      <c r="BVL892" s="121"/>
      <c r="BVM892" s="121"/>
      <c r="BVN892" s="121"/>
      <c r="BVO892" s="121"/>
      <c r="BVP892" s="121"/>
      <c r="BVQ892" s="121"/>
      <c r="BVR892" s="121"/>
      <c r="BVS892" s="121"/>
      <c r="BVT892" s="121"/>
      <c r="BVU892" s="121"/>
      <c r="BVV892" s="121"/>
      <c r="BVW892" s="121"/>
      <c r="BVX892" s="121"/>
      <c r="BVY892" s="121"/>
      <c r="BVZ892" s="121"/>
      <c r="BWA892" s="121"/>
      <c r="BWB892" s="121"/>
      <c r="BWC892" s="121"/>
      <c r="BWD892" s="121"/>
      <c r="BWE892" s="121"/>
      <c r="BWF892" s="121"/>
      <c r="BWG892" s="121"/>
      <c r="BWH892" s="121"/>
      <c r="BWI892" s="121"/>
      <c r="BWJ892" s="121"/>
      <c r="BWK892" s="121"/>
      <c r="BWL892" s="121"/>
      <c r="BWM892" s="121"/>
      <c r="BWN892" s="121"/>
      <c r="BWO892" s="121"/>
      <c r="BWP892" s="121"/>
      <c r="BWQ892" s="121"/>
      <c r="BWR892" s="121"/>
      <c r="BWS892" s="121"/>
      <c r="BWT892" s="121"/>
      <c r="BWU892" s="121"/>
      <c r="BWV892" s="121"/>
      <c r="BWW892" s="121"/>
      <c r="BWX892" s="121"/>
      <c r="BWY892" s="121"/>
      <c r="BWZ892" s="121"/>
      <c r="BXA892" s="121"/>
      <c r="BXB892" s="121"/>
      <c r="BXC892" s="121"/>
      <c r="BXD892" s="121"/>
      <c r="BXE892" s="121"/>
      <c r="BXF892" s="121"/>
      <c r="BXG892" s="121"/>
      <c r="BXH892" s="121"/>
      <c r="BXI892" s="121"/>
      <c r="BXJ892" s="121"/>
      <c r="BXK892" s="121"/>
      <c r="BXL892" s="121"/>
      <c r="BXM892" s="121"/>
      <c r="BXN892" s="121"/>
      <c r="BXO892" s="121"/>
      <c r="BXP892" s="121"/>
      <c r="BXQ892" s="121"/>
      <c r="BXR892" s="121"/>
      <c r="BXS892" s="121"/>
      <c r="BXT892" s="121"/>
      <c r="BXU892" s="121"/>
      <c r="BXV892" s="121"/>
      <c r="BXW892" s="121"/>
      <c r="BXX892" s="121"/>
      <c r="BXY892" s="121"/>
      <c r="BXZ892" s="121"/>
      <c r="BYA892" s="121"/>
      <c r="BYB892" s="121"/>
      <c r="BYC892" s="121"/>
      <c r="BYD892" s="121"/>
      <c r="BYE892" s="121"/>
      <c r="BYF892" s="121"/>
      <c r="BYG892" s="121"/>
      <c r="BYH892" s="121"/>
      <c r="BYI892" s="121"/>
      <c r="BYJ892" s="121"/>
      <c r="BYK892" s="121"/>
      <c r="BYL892" s="121"/>
      <c r="BYM892" s="121"/>
      <c r="BYN892" s="121"/>
      <c r="BYO892" s="121"/>
      <c r="BYP892" s="121"/>
      <c r="BYQ892" s="121"/>
      <c r="BYR892" s="121"/>
      <c r="BYS892" s="121"/>
      <c r="BYT892" s="121"/>
      <c r="BYU892" s="121"/>
      <c r="BYV892" s="121"/>
      <c r="BYW892" s="121"/>
      <c r="BYX892" s="121"/>
      <c r="BYY892" s="121"/>
      <c r="BYZ892" s="121"/>
      <c r="BZA892" s="121"/>
      <c r="BZB892" s="121"/>
      <c r="BZC892" s="121"/>
      <c r="BZD892" s="121"/>
      <c r="BZE892" s="121"/>
      <c r="BZF892" s="121"/>
      <c r="BZG892" s="121"/>
      <c r="BZH892" s="121"/>
      <c r="BZI892" s="121"/>
      <c r="BZJ892" s="121"/>
      <c r="BZK892" s="121"/>
      <c r="BZL892" s="121"/>
      <c r="BZM892" s="121"/>
      <c r="BZN892" s="121"/>
      <c r="BZO892" s="121"/>
      <c r="BZP892" s="121"/>
      <c r="BZQ892" s="121"/>
      <c r="BZR892" s="121"/>
      <c r="BZS892" s="121"/>
      <c r="BZT892" s="121"/>
      <c r="BZU892" s="121"/>
      <c r="BZV892" s="121"/>
      <c r="BZW892" s="121"/>
      <c r="BZX892" s="121"/>
      <c r="BZY892" s="121"/>
      <c r="BZZ892" s="121"/>
      <c r="CAA892" s="121"/>
      <c r="CAB892" s="121"/>
      <c r="CAC892" s="121"/>
      <c r="CAD892" s="121"/>
      <c r="CAE892" s="121"/>
      <c r="CAF892" s="121"/>
      <c r="CAG892" s="121"/>
      <c r="CAH892" s="121"/>
      <c r="CAI892" s="121"/>
      <c r="CAJ892" s="121"/>
      <c r="CAK892" s="121"/>
      <c r="CAL892" s="121"/>
      <c r="CAM892" s="121"/>
      <c r="CAN892" s="121"/>
      <c r="CAO892" s="121"/>
      <c r="CAP892" s="121"/>
      <c r="CAQ892" s="121"/>
      <c r="CAR892" s="121"/>
      <c r="CAS892" s="121"/>
      <c r="CAT892" s="121"/>
      <c r="CAU892" s="121"/>
      <c r="CAV892" s="121"/>
      <c r="CAW892" s="121"/>
      <c r="CAX892" s="121"/>
      <c r="CAY892" s="121"/>
      <c r="CAZ892" s="121"/>
      <c r="CBA892" s="121"/>
      <c r="CBB892" s="121"/>
      <c r="CBC892" s="121"/>
      <c r="CBD892" s="121"/>
      <c r="CBE892" s="121"/>
      <c r="CBF892" s="121"/>
      <c r="CBG892" s="121"/>
      <c r="CBH892" s="121"/>
      <c r="CBI892" s="121"/>
      <c r="CBJ892" s="121"/>
      <c r="CBK892" s="121"/>
      <c r="CBL892" s="121"/>
      <c r="CBM892" s="121"/>
      <c r="CBN892" s="121"/>
      <c r="CBO892" s="121"/>
      <c r="CBP892" s="121"/>
      <c r="CBQ892" s="121"/>
      <c r="CBR892" s="121"/>
      <c r="CBS892" s="121"/>
      <c r="CBT892" s="121"/>
      <c r="CBU892" s="121"/>
      <c r="CBV892" s="121"/>
      <c r="CBW892" s="121"/>
      <c r="CBX892" s="121"/>
      <c r="CBY892" s="121"/>
      <c r="CBZ892" s="121"/>
      <c r="CCA892" s="121"/>
      <c r="CCB892" s="121"/>
      <c r="CCC892" s="121"/>
      <c r="CCD892" s="121"/>
      <c r="CCE892" s="121"/>
      <c r="CCF892" s="121"/>
      <c r="CCG892" s="121"/>
      <c r="CCH892" s="121"/>
      <c r="CCI892" s="121"/>
      <c r="CCJ892" s="121"/>
      <c r="CCK892" s="121"/>
      <c r="CCL892" s="121"/>
      <c r="CCM892" s="121"/>
      <c r="CCN892" s="121"/>
      <c r="CCO892" s="121"/>
      <c r="CCP892" s="121"/>
      <c r="CCQ892" s="121"/>
      <c r="CCR892" s="121"/>
      <c r="CCS892" s="121"/>
      <c r="CCT892" s="121"/>
      <c r="CCU892" s="121"/>
      <c r="CCV892" s="121"/>
      <c r="CCW892" s="121"/>
      <c r="CCX892" s="121"/>
      <c r="CCY892" s="121"/>
      <c r="CCZ892" s="121"/>
      <c r="CDA892" s="121"/>
      <c r="CDB892" s="121"/>
      <c r="CDC892" s="121"/>
      <c r="CDD892" s="121"/>
      <c r="CDE892" s="121"/>
      <c r="CDF892" s="121"/>
      <c r="CDG892" s="121"/>
      <c r="CDH892" s="121"/>
      <c r="CDI892" s="121"/>
      <c r="CDJ892" s="121"/>
      <c r="CDK892" s="121"/>
      <c r="CDL892" s="121"/>
      <c r="CDM892" s="121"/>
      <c r="CDN892" s="121"/>
      <c r="CDO892" s="121"/>
      <c r="CDP892" s="121"/>
      <c r="CDQ892" s="121"/>
      <c r="CDR892" s="121"/>
      <c r="CDS892" s="121"/>
      <c r="CDT892" s="121"/>
      <c r="CDU892" s="121"/>
      <c r="CDV892" s="121"/>
      <c r="CDW892" s="121"/>
      <c r="CDX892" s="121"/>
      <c r="CDY892" s="121"/>
      <c r="CDZ892" s="121"/>
      <c r="CEA892" s="121"/>
      <c r="CEB892" s="121"/>
      <c r="CEC892" s="121"/>
      <c r="CED892" s="121"/>
      <c r="CEE892" s="121"/>
      <c r="CEF892" s="121"/>
      <c r="CEG892" s="121"/>
      <c r="CEH892" s="121"/>
      <c r="CEI892" s="121"/>
      <c r="CEJ892" s="121"/>
      <c r="CEK892" s="121"/>
      <c r="CEL892" s="121"/>
      <c r="CEM892" s="121"/>
      <c r="CEN892" s="121"/>
      <c r="CEO892" s="121"/>
      <c r="CEP892" s="121"/>
      <c r="CEQ892" s="121"/>
      <c r="CER892" s="121"/>
      <c r="CES892" s="121"/>
      <c r="CET892" s="121"/>
      <c r="CEU892" s="121"/>
      <c r="CEV892" s="121"/>
      <c r="CEW892" s="121"/>
      <c r="CEX892" s="121"/>
      <c r="CEY892" s="121"/>
      <c r="CEZ892" s="121"/>
      <c r="CFA892" s="121"/>
      <c r="CFB892" s="121"/>
      <c r="CFC892" s="121"/>
      <c r="CFD892" s="121"/>
      <c r="CFE892" s="121"/>
      <c r="CFF892" s="121"/>
      <c r="CFG892" s="121"/>
      <c r="CFH892" s="121"/>
      <c r="CFI892" s="121"/>
      <c r="CFJ892" s="121"/>
      <c r="CFK892" s="121"/>
      <c r="CFL892" s="121"/>
      <c r="CFM892" s="121"/>
      <c r="CFN892" s="121"/>
      <c r="CFO892" s="121"/>
      <c r="CFP892" s="121"/>
      <c r="CFQ892" s="121"/>
      <c r="CFR892" s="121"/>
      <c r="CFS892" s="121"/>
      <c r="CFT892" s="121"/>
      <c r="CFU892" s="121"/>
      <c r="CFV892" s="121"/>
      <c r="CFW892" s="121"/>
      <c r="CFX892" s="121"/>
      <c r="CFY892" s="121"/>
      <c r="CFZ892" s="121"/>
      <c r="CGA892" s="121"/>
      <c r="CGB892" s="121"/>
      <c r="CGC892" s="121"/>
      <c r="CGD892" s="121"/>
      <c r="CGE892" s="121"/>
      <c r="CGF892" s="121"/>
      <c r="CGG892" s="121"/>
      <c r="CGH892" s="121"/>
      <c r="CGI892" s="121"/>
      <c r="CGJ892" s="121"/>
      <c r="CGK892" s="121"/>
      <c r="CGL892" s="121"/>
      <c r="CGM892" s="121"/>
      <c r="CGN892" s="121"/>
      <c r="CGO892" s="121"/>
      <c r="CGP892" s="121"/>
      <c r="CGQ892" s="121"/>
      <c r="CGR892" s="121"/>
      <c r="CGS892" s="121"/>
      <c r="CGT892" s="121"/>
      <c r="CGU892" s="121"/>
      <c r="CGV892" s="121"/>
      <c r="CGW892" s="121"/>
      <c r="CGX892" s="121"/>
      <c r="CGY892" s="121"/>
      <c r="CGZ892" s="121"/>
      <c r="CHA892" s="121"/>
      <c r="CHB892" s="121"/>
      <c r="CHC892" s="121"/>
      <c r="CHD892" s="121"/>
      <c r="CHE892" s="121"/>
      <c r="CHF892" s="121"/>
      <c r="CHG892" s="121"/>
      <c r="CHH892" s="121"/>
      <c r="CHI892" s="121"/>
      <c r="CHJ892" s="121"/>
      <c r="CHK892" s="121"/>
      <c r="CHL892" s="121"/>
      <c r="CHM892" s="121"/>
      <c r="CHN892" s="121"/>
      <c r="CHO892" s="121"/>
      <c r="CHP892" s="121"/>
      <c r="CHQ892" s="121"/>
      <c r="CHR892" s="121"/>
      <c r="CHS892" s="121"/>
      <c r="CHT892" s="121"/>
      <c r="CHU892" s="121"/>
      <c r="CHV892" s="121"/>
      <c r="CHW892" s="121"/>
      <c r="CHX892" s="121"/>
      <c r="CHY892" s="121"/>
      <c r="CHZ892" s="121"/>
      <c r="CIA892" s="121"/>
      <c r="CIB892" s="121"/>
      <c r="CIC892" s="121"/>
      <c r="CID892" s="121"/>
      <c r="CIE892" s="121"/>
      <c r="CIF892" s="121"/>
      <c r="CIG892" s="121"/>
      <c r="CIH892" s="121"/>
      <c r="CII892" s="121"/>
      <c r="CIJ892" s="121"/>
      <c r="CIK892" s="121"/>
      <c r="CIL892" s="121"/>
      <c r="CIM892" s="121"/>
      <c r="CIN892" s="121"/>
      <c r="CIO892" s="121"/>
      <c r="CIP892" s="121"/>
      <c r="CIQ892" s="121"/>
      <c r="CIR892" s="121"/>
      <c r="CIS892" s="121"/>
      <c r="CIT892" s="121"/>
      <c r="CIU892" s="121"/>
      <c r="CIV892" s="121"/>
      <c r="CIW892" s="121"/>
      <c r="CIX892" s="121"/>
      <c r="CIY892" s="121"/>
      <c r="CIZ892" s="121"/>
      <c r="CJA892" s="121"/>
      <c r="CJB892" s="121"/>
      <c r="CJC892" s="121"/>
      <c r="CJD892" s="121"/>
      <c r="CJE892" s="121"/>
      <c r="CJF892" s="121"/>
      <c r="CJG892" s="121"/>
      <c r="CJH892" s="121"/>
      <c r="CJI892" s="121"/>
      <c r="CJJ892" s="121"/>
      <c r="CJK892" s="121"/>
      <c r="CJL892" s="121"/>
      <c r="CJM892" s="121"/>
      <c r="CJN892" s="121"/>
      <c r="CJO892" s="121"/>
      <c r="CJP892" s="121"/>
      <c r="CJQ892" s="121"/>
      <c r="CJR892" s="121"/>
      <c r="CJS892" s="121"/>
      <c r="CJT892" s="121"/>
      <c r="CJU892" s="121"/>
      <c r="CJV892" s="121"/>
      <c r="CJW892" s="121"/>
      <c r="CJX892" s="121"/>
      <c r="CJY892" s="121"/>
      <c r="CJZ892" s="121"/>
      <c r="CKA892" s="121"/>
      <c r="CKB892" s="121"/>
      <c r="CKC892" s="121"/>
      <c r="CKD892" s="121"/>
      <c r="CKE892" s="121"/>
      <c r="CKF892" s="121"/>
      <c r="CKG892" s="121"/>
      <c r="CKH892" s="121"/>
      <c r="CKI892" s="121"/>
      <c r="CKJ892" s="121"/>
      <c r="CKK892" s="121"/>
      <c r="CKL892" s="121"/>
      <c r="CKM892" s="121"/>
      <c r="CKN892" s="121"/>
      <c r="CKO892" s="121"/>
      <c r="CKP892" s="121"/>
      <c r="CKQ892" s="121"/>
      <c r="CKR892" s="121"/>
      <c r="CKS892" s="121"/>
      <c r="CKT892" s="121"/>
      <c r="CKU892" s="121"/>
      <c r="CKV892" s="121"/>
      <c r="CKW892" s="121"/>
      <c r="CKX892" s="121"/>
      <c r="CKY892" s="121"/>
      <c r="CKZ892" s="121"/>
      <c r="CLA892" s="121"/>
      <c r="CLB892" s="121"/>
      <c r="CLC892" s="121"/>
      <c r="CLD892" s="121"/>
      <c r="CLE892" s="121"/>
      <c r="CLF892" s="121"/>
      <c r="CLG892" s="121"/>
      <c r="CLH892" s="121"/>
      <c r="CLI892" s="121"/>
      <c r="CLJ892" s="121"/>
      <c r="CLK892" s="121"/>
      <c r="CLL892" s="121"/>
      <c r="CLM892" s="121"/>
      <c r="CLN892" s="121"/>
      <c r="CLO892" s="121"/>
      <c r="CLP892" s="121"/>
      <c r="CLQ892" s="121"/>
      <c r="CLR892" s="121"/>
      <c r="CLS892" s="121"/>
      <c r="CLT892" s="121"/>
      <c r="CLU892" s="121"/>
      <c r="CLV892" s="121"/>
      <c r="CLW892" s="121"/>
      <c r="CLX892" s="121"/>
      <c r="CLY892" s="121"/>
      <c r="CLZ892" s="121"/>
      <c r="CMA892" s="121"/>
      <c r="CMB892" s="121"/>
      <c r="CMC892" s="121"/>
      <c r="CMD892" s="121"/>
      <c r="CME892" s="121"/>
      <c r="CMF892" s="121"/>
      <c r="CMG892" s="121"/>
      <c r="CMH892" s="121"/>
      <c r="CMI892" s="121"/>
      <c r="CMJ892" s="121"/>
      <c r="CMK892" s="121"/>
      <c r="CML892" s="121"/>
      <c r="CMM892" s="121"/>
      <c r="CMN892" s="121"/>
      <c r="CMO892" s="121"/>
      <c r="CMP892" s="121"/>
      <c r="CMQ892" s="121"/>
      <c r="CMR892" s="121"/>
      <c r="CMS892" s="121"/>
      <c r="CMT892" s="121"/>
      <c r="CMU892" s="121"/>
      <c r="CMV892" s="121"/>
      <c r="CMW892" s="121"/>
      <c r="CMX892" s="121"/>
      <c r="CMY892" s="121"/>
      <c r="CMZ892" s="121"/>
      <c r="CNA892" s="121"/>
      <c r="CNB892" s="121"/>
      <c r="CNC892" s="121"/>
      <c r="CND892" s="121"/>
      <c r="CNE892" s="121"/>
      <c r="CNF892" s="121"/>
      <c r="CNG892" s="121"/>
      <c r="CNH892" s="121"/>
      <c r="CNI892" s="121"/>
      <c r="CNJ892" s="121"/>
      <c r="CNK892" s="121"/>
      <c r="CNL892" s="121"/>
      <c r="CNM892" s="121"/>
      <c r="CNN892" s="121"/>
      <c r="CNO892" s="121"/>
      <c r="CNP892" s="121"/>
      <c r="CNQ892" s="121"/>
      <c r="CNR892" s="121"/>
      <c r="CNS892" s="121"/>
      <c r="CNT892" s="121"/>
      <c r="CNU892" s="121"/>
      <c r="CNV892" s="121"/>
      <c r="CNW892" s="121"/>
      <c r="CNX892" s="121"/>
      <c r="CNY892" s="121"/>
      <c r="CNZ892" s="121"/>
      <c r="COA892" s="121"/>
      <c r="COB892" s="121"/>
      <c r="COC892" s="121"/>
      <c r="COD892" s="121"/>
      <c r="COE892" s="121"/>
      <c r="COF892" s="121"/>
      <c r="COG892" s="121"/>
      <c r="COH892" s="121"/>
      <c r="COI892" s="121"/>
      <c r="COJ892" s="121"/>
      <c r="COK892" s="121"/>
      <c r="COL892" s="121"/>
      <c r="COM892" s="121"/>
      <c r="CON892" s="121"/>
      <c r="COO892" s="121"/>
      <c r="COP892" s="121"/>
      <c r="COQ892" s="121"/>
      <c r="COR892" s="121"/>
      <c r="COS892" s="121"/>
      <c r="COT892" s="121"/>
      <c r="COU892" s="121"/>
      <c r="COV892" s="121"/>
      <c r="COW892" s="121"/>
      <c r="COX892" s="121"/>
      <c r="COY892" s="121"/>
      <c r="COZ892" s="121"/>
      <c r="CPA892" s="121"/>
      <c r="CPB892" s="121"/>
      <c r="CPC892" s="121"/>
      <c r="CPD892" s="121"/>
      <c r="CPE892" s="121"/>
      <c r="CPF892" s="121"/>
      <c r="CPG892" s="121"/>
      <c r="CPH892" s="121"/>
      <c r="CPI892" s="121"/>
      <c r="CPJ892" s="121"/>
      <c r="CPK892" s="121"/>
      <c r="CPL892" s="121"/>
      <c r="CPM892" s="121"/>
      <c r="CPN892" s="121"/>
      <c r="CPO892" s="121"/>
      <c r="CPP892" s="121"/>
      <c r="CPQ892" s="121"/>
      <c r="CPR892" s="121"/>
      <c r="CPS892" s="121"/>
      <c r="CPT892" s="121"/>
      <c r="CPU892" s="121"/>
      <c r="CPV892" s="121"/>
      <c r="CPW892" s="121"/>
      <c r="CPX892" s="121"/>
      <c r="CPY892" s="121"/>
      <c r="CPZ892" s="121"/>
      <c r="CQA892" s="121"/>
      <c r="CQB892" s="121"/>
      <c r="CQC892" s="121"/>
      <c r="CQD892" s="121"/>
      <c r="CQE892" s="121"/>
      <c r="CQF892" s="121"/>
      <c r="CQG892" s="121"/>
      <c r="CQH892" s="121"/>
      <c r="CQI892" s="121"/>
      <c r="CQJ892" s="121"/>
      <c r="CQK892" s="121"/>
      <c r="CQL892" s="121"/>
      <c r="CQM892" s="121"/>
      <c r="CQN892" s="121"/>
      <c r="CQO892" s="121"/>
      <c r="CQP892" s="121"/>
      <c r="CQQ892" s="121"/>
      <c r="CQR892" s="121"/>
      <c r="CQS892" s="121"/>
      <c r="CQT892" s="121"/>
      <c r="CQU892" s="121"/>
      <c r="CQV892" s="121"/>
      <c r="CQW892" s="121"/>
      <c r="CQX892" s="121"/>
      <c r="CQY892" s="121"/>
      <c r="CQZ892" s="121"/>
      <c r="CRA892" s="121"/>
      <c r="CRB892" s="121"/>
      <c r="CRC892" s="121"/>
      <c r="CRD892" s="121"/>
      <c r="CRE892" s="121"/>
      <c r="CRF892" s="121"/>
      <c r="CRG892" s="121"/>
      <c r="CRH892" s="121"/>
      <c r="CRI892" s="121"/>
      <c r="CRJ892" s="121"/>
      <c r="CRK892" s="121"/>
      <c r="CRL892" s="121"/>
      <c r="CRM892" s="121"/>
      <c r="CRN892" s="121"/>
      <c r="CRO892" s="121"/>
      <c r="CRP892" s="121"/>
      <c r="CRQ892" s="121"/>
      <c r="CRR892" s="121"/>
      <c r="CRS892" s="121"/>
      <c r="CRT892" s="121"/>
      <c r="CRU892" s="121"/>
      <c r="CRV892" s="121"/>
      <c r="CRW892" s="121"/>
      <c r="CRX892" s="121"/>
      <c r="CRY892" s="121"/>
      <c r="CRZ892" s="121"/>
      <c r="CSA892" s="121"/>
      <c r="CSB892" s="121"/>
      <c r="CSC892" s="121"/>
      <c r="CSD892" s="121"/>
      <c r="CSE892" s="121"/>
      <c r="CSF892" s="121"/>
      <c r="CSG892" s="121"/>
      <c r="CSH892" s="121"/>
      <c r="CSI892" s="121"/>
      <c r="CSJ892" s="121"/>
      <c r="CSK892" s="121"/>
      <c r="CSL892" s="121"/>
      <c r="CSM892" s="121"/>
      <c r="CSN892" s="121"/>
      <c r="CSO892" s="121"/>
      <c r="CSP892" s="121"/>
      <c r="CSQ892" s="121"/>
      <c r="CSR892" s="121"/>
      <c r="CSS892" s="121"/>
      <c r="CST892" s="121"/>
      <c r="CSU892" s="121"/>
      <c r="CSV892" s="121"/>
      <c r="CSW892" s="121"/>
      <c r="CSX892" s="121"/>
      <c r="CSY892" s="121"/>
      <c r="CSZ892" s="121"/>
      <c r="CTA892" s="121"/>
      <c r="CTB892" s="121"/>
      <c r="CTC892" s="121"/>
      <c r="CTD892" s="121"/>
      <c r="CTE892" s="121"/>
      <c r="CTF892" s="121"/>
      <c r="CTG892" s="121"/>
      <c r="CTH892" s="121"/>
      <c r="CTI892" s="121"/>
      <c r="CTJ892" s="121"/>
      <c r="CTK892" s="121"/>
      <c r="CTL892" s="121"/>
      <c r="CTM892" s="121"/>
      <c r="CTN892" s="121"/>
      <c r="CTO892" s="121"/>
      <c r="CTP892" s="121"/>
      <c r="CTQ892" s="121"/>
      <c r="CTR892" s="121"/>
      <c r="CTS892" s="121"/>
      <c r="CTT892" s="121"/>
      <c r="CTU892" s="121"/>
      <c r="CTV892" s="121"/>
      <c r="CTW892" s="121"/>
      <c r="CTX892" s="121"/>
      <c r="CTY892" s="121"/>
      <c r="CTZ892" s="121"/>
      <c r="CUA892" s="121"/>
      <c r="CUB892" s="121"/>
      <c r="CUC892" s="121"/>
      <c r="CUD892" s="121"/>
      <c r="CUE892" s="121"/>
      <c r="CUF892" s="121"/>
      <c r="CUG892" s="121"/>
      <c r="CUH892" s="121"/>
      <c r="CUI892" s="121"/>
      <c r="CUJ892" s="121"/>
      <c r="CUK892" s="121"/>
      <c r="CUL892" s="121"/>
      <c r="CUM892" s="121"/>
      <c r="CUN892" s="121"/>
      <c r="CUO892" s="121"/>
      <c r="CUP892" s="121"/>
      <c r="CUQ892" s="121"/>
      <c r="CUR892" s="121"/>
      <c r="CUS892" s="121"/>
      <c r="CUT892" s="121"/>
      <c r="CUU892" s="121"/>
      <c r="CUV892" s="121"/>
      <c r="CUW892" s="121"/>
      <c r="CUX892" s="121"/>
      <c r="CUY892" s="121"/>
      <c r="CUZ892" s="121"/>
      <c r="CVA892" s="121"/>
      <c r="CVB892" s="121"/>
      <c r="CVC892" s="121"/>
      <c r="CVD892" s="121"/>
      <c r="CVE892" s="121"/>
      <c r="CVF892" s="121"/>
      <c r="CVG892" s="121"/>
      <c r="CVH892" s="121"/>
      <c r="CVI892" s="121"/>
      <c r="CVJ892" s="121"/>
      <c r="CVK892" s="121"/>
      <c r="CVL892" s="121"/>
      <c r="CVM892" s="121"/>
      <c r="CVN892" s="121"/>
      <c r="CVO892" s="121"/>
      <c r="CVP892" s="121"/>
      <c r="CVQ892" s="121"/>
      <c r="CVR892" s="121"/>
      <c r="CVS892" s="121"/>
      <c r="CVT892" s="121"/>
      <c r="CVU892" s="121"/>
      <c r="CVV892" s="121"/>
      <c r="CVW892" s="121"/>
      <c r="CVX892" s="121"/>
      <c r="CVY892" s="121"/>
      <c r="CVZ892" s="121"/>
      <c r="CWA892" s="121"/>
      <c r="CWB892" s="121"/>
      <c r="CWC892" s="121"/>
      <c r="CWD892" s="121"/>
      <c r="CWE892" s="121"/>
      <c r="CWF892" s="121"/>
      <c r="CWG892" s="121"/>
      <c r="CWH892" s="121"/>
      <c r="CWI892" s="121"/>
      <c r="CWJ892" s="121"/>
      <c r="CWK892" s="121"/>
      <c r="CWL892" s="121"/>
      <c r="CWM892" s="121"/>
      <c r="CWN892" s="121"/>
      <c r="CWO892" s="121"/>
      <c r="CWP892" s="121"/>
      <c r="CWQ892" s="121"/>
      <c r="CWR892" s="121"/>
      <c r="CWS892" s="121"/>
      <c r="CWT892" s="121"/>
      <c r="CWU892" s="121"/>
      <c r="CWV892" s="121"/>
      <c r="CWW892" s="121"/>
      <c r="CWX892" s="121"/>
      <c r="CWY892" s="121"/>
      <c r="CWZ892" s="121"/>
      <c r="CXA892" s="121"/>
      <c r="CXB892" s="121"/>
      <c r="CXC892" s="121"/>
      <c r="CXD892" s="121"/>
      <c r="CXE892" s="121"/>
      <c r="CXF892" s="121"/>
      <c r="CXG892" s="121"/>
      <c r="CXH892" s="121"/>
      <c r="CXI892" s="121"/>
      <c r="CXJ892" s="121"/>
      <c r="CXK892" s="121"/>
      <c r="CXL892" s="121"/>
      <c r="CXM892" s="121"/>
      <c r="CXN892" s="121"/>
      <c r="CXO892" s="121"/>
      <c r="CXP892" s="121"/>
      <c r="CXQ892" s="121"/>
      <c r="CXR892" s="121"/>
      <c r="CXS892" s="121"/>
      <c r="CXT892" s="121"/>
      <c r="CXU892" s="121"/>
      <c r="CXV892" s="121"/>
      <c r="CXW892" s="121"/>
      <c r="CXX892" s="121"/>
      <c r="CXY892" s="121"/>
      <c r="CXZ892" s="121"/>
      <c r="CYA892" s="121"/>
      <c r="CYB892" s="121"/>
      <c r="CYC892" s="121"/>
      <c r="CYD892" s="121"/>
      <c r="CYE892" s="121"/>
      <c r="CYF892" s="121"/>
      <c r="CYG892" s="121"/>
      <c r="CYH892" s="121"/>
      <c r="CYI892" s="121"/>
      <c r="CYJ892" s="121"/>
      <c r="CYK892" s="121"/>
      <c r="CYL892" s="121"/>
      <c r="CYM892" s="121"/>
      <c r="CYN892" s="121"/>
      <c r="CYO892" s="121"/>
      <c r="CYP892" s="121"/>
      <c r="CYQ892" s="121"/>
      <c r="CYR892" s="121"/>
      <c r="CYS892" s="121"/>
      <c r="CYT892" s="121"/>
      <c r="CYU892" s="121"/>
      <c r="CYV892" s="121"/>
      <c r="CYW892" s="121"/>
      <c r="CYX892" s="121"/>
      <c r="CYY892" s="121"/>
      <c r="CYZ892" s="121"/>
      <c r="CZA892" s="121"/>
      <c r="CZB892" s="121"/>
      <c r="CZC892" s="121"/>
      <c r="CZD892" s="121"/>
      <c r="CZE892" s="121"/>
      <c r="CZF892" s="121"/>
      <c r="CZG892" s="121"/>
      <c r="CZH892" s="121"/>
      <c r="CZI892" s="121"/>
      <c r="CZJ892" s="121"/>
      <c r="CZK892" s="121"/>
      <c r="CZL892" s="121"/>
      <c r="CZM892" s="121"/>
      <c r="CZN892" s="121"/>
      <c r="CZO892" s="121"/>
      <c r="CZP892" s="121"/>
      <c r="CZQ892" s="121"/>
      <c r="CZR892" s="121"/>
      <c r="CZS892" s="121"/>
      <c r="CZT892" s="121"/>
      <c r="CZU892" s="121"/>
      <c r="CZV892" s="121"/>
      <c r="CZW892" s="121"/>
      <c r="CZX892" s="121"/>
      <c r="CZY892" s="121"/>
      <c r="CZZ892" s="121"/>
      <c r="DAA892" s="121"/>
      <c r="DAB892" s="121"/>
      <c r="DAC892" s="121"/>
      <c r="DAD892" s="121"/>
      <c r="DAE892" s="121"/>
      <c r="DAF892" s="121"/>
      <c r="DAG892" s="121"/>
      <c r="DAH892" s="121"/>
      <c r="DAI892" s="121"/>
      <c r="DAJ892" s="121"/>
      <c r="DAK892" s="121"/>
      <c r="DAL892" s="121"/>
      <c r="DAM892" s="121"/>
      <c r="DAN892" s="121"/>
      <c r="DAO892" s="121"/>
      <c r="DAP892" s="121"/>
      <c r="DAQ892" s="121"/>
      <c r="DAR892" s="121"/>
      <c r="DAS892" s="121"/>
      <c r="DAT892" s="121"/>
      <c r="DAU892" s="121"/>
      <c r="DAV892" s="121"/>
      <c r="DAW892" s="121"/>
      <c r="DAX892" s="121"/>
      <c r="DAY892" s="121"/>
      <c r="DAZ892" s="121"/>
      <c r="DBA892" s="121"/>
      <c r="DBB892" s="121"/>
      <c r="DBC892" s="121"/>
      <c r="DBD892" s="121"/>
      <c r="DBE892" s="121"/>
      <c r="DBF892" s="121"/>
      <c r="DBG892" s="121"/>
      <c r="DBH892" s="121"/>
      <c r="DBI892" s="121"/>
      <c r="DBJ892" s="121"/>
      <c r="DBK892" s="121"/>
      <c r="DBL892" s="121"/>
      <c r="DBM892" s="121"/>
      <c r="DBN892" s="121"/>
      <c r="DBO892" s="121"/>
      <c r="DBP892" s="121"/>
      <c r="DBQ892" s="121"/>
      <c r="DBR892" s="121"/>
      <c r="DBS892" s="121"/>
      <c r="DBT892" s="121"/>
      <c r="DBU892" s="121"/>
      <c r="DBV892" s="121"/>
      <c r="DBW892" s="121"/>
      <c r="DBX892" s="121"/>
      <c r="DBY892" s="121"/>
      <c r="DBZ892" s="121"/>
      <c r="DCA892" s="121"/>
      <c r="DCB892" s="121"/>
      <c r="DCC892" s="121"/>
      <c r="DCD892" s="121"/>
      <c r="DCE892" s="121"/>
      <c r="DCF892" s="121"/>
      <c r="DCG892" s="121"/>
      <c r="DCH892" s="121"/>
      <c r="DCI892" s="121"/>
      <c r="DCJ892" s="121"/>
      <c r="DCK892" s="121"/>
      <c r="DCL892" s="121"/>
      <c r="DCM892" s="121"/>
      <c r="DCN892" s="121"/>
      <c r="DCO892" s="121"/>
      <c r="DCP892" s="121"/>
      <c r="DCQ892" s="121"/>
      <c r="DCR892" s="121"/>
      <c r="DCS892" s="121"/>
      <c r="DCT892" s="121"/>
      <c r="DCU892" s="121"/>
      <c r="DCV892" s="121"/>
      <c r="DCW892" s="121"/>
      <c r="DCX892" s="121"/>
      <c r="DCY892" s="121"/>
      <c r="DCZ892" s="121"/>
      <c r="DDA892" s="121"/>
      <c r="DDB892" s="121"/>
      <c r="DDC892" s="121"/>
      <c r="DDD892" s="121"/>
      <c r="DDE892" s="121"/>
      <c r="DDF892" s="121"/>
      <c r="DDG892" s="121"/>
      <c r="DDH892" s="121"/>
      <c r="DDI892" s="121"/>
      <c r="DDJ892" s="121"/>
      <c r="DDK892" s="121"/>
      <c r="DDL892" s="121"/>
      <c r="DDM892" s="121"/>
      <c r="DDN892" s="121"/>
      <c r="DDO892" s="121"/>
      <c r="DDP892" s="121"/>
      <c r="DDQ892" s="121"/>
      <c r="DDR892" s="121"/>
      <c r="DDS892" s="121"/>
      <c r="DDT892" s="121"/>
      <c r="DDU892" s="121"/>
      <c r="DDV892" s="121"/>
      <c r="DDW892" s="121"/>
      <c r="DDX892" s="121"/>
      <c r="DDY892" s="121"/>
      <c r="DDZ892" s="121"/>
      <c r="DEA892" s="121"/>
      <c r="DEB892" s="121"/>
      <c r="DEC892" s="121"/>
      <c r="DED892" s="121"/>
      <c r="DEE892" s="121"/>
      <c r="DEF892" s="121"/>
      <c r="DEG892" s="121"/>
      <c r="DEH892" s="121"/>
      <c r="DEI892" s="121"/>
      <c r="DEJ892" s="121"/>
      <c r="DEK892" s="121"/>
      <c r="DEL892" s="121"/>
      <c r="DEM892" s="121"/>
      <c r="DEN892" s="121"/>
      <c r="DEO892" s="121"/>
      <c r="DEP892" s="121"/>
      <c r="DEQ892" s="121"/>
      <c r="DER892" s="121"/>
      <c r="DES892" s="121"/>
      <c r="DET892" s="121"/>
      <c r="DEU892" s="121"/>
      <c r="DEV892" s="121"/>
      <c r="DEW892" s="121"/>
      <c r="DEX892" s="121"/>
      <c r="DEY892" s="121"/>
      <c r="DEZ892" s="121"/>
      <c r="DFA892" s="121"/>
      <c r="DFB892" s="121"/>
      <c r="DFC892" s="121"/>
      <c r="DFD892" s="121"/>
      <c r="DFE892" s="121"/>
      <c r="DFF892" s="121"/>
      <c r="DFG892" s="121"/>
      <c r="DFH892" s="121"/>
      <c r="DFI892" s="121"/>
      <c r="DFJ892" s="121"/>
      <c r="DFK892" s="121"/>
      <c r="DFL892" s="121"/>
      <c r="DFM892" s="121"/>
      <c r="DFN892" s="121"/>
      <c r="DFO892" s="121"/>
      <c r="DFP892" s="121"/>
      <c r="DFQ892" s="121"/>
      <c r="DFR892" s="121"/>
      <c r="DFS892" s="121"/>
      <c r="DFT892" s="121"/>
      <c r="DFU892" s="121"/>
      <c r="DFV892" s="121"/>
      <c r="DFW892" s="121"/>
      <c r="DFX892" s="121"/>
      <c r="DFY892" s="121"/>
      <c r="DFZ892" s="121"/>
      <c r="DGA892" s="121"/>
      <c r="DGB892" s="121"/>
      <c r="DGC892" s="121"/>
      <c r="DGD892" s="121"/>
      <c r="DGE892" s="121"/>
      <c r="DGF892" s="121"/>
      <c r="DGG892" s="121"/>
      <c r="DGH892" s="121"/>
      <c r="DGI892" s="121"/>
      <c r="DGJ892" s="121"/>
      <c r="DGK892" s="121"/>
      <c r="DGL892" s="121"/>
      <c r="DGM892" s="121"/>
      <c r="DGN892" s="121"/>
      <c r="DGO892" s="121"/>
      <c r="DGP892" s="121"/>
      <c r="DGQ892" s="121"/>
      <c r="DGR892" s="121"/>
      <c r="DGS892" s="121"/>
      <c r="DGT892" s="121"/>
      <c r="DGU892" s="121"/>
      <c r="DGV892" s="121"/>
      <c r="DGW892" s="121"/>
      <c r="DGX892" s="121"/>
      <c r="DGY892" s="121"/>
      <c r="DGZ892" s="121"/>
      <c r="DHA892" s="121"/>
      <c r="DHB892" s="121"/>
      <c r="DHC892" s="121"/>
      <c r="DHD892" s="121"/>
      <c r="DHE892" s="121"/>
      <c r="DHF892" s="121"/>
      <c r="DHG892" s="121"/>
      <c r="DHH892" s="121"/>
      <c r="DHI892" s="121"/>
      <c r="DHJ892" s="121"/>
      <c r="DHK892" s="121"/>
      <c r="DHL892" s="121"/>
      <c r="DHM892" s="121"/>
      <c r="DHN892" s="121"/>
      <c r="DHO892" s="121"/>
      <c r="DHP892" s="121"/>
      <c r="DHQ892" s="121"/>
      <c r="DHR892" s="121"/>
      <c r="DHS892" s="121"/>
      <c r="DHT892" s="121"/>
      <c r="DHU892" s="121"/>
      <c r="DHV892" s="121"/>
      <c r="DHW892" s="121"/>
      <c r="DHX892" s="121"/>
      <c r="DHY892" s="121"/>
      <c r="DHZ892" s="121"/>
      <c r="DIA892" s="121"/>
      <c r="DIB892" s="121"/>
      <c r="DIC892" s="121"/>
      <c r="DID892" s="121"/>
      <c r="DIE892" s="121"/>
      <c r="DIF892" s="121"/>
      <c r="DIG892" s="121"/>
      <c r="DIH892" s="121"/>
      <c r="DII892" s="121"/>
      <c r="DIJ892" s="121"/>
      <c r="DIK892" s="121"/>
      <c r="DIL892" s="121"/>
      <c r="DIM892" s="121"/>
      <c r="DIN892" s="121"/>
      <c r="DIO892" s="121"/>
      <c r="DIP892" s="121"/>
      <c r="DIQ892" s="121"/>
      <c r="DIR892" s="121"/>
      <c r="DIS892" s="121"/>
      <c r="DIT892" s="121"/>
      <c r="DIU892" s="121"/>
      <c r="DIV892" s="121"/>
      <c r="DIW892" s="121"/>
      <c r="DIX892" s="121"/>
      <c r="DIY892" s="121"/>
      <c r="DIZ892" s="121"/>
      <c r="DJA892" s="121"/>
      <c r="DJB892" s="121"/>
      <c r="DJC892" s="121"/>
      <c r="DJD892" s="121"/>
      <c r="DJE892" s="121"/>
      <c r="DJF892" s="121"/>
      <c r="DJG892" s="121"/>
      <c r="DJH892" s="121"/>
      <c r="DJI892" s="121"/>
      <c r="DJJ892" s="121"/>
      <c r="DJK892" s="121"/>
      <c r="DJL892" s="121"/>
      <c r="DJM892" s="121"/>
      <c r="DJN892" s="121"/>
      <c r="DJO892" s="121"/>
      <c r="DJP892" s="121"/>
      <c r="DJQ892" s="121"/>
      <c r="DJR892" s="121"/>
      <c r="DJS892" s="121"/>
      <c r="DJT892" s="121"/>
      <c r="DJU892" s="121"/>
      <c r="DJV892" s="121"/>
      <c r="DJW892" s="121"/>
      <c r="DJX892" s="121"/>
      <c r="DJY892" s="121"/>
      <c r="DJZ892" s="121"/>
      <c r="DKA892" s="121"/>
      <c r="DKB892" s="121"/>
      <c r="DKC892" s="121"/>
      <c r="DKD892" s="121"/>
      <c r="DKE892" s="121"/>
      <c r="DKF892" s="121"/>
      <c r="DKG892" s="121"/>
      <c r="DKH892" s="121"/>
      <c r="DKI892" s="121"/>
      <c r="DKJ892" s="121"/>
      <c r="DKK892" s="121"/>
      <c r="DKL892" s="121"/>
      <c r="DKM892" s="121"/>
      <c r="DKN892" s="121"/>
      <c r="DKO892" s="121"/>
      <c r="DKP892" s="121"/>
      <c r="DKQ892" s="121"/>
      <c r="DKR892" s="121"/>
      <c r="DKS892" s="121"/>
      <c r="DKT892" s="121"/>
      <c r="DKU892" s="121"/>
      <c r="DKV892" s="121"/>
      <c r="DKW892" s="121"/>
      <c r="DKX892" s="121"/>
      <c r="DKY892" s="121"/>
      <c r="DKZ892" s="121"/>
      <c r="DLA892" s="121"/>
      <c r="DLB892" s="121"/>
      <c r="DLC892" s="121"/>
      <c r="DLD892" s="121"/>
      <c r="DLE892" s="121"/>
      <c r="DLF892" s="121"/>
      <c r="DLG892" s="121"/>
      <c r="DLH892" s="121"/>
      <c r="DLI892" s="121"/>
      <c r="DLJ892" s="121"/>
      <c r="DLK892" s="121"/>
      <c r="DLL892" s="121"/>
      <c r="DLM892" s="121"/>
      <c r="DLN892" s="121"/>
      <c r="DLO892" s="121"/>
      <c r="DLP892" s="121"/>
      <c r="DLQ892" s="121"/>
      <c r="DLR892" s="121"/>
      <c r="DLS892" s="121"/>
      <c r="DLT892" s="121"/>
      <c r="DLU892" s="121"/>
      <c r="DLV892" s="121"/>
      <c r="DLW892" s="121"/>
      <c r="DLX892" s="121"/>
      <c r="DLY892" s="121"/>
      <c r="DLZ892" s="121"/>
      <c r="DMA892" s="121"/>
      <c r="DMB892" s="121"/>
      <c r="DMC892" s="121"/>
      <c r="DMD892" s="121"/>
      <c r="DME892" s="121"/>
      <c r="DMF892" s="121"/>
      <c r="DMG892" s="121"/>
      <c r="DMH892" s="121"/>
      <c r="DMI892" s="121"/>
      <c r="DMJ892" s="121"/>
      <c r="DMK892" s="121"/>
      <c r="DML892" s="121"/>
      <c r="DMM892" s="121"/>
      <c r="DMN892" s="121"/>
      <c r="DMO892" s="121"/>
      <c r="DMP892" s="121"/>
      <c r="DMQ892" s="121"/>
      <c r="DMR892" s="121"/>
      <c r="DMS892" s="121"/>
      <c r="DMT892" s="121"/>
      <c r="DMU892" s="121"/>
      <c r="DMV892" s="121"/>
      <c r="DMW892" s="121"/>
      <c r="DMX892" s="121"/>
      <c r="DMY892" s="121"/>
      <c r="DMZ892" s="121"/>
      <c r="DNA892" s="121"/>
      <c r="DNB892" s="121"/>
      <c r="DNC892" s="121"/>
      <c r="DND892" s="121"/>
      <c r="DNE892" s="121"/>
      <c r="DNF892" s="121"/>
      <c r="DNG892" s="121"/>
      <c r="DNH892" s="121"/>
      <c r="DNI892" s="121"/>
      <c r="DNJ892" s="121"/>
      <c r="DNK892" s="121"/>
      <c r="DNL892" s="121"/>
      <c r="DNM892" s="121"/>
      <c r="DNN892" s="121"/>
      <c r="DNO892" s="121"/>
      <c r="DNP892" s="121"/>
      <c r="DNQ892" s="121"/>
      <c r="DNR892" s="121"/>
      <c r="DNS892" s="121"/>
      <c r="DNT892" s="121"/>
      <c r="DNU892" s="121"/>
      <c r="DNV892" s="121"/>
      <c r="DNW892" s="121"/>
      <c r="DNX892" s="121"/>
      <c r="DNY892" s="121"/>
      <c r="DNZ892" s="121"/>
      <c r="DOA892" s="121"/>
      <c r="DOB892" s="121"/>
      <c r="DOC892" s="121"/>
      <c r="DOD892" s="121"/>
      <c r="DOE892" s="121"/>
      <c r="DOF892" s="121"/>
      <c r="DOG892" s="121"/>
      <c r="DOH892" s="121"/>
      <c r="DOI892" s="121"/>
      <c r="DOJ892" s="121"/>
      <c r="DOK892" s="121"/>
      <c r="DOL892" s="121"/>
      <c r="DOM892" s="121"/>
      <c r="DON892" s="121"/>
      <c r="DOO892" s="121"/>
      <c r="DOP892" s="121"/>
      <c r="DOQ892" s="121"/>
      <c r="DOR892" s="121"/>
      <c r="DOS892" s="121"/>
      <c r="DOT892" s="121"/>
      <c r="DOU892" s="121"/>
      <c r="DOV892" s="121"/>
      <c r="DOW892" s="121"/>
      <c r="DOX892" s="121"/>
      <c r="DOY892" s="121"/>
      <c r="DOZ892" s="121"/>
      <c r="DPA892" s="121"/>
      <c r="DPB892" s="121"/>
      <c r="DPC892" s="121"/>
      <c r="DPD892" s="121"/>
      <c r="DPE892" s="121"/>
      <c r="DPF892" s="121"/>
      <c r="DPG892" s="121"/>
      <c r="DPH892" s="121"/>
      <c r="DPI892" s="121"/>
      <c r="DPJ892" s="121"/>
      <c r="DPK892" s="121"/>
      <c r="DPL892" s="121"/>
      <c r="DPM892" s="121"/>
      <c r="DPN892" s="121"/>
      <c r="DPO892" s="121"/>
      <c r="DPP892" s="121"/>
      <c r="DPQ892" s="121"/>
      <c r="DPR892" s="121"/>
      <c r="DPS892" s="121"/>
      <c r="DPT892" s="121"/>
      <c r="DPU892" s="121"/>
      <c r="DPV892" s="121"/>
      <c r="DPW892" s="121"/>
      <c r="DPX892" s="121"/>
      <c r="DPY892" s="121"/>
      <c r="DPZ892" s="121"/>
      <c r="DQA892" s="121"/>
      <c r="DQB892" s="121"/>
      <c r="DQC892" s="121"/>
      <c r="DQD892" s="121"/>
      <c r="DQE892" s="121"/>
      <c r="DQF892" s="121"/>
      <c r="DQG892" s="121"/>
      <c r="DQH892" s="121"/>
      <c r="DQI892" s="121"/>
      <c r="DQJ892" s="121"/>
      <c r="DQK892" s="121"/>
      <c r="DQL892" s="121"/>
      <c r="DQM892" s="121"/>
      <c r="DQN892" s="121"/>
      <c r="DQO892" s="121"/>
      <c r="DQP892" s="121"/>
      <c r="DQQ892" s="121"/>
      <c r="DQR892" s="121"/>
      <c r="DQS892" s="121"/>
      <c r="DQT892" s="121"/>
      <c r="DQU892" s="121"/>
      <c r="DQV892" s="121"/>
      <c r="DQW892" s="121"/>
      <c r="DQX892" s="121"/>
      <c r="DQY892" s="121"/>
      <c r="DQZ892" s="121"/>
      <c r="DRA892" s="121"/>
      <c r="DRB892" s="121"/>
      <c r="DRC892" s="121"/>
      <c r="DRD892" s="121"/>
      <c r="DRE892" s="121"/>
      <c r="DRF892" s="121"/>
      <c r="DRG892" s="121"/>
      <c r="DRH892" s="121"/>
      <c r="DRI892" s="121"/>
      <c r="DRJ892" s="121"/>
      <c r="DRK892" s="121"/>
      <c r="DRL892" s="121"/>
      <c r="DRM892" s="121"/>
      <c r="DRN892" s="121"/>
      <c r="DRO892" s="121"/>
      <c r="DRP892" s="121"/>
      <c r="DRQ892" s="121"/>
      <c r="DRR892" s="121"/>
      <c r="DRS892" s="121"/>
      <c r="DRT892" s="121"/>
      <c r="DRU892" s="121"/>
      <c r="DRV892" s="121"/>
      <c r="DRW892" s="121"/>
      <c r="DRX892" s="121"/>
      <c r="DRY892" s="121"/>
      <c r="DRZ892" s="121"/>
      <c r="DSA892" s="121"/>
      <c r="DSB892" s="121"/>
      <c r="DSC892" s="121"/>
      <c r="DSD892" s="121"/>
      <c r="DSE892" s="121"/>
      <c r="DSF892" s="121"/>
      <c r="DSG892" s="121"/>
      <c r="DSH892" s="121"/>
      <c r="DSI892" s="121"/>
      <c r="DSJ892" s="121"/>
      <c r="DSK892" s="121"/>
      <c r="DSL892" s="121"/>
      <c r="DSM892" s="121"/>
      <c r="DSN892" s="121"/>
      <c r="DSO892" s="121"/>
      <c r="DSP892" s="121"/>
      <c r="DSQ892" s="121"/>
      <c r="DSR892" s="121"/>
      <c r="DSS892" s="121"/>
      <c r="DST892" s="121"/>
      <c r="DSU892" s="121"/>
      <c r="DSV892" s="121"/>
      <c r="DSW892" s="121"/>
      <c r="DSX892" s="121"/>
      <c r="DSY892" s="121"/>
      <c r="DSZ892" s="121"/>
      <c r="DTA892" s="121"/>
      <c r="DTB892" s="121"/>
      <c r="DTC892" s="121"/>
      <c r="DTD892" s="121"/>
      <c r="DTE892" s="121"/>
      <c r="DTF892" s="121"/>
      <c r="DTG892" s="121"/>
      <c r="DTH892" s="121"/>
      <c r="DTI892" s="121"/>
      <c r="DTJ892" s="121"/>
      <c r="DTK892" s="121"/>
      <c r="DTL892" s="121"/>
      <c r="DTM892" s="121"/>
      <c r="DTN892" s="121"/>
      <c r="DTO892" s="121"/>
      <c r="DTP892" s="121"/>
      <c r="DTQ892" s="121"/>
      <c r="DTR892" s="121"/>
      <c r="DTS892" s="121"/>
      <c r="DTT892" s="121"/>
      <c r="DTU892" s="121"/>
      <c r="DTV892" s="121"/>
      <c r="DTW892" s="121"/>
      <c r="DTX892" s="121"/>
      <c r="DTY892" s="121"/>
      <c r="DTZ892" s="121"/>
      <c r="DUA892" s="121"/>
      <c r="DUB892" s="121"/>
      <c r="DUC892" s="121"/>
      <c r="DUD892" s="121"/>
      <c r="DUE892" s="121"/>
      <c r="DUF892" s="121"/>
      <c r="DUG892" s="121"/>
      <c r="DUH892" s="121"/>
      <c r="DUI892" s="121"/>
      <c r="DUJ892" s="121"/>
      <c r="DUK892" s="121"/>
      <c r="DUL892" s="121"/>
      <c r="DUM892" s="121"/>
      <c r="DUN892" s="121"/>
      <c r="DUO892" s="121"/>
      <c r="DUP892" s="121"/>
      <c r="DUQ892" s="121"/>
      <c r="DUR892" s="121"/>
      <c r="DUS892" s="121"/>
      <c r="DUT892" s="121"/>
      <c r="DUU892" s="121"/>
      <c r="DUV892" s="121"/>
      <c r="DUW892" s="121"/>
      <c r="DUX892" s="121"/>
      <c r="DUY892" s="121"/>
      <c r="DUZ892" s="121"/>
      <c r="DVA892" s="121"/>
      <c r="DVB892" s="121"/>
      <c r="DVC892" s="121"/>
      <c r="DVD892" s="121"/>
      <c r="DVE892" s="121"/>
      <c r="DVF892" s="121"/>
      <c r="DVG892" s="121"/>
      <c r="DVH892" s="121"/>
      <c r="DVI892" s="121"/>
      <c r="DVJ892" s="121"/>
      <c r="DVK892" s="121"/>
      <c r="DVL892" s="121"/>
      <c r="DVM892" s="121"/>
      <c r="DVN892" s="121"/>
      <c r="DVO892" s="121"/>
      <c r="DVP892" s="121"/>
      <c r="DVQ892" s="121"/>
      <c r="DVR892" s="121"/>
      <c r="DVS892" s="121"/>
      <c r="DVT892" s="121"/>
      <c r="DVU892" s="121"/>
      <c r="DVV892" s="121"/>
      <c r="DVW892" s="121"/>
      <c r="DVX892" s="121"/>
      <c r="DVY892" s="121"/>
      <c r="DVZ892" s="121"/>
      <c r="DWA892" s="121"/>
      <c r="DWB892" s="121"/>
      <c r="DWC892" s="121"/>
      <c r="DWD892" s="121"/>
      <c r="DWE892" s="121"/>
      <c r="DWF892" s="121"/>
      <c r="DWG892" s="121"/>
      <c r="DWH892" s="121"/>
      <c r="DWI892" s="121"/>
      <c r="DWJ892" s="121"/>
      <c r="DWK892" s="121"/>
      <c r="DWL892" s="121"/>
      <c r="DWM892" s="121"/>
      <c r="DWN892" s="121"/>
      <c r="DWO892" s="121"/>
      <c r="DWP892" s="121"/>
      <c r="DWQ892" s="121"/>
      <c r="DWR892" s="121"/>
      <c r="DWS892" s="121"/>
      <c r="DWT892" s="121"/>
      <c r="DWU892" s="121"/>
      <c r="DWV892" s="121"/>
      <c r="DWW892" s="121"/>
      <c r="DWX892" s="121"/>
      <c r="DWY892" s="121"/>
      <c r="DWZ892" s="121"/>
      <c r="DXA892" s="121"/>
      <c r="DXB892" s="121"/>
      <c r="DXC892" s="121"/>
      <c r="DXD892" s="121"/>
      <c r="DXE892" s="121"/>
      <c r="DXF892" s="121"/>
      <c r="DXG892" s="121"/>
      <c r="DXH892" s="121"/>
      <c r="DXI892" s="121"/>
      <c r="DXJ892" s="121"/>
      <c r="DXK892" s="121"/>
      <c r="DXL892" s="121"/>
      <c r="DXM892" s="121"/>
      <c r="DXN892" s="121"/>
      <c r="DXO892" s="121"/>
      <c r="DXP892" s="121"/>
      <c r="DXQ892" s="121"/>
      <c r="DXR892" s="121"/>
      <c r="DXS892" s="121"/>
      <c r="DXT892" s="121"/>
      <c r="DXU892" s="121"/>
      <c r="DXV892" s="121"/>
      <c r="DXW892" s="121"/>
      <c r="DXX892" s="121"/>
      <c r="DXY892" s="121"/>
      <c r="DXZ892" s="121"/>
      <c r="DYA892" s="121"/>
      <c r="DYB892" s="121"/>
      <c r="DYC892" s="121"/>
      <c r="DYD892" s="121"/>
      <c r="DYE892" s="121"/>
      <c r="DYF892" s="121"/>
      <c r="DYG892" s="121"/>
      <c r="DYH892" s="121"/>
      <c r="DYI892" s="121"/>
      <c r="DYJ892" s="121"/>
      <c r="DYK892" s="121"/>
      <c r="DYL892" s="121"/>
      <c r="DYM892" s="121"/>
      <c r="DYN892" s="121"/>
      <c r="DYO892" s="121"/>
      <c r="DYP892" s="121"/>
      <c r="DYQ892" s="121"/>
      <c r="DYR892" s="121"/>
      <c r="DYS892" s="121"/>
      <c r="DYT892" s="121"/>
      <c r="DYU892" s="121"/>
      <c r="DYV892" s="121"/>
      <c r="DYW892" s="121"/>
      <c r="DYX892" s="121"/>
      <c r="DYY892" s="121"/>
      <c r="DYZ892" s="121"/>
      <c r="DZA892" s="121"/>
      <c r="DZB892" s="121"/>
      <c r="DZC892" s="121"/>
      <c r="DZD892" s="121"/>
      <c r="DZE892" s="121"/>
      <c r="DZF892" s="121"/>
      <c r="DZG892" s="121"/>
      <c r="DZH892" s="121"/>
      <c r="DZI892" s="121"/>
      <c r="DZJ892" s="121"/>
      <c r="DZK892" s="121"/>
      <c r="DZL892" s="121"/>
      <c r="DZM892" s="121"/>
      <c r="DZN892" s="121"/>
      <c r="DZO892" s="121"/>
      <c r="DZP892" s="121"/>
      <c r="DZQ892" s="121"/>
      <c r="DZR892" s="121"/>
      <c r="DZS892" s="121"/>
      <c r="DZT892" s="121"/>
      <c r="DZU892" s="121"/>
      <c r="DZV892" s="121"/>
      <c r="DZW892" s="121"/>
      <c r="DZX892" s="121"/>
      <c r="DZY892" s="121"/>
      <c r="DZZ892" s="121"/>
      <c r="EAA892" s="121"/>
      <c r="EAB892" s="121"/>
      <c r="EAC892" s="121"/>
      <c r="EAD892" s="121"/>
      <c r="EAE892" s="121"/>
      <c r="EAF892" s="121"/>
      <c r="EAG892" s="121"/>
      <c r="EAH892" s="121"/>
      <c r="EAI892" s="121"/>
      <c r="EAJ892" s="121"/>
      <c r="EAK892" s="121"/>
      <c r="EAL892" s="121"/>
      <c r="EAM892" s="121"/>
      <c r="EAN892" s="121"/>
      <c r="EAO892" s="121"/>
      <c r="EAP892" s="121"/>
      <c r="EAQ892" s="121"/>
      <c r="EAR892" s="121"/>
      <c r="EAS892" s="121"/>
      <c r="EAT892" s="121"/>
      <c r="EAU892" s="121"/>
      <c r="EAV892" s="121"/>
      <c r="EAW892" s="121"/>
      <c r="EAX892" s="121"/>
      <c r="EAY892" s="121"/>
      <c r="EAZ892" s="121"/>
      <c r="EBA892" s="121"/>
      <c r="EBB892" s="121"/>
      <c r="EBC892" s="121"/>
      <c r="EBD892" s="121"/>
      <c r="EBE892" s="121"/>
      <c r="EBF892" s="121"/>
      <c r="EBG892" s="121"/>
      <c r="EBH892" s="121"/>
      <c r="EBI892" s="121"/>
      <c r="EBJ892" s="121"/>
      <c r="EBK892" s="121"/>
      <c r="EBL892" s="121"/>
      <c r="EBM892" s="121"/>
      <c r="EBN892" s="121"/>
      <c r="EBO892" s="121"/>
      <c r="EBP892" s="121"/>
      <c r="EBQ892" s="121"/>
      <c r="EBR892" s="121"/>
      <c r="EBS892" s="121"/>
      <c r="EBT892" s="121"/>
      <c r="EBU892" s="121"/>
      <c r="EBV892" s="121"/>
      <c r="EBW892" s="121"/>
      <c r="EBX892" s="121"/>
      <c r="EBY892" s="121"/>
      <c r="EBZ892" s="121"/>
      <c r="ECA892" s="121"/>
      <c r="ECB892" s="121"/>
      <c r="ECC892" s="121"/>
      <c r="ECD892" s="121"/>
      <c r="ECE892" s="121"/>
      <c r="ECF892" s="121"/>
      <c r="ECG892" s="121"/>
      <c r="ECH892" s="121"/>
      <c r="ECI892" s="121"/>
      <c r="ECJ892" s="121"/>
      <c r="ECK892" s="121"/>
      <c r="ECL892" s="121"/>
      <c r="ECM892" s="121"/>
      <c r="ECN892" s="121"/>
      <c r="ECO892" s="121"/>
      <c r="ECP892" s="121"/>
      <c r="ECQ892" s="121"/>
      <c r="ECR892" s="121"/>
      <c r="ECS892" s="121"/>
      <c r="ECT892" s="121"/>
      <c r="ECU892" s="121"/>
      <c r="ECV892" s="121"/>
      <c r="ECW892" s="121"/>
      <c r="ECX892" s="121"/>
      <c r="ECY892" s="121"/>
      <c r="ECZ892" s="121"/>
      <c r="EDA892" s="121"/>
      <c r="EDB892" s="121"/>
      <c r="EDC892" s="121"/>
      <c r="EDD892" s="121"/>
      <c r="EDE892" s="121"/>
      <c r="EDF892" s="121"/>
      <c r="EDG892" s="121"/>
      <c r="EDH892" s="121"/>
      <c r="EDI892" s="121"/>
      <c r="EDJ892" s="121"/>
      <c r="EDK892" s="121"/>
      <c r="EDL892" s="121"/>
      <c r="EDM892" s="121"/>
      <c r="EDN892" s="121"/>
      <c r="EDO892" s="121"/>
      <c r="EDP892" s="121"/>
      <c r="EDQ892" s="121"/>
      <c r="EDR892" s="121"/>
      <c r="EDS892" s="121"/>
      <c r="EDT892" s="121"/>
      <c r="EDU892" s="121"/>
      <c r="EDV892" s="121"/>
      <c r="EDW892" s="121"/>
      <c r="EDX892" s="121"/>
      <c r="EDY892" s="121"/>
      <c r="EDZ892" s="121"/>
      <c r="EEA892" s="121"/>
      <c r="EEB892" s="121"/>
      <c r="EEC892" s="121"/>
      <c r="EED892" s="121"/>
      <c r="EEE892" s="121"/>
      <c r="EEF892" s="121"/>
      <c r="EEG892" s="121"/>
      <c r="EEH892" s="121"/>
      <c r="EEI892" s="121"/>
      <c r="EEJ892" s="121"/>
      <c r="EEK892" s="121"/>
      <c r="EEL892" s="121"/>
      <c r="EEM892" s="121"/>
      <c r="EEN892" s="121"/>
      <c r="EEO892" s="121"/>
      <c r="EEP892" s="121"/>
      <c r="EEQ892" s="121"/>
      <c r="EER892" s="121"/>
      <c r="EES892" s="121"/>
      <c r="EET892" s="121"/>
      <c r="EEU892" s="121"/>
      <c r="EEV892" s="121"/>
      <c r="EEW892" s="121"/>
      <c r="EEX892" s="121"/>
      <c r="EEY892" s="121"/>
      <c r="EEZ892" s="121"/>
      <c r="EFA892" s="121"/>
      <c r="EFB892" s="121"/>
      <c r="EFC892" s="121"/>
      <c r="EFD892" s="121"/>
      <c r="EFE892" s="121"/>
      <c r="EFF892" s="121"/>
      <c r="EFG892" s="121"/>
      <c r="EFH892" s="121"/>
      <c r="EFI892" s="121"/>
      <c r="EFJ892" s="121"/>
      <c r="EFK892" s="121"/>
      <c r="EFL892" s="121"/>
      <c r="EFM892" s="121"/>
      <c r="EFN892" s="121"/>
      <c r="EFO892" s="121"/>
      <c r="EFP892" s="121"/>
      <c r="EFQ892" s="121"/>
      <c r="EFR892" s="121"/>
      <c r="EFS892" s="121"/>
      <c r="EFT892" s="121"/>
      <c r="EFU892" s="121"/>
      <c r="EFV892" s="121"/>
      <c r="EFW892" s="121"/>
      <c r="EFX892" s="121"/>
      <c r="EFY892" s="121"/>
      <c r="EFZ892" s="121"/>
      <c r="EGA892" s="121"/>
      <c r="EGB892" s="121"/>
      <c r="EGC892" s="121"/>
      <c r="EGD892" s="121"/>
      <c r="EGE892" s="121"/>
      <c r="EGF892" s="121"/>
      <c r="EGG892" s="121"/>
      <c r="EGH892" s="121"/>
      <c r="EGI892" s="121"/>
      <c r="EGJ892" s="121"/>
      <c r="EGK892" s="121"/>
      <c r="EGL892" s="121"/>
      <c r="EGM892" s="121"/>
      <c r="EGN892" s="121"/>
      <c r="EGO892" s="121"/>
      <c r="EGP892" s="121"/>
      <c r="EGQ892" s="121"/>
      <c r="EGR892" s="121"/>
      <c r="EGS892" s="121"/>
      <c r="EGT892" s="121"/>
      <c r="EGU892" s="121"/>
      <c r="EGV892" s="121"/>
      <c r="EGW892" s="121"/>
      <c r="EGX892" s="121"/>
      <c r="EGY892" s="121"/>
      <c r="EGZ892" s="121"/>
      <c r="EHA892" s="121"/>
      <c r="EHB892" s="121"/>
      <c r="EHC892" s="121"/>
      <c r="EHD892" s="121"/>
      <c r="EHE892" s="121"/>
      <c r="EHF892" s="121"/>
      <c r="EHG892" s="121"/>
      <c r="EHH892" s="121"/>
      <c r="EHI892" s="121"/>
      <c r="EHJ892" s="121"/>
      <c r="EHK892" s="121"/>
      <c r="EHL892" s="121"/>
      <c r="EHM892" s="121"/>
      <c r="EHN892" s="121"/>
      <c r="EHO892" s="121"/>
      <c r="EHP892" s="121"/>
      <c r="EHQ892" s="121"/>
      <c r="EHR892" s="121"/>
      <c r="EHS892" s="121"/>
      <c r="EHT892" s="121"/>
      <c r="EHU892" s="121"/>
      <c r="EHV892" s="121"/>
      <c r="EHW892" s="121"/>
      <c r="EHX892" s="121"/>
      <c r="EHY892" s="121"/>
      <c r="EHZ892" s="121"/>
      <c r="EIA892" s="121"/>
      <c r="EIB892" s="121"/>
      <c r="EIC892" s="121"/>
      <c r="EID892" s="121"/>
      <c r="EIE892" s="121"/>
      <c r="EIF892" s="121"/>
      <c r="EIG892" s="121"/>
      <c r="EIH892" s="121"/>
      <c r="EII892" s="121"/>
      <c r="EIJ892" s="121"/>
      <c r="EIK892" s="121"/>
      <c r="EIL892" s="121"/>
      <c r="EIM892" s="121"/>
      <c r="EIN892" s="121"/>
      <c r="EIO892" s="121"/>
      <c r="EIP892" s="121"/>
      <c r="EIQ892" s="121"/>
      <c r="EIR892" s="121"/>
      <c r="EIS892" s="121"/>
      <c r="EIT892" s="121"/>
      <c r="EIU892" s="121"/>
      <c r="EIV892" s="121"/>
      <c r="EIW892" s="121"/>
      <c r="EIX892" s="121"/>
      <c r="EIY892" s="121"/>
      <c r="EIZ892" s="121"/>
      <c r="EJA892" s="121"/>
      <c r="EJB892" s="121"/>
      <c r="EJC892" s="121"/>
      <c r="EJD892" s="121"/>
      <c r="EJE892" s="121"/>
      <c r="EJF892" s="121"/>
      <c r="EJG892" s="121"/>
      <c r="EJH892" s="121"/>
      <c r="EJI892" s="121"/>
      <c r="EJJ892" s="121"/>
      <c r="EJK892" s="121"/>
      <c r="EJL892" s="121"/>
      <c r="EJM892" s="121"/>
      <c r="EJN892" s="121"/>
      <c r="EJO892" s="121"/>
      <c r="EJP892" s="121"/>
      <c r="EJQ892" s="121"/>
      <c r="EJR892" s="121"/>
      <c r="EJS892" s="121"/>
      <c r="EJT892" s="121"/>
      <c r="EJU892" s="121"/>
      <c r="EJV892" s="121"/>
      <c r="EJW892" s="121"/>
      <c r="EJX892" s="121"/>
      <c r="EJY892" s="121"/>
      <c r="EJZ892" s="121"/>
      <c r="EKA892" s="121"/>
      <c r="EKB892" s="121"/>
      <c r="EKC892" s="121"/>
      <c r="EKD892" s="121"/>
      <c r="EKE892" s="121"/>
      <c r="EKF892" s="121"/>
      <c r="EKG892" s="121"/>
      <c r="EKH892" s="121"/>
      <c r="EKI892" s="121"/>
      <c r="EKJ892" s="121"/>
      <c r="EKK892" s="121"/>
      <c r="EKL892" s="121"/>
      <c r="EKM892" s="121"/>
      <c r="EKN892" s="121"/>
      <c r="EKO892" s="121"/>
      <c r="EKP892" s="121"/>
      <c r="EKQ892" s="121"/>
      <c r="EKR892" s="121"/>
      <c r="EKS892" s="121"/>
      <c r="EKT892" s="121"/>
      <c r="EKU892" s="121"/>
      <c r="EKV892" s="121"/>
      <c r="EKW892" s="121"/>
      <c r="EKX892" s="121"/>
      <c r="EKY892" s="121"/>
      <c r="EKZ892" s="121"/>
      <c r="ELA892" s="121"/>
      <c r="ELB892" s="121"/>
      <c r="ELC892" s="121"/>
      <c r="ELD892" s="121"/>
      <c r="ELE892" s="121"/>
      <c r="ELF892" s="121"/>
      <c r="ELG892" s="121"/>
      <c r="ELH892" s="121"/>
      <c r="ELI892" s="121"/>
      <c r="ELJ892" s="121"/>
      <c r="ELK892" s="121"/>
      <c r="ELL892" s="121"/>
      <c r="ELM892" s="121"/>
      <c r="ELN892" s="121"/>
      <c r="ELO892" s="121"/>
      <c r="ELP892" s="121"/>
      <c r="ELQ892" s="121"/>
      <c r="ELR892" s="121"/>
      <c r="ELS892" s="121"/>
      <c r="ELT892" s="121"/>
      <c r="ELU892" s="121"/>
      <c r="ELV892" s="121"/>
      <c r="ELW892" s="121"/>
      <c r="ELX892" s="121"/>
      <c r="ELY892" s="121"/>
      <c r="ELZ892" s="121"/>
      <c r="EMA892" s="121"/>
      <c r="EMB892" s="121"/>
      <c r="EMC892" s="121"/>
      <c r="EMD892" s="121"/>
      <c r="EME892" s="121"/>
      <c r="EMF892" s="121"/>
      <c r="EMG892" s="121"/>
      <c r="EMH892" s="121"/>
      <c r="EMI892" s="121"/>
      <c r="EMJ892" s="121"/>
      <c r="EMK892" s="121"/>
      <c r="EML892" s="121"/>
      <c r="EMM892" s="121"/>
      <c r="EMN892" s="121"/>
      <c r="EMO892" s="121"/>
      <c r="EMP892" s="121"/>
      <c r="EMQ892" s="121"/>
      <c r="EMR892" s="121"/>
      <c r="EMS892" s="121"/>
      <c r="EMT892" s="121"/>
      <c r="EMU892" s="121"/>
      <c r="EMV892" s="121"/>
      <c r="EMW892" s="121"/>
      <c r="EMX892" s="121"/>
      <c r="EMY892" s="121"/>
      <c r="EMZ892" s="121"/>
      <c r="ENA892" s="121"/>
      <c r="ENB892" s="121"/>
      <c r="ENC892" s="121"/>
      <c r="END892" s="121"/>
      <c r="ENE892" s="121"/>
      <c r="ENF892" s="121"/>
      <c r="ENG892" s="121"/>
      <c r="ENH892" s="121"/>
      <c r="ENI892" s="121"/>
      <c r="ENJ892" s="121"/>
      <c r="ENK892" s="121"/>
      <c r="ENL892" s="121"/>
      <c r="ENM892" s="121"/>
      <c r="ENN892" s="121"/>
      <c r="ENO892" s="121"/>
      <c r="ENP892" s="121"/>
      <c r="ENQ892" s="121"/>
      <c r="ENR892" s="121"/>
      <c r="ENS892" s="121"/>
      <c r="ENT892" s="121"/>
      <c r="ENU892" s="121"/>
      <c r="ENV892" s="121"/>
      <c r="ENW892" s="121"/>
      <c r="ENX892" s="121"/>
      <c r="ENY892" s="121"/>
      <c r="ENZ892" s="121"/>
      <c r="EOA892" s="121"/>
      <c r="EOB892" s="121"/>
      <c r="EOC892" s="121"/>
      <c r="EOD892" s="121"/>
      <c r="EOE892" s="121"/>
      <c r="EOF892" s="121"/>
      <c r="EOG892" s="121"/>
      <c r="EOH892" s="121"/>
      <c r="EOI892" s="121"/>
      <c r="EOJ892" s="121"/>
      <c r="EOK892" s="121"/>
      <c r="EOL892" s="121"/>
      <c r="EOM892" s="121"/>
      <c r="EON892" s="121"/>
      <c r="EOO892" s="121"/>
      <c r="EOP892" s="121"/>
      <c r="EOQ892" s="121"/>
      <c r="EOR892" s="121"/>
      <c r="EOS892" s="121"/>
      <c r="EOT892" s="121"/>
      <c r="EOU892" s="121"/>
      <c r="EOV892" s="121"/>
      <c r="EOW892" s="121"/>
      <c r="EOX892" s="121"/>
      <c r="EOY892" s="121"/>
      <c r="EOZ892" s="121"/>
      <c r="EPA892" s="121"/>
      <c r="EPB892" s="121"/>
      <c r="EPC892" s="121"/>
      <c r="EPD892" s="121"/>
      <c r="EPE892" s="121"/>
      <c r="EPF892" s="121"/>
      <c r="EPG892" s="121"/>
      <c r="EPH892" s="121"/>
      <c r="EPI892" s="121"/>
      <c r="EPJ892" s="121"/>
      <c r="EPK892" s="121"/>
      <c r="EPL892" s="121"/>
      <c r="EPM892" s="121"/>
      <c r="EPN892" s="121"/>
      <c r="EPO892" s="121"/>
      <c r="EPP892" s="121"/>
      <c r="EPQ892" s="121"/>
      <c r="EPR892" s="121"/>
      <c r="EPS892" s="121"/>
      <c r="EPT892" s="121"/>
      <c r="EPU892" s="121"/>
      <c r="EPV892" s="121"/>
      <c r="EPW892" s="121"/>
      <c r="EPX892" s="121"/>
      <c r="EPY892" s="121"/>
      <c r="EPZ892" s="121"/>
      <c r="EQA892" s="121"/>
      <c r="EQB892" s="121"/>
      <c r="EQC892" s="121"/>
      <c r="EQD892" s="121"/>
      <c r="EQE892" s="121"/>
      <c r="EQF892" s="121"/>
      <c r="EQG892" s="121"/>
      <c r="EQH892" s="121"/>
      <c r="EQI892" s="121"/>
      <c r="EQJ892" s="121"/>
      <c r="EQK892" s="121"/>
      <c r="EQL892" s="121"/>
      <c r="EQM892" s="121"/>
      <c r="EQN892" s="121"/>
      <c r="EQO892" s="121"/>
      <c r="EQP892" s="121"/>
      <c r="EQQ892" s="121"/>
      <c r="EQR892" s="121"/>
      <c r="EQS892" s="121"/>
      <c r="EQT892" s="121"/>
      <c r="EQU892" s="121"/>
      <c r="EQV892" s="121"/>
      <c r="EQW892" s="121"/>
      <c r="EQX892" s="121"/>
      <c r="EQY892" s="121"/>
      <c r="EQZ892" s="121"/>
      <c r="ERA892" s="121"/>
      <c r="ERB892" s="121"/>
      <c r="ERC892" s="121"/>
      <c r="ERD892" s="121"/>
      <c r="ERE892" s="121"/>
      <c r="ERF892" s="121"/>
      <c r="ERG892" s="121"/>
      <c r="ERH892" s="121"/>
      <c r="ERI892" s="121"/>
      <c r="ERJ892" s="121"/>
      <c r="ERK892" s="121"/>
      <c r="ERL892" s="121"/>
      <c r="ERM892" s="121"/>
      <c r="ERN892" s="121"/>
      <c r="ERO892" s="121"/>
      <c r="ERP892" s="121"/>
      <c r="ERQ892" s="121"/>
      <c r="ERR892" s="121"/>
      <c r="ERS892" s="121"/>
      <c r="ERT892" s="121"/>
      <c r="ERU892" s="121"/>
      <c r="ERV892" s="121"/>
      <c r="ERW892" s="121"/>
      <c r="ERX892" s="121"/>
      <c r="ERY892" s="121"/>
      <c r="ERZ892" s="121"/>
      <c r="ESA892" s="121"/>
      <c r="ESB892" s="121"/>
      <c r="ESC892" s="121"/>
      <c r="ESD892" s="121"/>
      <c r="ESE892" s="121"/>
      <c r="ESF892" s="121"/>
      <c r="ESG892" s="121"/>
      <c r="ESH892" s="121"/>
      <c r="ESI892" s="121"/>
      <c r="ESJ892" s="121"/>
      <c r="ESK892" s="121"/>
      <c r="ESL892" s="121"/>
      <c r="ESM892" s="121"/>
      <c r="ESN892" s="121"/>
      <c r="ESO892" s="121"/>
      <c r="ESP892" s="121"/>
      <c r="ESQ892" s="121"/>
      <c r="ESR892" s="121"/>
      <c r="ESS892" s="121"/>
      <c r="EST892" s="121"/>
      <c r="ESU892" s="121"/>
      <c r="ESV892" s="121"/>
      <c r="ESW892" s="121"/>
      <c r="ESX892" s="121"/>
      <c r="ESY892" s="121"/>
      <c r="ESZ892" s="121"/>
      <c r="ETA892" s="121"/>
      <c r="ETB892" s="121"/>
      <c r="ETC892" s="121"/>
      <c r="ETD892" s="121"/>
      <c r="ETE892" s="121"/>
      <c r="ETF892" s="121"/>
      <c r="ETG892" s="121"/>
      <c r="ETH892" s="121"/>
      <c r="ETI892" s="121"/>
      <c r="ETJ892" s="121"/>
      <c r="ETK892" s="121"/>
      <c r="ETL892" s="121"/>
      <c r="ETM892" s="121"/>
      <c r="ETN892" s="121"/>
      <c r="ETO892" s="121"/>
      <c r="ETP892" s="121"/>
      <c r="ETQ892" s="121"/>
      <c r="ETR892" s="121"/>
      <c r="ETS892" s="121"/>
      <c r="ETT892" s="121"/>
      <c r="ETU892" s="121"/>
      <c r="ETV892" s="121"/>
      <c r="ETW892" s="121"/>
      <c r="ETX892" s="121"/>
      <c r="ETY892" s="121"/>
      <c r="ETZ892" s="121"/>
      <c r="EUA892" s="121"/>
      <c r="EUB892" s="121"/>
      <c r="EUC892" s="121"/>
      <c r="EUD892" s="121"/>
      <c r="EUE892" s="121"/>
      <c r="EUF892" s="121"/>
      <c r="EUG892" s="121"/>
      <c r="EUH892" s="121"/>
      <c r="EUI892" s="121"/>
      <c r="EUJ892" s="121"/>
      <c r="EUK892" s="121"/>
      <c r="EUL892" s="121"/>
      <c r="EUM892" s="121"/>
      <c r="EUN892" s="121"/>
      <c r="EUO892" s="121"/>
      <c r="EUP892" s="121"/>
      <c r="EUQ892" s="121"/>
      <c r="EUR892" s="121"/>
      <c r="EUS892" s="121"/>
      <c r="EUT892" s="121"/>
      <c r="EUU892" s="121"/>
      <c r="EUV892" s="121"/>
      <c r="EUW892" s="121"/>
      <c r="EUX892" s="121"/>
      <c r="EUY892" s="121"/>
      <c r="EUZ892" s="121"/>
      <c r="EVA892" s="121"/>
      <c r="EVB892" s="121"/>
      <c r="EVC892" s="121"/>
      <c r="EVD892" s="121"/>
      <c r="EVE892" s="121"/>
      <c r="EVF892" s="121"/>
      <c r="EVG892" s="121"/>
      <c r="EVH892" s="121"/>
      <c r="EVI892" s="121"/>
      <c r="EVJ892" s="121"/>
      <c r="EVK892" s="121"/>
      <c r="EVL892" s="121"/>
      <c r="EVM892" s="121"/>
      <c r="EVN892" s="121"/>
      <c r="EVO892" s="121"/>
      <c r="EVP892" s="121"/>
      <c r="EVQ892" s="121"/>
      <c r="EVR892" s="121"/>
      <c r="EVS892" s="121"/>
      <c r="EVT892" s="121"/>
      <c r="EVU892" s="121"/>
      <c r="EVV892" s="121"/>
      <c r="EVW892" s="121"/>
      <c r="EVX892" s="121"/>
      <c r="EVY892" s="121"/>
      <c r="EVZ892" s="121"/>
      <c r="EWA892" s="121"/>
      <c r="EWB892" s="121"/>
      <c r="EWC892" s="121"/>
      <c r="EWD892" s="121"/>
      <c r="EWE892" s="121"/>
      <c r="EWF892" s="121"/>
      <c r="EWG892" s="121"/>
      <c r="EWH892" s="121"/>
      <c r="EWI892" s="121"/>
      <c r="EWJ892" s="121"/>
      <c r="EWK892" s="121"/>
      <c r="EWL892" s="121"/>
      <c r="EWM892" s="121"/>
      <c r="EWN892" s="121"/>
      <c r="EWO892" s="121"/>
      <c r="EWP892" s="121"/>
      <c r="EWQ892" s="121"/>
      <c r="EWR892" s="121"/>
      <c r="EWS892" s="121"/>
      <c r="EWT892" s="121"/>
      <c r="EWU892" s="121"/>
      <c r="EWV892" s="121"/>
      <c r="EWW892" s="121"/>
      <c r="EWX892" s="121"/>
      <c r="EWY892" s="121"/>
      <c r="EWZ892" s="121"/>
      <c r="EXA892" s="121"/>
      <c r="EXB892" s="121"/>
      <c r="EXC892" s="121"/>
      <c r="EXD892" s="121"/>
      <c r="EXE892" s="121"/>
      <c r="EXF892" s="121"/>
      <c r="EXG892" s="121"/>
      <c r="EXH892" s="121"/>
      <c r="EXI892" s="121"/>
      <c r="EXJ892" s="121"/>
      <c r="EXK892" s="121"/>
      <c r="EXL892" s="121"/>
      <c r="EXM892" s="121"/>
      <c r="EXN892" s="121"/>
      <c r="EXO892" s="121"/>
      <c r="EXP892" s="121"/>
      <c r="EXQ892" s="121"/>
      <c r="EXR892" s="121"/>
      <c r="EXS892" s="121"/>
      <c r="EXT892" s="121"/>
      <c r="EXU892" s="121"/>
      <c r="EXV892" s="121"/>
      <c r="EXW892" s="121"/>
      <c r="EXX892" s="121"/>
      <c r="EXY892" s="121"/>
      <c r="EXZ892" s="121"/>
      <c r="EYA892" s="121"/>
      <c r="EYB892" s="121"/>
      <c r="EYC892" s="121"/>
      <c r="EYD892" s="121"/>
      <c r="EYE892" s="121"/>
      <c r="EYF892" s="121"/>
      <c r="EYG892" s="121"/>
      <c r="EYH892" s="121"/>
      <c r="EYI892" s="121"/>
      <c r="EYJ892" s="121"/>
      <c r="EYK892" s="121"/>
      <c r="EYL892" s="121"/>
      <c r="EYM892" s="121"/>
      <c r="EYN892" s="121"/>
      <c r="EYO892" s="121"/>
      <c r="EYP892" s="121"/>
      <c r="EYQ892" s="121"/>
      <c r="EYR892" s="121"/>
      <c r="EYS892" s="121"/>
      <c r="EYT892" s="121"/>
      <c r="EYU892" s="121"/>
      <c r="EYV892" s="121"/>
      <c r="EYW892" s="121"/>
      <c r="EYX892" s="121"/>
      <c r="EYY892" s="121"/>
      <c r="EYZ892" s="121"/>
      <c r="EZA892" s="121"/>
      <c r="EZB892" s="121"/>
      <c r="EZC892" s="121"/>
      <c r="EZD892" s="121"/>
      <c r="EZE892" s="121"/>
      <c r="EZF892" s="121"/>
      <c r="EZG892" s="121"/>
      <c r="EZH892" s="121"/>
      <c r="EZI892" s="121"/>
      <c r="EZJ892" s="121"/>
      <c r="EZK892" s="121"/>
      <c r="EZL892" s="121"/>
      <c r="EZM892" s="121"/>
      <c r="EZN892" s="121"/>
      <c r="EZO892" s="121"/>
      <c r="EZP892" s="121"/>
      <c r="EZQ892" s="121"/>
      <c r="EZR892" s="121"/>
      <c r="EZS892" s="121"/>
      <c r="EZT892" s="121"/>
      <c r="EZU892" s="121"/>
      <c r="EZV892" s="121"/>
      <c r="EZW892" s="121"/>
      <c r="EZX892" s="121"/>
      <c r="EZY892" s="121"/>
      <c r="EZZ892" s="121"/>
      <c r="FAA892" s="121"/>
      <c r="FAB892" s="121"/>
      <c r="FAC892" s="121"/>
      <c r="FAD892" s="121"/>
      <c r="FAE892" s="121"/>
      <c r="FAF892" s="121"/>
      <c r="FAG892" s="121"/>
      <c r="FAH892" s="121"/>
      <c r="FAI892" s="121"/>
      <c r="FAJ892" s="121"/>
      <c r="FAK892" s="121"/>
      <c r="FAL892" s="121"/>
      <c r="FAM892" s="121"/>
      <c r="FAN892" s="121"/>
      <c r="FAO892" s="121"/>
      <c r="FAP892" s="121"/>
      <c r="FAQ892" s="121"/>
      <c r="FAR892" s="121"/>
      <c r="FAS892" s="121"/>
      <c r="FAT892" s="121"/>
      <c r="FAU892" s="121"/>
      <c r="FAV892" s="121"/>
      <c r="FAW892" s="121"/>
      <c r="FAX892" s="121"/>
      <c r="FAY892" s="121"/>
      <c r="FAZ892" s="121"/>
      <c r="FBA892" s="121"/>
      <c r="FBB892" s="121"/>
      <c r="FBC892" s="121"/>
      <c r="FBD892" s="121"/>
      <c r="FBE892" s="121"/>
      <c r="FBF892" s="121"/>
      <c r="FBG892" s="121"/>
      <c r="FBH892" s="121"/>
      <c r="FBI892" s="121"/>
      <c r="FBJ892" s="121"/>
      <c r="FBK892" s="121"/>
      <c r="FBL892" s="121"/>
      <c r="FBM892" s="121"/>
      <c r="FBN892" s="121"/>
      <c r="FBO892" s="121"/>
      <c r="FBP892" s="121"/>
      <c r="FBQ892" s="121"/>
      <c r="FBR892" s="121"/>
      <c r="FBS892" s="121"/>
      <c r="FBT892" s="121"/>
      <c r="FBU892" s="121"/>
      <c r="FBV892" s="121"/>
      <c r="FBW892" s="121"/>
      <c r="FBX892" s="121"/>
      <c r="FBY892" s="121"/>
      <c r="FBZ892" s="121"/>
      <c r="FCA892" s="121"/>
      <c r="FCB892" s="121"/>
      <c r="FCC892" s="121"/>
      <c r="FCD892" s="121"/>
      <c r="FCE892" s="121"/>
      <c r="FCF892" s="121"/>
      <c r="FCG892" s="121"/>
      <c r="FCH892" s="121"/>
      <c r="FCI892" s="121"/>
      <c r="FCJ892" s="121"/>
      <c r="FCK892" s="121"/>
      <c r="FCL892" s="121"/>
      <c r="FCM892" s="121"/>
      <c r="FCN892" s="121"/>
      <c r="FCO892" s="121"/>
      <c r="FCP892" s="121"/>
      <c r="FCQ892" s="121"/>
      <c r="FCR892" s="121"/>
      <c r="FCS892" s="121"/>
      <c r="FCT892" s="121"/>
      <c r="FCU892" s="121"/>
      <c r="FCV892" s="121"/>
      <c r="FCW892" s="121"/>
      <c r="FCX892" s="121"/>
      <c r="FCY892" s="121"/>
      <c r="FCZ892" s="121"/>
      <c r="FDA892" s="121"/>
      <c r="FDB892" s="121"/>
      <c r="FDC892" s="121"/>
      <c r="FDD892" s="121"/>
      <c r="FDE892" s="121"/>
      <c r="FDF892" s="121"/>
      <c r="FDG892" s="121"/>
      <c r="FDH892" s="121"/>
      <c r="FDI892" s="121"/>
      <c r="FDJ892" s="121"/>
      <c r="FDK892" s="121"/>
      <c r="FDL892" s="121"/>
      <c r="FDM892" s="121"/>
      <c r="FDN892" s="121"/>
      <c r="FDO892" s="121"/>
      <c r="FDP892" s="121"/>
      <c r="FDQ892" s="121"/>
      <c r="FDR892" s="121"/>
      <c r="FDS892" s="121"/>
      <c r="FDT892" s="121"/>
      <c r="FDU892" s="121"/>
      <c r="FDV892" s="121"/>
      <c r="FDW892" s="121"/>
      <c r="FDX892" s="121"/>
      <c r="FDY892" s="121"/>
      <c r="FDZ892" s="121"/>
      <c r="FEA892" s="121"/>
      <c r="FEB892" s="121"/>
      <c r="FEC892" s="121"/>
      <c r="FED892" s="121"/>
      <c r="FEE892" s="121"/>
      <c r="FEF892" s="121"/>
      <c r="FEG892" s="121"/>
      <c r="FEH892" s="121"/>
      <c r="FEI892" s="121"/>
      <c r="FEJ892" s="121"/>
      <c r="FEK892" s="121"/>
      <c r="FEL892" s="121"/>
      <c r="FEM892" s="121"/>
      <c r="FEN892" s="121"/>
      <c r="FEO892" s="121"/>
      <c r="FEP892" s="121"/>
      <c r="FEQ892" s="121"/>
      <c r="FER892" s="121"/>
      <c r="FES892" s="121"/>
      <c r="FET892" s="121"/>
      <c r="FEU892" s="121"/>
      <c r="FEV892" s="121"/>
      <c r="FEW892" s="121"/>
      <c r="FEX892" s="121"/>
      <c r="FEY892" s="121"/>
      <c r="FEZ892" s="121"/>
      <c r="FFA892" s="121"/>
      <c r="FFB892" s="121"/>
      <c r="FFC892" s="121"/>
      <c r="FFD892" s="121"/>
      <c r="FFE892" s="121"/>
      <c r="FFF892" s="121"/>
      <c r="FFG892" s="121"/>
      <c r="FFH892" s="121"/>
      <c r="FFI892" s="121"/>
      <c r="FFJ892" s="121"/>
      <c r="FFK892" s="121"/>
      <c r="FFL892" s="121"/>
      <c r="FFM892" s="121"/>
      <c r="FFN892" s="121"/>
      <c r="FFO892" s="121"/>
      <c r="FFP892" s="121"/>
      <c r="FFQ892" s="121"/>
      <c r="FFR892" s="121"/>
      <c r="FFS892" s="121"/>
      <c r="FFT892" s="121"/>
      <c r="FFU892" s="121"/>
      <c r="FFV892" s="121"/>
      <c r="FFW892" s="121"/>
      <c r="FFX892" s="121"/>
      <c r="FFY892" s="121"/>
      <c r="FFZ892" s="121"/>
      <c r="FGA892" s="121"/>
      <c r="FGB892" s="121"/>
      <c r="FGC892" s="121"/>
      <c r="FGD892" s="121"/>
      <c r="FGE892" s="121"/>
      <c r="FGF892" s="121"/>
      <c r="FGG892" s="121"/>
      <c r="FGH892" s="121"/>
      <c r="FGI892" s="121"/>
      <c r="FGJ892" s="121"/>
      <c r="FGK892" s="121"/>
      <c r="FGL892" s="121"/>
      <c r="FGM892" s="121"/>
      <c r="FGN892" s="121"/>
      <c r="FGO892" s="121"/>
      <c r="FGP892" s="121"/>
      <c r="FGQ892" s="121"/>
      <c r="FGR892" s="121"/>
      <c r="FGS892" s="121"/>
      <c r="FGT892" s="121"/>
      <c r="FGU892" s="121"/>
      <c r="FGV892" s="121"/>
      <c r="FGW892" s="121"/>
      <c r="FGX892" s="121"/>
      <c r="FGY892" s="121"/>
      <c r="FGZ892" s="121"/>
      <c r="FHA892" s="121"/>
      <c r="FHB892" s="121"/>
      <c r="FHC892" s="121"/>
      <c r="FHD892" s="121"/>
      <c r="FHE892" s="121"/>
      <c r="FHF892" s="121"/>
      <c r="FHG892" s="121"/>
      <c r="FHH892" s="121"/>
      <c r="FHI892" s="121"/>
      <c r="FHJ892" s="121"/>
      <c r="FHK892" s="121"/>
      <c r="FHL892" s="121"/>
      <c r="FHM892" s="121"/>
      <c r="FHN892" s="121"/>
      <c r="FHO892" s="121"/>
      <c r="FHP892" s="121"/>
      <c r="FHQ892" s="121"/>
      <c r="FHR892" s="121"/>
      <c r="FHS892" s="121"/>
      <c r="FHT892" s="121"/>
      <c r="FHU892" s="121"/>
      <c r="FHV892" s="121"/>
      <c r="FHW892" s="121"/>
      <c r="FHX892" s="121"/>
      <c r="FHY892" s="121"/>
      <c r="FHZ892" s="121"/>
      <c r="FIA892" s="121"/>
      <c r="FIB892" s="121"/>
      <c r="FIC892" s="121"/>
      <c r="FID892" s="121"/>
      <c r="FIE892" s="121"/>
      <c r="FIF892" s="121"/>
      <c r="FIG892" s="121"/>
      <c r="FIH892" s="121"/>
      <c r="FII892" s="121"/>
      <c r="FIJ892" s="121"/>
      <c r="FIK892" s="121"/>
      <c r="FIL892" s="121"/>
      <c r="FIM892" s="121"/>
      <c r="FIN892" s="121"/>
      <c r="FIO892" s="121"/>
      <c r="FIP892" s="121"/>
      <c r="FIQ892" s="121"/>
      <c r="FIR892" s="121"/>
      <c r="FIS892" s="121"/>
      <c r="FIT892" s="121"/>
      <c r="FIU892" s="121"/>
      <c r="FIV892" s="121"/>
      <c r="FIW892" s="121"/>
      <c r="FIX892" s="121"/>
      <c r="FIY892" s="121"/>
      <c r="FIZ892" s="121"/>
      <c r="FJA892" s="121"/>
      <c r="FJB892" s="121"/>
      <c r="FJC892" s="121"/>
      <c r="FJD892" s="121"/>
      <c r="FJE892" s="121"/>
      <c r="FJF892" s="121"/>
      <c r="FJG892" s="121"/>
      <c r="FJH892" s="121"/>
      <c r="FJI892" s="121"/>
      <c r="FJJ892" s="121"/>
      <c r="FJK892" s="121"/>
      <c r="FJL892" s="121"/>
      <c r="FJM892" s="121"/>
      <c r="FJN892" s="121"/>
      <c r="FJO892" s="121"/>
      <c r="FJP892" s="121"/>
      <c r="FJQ892" s="121"/>
      <c r="FJR892" s="121"/>
      <c r="FJS892" s="121"/>
      <c r="FJT892" s="121"/>
      <c r="FJU892" s="121"/>
      <c r="FJV892" s="121"/>
      <c r="FJW892" s="121"/>
      <c r="FJX892" s="121"/>
      <c r="FJY892" s="121"/>
      <c r="FJZ892" s="121"/>
      <c r="FKA892" s="121"/>
      <c r="FKB892" s="121"/>
      <c r="FKC892" s="121"/>
      <c r="FKD892" s="121"/>
      <c r="FKE892" s="121"/>
      <c r="FKF892" s="121"/>
      <c r="FKG892" s="121"/>
      <c r="FKH892" s="121"/>
      <c r="FKI892" s="121"/>
      <c r="FKJ892" s="121"/>
      <c r="FKK892" s="121"/>
      <c r="FKL892" s="121"/>
      <c r="FKM892" s="121"/>
      <c r="FKN892" s="121"/>
      <c r="FKO892" s="121"/>
      <c r="FKP892" s="121"/>
      <c r="FKQ892" s="121"/>
      <c r="FKR892" s="121"/>
      <c r="FKS892" s="121"/>
      <c r="FKT892" s="121"/>
      <c r="FKU892" s="121"/>
      <c r="FKV892" s="121"/>
      <c r="FKW892" s="121"/>
      <c r="FKX892" s="121"/>
      <c r="FKY892" s="121"/>
      <c r="FKZ892" s="121"/>
      <c r="FLA892" s="121"/>
      <c r="FLB892" s="121"/>
      <c r="FLC892" s="121"/>
      <c r="FLD892" s="121"/>
      <c r="FLE892" s="121"/>
      <c r="FLF892" s="121"/>
      <c r="FLG892" s="121"/>
      <c r="FLH892" s="121"/>
      <c r="FLI892" s="121"/>
      <c r="FLJ892" s="121"/>
      <c r="FLK892" s="121"/>
      <c r="FLL892" s="121"/>
      <c r="FLM892" s="121"/>
      <c r="FLN892" s="121"/>
      <c r="FLO892" s="121"/>
      <c r="FLP892" s="121"/>
      <c r="FLQ892" s="121"/>
      <c r="FLR892" s="121"/>
      <c r="FLS892" s="121"/>
      <c r="FLT892" s="121"/>
      <c r="FLU892" s="121"/>
      <c r="FLV892" s="121"/>
      <c r="FLW892" s="121"/>
      <c r="FLX892" s="121"/>
      <c r="FLY892" s="121"/>
      <c r="FLZ892" s="121"/>
      <c r="FMA892" s="121"/>
      <c r="FMB892" s="121"/>
      <c r="FMC892" s="121"/>
      <c r="FMD892" s="121"/>
      <c r="FME892" s="121"/>
      <c r="FMF892" s="121"/>
      <c r="FMG892" s="121"/>
      <c r="FMH892" s="121"/>
      <c r="FMI892" s="121"/>
      <c r="FMJ892" s="121"/>
      <c r="FMK892" s="121"/>
      <c r="FML892" s="121"/>
      <c r="FMM892" s="121"/>
      <c r="FMN892" s="121"/>
      <c r="FMO892" s="121"/>
      <c r="FMP892" s="121"/>
      <c r="FMQ892" s="121"/>
      <c r="FMR892" s="121"/>
      <c r="FMS892" s="121"/>
      <c r="FMT892" s="121"/>
      <c r="FMU892" s="121"/>
      <c r="FMV892" s="121"/>
      <c r="FMW892" s="121"/>
      <c r="FMX892" s="121"/>
      <c r="FMY892" s="121"/>
      <c r="FMZ892" s="121"/>
      <c r="FNA892" s="121"/>
      <c r="FNB892" s="121"/>
      <c r="FNC892" s="121"/>
      <c r="FND892" s="121"/>
      <c r="FNE892" s="121"/>
      <c r="FNF892" s="121"/>
      <c r="FNG892" s="121"/>
      <c r="FNH892" s="121"/>
      <c r="FNI892" s="121"/>
      <c r="FNJ892" s="121"/>
      <c r="FNK892" s="121"/>
      <c r="FNL892" s="121"/>
      <c r="FNM892" s="121"/>
      <c r="FNN892" s="121"/>
      <c r="FNO892" s="121"/>
      <c r="FNP892" s="121"/>
      <c r="FNQ892" s="121"/>
      <c r="FNR892" s="121"/>
      <c r="FNS892" s="121"/>
      <c r="FNT892" s="121"/>
      <c r="FNU892" s="121"/>
      <c r="FNV892" s="121"/>
      <c r="FNW892" s="121"/>
      <c r="FNX892" s="121"/>
      <c r="FNY892" s="121"/>
      <c r="FNZ892" s="121"/>
      <c r="FOA892" s="121"/>
      <c r="FOB892" s="121"/>
      <c r="FOC892" s="121"/>
      <c r="FOD892" s="121"/>
      <c r="FOE892" s="121"/>
      <c r="FOF892" s="121"/>
      <c r="FOG892" s="121"/>
      <c r="FOH892" s="121"/>
      <c r="FOI892" s="121"/>
      <c r="FOJ892" s="121"/>
      <c r="FOK892" s="121"/>
      <c r="FOL892" s="121"/>
      <c r="FOM892" s="121"/>
      <c r="FON892" s="121"/>
      <c r="FOO892" s="121"/>
      <c r="FOP892" s="121"/>
      <c r="FOQ892" s="121"/>
      <c r="FOR892" s="121"/>
      <c r="FOS892" s="121"/>
      <c r="FOT892" s="121"/>
      <c r="FOU892" s="121"/>
      <c r="FOV892" s="121"/>
      <c r="FOW892" s="121"/>
      <c r="FOX892" s="121"/>
      <c r="FOY892" s="121"/>
      <c r="FOZ892" s="121"/>
      <c r="FPA892" s="121"/>
      <c r="FPB892" s="121"/>
      <c r="FPC892" s="121"/>
      <c r="FPD892" s="121"/>
      <c r="FPE892" s="121"/>
      <c r="FPF892" s="121"/>
      <c r="FPG892" s="121"/>
      <c r="FPH892" s="121"/>
      <c r="FPI892" s="121"/>
      <c r="FPJ892" s="121"/>
      <c r="FPK892" s="121"/>
      <c r="FPL892" s="121"/>
      <c r="FPM892" s="121"/>
      <c r="FPN892" s="121"/>
      <c r="FPO892" s="121"/>
      <c r="FPP892" s="121"/>
      <c r="FPQ892" s="121"/>
      <c r="FPR892" s="121"/>
      <c r="FPS892" s="121"/>
      <c r="FPT892" s="121"/>
      <c r="FPU892" s="121"/>
      <c r="FPV892" s="121"/>
      <c r="FPW892" s="121"/>
      <c r="FPX892" s="121"/>
      <c r="FPY892" s="121"/>
      <c r="FPZ892" s="121"/>
      <c r="FQA892" s="121"/>
      <c r="FQB892" s="121"/>
      <c r="FQC892" s="121"/>
      <c r="FQD892" s="121"/>
      <c r="FQE892" s="121"/>
      <c r="FQF892" s="121"/>
      <c r="FQG892" s="121"/>
      <c r="FQH892" s="121"/>
      <c r="FQI892" s="121"/>
      <c r="FQJ892" s="121"/>
      <c r="FQK892" s="121"/>
      <c r="FQL892" s="121"/>
      <c r="FQM892" s="121"/>
      <c r="FQN892" s="121"/>
      <c r="FQO892" s="121"/>
      <c r="FQP892" s="121"/>
      <c r="FQQ892" s="121"/>
      <c r="FQR892" s="121"/>
      <c r="FQS892" s="121"/>
      <c r="FQT892" s="121"/>
      <c r="FQU892" s="121"/>
      <c r="FQV892" s="121"/>
      <c r="FQW892" s="121"/>
      <c r="FQX892" s="121"/>
      <c r="FQY892" s="121"/>
      <c r="FQZ892" s="121"/>
      <c r="FRA892" s="121"/>
      <c r="FRB892" s="121"/>
      <c r="FRC892" s="121"/>
      <c r="FRD892" s="121"/>
      <c r="FRE892" s="121"/>
      <c r="FRF892" s="121"/>
      <c r="FRG892" s="121"/>
      <c r="FRH892" s="121"/>
      <c r="FRI892" s="121"/>
      <c r="FRJ892" s="121"/>
      <c r="FRK892" s="121"/>
      <c r="FRL892" s="121"/>
      <c r="FRM892" s="121"/>
      <c r="FRN892" s="121"/>
      <c r="FRO892" s="121"/>
      <c r="FRP892" s="121"/>
      <c r="FRQ892" s="121"/>
      <c r="FRR892" s="121"/>
      <c r="FRS892" s="121"/>
      <c r="FRT892" s="121"/>
      <c r="FRU892" s="121"/>
      <c r="FRV892" s="121"/>
      <c r="FRW892" s="121"/>
      <c r="FRX892" s="121"/>
      <c r="FRY892" s="121"/>
      <c r="FRZ892" s="121"/>
      <c r="FSA892" s="121"/>
      <c r="FSB892" s="121"/>
      <c r="FSC892" s="121"/>
      <c r="FSD892" s="121"/>
      <c r="FSE892" s="121"/>
      <c r="FSF892" s="121"/>
      <c r="FSG892" s="121"/>
      <c r="FSH892" s="121"/>
      <c r="FSI892" s="121"/>
      <c r="FSJ892" s="121"/>
      <c r="FSK892" s="121"/>
      <c r="FSL892" s="121"/>
      <c r="FSM892" s="121"/>
      <c r="FSN892" s="121"/>
      <c r="FSO892" s="121"/>
      <c r="FSP892" s="121"/>
      <c r="FSQ892" s="121"/>
      <c r="FSR892" s="121"/>
      <c r="FSS892" s="121"/>
      <c r="FST892" s="121"/>
      <c r="FSU892" s="121"/>
      <c r="FSV892" s="121"/>
      <c r="FSW892" s="121"/>
      <c r="FSX892" s="121"/>
      <c r="FSY892" s="121"/>
      <c r="FSZ892" s="121"/>
      <c r="FTA892" s="121"/>
      <c r="FTB892" s="121"/>
      <c r="FTC892" s="121"/>
      <c r="FTD892" s="121"/>
      <c r="FTE892" s="121"/>
      <c r="FTF892" s="121"/>
      <c r="FTG892" s="121"/>
      <c r="FTH892" s="121"/>
      <c r="FTI892" s="121"/>
      <c r="FTJ892" s="121"/>
      <c r="FTK892" s="121"/>
      <c r="FTL892" s="121"/>
      <c r="FTM892" s="121"/>
      <c r="FTN892" s="121"/>
      <c r="FTO892" s="121"/>
      <c r="FTP892" s="121"/>
      <c r="FTQ892" s="121"/>
      <c r="FTR892" s="121"/>
      <c r="FTS892" s="121"/>
      <c r="FTT892" s="121"/>
      <c r="FTU892" s="121"/>
      <c r="FTV892" s="121"/>
      <c r="FTW892" s="121"/>
      <c r="FTX892" s="121"/>
      <c r="FTY892" s="121"/>
      <c r="FTZ892" s="121"/>
      <c r="FUA892" s="121"/>
      <c r="FUB892" s="121"/>
      <c r="FUC892" s="121"/>
      <c r="FUD892" s="121"/>
      <c r="FUE892" s="121"/>
      <c r="FUF892" s="121"/>
      <c r="FUG892" s="121"/>
      <c r="FUH892" s="121"/>
      <c r="FUI892" s="121"/>
      <c r="FUJ892" s="121"/>
      <c r="FUK892" s="121"/>
      <c r="FUL892" s="121"/>
      <c r="FUM892" s="121"/>
      <c r="FUN892" s="121"/>
      <c r="FUO892" s="121"/>
      <c r="FUP892" s="121"/>
      <c r="FUQ892" s="121"/>
      <c r="FUR892" s="121"/>
      <c r="FUS892" s="121"/>
      <c r="FUT892" s="121"/>
      <c r="FUU892" s="121"/>
      <c r="FUV892" s="121"/>
      <c r="FUW892" s="121"/>
      <c r="FUX892" s="121"/>
      <c r="FUY892" s="121"/>
      <c r="FUZ892" s="121"/>
      <c r="FVA892" s="121"/>
      <c r="FVB892" s="121"/>
      <c r="FVC892" s="121"/>
      <c r="FVD892" s="121"/>
      <c r="FVE892" s="121"/>
      <c r="FVF892" s="121"/>
      <c r="FVG892" s="121"/>
      <c r="FVH892" s="121"/>
      <c r="FVI892" s="121"/>
      <c r="FVJ892" s="121"/>
      <c r="FVK892" s="121"/>
      <c r="FVL892" s="121"/>
      <c r="FVM892" s="121"/>
      <c r="FVN892" s="121"/>
      <c r="FVO892" s="121"/>
      <c r="FVP892" s="121"/>
      <c r="FVQ892" s="121"/>
      <c r="FVR892" s="121"/>
      <c r="FVS892" s="121"/>
      <c r="FVT892" s="121"/>
      <c r="FVU892" s="121"/>
      <c r="FVV892" s="121"/>
      <c r="FVW892" s="121"/>
      <c r="FVX892" s="121"/>
      <c r="FVY892" s="121"/>
      <c r="FVZ892" s="121"/>
      <c r="FWA892" s="121"/>
      <c r="FWB892" s="121"/>
      <c r="FWC892" s="121"/>
      <c r="FWD892" s="121"/>
      <c r="FWE892" s="121"/>
      <c r="FWF892" s="121"/>
      <c r="FWG892" s="121"/>
      <c r="FWH892" s="121"/>
      <c r="FWI892" s="121"/>
      <c r="FWJ892" s="121"/>
      <c r="FWK892" s="121"/>
      <c r="FWL892" s="121"/>
      <c r="FWM892" s="121"/>
      <c r="FWN892" s="121"/>
      <c r="FWO892" s="121"/>
      <c r="FWP892" s="121"/>
      <c r="FWQ892" s="121"/>
      <c r="FWR892" s="121"/>
      <c r="FWS892" s="121"/>
      <c r="FWT892" s="121"/>
      <c r="FWU892" s="121"/>
      <c r="FWV892" s="121"/>
      <c r="FWW892" s="121"/>
      <c r="FWX892" s="121"/>
      <c r="FWY892" s="121"/>
      <c r="FWZ892" s="121"/>
      <c r="FXA892" s="121"/>
      <c r="FXB892" s="121"/>
      <c r="FXC892" s="121"/>
      <c r="FXD892" s="121"/>
      <c r="FXE892" s="121"/>
      <c r="FXF892" s="121"/>
      <c r="FXG892" s="121"/>
      <c r="FXH892" s="121"/>
      <c r="FXI892" s="121"/>
      <c r="FXJ892" s="121"/>
      <c r="FXK892" s="121"/>
      <c r="FXL892" s="121"/>
      <c r="FXM892" s="121"/>
      <c r="FXN892" s="121"/>
      <c r="FXO892" s="121"/>
      <c r="FXP892" s="121"/>
      <c r="FXQ892" s="121"/>
      <c r="FXR892" s="121"/>
      <c r="FXS892" s="121"/>
      <c r="FXT892" s="121"/>
      <c r="FXU892" s="121"/>
      <c r="FXV892" s="121"/>
      <c r="FXW892" s="121"/>
      <c r="FXX892" s="121"/>
      <c r="FXY892" s="121"/>
      <c r="FXZ892" s="121"/>
      <c r="FYA892" s="121"/>
      <c r="FYB892" s="121"/>
      <c r="FYC892" s="121"/>
      <c r="FYD892" s="121"/>
      <c r="FYE892" s="121"/>
      <c r="FYF892" s="121"/>
      <c r="FYG892" s="121"/>
      <c r="FYH892" s="121"/>
      <c r="FYI892" s="121"/>
      <c r="FYJ892" s="121"/>
      <c r="FYK892" s="121"/>
      <c r="FYL892" s="121"/>
      <c r="FYM892" s="121"/>
      <c r="FYN892" s="121"/>
      <c r="FYO892" s="121"/>
      <c r="FYP892" s="121"/>
      <c r="FYQ892" s="121"/>
      <c r="FYR892" s="121"/>
      <c r="FYS892" s="121"/>
      <c r="FYT892" s="121"/>
      <c r="FYU892" s="121"/>
      <c r="FYV892" s="121"/>
      <c r="FYW892" s="121"/>
      <c r="FYX892" s="121"/>
      <c r="FYY892" s="121"/>
      <c r="FYZ892" s="121"/>
      <c r="FZA892" s="121"/>
      <c r="FZB892" s="121"/>
      <c r="FZC892" s="121"/>
      <c r="FZD892" s="121"/>
      <c r="FZE892" s="121"/>
      <c r="FZF892" s="121"/>
      <c r="FZG892" s="121"/>
      <c r="FZH892" s="121"/>
      <c r="FZI892" s="121"/>
      <c r="FZJ892" s="121"/>
      <c r="FZK892" s="121"/>
      <c r="FZL892" s="121"/>
      <c r="FZM892" s="121"/>
      <c r="FZN892" s="121"/>
      <c r="FZO892" s="121"/>
      <c r="FZP892" s="121"/>
      <c r="FZQ892" s="121"/>
      <c r="FZR892" s="121"/>
      <c r="FZS892" s="121"/>
      <c r="FZT892" s="121"/>
      <c r="FZU892" s="121"/>
      <c r="FZV892" s="121"/>
      <c r="FZW892" s="121"/>
      <c r="FZX892" s="121"/>
      <c r="FZY892" s="121"/>
      <c r="FZZ892" s="121"/>
      <c r="GAA892" s="121"/>
      <c r="GAB892" s="121"/>
      <c r="GAC892" s="121"/>
      <c r="GAD892" s="121"/>
      <c r="GAE892" s="121"/>
      <c r="GAF892" s="121"/>
      <c r="GAG892" s="121"/>
      <c r="GAH892" s="121"/>
      <c r="GAI892" s="121"/>
      <c r="GAJ892" s="121"/>
      <c r="GAK892" s="121"/>
      <c r="GAL892" s="121"/>
      <c r="GAM892" s="121"/>
      <c r="GAN892" s="121"/>
      <c r="GAO892" s="121"/>
      <c r="GAP892" s="121"/>
      <c r="GAQ892" s="121"/>
      <c r="GAR892" s="121"/>
      <c r="GAS892" s="121"/>
      <c r="GAT892" s="121"/>
      <c r="GAU892" s="121"/>
      <c r="GAV892" s="121"/>
      <c r="GAW892" s="121"/>
      <c r="GAX892" s="121"/>
      <c r="GAY892" s="121"/>
      <c r="GAZ892" s="121"/>
      <c r="GBA892" s="121"/>
      <c r="GBB892" s="121"/>
      <c r="GBC892" s="121"/>
      <c r="GBD892" s="121"/>
      <c r="GBE892" s="121"/>
      <c r="GBF892" s="121"/>
      <c r="GBG892" s="121"/>
      <c r="GBH892" s="121"/>
      <c r="GBI892" s="121"/>
      <c r="GBJ892" s="121"/>
      <c r="GBK892" s="121"/>
      <c r="GBL892" s="121"/>
      <c r="GBM892" s="121"/>
      <c r="GBN892" s="121"/>
      <c r="GBO892" s="121"/>
      <c r="GBP892" s="121"/>
      <c r="GBQ892" s="121"/>
      <c r="GBR892" s="121"/>
      <c r="GBS892" s="121"/>
      <c r="GBT892" s="121"/>
      <c r="GBU892" s="121"/>
      <c r="GBV892" s="121"/>
      <c r="GBW892" s="121"/>
      <c r="GBX892" s="121"/>
      <c r="GBY892" s="121"/>
      <c r="GBZ892" s="121"/>
      <c r="GCA892" s="121"/>
      <c r="GCB892" s="121"/>
      <c r="GCC892" s="121"/>
      <c r="GCD892" s="121"/>
      <c r="GCE892" s="121"/>
      <c r="GCF892" s="121"/>
      <c r="GCG892" s="121"/>
      <c r="GCH892" s="121"/>
      <c r="GCI892" s="121"/>
      <c r="GCJ892" s="121"/>
      <c r="GCK892" s="121"/>
      <c r="GCL892" s="121"/>
      <c r="GCM892" s="121"/>
      <c r="GCN892" s="121"/>
      <c r="GCO892" s="121"/>
      <c r="GCP892" s="121"/>
      <c r="GCQ892" s="121"/>
      <c r="GCR892" s="121"/>
      <c r="GCS892" s="121"/>
      <c r="GCT892" s="121"/>
      <c r="GCU892" s="121"/>
      <c r="GCV892" s="121"/>
      <c r="GCW892" s="121"/>
      <c r="GCX892" s="121"/>
      <c r="GCY892" s="121"/>
      <c r="GCZ892" s="121"/>
      <c r="GDA892" s="121"/>
      <c r="GDB892" s="121"/>
      <c r="GDC892" s="121"/>
      <c r="GDD892" s="121"/>
      <c r="GDE892" s="121"/>
      <c r="GDF892" s="121"/>
      <c r="GDG892" s="121"/>
      <c r="GDH892" s="121"/>
      <c r="GDI892" s="121"/>
      <c r="GDJ892" s="121"/>
      <c r="GDK892" s="121"/>
      <c r="GDL892" s="121"/>
      <c r="GDM892" s="121"/>
      <c r="GDN892" s="121"/>
      <c r="GDO892" s="121"/>
      <c r="GDP892" s="121"/>
      <c r="GDQ892" s="121"/>
      <c r="GDR892" s="121"/>
      <c r="GDS892" s="121"/>
      <c r="GDT892" s="121"/>
      <c r="GDU892" s="121"/>
      <c r="GDV892" s="121"/>
      <c r="GDW892" s="121"/>
      <c r="GDX892" s="121"/>
      <c r="GDY892" s="121"/>
      <c r="GDZ892" s="121"/>
      <c r="GEA892" s="121"/>
      <c r="GEB892" s="121"/>
      <c r="GEC892" s="121"/>
      <c r="GED892" s="121"/>
      <c r="GEE892" s="121"/>
      <c r="GEF892" s="121"/>
      <c r="GEG892" s="121"/>
      <c r="GEH892" s="121"/>
      <c r="GEI892" s="121"/>
      <c r="GEJ892" s="121"/>
      <c r="GEK892" s="121"/>
      <c r="GEL892" s="121"/>
      <c r="GEM892" s="121"/>
      <c r="GEN892" s="121"/>
      <c r="GEO892" s="121"/>
      <c r="GEP892" s="121"/>
      <c r="GEQ892" s="121"/>
      <c r="GER892" s="121"/>
      <c r="GES892" s="121"/>
      <c r="GET892" s="121"/>
      <c r="GEU892" s="121"/>
      <c r="GEV892" s="121"/>
      <c r="GEW892" s="121"/>
      <c r="GEX892" s="121"/>
      <c r="GEY892" s="121"/>
      <c r="GEZ892" s="121"/>
      <c r="GFA892" s="121"/>
      <c r="GFB892" s="121"/>
      <c r="GFC892" s="121"/>
      <c r="GFD892" s="121"/>
      <c r="GFE892" s="121"/>
      <c r="GFF892" s="121"/>
      <c r="GFG892" s="121"/>
      <c r="GFH892" s="121"/>
      <c r="GFI892" s="121"/>
      <c r="GFJ892" s="121"/>
      <c r="GFK892" s="121"/>
      <c r="GFL892" s="121"/>
      <c r="GFM892" s="121"/>
      <c r="GFN892" s="121"/>
      <c r="GFO892" s="121"/>
      <c r="GFP892" s="121"/>
      <c r="GFQ892" s="121"/>
      <c r="GFR892" s="121"/>
      <c r="GFS892" s="121"/>
      <c r="GFT892" s="121"/>
      <c r="GFU892" s="121"/>
      <c r="GFV892" s="121"/>
      <c r="GFW892" s="121"/>
      <c r="GFX892" s="121"/>
      <c r="GFY892" s="121"/>
      <c r="GFZ892" s="121"/>
      <c r="GGA892" s="121"/>
      <c r="GGB892" s="121"/>
      <c r="GGC892" s="121"/>
      <c r="GGD892" s="121"/>
      <c r="GGE892" s="121"/>
      <c r="GGF892" s="121"/>
      <c r="GGG892" s="121"/>
      <c r="GGH892" s="121"/>
      <c r="GGI892" s="121"/>
      <c r="GGJ892" s="121"/>
      <c r="GGK892" s="121"/>
      <c r="GGL892" s="121"/>
      <c r="GGM892" s="121"/>
      <c r="GGN892" s="121"/>
      <c r="GGO892" s="121"/>
      <c r="GGP892" s="121"/>
      <c r="GGQ892" s="121"/>
      <c r="GGR892" s="121"/>
      <c r="GGS892" s="121"/>
      <c r="GGT892" s="121"/>
      <c r="GGU892" s="121"/>
      <c r="GGV892" s="121"/>
      <c r="GGW892" s="121"/>
      <c r="GGX892" s="121"/>
      <c r="GGY892" s="121"/>
      <c r="GGZ892" s="121"/>
      <c r="GHA892" s="121"/>
      <c r="GHB892" s="121"/>
      <c r="GHC892" s="121"/>
      <c r="GHD892" s="121"/>
      <c r="GHE892" s="121"/>
      <c r="GHF892" s="121"/>
      <c r="GHG892" s="121"/>
      <c r="GHH892" s="121"/>
      <c r="GHI892" s="121"/>
      <c r="GHJ892" s="121"/>
      <c r="GHK892" s="121"/>
      <c r="GHL892" s="121"/>
      <c r="GHM892" s="121"/>
      <c r="GHN892" s="121"/>
      <c r="GHO892" s="121"/>
      <c r="GHP892" s="121"/>
      <c r="GHQ892" s="121"/>
      <c r="GHR892" s="121"/>
      <c r="GHS892" s="121"/>
      <c r="GHT892" s="121"/>
      <c r="GHU892" s="121"/>
      <c r="GHV892" s="121"/>
      <c r="GHW892" s="121"/>
      <c r="GHX892" s="121"/>
      <c r="GHY892" s="121"/>
      <c r="GHZ892" s="121"/>
      <c r="GIA892" s="121"/>
      <c r="GIB892" s="121"/>
      <c r="GIC892" s="121"/>
      <c r="GID892" s="121"/>
      <c r="GIE892" s="121"/>
      <c r="GIF892" s="121"/>
      <c r="GIG892" s="121"/>
      <c r="GIH892" s="121"/>
      <c r="GII892" s="121"/>
      <c r="GIJ892" s="121"/>
      <c r="GIK892" s="121"/>
      <c r="GIL892" s="121"/>
      <c r="GIM892" s="121"/>
      <c r="GIN892" s="121"/>
      <c r="GIO892" s="121"/>
      <c r="GIP892" s="121"/>
      <c r="GIQ892" s="121"/>
      <c r="GIR892" s="121"/>
      <c r="GIS892" s="121"/>
      <c r="GIT892" s="121"/>
      <c r="GIU892" s="121"/>
      <c r="GIV892" s="121"/>
      <c r="GIW892" s="121"/>
      <c r="GIX892" s="121"/>
      <c r="GIY892" s="121"/>
      <c r="GIZ892" s="121"/>
      <c r="GJA892" s="121"/>
      <c r="GJB892" s="121"/>
      <c r="GJC892" s="121"/>
      <c r="GJD892" s="121"/>
      <c r="GJE892" s="121"/>
      <c r="GJF892" s="121"/>
      <c r="GJG892" s="121"/>
      <c r="GJH892" s="121"/>
      <c r="GJI892" s="121"/>
      <c r="GJJ892" s="121"/>
      <c r="GJK892" s="121"/>
      <c r="GJL892" s="121"/>
      <c r="GJM892" s="121"/>
      <c r="GJN892" s="121"/>
      <c r="GJO892" s="121"/>
      <c r="GJP892" s="121"/>
      <c r="GJQ892" s="121"/>
      <c r="GJR892" s="121"/>
      <c r="GJS892" s="121"/>
      <c r="GJT892" s="121"/>
      <c r="GJU892" s="121"/>
      <c r="GJV892" s="121"/>
      <c r="GJW892" s="121"/>
      <c r="GJX892" s="121"/>
      <c r="GJY892" s="121"/>
      <c r="GJZ892" s="121"/>
      <c r="GKA892" s="121"/>
      <c r="GKB892" s="121"/>
      <c r="GKC892" s="121"/>
      <c r="GKD892" s="121"/>
      <c r="GKE892" s="121"/>
      <c r="GKF892" s="121"/>
      <c r="GKG892" s="121"/>
      <c r="GKH892" s="121"/>
      <c r="GKI892" s="121"/>
      <c r="GKJ892" s="121"/>
      <c r="GKK892" s="121"/>
      <c r="GKL892" s="121"/>
      <c r="GKM892" s="121"/>
      <c r="GKN892" s="121"/>
      <c r="GKO892" s="121"/>
      <c r="GKP892" s="121"/>
      <c r="GKQ892" s="121"/>
      <c r="GKR892" s="121"/>
      <c r="GKS892" s="121"/>
      <c r="GKT892" s="121"/>
      <c r="GKU892" s="121"/>
      <c r="GKV892" s="121"/>
      <c r="GKW892" s="121"/>
      <c r="GKX892" s="121"/>
      <c r="GKY892" s="121"/>
      <c r="GKZ892" s="121"/>
      <c r="GLA892" s="121"/>
      <c r="GLB892" s="121"/>
      <c r="GLC892" s="121"/>
      <c r="GLD892" s="121"/>
      <c r="GLE892" s="121"/>
      <c r="GLF892" s="121"/>
      <c r="GLG892" s="121"/>
      <c r="GLH892" s="121"/>
      <c r="GLI892" s="121"/>
      <c r="GLJ892" s="121"/>
      <c r="GLK892" s="121"/>
      <c r="GLL892" s="121"/>
      <c r="GLM892" s="121"/>
      <c r="GLN892" s="121"/>
      <c r="GLO892" s="121"/>
      <c r="GLP892" s="121"/>
      <c r="GLQ892" s="121"/>
      <c r="GLR892" s="121"/>
      <c r="GLS892" s="121"/>
      <c r="GLT892" s="121"/>
      <c r="GLU892" s="121"/>
      <c r="GLV892" s="121"/>
      <c r="GLW892" s="121"/>
      <c r="GLX892" s="121"/>
      <c r="GLY892" s="121"/>
      <c r="GLZ892" s="121"/>
      <c r="GMA892" s="121"/>
      <c r="GMB892" s="121"/>
      <c r="GMC892" s="121"/>
      <c r="GMD892" s="121"/>
      <c r="GME892" s="121"/>
      <c r="GMF892" s="121"/>
      <c r="GMG892" s="121"/>
      <c r="GMH892" s="121"/>
      <c r="GMI892" s="121"/>
      <c r="GMJ892" s="121"/>
      <c r="GMK892" s="121"/>
      <c r="GML892" s="121"/>
      <c r="GMM892" s="121"/>
      <c r="GMN892" s="121"/>
      <c r="GMO892" s="121"/>
      <c r="GMP892" s="121"/>
      <c r="GMQ892" s="121"/>
      <c r="GMR892" s="121"/>
      <c r="GMS892" s="121"/>
      <c r="GMT892" s="121"/>
      <c r="GMU892" s="121"/>
      <c r="GMV892" s="121"/>
      <c r="GMW892" s="121"/>
      <c r="GMX892" s="121"/>
      <c r="GMY892" s="121"/>
      <c r="GMZ892" s="121"/>
      <c r="GNA892" s="121"/>
      <c r="GNB892" s="121"/>
      <c r="GNC892" s="121"/>
      <c r="GND892" s="121"/>
      <c r="GNE892" s="121"/>
      <c r="GNF892" s="121"/>
      <c r="GNG892" s="121"/>
      <c r="GNH892" s="121"/>
      <c r="GNI892" s="121"/>
      <c r="GNJ892" s="121"/>
      <c r="GNK892" s="121"/>
      <c r="GNL892" s="121"/>
      <c r="GNM892" s="121"/>
      <c r="GNN892" s="121"/>
      <c r="GNO892" s="121"/>
      <c r="GNP892" s="121"/>
      <c r="GNQ892" s="121"/>
      <c r="GNR892" s="121"/>
      <c r="GNS892" s="121"/>
      <c r="GNT892" s="121"/>
      <c r="GNU892" s="121"/>
      <c r="GNV892" s="121"/>
      <c r="GNW892" s="121"/>
      <c r="GNX892" s="121"/>
      <c r="GNY892" s="121"/>
      <c r="GNZ892" s="121"/>
      <c r="GOA892" s="121"/>
      <c r="GOB892" s="121"/>
      <c r="GOC892" s="121"/>
      <c r="GOD892" s="121"/>
      <c r="GOE892" s="121"/>
      <c r="GOF892" s="121"/>
      <c r="GOG892" s="121"/>
      <c r="GOH892" s="121"/>
      <c r="GOI892" s="121"/>
      <c r="GOJ892" s="121"/>
      <c r="GOK892" s="121"/>
      <c r="GOL892" s="121"/>
      <c r="GOM892" s="121"/>
      <c r="GON892" s="121"/>
      <c r="GOO892" s="121"/>
      <c r="GOP892" s="121"/>
      <c r="GOQ892" s="121"/>
      <c r="GOR892" s="121"/>
      <c r="GOS892" s="121"/>
      <c r="GOT892" s="121"/>
      <c r="GOU892" s="121"/>
      <c r="GOV892" s="121"/>
      <c r="GOW892" s="121"/>
      <c r="GOX892" s="121"/>
      <c r="GOY892" s="121"/>
      <c r="GOZ892" s="121"/>
      <c r="GPA892" s="121"/>
      <c r="GPB892" s="121"/>
      <c r="GPC892" s="121"/>
      <c r="GPD892" s="121"/>
      <c r="GPE892" s="121"/>
      <c r="GPF892" s="121"/>
      <c r="GPG892" s="121"/>
      <c r="GPH892" s="121"/>
      <c r="GPI892" s="121"/>
      <c r="GPJ892" s="121"/>
      <c r="GPK892" s="121"/>
      <c r="GPL892" s="121"/>
      <c r="GPM892" s="121"/>
      <c r="GPN892" s="121"/>
      <c r="GPO892" s="121"/>
      <c r="GPP892" s="121"/>
      <c r="GPQ892" s="121"/>
      <c r="GPR892" s="121"/>
      <c r="GPS892" s="121"/>
      <c r="GPT892" s="121"/>
      <c r="GPU892" s="121"/>
      <c r="GPV892" s="121"/>
      <c r="GPW892" s="121"/>
      <c r="GPX892" s="121"/>
      <c r="GPY892" s="121"/>
      <c r="GPZ892" s="121"/>
      <c r="GQA892" s="121"/>
      <c r="GQB892" s="121"/>
      <c r="GQC892" s="121"/>
      <c r="GQD892" s="121"/>
      <c r="GQE892" s="121"/>
      <c r="GQF892" s="121"/>
      <c r="GQG892" s="121"/>
      <c r="GQH892" s="121"/>
      <c r="GQI892" s="121"/>
      <c r="GQJ892" s="121"/>
      <c r="GQK892" s="121"/>
      <c r="GQL892" s="121"/>
      <c r="GQM892" s="121"/>
      <c r="GQN892" s="121"/>
      <c r="GQO892" s="121"/>
      <c r="GQP892" s="121"/>
      <c r="GQQ892" s="121"/>
      <c r="GQR892" s="121"/>
      <c r="GQS892" s="121"/>
      <c r="GQT892" s="121"/>
      <c r="GQU892" s="121"/>
      <c r="GQV892" s="121"/>
      <c r="GQW892" s="121"/>
      <c r="GQX892" s="121"/>
      <c r="GQY892" s="121"/>
      <c r="GQZ892" s="121"/>
      <c r="GRA892" s="121"/>
      <c r="GRB892" s="121"/>
      <c r="GRC892" s="121"/>
      <c r="GRD892" s="121"/>
      <c r="GRE892" s="121"/>
      <c r="GRF892" s="121"/>
      <c r="GRG892" s="121"/>
      <c r="GRH892" s="121"/>
      <c r="GRI892" s="121"/>
      <c r="GRJ892" s="121"/>
      <c r="GRK892" s="121"/>
      <c r="GRL892" s="121"/>
      <c r="GRM892" s="121"/>
      <c r="GRN892" s="121"/>
      <c r="GRO892" s="121"/>
      <c r="GRP892" s="121"/>
      <c r="GRQ892" s="121"/>
      <c r="GRR892" s="121"/>
      <c r="GRS892" s="121"/>
      <c r="GRT892" s="121"/>
      <c r="GRU892" s="121"/>
      <c r="GRV892" s="121"/>
      <c r="GRW892" s="121"/>
      <c r="GRX892" s="121"/>
      <c r="GRY892" s="121"/>
      <c r="GRZ892" s="121"/>
      <c r="GSA892" s="121"/>
      <c r="GSB892" s="121"/>
      <c r="GSC892" s="121"/>
      <c r="GSD892" s="121"/>
      <c r="GSE892" s="121"/>
      <c r="GSF892" s="121"/>
      <c r="GSG892" s="121"/>
      <c r="GSH892" s="121"/>
      <c r="GSI892" s="121"/>
      <c r="GSJ892" s="121"/>
      <c r="GSK892" s="121"/>
      <c r="GSL892" s="121"/>
      <c r="GSM892" s="121"/>
      <c r="GSN892" s="121"/>
      <c r="GSO892" s="121"/>
      <c r="GSP892" s="121"/>
      <c r="GSQ892" s="121"/>
      <c r="GSR892" s="121"/>
      <c r="GSS892" s="121"/>
      <c r="GST892" s="121"/>
      <c r="GSU892" s="121"/>
      <c r="GSV892" s="121"/>
      <c r="GSW892" s="121"/>
      <c r="GSX892" s="121"/>
      <c r="GSY892" s="121"/>
      <c r="GSZ892" s="121"/>
      <c r="GTA892" s="121"/>
      <c r="GTB892" s="121"/>
      <c r="GTC892" s="121"/>
      <c r="GTD892" s="121"/>
      <c r="GTE892" s="121"/>
      <c r="GTF892" s="121"/>
      <c r="GTG892" s="121"/>
      <c r="GTH892" s="121"/>
      <c r="GTI892" s="121"/>
      <c r="GTJ892" s="121"/>
      <c r="GTK892" s="121"/>
      <c r="GTL892" s="121"/>
      <c r="GTM892" s="121"/>
      <c r="GTN892" s="121"/>
      <c r="GTO892" s="121"/>
      <c r="GTP892" s="121"/>
      <c r="GTQ892" s="121"/>
      <c r="GTR892" s="121"/>
      <c r="GTS892" s="121"/>
      <c r="GTT892" s="121"/>
      <c r="GTU892" s="121"/>
      <c r="GTV892" s="121"/>
      <c r="GTW892" s="121"/>
      <c r="GTX892" s="121"/>
      <c r="GTY892" s="121"/>
      <c r="GTZ892" s="121"/>
      <c r="GUA892" s="121"/>
      <c r="GUB892" s="121"/>
      <c r="GUC892" s="121"/>
      <c r="GUD892" s="121"/>
      <c r="GUE892" s="121"/>
      <c r="GUF892" s="121"/>
      <c r="GUG892" s="121"/>
      <c r="GUH892" s="121"/>
      <c r="GUI892" s="121"/>
      <c r="GUJ892" s="121"/>
      <c r="GUK892" s="121"/>
      <c r="GUL892" s="121"/>
      <c r="GUM892" s="121"/>
      <c r="GUN892" s="121"/>
      <c r="GUO892" s="121"/>
      <c r="GUP892" s="121"/>
      <c r="GUQ892" s="121"/>
      <c r="GUR892" s="121"/>
      <c r="GUS892" s="121"/>
      <c r="GUT892" s="121"/>
      <c r="GUU892" s="121"/>
      <c r="GUV892" s="121"/>
      <c r="GUW892" s="121"/>
      <c r="GUX892" s="121"/>
      <c r="GUY892" s="121"/>
      <c r="GUZ892" s="121"/>
      <c r="GVA892" s="121"/>
      <c r="GVB892" s="121"/>
      <c r="GVC892" s="121"/>
      <c r="GVD892" s="121"/>
      <c r="GVE892" s="121"/>
      <c r="GVF892" s="121"/>
      <c r="GVG892" s="121"/>
      <c r="GVH892" s="121"/>
      <c r="GVI892" s="121"/>
      <c r="GVJ892" s="121"/>
      <c r="GVK892" s="121"/>
      <c r="GVL892" s="121"/>
      <c r="GVM892" s="121"/>
      <c r="GVN892" s="121"/>
      <c r="GVO892" s="121"/>
      <c r="GVP892" s="121"/>
      <c r="GVQ892" s="121"/>
      <c r="GVR892" s="121"/>
      <c r="GVS892" s="121"/>
      <c r="GVT892" s="121"/>
      <c r="GVU892" s="121"/>
      <c r="GVV892" s="121"/>
      <c r="GVW892" s="121"/>
      <c r="GVX892" s="121"/>
      <c r="GVY892" s="121"/>
      <c r="GVZ892" s="121"/>
      <c r="GWA892" s="121"/>
      <c r="GWB892" s="121"/>
      <c r="GWC892" s="121"/>
      <c r="GWD892" s="121"/>
      <c r="GWE892" s="121"/>
      <c r="GWF892" s="121"/>
      <c r="GWG892" s="121"/>
      <c r="GWH892" s="121"/>
      <c r="GWI892" s="121"/>
      <c r="GWJ892" s="121"/>
      <c r="GWK892" s="121"/>
      <c r="GWL892" s="121"/>
      <c r="GWM892" s="121"/>
      <c r="GWN892" s="121"/>
      <c r="GWO892" s="121"/>
      <c r="GWP892" s="121"/>
      <c r="GWQ892" s="121"/>
      <c r="GWR892" s="121"/>
      <c r="GWS892" s="121"/>
      <c r="GWT892" s="121"/>
      <c r="GWU892" s="121"/>
      <c r="GWV892" s="121"/>
      <c r="GWW892" s="121"/>
      <c r="GWX892" s="121"/>
      <c r="GWY892" s="121"/>
      <c r="GWZ892" s="121"/>
      <c r="GXA892" s="121"/>
      <c r="GXB892" s="121"/>
      <c r="GXC892" s="121"/>
      <c r="GXD892" s="121"/>
      <c r="GXE892" s="121"/>
      <c r="GXF892" s="121"/>
      <c r="GXG892" s="121"/>
      <c r="GXH892" s="121"/>
      <c r="GXI892" s="121"/>
      <c r="GXJ892" s="121"/>
      <c r="GXK892" s="121"/>
      <c r="GXL892" s="121"/>
      <c r="GXM892" s="121"/>
      <c r="GXN892" s="121"/>
      <c r="GXO892" s="121"/>
      <c r="GXP892" s="121"/>
      <c r="GXQ892" s="121"/>
      <c r="GXR892" s="121"/>
      <c r="GXS892" s="121"/>
      <c r="GXT892" s="121"/>
      <c r="GXU892" s="121"/>
      <c r="GXV892" s="121"/>
      <c r="GXW892" s="121"/>
      <c r="GXX892" s="121"/>
      <c r="GXY892" s="121"/>
      <c r="GXZ892" s="121"/>
      <c r="GYA892" s="121"/>
      <c r="GYB892" s="121"/>
      <c r="GYC892" s="121"/>
      <c r="GYD892" s="121"/>
      <c r="GYE892" s="121"/>
      <c r="GYF892" s="121"/>
      <c r="GYG892" s="121"/>
      <c r="GYH892" s="121"/>
      <c r="GYI892" s="121"/>
      <c r="GYJ892" s="121"/>
      <c r="GYK892" s="121"/>
      <c r="GYL892" s="121"/>
      <c r="GYM892" s="121"/>
      <c r="GYN892" s="121"/>
      <c r="GYO892" s="121"/>
      <c r="GYP892" s="121"/>
      <c r="GYQ892" s="121"/>
      <c r="GYR892" s="121"/>
      <c r="GYS892" s="121"/>
      <c r="GYT892" s="121"/>
      <c r="GYU892" s="121"/>
      <c r="GYV892" s="121"/>
      <c r="GYW892" s="121"/>
      <c r="GYX892" s="121"/>
      <c r="GYY892" s="121"/>
      <c r="GYZ892" s="121"/>
      <c r="GZA892" s="121"/>
      <c r="GZB892" s="121"/>
      <c r="GZC892" s="121"/>
      <c r="GZD892" s="121"/>
      <c r="GZE892" s="121"/>
      <c r="GZF892" s="121"/>
      <c r="GZG892" s="121"/>
      <c r="GZH892" s="121"/>
      <c r="GZI892" s="121"/>
      <c r="GZJ892" s="121"/>
      <c r="GZK892" s="121"/>
      <c r="GZL892" s="121"/>
      <c r="GZM892" s="121"/>
      <c r="GZN892" s="121"/>
      <c r="GZO892" s="121"/>
      <c r="GZP892" s="121"/>
      <c r="GZQ892" s="121"/>
      <c r="GZR892" s="121"/>
      <c r="GZS892" s="121"/>
      <c r="GZT892" s="121"/>
      <c r="GZU892" s="121"/>
      <c r="GZV892" s="121"/>
      <c r="GZW892" s="121"/>
      <c r="GZX892" s="121"/>
      <c r="GZY892" s="121"/>
      <c r="GZZ892" s="121"/>
      <c r="HAA892" s="121"/>
      <c r="HAB892" s="121"/>
      <c r="HAC892" s="121"/>
      <c r="HAD892" s="121"/>
      <c r="HAE892" s="121"/>
      <c r="HAF892" s="121"/>
      <c r="HAG892" s="121"/>
      <c r="HAH892" s="121"/>
      <c r="HAI892" s="121"/>
      <c r="HAJ892" s="121"/>
      <c r="HAK892" s="121"/>
      <c r="HAL892" s="121"/>
      <c r="HAM892" s="121"/>
      <c r="HAN892" s="121"/>
      <c r="HAO892" s="121"/>
      <c r="HAP892" s="121"/>
      <c r="HAQ892" s="121"/>
      <c r="HAR892" s="121"/>
      <c r="HAS892" s="121"/>
      <c r="HAT892" s="121"/>
      <c r="HAU892" s="121"/>
      <c r="HAV892" s="121"/>
      <c r="HAW892" s="121"/>
      <c r="HAX892" s="121"/>
      <c r="HAY892" s="121"/>
      <c r="HAZ892" s="121"/>
      <c r="HBA892" s="121"/>
      <c r="HBB892" s="121"/>
      <c r="HBC892" s="121"/>
      <c r="HBD892" s="121"/>
      <c r="HBE892" s="121"/>
      <c r="HBF892" s="121"/>
      <c r="HBG892" s="121"/>
      <c r="HBH892" s="121"/>
      <c r="HBI892" s="121"/>
      <c r="HBJ892" s="121"/>
      <c r="HBK892" s="121"/>
      <c r="HBL892" s="121"/>
      <c r="HBM892" s="121"/>
      <c r="HBN892" s="121"/>
      <c r="HBO892" s="121"/>
      <c r="HBP892" s="121"/>
      <c r="HBQ892" s="121"/>
      <c r="HBR892" s="121"/>
      <c r="HBS892" s="121"/>
      <c r="HBT892" s="121"/>
      <c r="HBU892" s="121"/>
      <c r="HBV892" s="121"/>
      <c r="HBW892" s="121"/>
      <c r="HBX892" s="121"/>
      <c r="HBY892" s="121"/>
      <c r="HBZ892" s="121"/>
      <c r="HCA892" s="121"/>
      <c r="HCB892" s="121"/>
      <c r="HCC892" s="121"/>
      <c r="HCD892" s="121"/>
      <c r="HCE892" s="121"/>
      <c r="HCF892" s="121"/>
      <c r="HCG892" s="121"/>
      <c r="HCH892" s="121"/>
      <c r="HCI892" s="121"/>
      <c r="HCJ892" s="121"/>
      <c r="HCK892" s="121"/>
      <c r="HCL892" s="121"/>
      <c r="HCM892" s="121"/>
      <c r="HCN892" s="121"/>
      <c r="HCO892" s="121"/>
      <c r="HCP892" s="121"/>
      <c r="HCQ892" s="121"/>
      <c r="HCR892" s="121"/>
      <c r="HCS892" s="121"/>
      <c r="HCT892" s="121"/>
      <c r="HCU892" s="121"/>
      <c r="HCV892" s="121"/>
      <c r="HCW892" s="121"/>
      <c r="HCX892" s="121"/>
      <c r="HCY892" s="121"/>
      <c r="HCZ892" s="121"/>
      <c r="HDA892" s="121"/>
      <c r="HDB892" s="121"/>
      <c r="HDC892" s="121"/>
      <c r="HDD892" s="121"/>
      <c r="HDE892" s="121"/>
      <c r="HDF892" s="121"/>
      <c r="HDG892" s="121"/>
      <c r="HDH892" s="121"/>
      <c r="HDI892" s="121"/>
      <c r="HDJ892" s="121"/>
      <c r="HDK892" s="121"/>
      <c r="HDL892" s="121"/>
      <c r="HDM892" s="121"/>
      <c r="HDN892" s="121"/>
      <c r="HDO892" s="121"/>
      <c r="HDP892" s="121"/>
      <c r="HDQ892" s="121"/>
      <c r="HDR892" s="121"/>
      <c r="HDS892" s="121"/>
      <c r="HDT892" s="121"/>
      <c r="HDU892" s="121"/>
      <c r="HDV892" s="121"/>
      <c r="HDW892" s="121"/>
      <c r="HDX892" s="121"/>
      <c r="HDY892" s="121"/>
      <c r="HDZ892" s="121"/>
      <c r="HEA892" s="121"/>
      <c r="HEB892" s="121"/>
      <c r="HEC892" s="121"/>
      <c r="HED892" s="121"/>
      <c r="HEE892" s="121"/>
      <c r="HEF892" s="121"/>
      <c r="HEG892" s="121"/>
      <c r="HEH892" s="121"/>
      <c r="HEI892" s="121"/>
      <c r="HEJ892" s="121"/>
      <c r="HEK892" s="121"/>
      <c r="HEL892" s="121"/>
      <c r="HEM892" s="121"/>
      <c r="HEN892" s="121"/>
      <c r="HEO892" s="121"/>
      <c r="HEP892" s="121"/>
      <c r="HEQ892" s="121"/>
      <c r="HER892" s="121"/>
      <c r="HES892" s="121"/>
      <c r="HET892" s="121"/>
      <c r="HEU892" s="121"/>
      <c r="HEV892" s="121"/>
      <c r="HEW892" s="121"/>
      <c r="HEX892" s="121"/>
      <c r="HEY892" s="121"/>
      <c r="HEZ892" s="121"/>
      <c r="HFA892" s="121"/>
      <c r="HFB892" s="121"/>
      <c r="HFC892" s="121"/>
      <c r="HFD892" s="121"/>
      <c r="HFE892" s="121"/>
      <c r="HFF892" s="121"/>
      <c r="HFG892" s="121"/>
      <c r="HFH892" s="121"/>
      <c r="HFI892" s="121"/>
      <c r="HFJ892" s="121"/>
      <c r="HFK892" s="121"/>
      <c r="HFL892" s="121"/>
      <c r="HFM892" s="121"/>
      <c r="HFN892" s="121"/>
      <c r="HFO892" s="121"/>
      <c r="HFP892" s="121"/>
      <c r="HFQ892" s="121"/>
      <c r="HFR892" s="121"/>
      <c r="HFS892" s="121"/>
      <c r="HFT892" s="121"/>
      <c r="HFU892" s="121"/>
      <c r="HFV892" s="121"/>
      <c r="HFW892" s="121"/>
      <c r="HFX892" s="121"/>
      <c r="HFY892" s="121"/>
      <c r="HFZ892" s="121"/>
      <c r="HGA892" s="121"/>
      <c r="HGB892" s="121"/>
      <c r="HGC892" s="121"/>
      <c r="HGD892" s="121"/>
      <c r="HGE892" s="121"/>
      <c r="HGF892" s="121"/>
      <c r="HGG892" s="121"/>
      <c r="HGH892" s="121"/>
      <c r="HGI892" s="121"/>
      <c r="HGJ892" s="121"/>
      <c r="HGK892" s="121"/>
      <c r="HGL892" s="121"/>
      <c r="HGM892" s="121"/>
      <c r="HGN892" s="121"/>
      <c r="HGO892" s="121"/>
      <c r="HGP892" s="121"/>
      <c r="HGQ892" s="121"/>
      <c r="HGR892" s="121"/>
      <c r="HGS892" s="121"/>
      <c r="HGT892" s="121"/>
      <c r="HGU892" s="121"/>
      <c r="HGV892" s="121"/>
      <c r="HGW892" s="121"/>
      <c r="HGX892" s="121"/>
      <c r="HGY892" s="121"/>
      <c r="HGZ892" s="121"/>
      <c r="HHA892" s="121"/>
      <c r="HHB892" s="121"/>
      <c r="HHC892" s="121"/>
      <c r="HHD892" s="121"/>
      <c r="HHE892" s="121"/>
      <c r="HHF892" s="121"/>
      <c r="HHG892" s="121"/>
      <c r="HHH892" s="121"/>
      <c r="HHI892" s="121"/>
      <c r="HHJ892" s="121"/>
      <c r="HHK892" s="121"/>
      <c r="HHL892" s="121"/>
      <c r="HHM892" s="121"/>
      <c r="HHN892" s="121"/>
      <c r="HHO892" s="121"/>
      <c r="HHP892" s="121"/>
      <c r="HHQ892" s="121"/>
      <c r="HHR892" s="121"/>
      <c r="HHS892" s="121"/>
      <c r="HHT892" s="121"/>
      <c r="HHU892" s="121"/>
      <c r="HHV892" s="121"/>
      <c r="HHW892" s="121"/>
      <c r="HHX892" s="121"/>
      <c r="HHY892" s="121"/>
      <c r="HHZ892" s="121"/>
      <c r="HIA892" s="121"/>
      <c r="HIB892" s="121"/>
      <c r="HIC892" s="121"/>
      <c r="HID892" s="121"/>
      <c r="HIE892" s="121"/>
      <c r="HIF892" s="121"/>
      <c r="HIG892" s="121"/>
      <c r="HIH892" s="121"/>
      <c r="HII892" s="121"/>
      <c r="HIJ892" s="121"/>
      <c r="HIK892" s="121"/>
      <c r="HIL892" s="121"/>
      <c r="HIM892" s="121"/>
      <c r="HIN892" s="121"/>
      <c r="HIO892" s="121"/>
      <c r="HIP892" s="121"/>
      <c r="HIQ892" s="121"/>
      <c r="HIR892" s="121"/>
      <c r="HIS892" s="121"/>
      <c r="HIT892" s="121"/>
      <c r="HIU892" s="121"/>
      <c r="HIV892" s="121"/>
      <c r="HIW892" s="121"/>
      <c r="HIX892" s="121"/>
      <c r="HIY892" s="121"/>
      <c r="HIZ892" s="121"/>
      <c r="HJA892" s="121"/>
      <c r="HJB892" s="121"/>
      <c r="HJC892" s="121"/>
      <c r="HJD892" s="121"/>
      <c r="HJE892" s="121"/>
      <c r="HJF892" s="121"/>
      <c r="HJG892" s="121"/>
      <c r="HJH892" s="121"/>
      <c r="HJI892" s="121"/>
      <c r="HJJ892" s="121"/>
      <c r="HJK892" s="121"/>
      <c r="HJL892" s="121"/>
      <c r="HJM892" s="121"/>
      <c r="HJN892" s="121"/>
      <c r="HJO892" s="121"/>
      <c r="HJP892" s="121"/>
      <c r="HJQ892" s="121"/>
      <c r="HJR892" s="121"/>
      <c r="HJS892" s="121"/>
      <c r="HJT892" s="121"/>
      <c r="HJU892" s="121"/>
      <c r="HJV892" s="121"/>
      <c r="HJW892" s="121"/>
      <c r="HJX892" s="121"/>
      <c r="HJY892" s="121"/>
      <c r="HJZ892" s="121"/>
      <c r="HKA892" s="121"/>
      <c r="HKB892" s="121"/>
      <c r="HKC892" s="121"/>
      <c r="HKD892" s="121"/>
      <c r="HKE892" s="121"/>
      <c r="HKF892" s="121"/>
      <c r="HKG892" s="121"/>
      <c r="HKH892" s="121"/>
      <c r="HKI892" s="121"/>
      <c r="HKJ892" s="121"/>
      <c r="HKK892" s="121"/>
      <c r="HKL892" s="121"/>
      <c r="HKM892" s="121"/>
      <c r="HKN892" s="121"/>
      <c r="HKO892" s="121"/>
      <c r="HKP892" s="121"/>
      <c r="HKQ892" s="121"/>
      <c r="HKR892" s="121"/>
      <c r="HKS892" s="121"/>
      <c r="HKT892" s="121"/>
      <c r="HKU892" s="121"/>
      <c r="HKV892" s="121"/>
      <c r="HKW892" s="121"/>
      <c r="HKX892" s="121"/>
      <c r="HKY892" s="121"/>
      <c r="HKZ892" s="121"/>
      <c r="HLA892" s="121"/>
      <c r="HLB892" s="121"/>
      <c r="HLC892" s="121"/>
      <c r="HLD892" s="121"/>
      <c r="HLE892" s="121"/>
      <c r="HLF892" s="121"/>
      <c r="HLG892" s="121"/>
      <c r="HLH892" s="121"/>
      <c r="HLI892" s="121"/>
      <c r="HLJ892" s="121"/>
      <c r="HLK892" s="121"/>
      <c r="HLL892" s="121"/>
      <c r="HLM892" s="121"/>
      <c r="HLN892" s="121"/>
      <c r="HLO892" s="121"/>
      <c r="HLP892" s="121"/>
      <c r="HLQ892" s="121"/>
      <c r="HLR892" s="121"/>
      <c r="HLS892" s="121"/>
      <c r="HLT892" s="121"/>
      <c r="HLU892" s="121"/>
      <c r="HLV892" s="121"/>
      <c r="HLW892" s="121"/>
      <c r="HLX892" s="121"/>
      <c r="HLY892" s="121"/>
      <c r="HLZ892" s="121"/>
      <c r="HMA892" s="121"/>
      <c r="HMB892" s="121"/>
      <c r="HMC892" s="121"/>
      <c r="HMD892" s="121"/>
      <c r="HME892" s="121"/>
      <c r="HMF892" s="121"/>
      <c r="HMG892" s="121"/>
      <c r="HMH892" s="121"/>
      <c r="HMI892" s="121"/>
      <c r="HMJ892" s="121"/>
      <c r="HMK892" s="121"/>
      <c r="HML892" s="121"/>
      <c r="HMM892" s="121"/>
      <c r="HMN892" s="121"/>
      <c r="HMO892" s="121"/>
      <c r="HMP892" s="121"/>
      <c r="HMQ892" s="121"/>
      <c r="HMR892" s="121"/>
      <c r="HMS892" s="121"/>
      <c r="HMT892" s="121"/>
      <c r="HMU892" s="121"/>
      <c r="HMV892" s="121"/>
      <c r="HMW892" s="121"/>
      <c r="HMX892" s="121"/>
      <c r="HMY892" s="121"/>
      <c r="HMZ892" s="121"/>
      <c r="HNA892" s="121"/>
      <c r="HNB892" s="121"/>
      <c r="HNC892" s="121"/>
      <c r="HND892" s="121"/>
      <c r="HNE892" s="121"/>
      <c r="HNF892" s="121"/>
      <c r="HNG892" s="121"/>
      <c r="HNH892" s="121"/>
      <c r="HNI892" s="121"/>
      <c r="HNJ892" s="121"/>
      <c r="HNK892" s="121"/>
      <c r="HNL892" s="121"/>
      <c r="HNM892" s="121"/>
      <c r="HNN892" s="121"/>
      <c r="HNO892" s="121"/>
      <c r="HNP892" s="121"/>
      <c r="HNQ892" s="121"/>
      <c r="HNR892" s="121"/>
      <c r="HNS892" s="121"/>
      <c r="HNT892" s="121"/>
      <c r="HNU892" s="121"/>
      <c r="HNV892" s="121"/>
      <c r="HNW892" s="121"/>
      <c r="HNX892" s="121"/>
      <c r="HNY892" s="121"/>
      <c r="HNZ892" s="121"/>
      <c r="HOA892" s="121"/>
      <c r="HOB892" s="121"/>
      <c r="HOC892" s="121"/>
      <c r="HOD892" s="121"/>
      <c r="HOE892" s="121"/>
      <c r="HOF892" s="121"/>
      <c r="HOG892" s="121"/>
      <c r="HOH892" s="121"/>
      <c r="HOI892" s="121"/>
      <c r="HOJ892" s="121"/>
      <c r="HOK892" s="121"/>
      <c r="HOL892" s="121"/>
      <c r="HOM892" s="121"/>
      <c r="HON892" s="121"/>
      <c r="HOO892" s="121"/>
      <c r="HOP892" s="121"/>
      <c r="HOQ892" s="121"/>
      <c r="HOR892" s="121"/>
      <c r="HOS892" s="121"/>
      <c r="HOT892" s="121"/>
      <c r="HOU892" s="121"/>
      <c r="HOV892" s="121"/>
      <c r="HOW892" s="121"/>
      <c r="HOX892" s="121"/>
      <c r="HOY892" s="121"/>
      <c r="HOZ892" s="121"/>
      <c r="HPA892" s="121"/>
      <c r="HPB892" s="121"/>
      <c r="HPC892" s="121"/>
      <c r="HPD892" s="121"/>
      <c r="HPE892" s="121"/>
      <c r="HPF892" s="121"/>
      <c r="HPG892" s="121"/>
      <c r="HPH892" s="121"/>
      <c r="HPI892" s="121"/>
      <c r="HPJ892" s="121"/>
      <c r="HPK892" s="121"/>
      <c r="HPL892" s="121"/>
      <c r="HPM892" s="121"/>
      <c r="HPN892" s="121"/>
      <c r="HPO892" s="121"/>
      <c r="HPP892" s="121"/>
      <c r="HPQ892" s="121"/>
      <c r="HPR892" s="121"/>
      <c r="HPS892" s="121"/>
      <c r="HPT892" s="121"/>
      <c r="HPU892" s="121"/>
      <c r="HPV892" s="121"/>
      <c r="HPW892" s="121"/>
      <c r="HPX892" s="121"/>
      <c r="HPY892" s="121"/>
      <c r="HPZ892" s="121"/>
      <c r="HQA892" s="121"/>
      <c r="HQB892" s="121"/>
      <c r="HQC892" s="121"/>
      <c r="HQD892" s="121"/>
      <c r="HQE892" s="121"/>
      <c r="HQF892" s="121"/>
      <c r="HQG892" s="121"/>
      <c r="HQH892" s="121"/>
      <c r="HQI892" s="121"/>
      <c r="HQJ892" s="121"/>
      <c r="HQK892" s="121"/>
      <c r="HQL892" s="121"/>
      <c r="HQM892" s="121"/>
      <c r="HQN892" s="121"/>
      <c r="HQO892" s="121"/>
      <c r="HQP892" s="121"/>
      <c r="HQQ892" s="121"/>
      <c r="HQR892" s="121"/>
      <c r="HQS892" s="121"/>
      <c r="HQT892" s="121"/>
      <c r="HQU892" s="121"/>
      <c r="HQV892" s="121"/>
      <c r="HQW892" s="121"/>
      <c r="HQX892" s="121"/>
      <c r="HQY892" s="121"/>
      <c r="HQZ892" s="121"/>
      <c r="HRA892" s="121"/>
      <c r="HRB892" s="121"/>
      <c r="HRC892" s="121"/>
      <c r="HRD892" s="121"/>
      <c r="HRE892" s="121"/>
      <c r="HRF892" s="121"/>
      <c r="HRG892" s="121"/>
      <c r="HRH892" s="121"/>
      <c r="HRI892" s="121"/>
      <c r="HRJ892" s="121"/>
      <c r="HRK892" s="121"/>
      <c r="HRL892" s="121"/>
      <c r="HRM892" s="121"/>
      <c r="HRN892" s="121"/>
      <c r="HRO892" s="121"/>
      <c r="HRP892" s="121"/>
      <c r="HRQ892" s="121"/>
      <c r="HRR892" s="121"/>
      <c r="HRS892" s="121"/>
      <c r="HRT892" s="121"/>
      <c r="HRU892" s="121"/>
      <c r="HRV892" s="121"/>
      <c r="HRW892" s="121"/>
      <c r="HRX892" s="121"/>
      <c r="HRY892" s="121"/>
      <c r="HRZ892" s="121"/>
      <c r="HSA892" s="121"/>
      <c r="HSB892" s="121"/>
      <c r="HSC892" s="121"/>
      <c r="HSD892" s="121"/>
      <c r="HSE892" s="121"/>
      <c r="HSF892" s="121"/>
      <c r="HSG892" s="121"/>
      <c r="HSH892" s="121"/>
      <c r="HSI892" s="121"/>
      <c r="HSJ892" s="121"/>
      <c r="HSK892" s="121"/>
      <c r="HSL892" s="121"/>
      <c r="HSM892" s="121"/>
      <c r="HSN892" s="121"/>
      <c r="HSO892" s="121"/>
      <c r="HSP892" s="121"/>
      <c r="HSQ892" s="121"/>
      <c r="HSR892" s="121"/>
      <c r="HSS892" s="121"/>
      <c r="HST892" s="121"/>
      <c r="HSU892" s="121"/>
      <c r="HSV892" s="121"/>
      <c r="HSW892" s="121"/>
      <c r="HSX892" s="121"/>
      <c r="HSY892" s="121"/>
      <c r="HSZ892" s="121"/>
      <c r="HTA892" s="121"/>
      <c r="HTB892" s="121"/>
      <c r="HTC892" s="121"/>
      <c r="HTD892" s="121"/>
      <c r="HTE892" s="121"/>
      <c r="HTF892" s="121"/>
      <c r="HTG892" s="121"/>
      <c r="HTH892" s="121"/>
      <c r="HTI892" s="121"/>
      <c r="HTJ892" s="121"/>
      <c r="HTK892" s="121"/>
      <c r="HTL892" s="121"/>
      <c r="HTM892" s="121"/>
      <c r="HTN892" s="121"/>
      <c r="HTO892" s="121"/>
      <c r="HTP892" s="121"/>
      <c r="HTQ892" s="121"/>
      <c r="HTR892" s="121"/>
      <c r="HTS892" s="121"/>
      <c r="HTT892" s="121"/>
      <c r="HTU892" s="121"/>
      <c r="HTV892" s="121"/>
      <c r="HTW892" s="121"/>
      <c r="HTX892" s="121"/>
      <c r="HTY892" s="121"/>
      <c r="HTZ892" s="121"/>
      <c r="HUA892" s="121"/>
      <c r="HUB892" s="121"/>
      <c r="HUC892" s="121"/>
      <c r="HUD892" s="121"/>
      <c r="HUE892" s="121"/>
      <c r="HUF892" s="121"/>
      <c r="HUG892" s="121"/>
      <c r="HUH892" s="121"/>
      <c r="HUI892" s="121"/>
      <c r="HUJ892" s="121"/>
      <c r="HUK892" s="121"/>
      <c r="HUL892" s="121"/>
      <c r="HUM892" s="121"/>
      <c r="HUN892" s="121"/>
      <c r="HUO892" s="121"/>
      <c r="HUP892" s="121"/>
      <c r="HUQ892" s="121"/>
      <c r="HUR892" s="121"/>
      <c r="HUS892" s="121"/>
      <c r="HUT892" s="121"/>
      <c r="HUU892" s="121"/>
      <c r="HUV892" s="121"/>
      <c r="HUW892" s="121"/>
      <c r="HUX892" s="121"/>
      <c r="HUY892" s="121"/>
      <c r="HUZ892" s="121"/>
      <c r="HVA892" s="121"/>
      <c r="HVB892" s="121"/>
      <c r="HVC892" s="121"/>
      <c r="HVD892" s="121"/>
      <c r="HVE892" s="121"/>
      <c r="HVF892" s="121"/>
      <c r="HVG892" s="121"/>
      <c r="HVH892" s="121"/>
      <c r="HVI892" s="121"/>
      <c r="HVJ892" s="121"/>
      <c r="HVK892" s="121"/>
      <c r="HVL892" s="121"/>
      <c r="HVM892" s="121"/>
      <c r="HVN892" s="121"/>
      <c r="HVO892" s="121"/>
      <c r="HVP892" s="121"/>
      <c r="HVQ892" s="121"/>
      <c r="HVR892" s="121"/>
      <c r="HVS892" s="121"/>
      <c r="HVT892" s="121"/>
      <c r="HVU892" s="121"/>
      <c r="HVV892" s="121"/>
      <c r="HVW892" s="121"/>
      <c r="HVX892" s="121"/>
      <c r="HVY892" s="121"/>
      <c r="HVZ892" s="121"/>
      <c r="HWA892" s="121"/>
      <c r="HWB892" s="121"/>
      <c r="HWC892" s="121"/>
      <c r="HWD892" s="121"/>
      <c r="HWE892" s="121"/>
      <c r="HWF892" s="121"/>
      <c r="HWG892" s="121"/>
      <c r="HWH892" s="121"/>
      <c r="HWI892" s="121"/>
      <c r="HWJ892" s="121"/>
      <c r="HWK892" s="121"/>
      <c r="HWL892" s="121"/>
      <c r="HWM892" s="121"/>
      <c r="HWN892" s="121"/>
      <c r="HWO892" s="121"/>
      <c r="HWP892" s="121"/>
      <c r="HWQ892" s="121"/>
      <c r="HWR892" s="121"/>
      <c r="HWS892" s="121"/>
      <c r="HWT892" s="121"/>
      <c r="HWU892" s="121"/>
      <c r="HWV892" s="121"/>
      <c r="HWW892" s="121"/>
      <c r="HWX892" s="121"/>
      <c r="HWY892" s="121"/>
      <c r="HWZ892" s="121"/>
      <c r="HXA892" s="121"/>
      <c r="HXB892" s="121"/>
      <c r="HXC892" s="121"/>
      <c r="HXD892" s="121"/>
      <c r="HXE892" s="121"/>
      <c r="HXF892" s="121"/>
      <c r="HXG892" s="121"/>
      <c r="HXH892" s="121"/>
      <c r="HXI892" s="121"/>
      <c r="HXJ892" s="121"/>
      <c r="HXK892" s="121"/>
      <c r="HXL892" s="121"/>
      <c r="HXM892" s="121"/>
      <c r="HXN892" s="121"/>
      <c r="HXO892" s="121"/>
      <c r="HXP892" s="121"/>
      <c r="HXQ892" s="121"/>
      <c r="HXR892" s="121"/>
      <c r="HXS892" s="121"/>
      <c r="HXT892" s="121"/>
      <c r="HXU892" s="121"/>
      <c r="HXV892" s="121"/>
      <c r="HXW892" s="121"/>
      <c r="HXX892" s="121"/>
      <c r="HXY892" s="121"/>
      <c r="HXZ892" s="121"/>
      <c r="HYA892" s="121"/>
      <c r="HYB892" s="121"/>
      <c r="HYC892" s="121"/>
      <c r="HYD892" s="121"/>
      <c r="HYE892" s="121"/>
      <c r="HYF892" s="121"/>
      <c r="HYG892" s="121"/>
      <c r="HYH892" s="121"/>
      <c r="HYI892" s="121"/>
      <c r="HYJ892" s="121"/>
      <c r="HYK892" s="121"/>
      <c r="HYL892" s="121"/>
      <c r="HYM892" s="121"/>
      <c r="HYN892" s="121"/>
      <c r="HYO892" s="121"/>
      <c r="HYP892" s="121"/>
      <c r="HYQ892" s="121"/>
      <c r="HYR892" s="121"/>
      <c r="HYS892" s="121"/>
      <c r="HYT892" s="121"/>
      <c r="HYU892" s="121"/>
      <c r="HYV892" s="121"/>
      <c r="HYW892" s="121"/>
      <c r="HYX892" s="121"/>
      <c r="HYY892" s="121"/>
      <c r="HYZ892" s="121"/>
      <c r="HZA892" s="121"/>
      <c r="HZB892" s="121"/>
      <c r="HZC892" s="121"/>
      <c r="HZD892" s="121"/>
      <c r="HZE892" s="121"/>
      <c r="HZF892" s="121"/>
      <c r="HZG892" s="121"/>
      <c r="HZH892" s="121"/>
      <c r="HZI892" s="121"/>
      <c r="HZJ892" s="121"/>
      <c r="HZK892" s="121"/>
      <c r="HZL892" s="121"/>
      <c r="HZM892" s="121"/>
      <c r="HZN892" s="121"/>
      <c r="HZO892" s="121"/>
      <c r="HZP892" s="121"/>
      <c r="HZQ892" s="121"/>
      <c r="HZR892" s="121"/>
      <c r="HZS892" s="121"/>
      <c r="HZT892" s="121"/>
      <c r="HZU892" s="121"/>
      <c r="HZV892" s="121"/>
      <c r="HZW892" s="121"/>
      <c r="HZX892" s="121"/>
      <c r="HZY892" s="121"/>
      <c r="HZZ892" s="121"/>
      <c r="IAA892" s="121"/>
      <c r="IAB892" s="121"/>
      <c r="IAC892" s="121"/>
      <c r="IAD892" s="121"/>
      <c r="IAE892" s="121"/>
      <c r="IAF892" s="121"/>
      <c r="IAG892" s="121"/>
      <c r="IAH892" s="121"/>
      <c r="IAI892" s="121"/>
      <c r="IAJ892" s="121"/>
      <c r="IAK892" s="121"/>
      <c r="IAL892" s="121"/>
      <c r="IAM892" s="121"/>
      <c r="IAN892" s="121"/>
      <c r="IAO892" s="121"/>
      <c r="IAP892" s="121"/>
      <c r="IAQ892" s="121"/>
      <c r="IAR892" s="121"/>
      <c r="IAS892" s="121"/>
      <c r="IAT892" s="121"/>
      <c r="IAU892" s="121"/>
      <c r="IAV892" s="121"/>
      <c r="IAW892" s="121"/>
      <c r="IAX892" s="121"/>
      <c r="IAY892" s="121"/>
      <c r="IAZ892" s="121"/>
      <c r="IBA892" s="121"/>
      <c r="IBB892" s="121"/>
      <c r="IBC892" s="121"/>
      <c r="IBD892" s="121"/>
      <c r="IBE892" s="121"/>
      <c r="IBF892" s="121"/>
      <c r="IBG892" s="121"/>
      <c r="IBH892" s="121"/>
      <c r="IBI892" s="121"/>
      <c r="IBJ892" s="121"/>
      <c r="IBK892" s="121"/>
      <c r="IBL892" s="121"/>
      <c r="IBM892" s="121"/>
      <c r="IBN892" s="121"/>
      <c r="IBO892" s="121"/>
      <c r="IBP892" s="121"/>
      <c r="IBQ892" s="121"/>
      <c r="IBR892" s="121"/>
      <c r="IBS892" s="121"/>
      <c r="IBT892" s="121"/>
      <c r="IBU892" s="121"/>
      <c r="IBV892" s="121"/>
      <c r="IBW892" s="121"/>
      <c r="IBX892" s="121"/>
      <c r="IBY892" s="121"/>
      <c r="IBZ892" s="121"/>
      <c r="ICA892" s="121"/>
      <c r="ICB892" s="121"/>
      <c r="ICC892" s="121"/>
      <c r="ICD892" s="121"/>
      <c r="ICE892" s="121"/>
      <c r="ICF892" s="121"/>
      <c r="ICG892" s="121"/>
      <c r="ICH892" s="121"/>
      <c r="ICI892" s="121"/>
      <c r="ICJ892" s="121"/>
      <c r="ICK892" s="121"/>
      <c r="ICL892" s="121"/>
      <c r="ICM892" s="121"/>
      <c r="ICN892" s="121"/>
      <c r="ICO892" s="121"/>
      <c r="ICP892" s="121"/>
      <c r="ICQ892" s="121"/>
      <c r="ICR892" s="121"/>
      <c r="ICS892" s="121"/>
      <c r="ICT892" s="121"/>
      <c r="ICU892" s="121"/>
      <c r="ICV892" s="121"/>
      <c r="ICW892" s="121"/>
      <c r="ICX892" s="121"/>
      <c r="ICY892" s="121"/>
      <c r="ICZ892" s="121"/>
      <c r="IDA892" s="121"/>
      <c r="IDB892" s="121"/>
      <c r="IDC892" s="121"/>
      <c r="IDD892" s="121"/>
      <c r="IDE892" s="121"/>
      <c r="IDF892" s="121"/>
      <c r="IDG892" s="121"/>
      <c r="IDH892" s="121"/>
      <c r="IDI892" s="121"/>
      <c r="IDJ892" s="121"/>
      <c r="IDK892" s="121"/>
      <c r="IDL892" s="121"/>
      <c r="IDM892" s="121"/>
      <c r="IDN892" s="121"/>
      <c r="IDO892" s="121"/>
      <c r="IDP892" s="121"/>
      <c r="IDQ892" s="121"/>
      <c r="IDR892" s="121"/>
      <c r="IDS892" s="121"/>
      <c r="IDT892" s="121"/>
      <c r="IDU892" s="121"/>
      <c r="IDV892" s="121"/>
      <c r="IDW892" s="121"/>
      <c r="IDX892" s="121"/>
      <c r="IDY892" s="121"/>
      <c r="IDZ892" s="121"/>
      <c r="IEA892" s="121"/>
      <c r="IEB892" s="121"/>
      <c r="IEC892" s="121"/>
      <c r="IED892" s="121"/>
      <c r="IEE892" s="121"/>
      <c r="IEF892" s="121"/>
      <c r="IEG892" s="121"/>
      <c r="IEH892" s="121"/>
      <c r="IEI892" s="121"/>
      <c r="IEJ892" s="121"/>
      <c r="IEK892" s="121"/>
      <c r="IEL892" s="121"/>
      <c r="IEM892" s="121"/>
      <c r="IEN892" s="121"/>
      <c r="IEO892" s="121"/>
      <c r="IEP892" s="121"/>
      <c r="IEQ892" s="121"/>
      <c r="IER892" s="121"/>
      <c r="IES892" s="121"/>
      <c r="IET892" s="121"/>
      <c r="IEU892" s="121"/>
      <c r="IEV892" s="121"/>
      <c r="IEW892" s="121"/>
      <c r="IEX892" s="121"/>
      <c r="IEY892" s="121"/>
      <c r="IEZ892" s="121"/>
      <c r="IFA892" s="121"/>
      <c r="IFB892" s="121"/>
      <c r="IFC892" s="121"/>
      <c r="IFD892" s="121"/>
      <c r="IFE892" s="121"/>
      <c r="IFF892" s="121"/>
      <c r="IFG892" s="121"/>
      <c r="IFH892" s="121"/>
      <c r="IFI892" s="121"/>
      <c r="IFJ892" s="121"/>
      <c r="IFK892" s="121"/>
      <c r="IFL892" s="121"/>
      <c r="IFM892" s="121"/>
      <c r="IFN892" s="121"/>
      <c r="IFO892" s="121"/>
      <c r="IFP892" s="121"/>
      <c r="IFQ892" s="121"/>
      <c r="IFR892" s="121"/>
      <c r="IFS892" s="121"/>
      <c r="IFT892" s="121"/>
      <c r="IFU892" s="121"/>
      <c r="IFV892" s="121"/>
      <c r="IFW892" s="121"/>
      <c r="IFX892" s="121"/>
      <c r="IFY892" s="121"/>
      <c r="IFZ892" s="121"/>
      <c r="IGA892" s="121"/>
      <c r="IGB892" s="121"/>
      <c r="IGC892" s="121"/>
      <c r="IGD892" s="121"/>
      <c r="IGE892" s="121"/>
      <c r="IGF892" s="121"/>
      <c r="IGG892" s="121"/>
      <c r="IGH892" s="121"/>
      <c r="IGI892" s="121"/>
      <c r="IGJ892" s="121"/>
      <c r="IGK892" s="121"/>
      <c r="IGL892" s="121"/>
      <c r="IGM892" s="121"/>
      <c r="IGN892" s="121"/>
      <c r="IGO892" s="121"/>
      <c r="IGP892" s="121"/>
      <c r="IGQ892" s="121"/>
      <c r="IGR892" s="121"/>
      <c r="IGS892" s="121"/>
      <c r="IGT892" s="121"/>
      <c r="IGU892" s="121"/>
      <c r="IGV892" s="121"/>
      <c r="IGW892" s="121"/>
      <c r="IGX892" s="121"/>
      <c r="IGY892" s="121"/>
      <c r="IGZ892" s="121"/>
      <c r="IHA892" s="121"/>
      <c r="IHB892" s="121"/>
      <c r="IHC892" s="121"/>
      <c r="IHD892" s="121"/>
      <c r="IHE892" s="121"/>
      <c r="IHF892" s="121"/>
      <c r="IHG892" s="121"/>
      <c r="IHH892" s="121"/>
      <c r="IHI892" s="121"/>
      <c r="IHJ892" s="121"/>
      <c r="IHK892" s="121"/>
      <c r="IHL892" s="121"/>
      <c r="IHM892" s="121"/>
      <c r="IHN892" s="121"/>
      <c r="IHO892" s="121"/>
      <c r="IHP892" s="121"/>
      <c r="IHQ892" s="121"/>
      <c r="IHR892" s="121"/>
      <c r="IHS892" s="121"/>
      <c r="IHT892" s="121"/>
      <c r="IHU892" s="121"/>
      <c r="IHV892" s="121"/>
      <c r="IHW892" s="121"/>
      <c r="IHX892" s="121"/>
      <c r="IHY892" s="121"/>
      <c r="IHZ892" s="121"/>
      <c r="IIA892" s="121"/>
      <c r="IIB892" s="121"/>
      <c r="IIC892" s="121"/>
      <c r="IID892" s="121"/>
      <c r="IIE892" s="121"/>
      <c r="IIF892" s="121"/>
      <c r="IIG892" s="121"/>
      <c r="IIH892" s="121"/>
      <c r="III892" s="121"/>
      <c r="IIJ892" s="121"/>
      <c r="IIK892" s="121"/>
      <c r="IIL892" s="121"/>
      <c r="IIM892" s="121"/>
      <c r="IIN892" s="121"/>
      <c r="IIO892" s="121"/>
      <c r="IIP892" s="121"/>
      <c r="IIQ892" s="121"/>
      <c r="IIR892" s="121"/>
      <c r="IIS892" s="121"/>
      <c r="IIT892" s="121"/>
      <c r="IIU892" s="121"/>
      <c r="IIV892" s="121"/>
      <c r="IIW892" s="121"/>
      <c r="IIX892" s="121"/>
      <c r="IIY892" s="121"/>
      <c r="IIZ892" s="121"/>
      <c r="IJA892" s="121"/>
      <c r="IJB892" s="121"/>
      <c r="IJC892" s="121"/>
      <c r="IJD892" s="121"/>
      <c r="IJE892" s="121"/>
      <c r="IJF892" s="121"/>
      <c r="IJG892" s="121"/>
      <c r="IJH892" s="121"/>
      <c r="IJI892" s="121"/>
      <c r="IJJ892" s="121"/>
      <c r="IJK892" s="121"/>
      <c r="IJL892" s="121"/>
      <c r="IJM892" s="121"/>
      <c r="IJN892" s="121"/>
      <c r="IJO892" s="121"/>
      <c r="IJP892" s="121"/>
      <c r="IJQ892" s="121"/>
      <c r="IJR892" s="121"/>
      <c r="IJS892" s="121"/>
      <c r="IJT892" s="121"/>
      <c r="IJU892" s="121"/>
      <c r="IJV892" s="121"/>
      <c r="IJW892" s="121"/>
      <c r="IJX892" s="121"/>
      <c r="IJY892" s="121"/>
      <c r="IJZ892" s="121"/>
      <c r="IKA892" s="121"/>
      <c r="IKB892" s="121"/>
      <c r="IKC892" s="121"/>
      <c r="IKD892" s="121"/>
      <c r="IKE892" s="121"/>
      <c r="IKF892" s="121"/>
      <c r="IKG892" s="121"/>
      <c r="IKH892" s="121"/>
      <c r="IKI892" s="121"/>
      <c r="IKJ892" s="121"/>
      <c r="IKK892" s="121"/>
      <c r="IKL892" s="121"/>
      <c r="IKM892" s="121"/>
      <c r="IKN892" s="121"/>
      <c r="IKO892" s="121"/>
      <c r="IKP892" s="121"/>
      <c r="IKQ892" s="121"/>
      <c r="IKR892" s="121"/>
      <c r="IKS892" s="121"/>
      <c r="IKT892" s="121"/>
      <c r="IKU892" s="121"/>
      <c r="IKV892" s="121"/>
      <c r="IKW892" s="121"/>
      <c r="IKX892" s="121"/>
      <c r="IKY892" s="121"/>
      <c r="IKZ892" s="121"/>
      <c r="ILA892" s="121"/>
      <c r="ILB892" s="121"/>
      <c r="ILC892" s="121"/>
      <c r="ILD892" s="121"/>
      <c r="ILE892" s="121"/>
      <c r="ILF892" s="121"/>
      <c r="ILG892" s="121"/>
      <c r="ILH892" s="121"/>
      <c r="ILI892" s="121"/>
      <c r="ILJ892" s="121"/>
      <c r="ILK892" s="121"/>
      <c r="ILL892" s="121"/>
      <c r="ILM892" s="121"/>
      <c r="ILN892" s="121"/>
      <c r="ILO892" s="121"/>
      <c r="ILP892" s="121"/>
      <c r="ILQ892" s="121"/>
      <c r="ILR892" s="121"/>
      <c r="ILS892" s="121"/>
      <c r="ILT892" s="121"/>
      <c r="ILU892" s="121"/>
      <c r="ILV892" s="121"/>
      <c r="ILW892" s="121"/>
      <c r="ILX892" s="121"/>
      <c r="ILY892" s="121"/>
      <c r="ILZ892" s="121"/>
      <c r="IMA892" s="121"/>
      <c r="IMB892" s="121"/>
      <c r="IMC892" s="121"/>
      <c r="IMD892" s="121"/>
      <c r="IME892" s="121"/>
      <c r="IMF892" s="121"/>
      <c r="IMG892" s="121"/>
      <c r="IMH892" s="121"/>
      <c r="IMI892" s="121"/>
      <c r="IMJ892" s="121"/>
      <c r="IMK892" s="121"/>
      <c r="IML892" s="121"/>
      <c r="IMM892" s="121"/>
      <c r="IMN892" s="121"/>
      <c r="IMO892" s="121"/>
      <c r="IMP892" s="121"/>
      <c r="IMQ892" s="121"/>
      <c r="IMR892" s="121"/>
      <c r="IMS892" s="121"/>
      <c r="IMT892" s="121"/>
      <c r="IMU892" s="121"/>
      <c r="IMV892" s="121"/>
      <c r="IMW892" s="121"/>
      <c r="IMX892" s="121"/>
      <c r="IMY892" s="121"/>
      <c r="IMZ892" s="121"/>
      <c r="INA892" s="121"/>
      <c r="INB892" s="121"/>
      <c r="INC892" s="121"/>
      <c r="IND892" s="121"/>
      <c r="INE892" s="121"/>
      <c r="INF892" s="121"/>
      <c r="ING892" s="121"/>
      <c r="INH892" s="121"/>
      <c r="INI892" s="121"/>
      <c r="INJ892" s="121"/>
      <c r="INK892" s="121"/>
      <c r="INL892" s="121"/>
      <c r="INM892" s="121"/>
      <c r="INN892" s="121"/>
      <c r="INO892" s="121"/>
      <c r="INP892" s="121"/>
      <c r="INQ892" s="121"/>
      <c r="INR892" s="121"/>
      <c r="INS892" s="121"/>
      <c r="INT892" s="121"/>
      <c r="INU892" s="121"/>
      <c r="INV892" s="121"/>
      <c r="INW892" s="121"/>
      <c r="INX892" s="121"/>
      <c r="INY892" s="121"/>
      <c r="INZ892" s="121"/>
      <c r="IOA892" s="121"/>
      <c r="IOB892" s="121"/>
      <c r="IOC892" s="121"/>
      <c r="IOD892" s="121"/>
      <c r="IOE892" s="121"/>
      <c r="IOF892" s="121"/>
      <c r="IOG892" s="121"/>
      <c r="IOH892" s="121"/>
      <c r="IOI892" s="121"/>
      <c r="IOJ892" s="121"/>
      <c r="IOK892" s="121"/>
      <c r="IOL892" s="121"/>
      <c r="IOM892" s="121"/>
      <c r="ION892" s="121"/>
      <c r="IOO892" s="121"/>
      <c r="IOP892" s="121"/>
      <c r="IOQ892" s="121"/>
      <c r="IOR892" s="121"/>
      <c r="IOS892" s="121"/>
      <c r="IOT892" s="121"/>
      <c r="IOU892" s="121"/>
      <c r="IOV892" s="121"/>
      <c r="IOW892" s="121"/>
      <c r="IOX892" s="121"/>
      <c r="IOY892" s="121"/>
      <c r="IOZ892" s="121"/>
      <c r="IPA892" s="121"/>
      <c r="IPB892" s="121"/>
      <c r="IPC892" s="121"/>
      <c r="IPD892" s="121"/>
      <c r="IPE892" s="121"/>
      <c r="IPF892" s="121"/>
      <c r="IPG892" s="121"/>
      <c r="IPH892" s="121"/>
      <c r="IPI892" s="121"/>
      <c r="IPJ892" s="121"/>
      <c r="IPK892" s="121"/>
      <c r="IPL892" s="121"/>
      <c r="IPM892" s="121"/>
      <c r="IPN892" s="121"/>
      <c r="IPO892" s="121"/>
      <c r="IPP892" s="121"/>
      <c r="IPQ892" s="121"/>
      <c r="IPR892" s="121"/>
      <c r="IPS892" s="121"/>
      <c r="IPT892" s="121"/>
      <c r="IPU892" s="121"/>
      <c r="IPV892" s="121"/>
      <c r="IPW892" s="121"/>
      <c r="IPX892" s="121"/>
      <c r="IPY892" s="121"/>
      <c r="IPZ892" s="121"/>
      <c r="IQA892" s="121"/>
      <c r="IQB892" s="121"/>
      <c r="IQC892" s="121"/>
      <c r="IQD892" s="121"/>
      <c r="IQE892" s="121"/>
      <c r="IQF892" s="121"/>
      <c r="IQG892" s="121"/>
      <c r="IQH892" s="121"/>
      <c r="IQI892" s="121"/>
      <c r="IQJ892" s="121"/>
      <c r="IQK892" s="121"/>
      <c r="IQL892" s="121"/>
      <c r="IQM892" s="121"/>
      <c r="IQN892" s="121"/>
      <c r="IQO892" s="121"/>
      <c r="IQP892" s="121"/>
      <c r="IQQ892" s="121"/>
      <c r="IQR892" s="121"/>
      <c r="IQS892" s="121"/>
      <c r="IQT892" s="121"/>
      <c r="IQU892" s="121"/>
      <c r="IQV892" s="121"/>
      <c r="IQW892" s="121"/>
      <c r="IQX892" s="121"/>
      <c r="IQY892" s="121"/>
      <c r="IQZ892" s="121"/>
      <c r="IRA892" s="121"/>
      <c r="IRB892" s="121"/>
      <c r="IRC892" s="121"/>
      <c r="IRD892" s="121"/>
      <c r="IRE892" s="121"/>
      <c r="IRF892" s="121"/>
      <c r="IRG892" s="121"/>
      <c r="IRH892" s="121"/>
      <c r="IRI892" s="121"/>
      <c r="IRJ892" s="121"/>
      <c r="IRK892" s="121"/>
      <c r="IRL892" s="121"/>
      <c r="IRM892" s="121"/>
      <c r="IRN892" s="121"/>
      <c r="IRO892" s="121"/>
      <c r="IRP892" s="121"/>
      <c r="IRQ892" s="121"/>
      <c r="IRR892" s="121"/>
      <c r="IRS892" s="121"/>
      <c r="IRT892" s="121"/>
      <c r="IRU892" s="121"/>
      <c r="IRV892" s="121"/>
      <c r="IRW892" s="121"/>
      <c r="IRX892" s="121"/>
      <c r="IRY892" s="121"/>
      <c r="IRZ892" s="121"/>
      <c r="ISA892" s="121"/>
      <c r="ISB892" s="121"/>
      <c r="ISC892" s="121"/>
      <c r="ISD892" s="121"/>
      <c r="ISE892" s="121"/>
      <c r="ISF892" s="121"/>
      <c r="ISG892" s="121"/>
      <c r="ISH892" s="121"/>
      <c r="ISI892" s="121"/>
      <c r="ISJ892" s="121"/>
      <c r="ISK892" s="121"/>
      <c r="ISL892" s="121"/>
      <c r="ISM892" s="121"/>
      <c r="ISN892" s="121"/>
      <c r="ISO892" s="121"/>
      <c r="ISP892" s="121"/>
      <c r="ISQ892" s="121"/>
      <c r="ISR892" s="121"/>
      <c r="ISS892" s="121"/>
      <c r="IST892" s="121"/>
      <c r="ISU892" s="121"/>
      <c r="ISV892" s="121"/>
      <c r="ISW892" s="121"/>
      <c r="ISX892" s="121"/>
      <c r="ISY892" s="121"/>
      <c r="ISZ892" s="121"/>
      <c r="ITA892" s="121"/>
      <c r="ITB892" s="121"/>
      <c r="ITC892" s="121"/>
      <c r="ITD892" s="121"/>
      <c r="ITE892" s="121"/>
      <c r="ITF892" s="121"/>
      <c r="ITG892" s="121"/>
      <c r="ITH892" s="121"/>
      <c r="ITI892" s="121"/>
      <c r="ITJ892" s="121"/>
      <c r="ITK892" s="121"/>
      <c r="ITL892" s="121"/>
      <c r="ITM892" s="121"/>
      <c r="ITN892" s="121"/>
      <c r="ITO892" s="121"/>
      <c r="ITP892" s="121"/>
      <c r="ITQ892" s="121"/>
      <c r="ITR892" s="121"/>
      <c r="ITS892" s="121"/>
      <c r="ITT892" s="121"/>
      <c r="ITU892" s="121"/>
      <c r="ITV892" s="121"/>
      <c r="ITW892" s="121"/>
      <c r="ITX892" s="121"/>
      <c r="ITY892" s="121"/>
      <c r="ITZ892" s="121"/>
      <c r="IUA892" s="121"/>
      <c r="IUB892" s="121"/>
      <c r="IUC892" s="121"/>
      <c r="IUD892" s="121"/>
      <c r="IUE892" s="121"/>
      <c r="IUF892" s="121"/>
      <c r="IUG892" s="121"/>
      <c r="IUH892" s="121"/>
      <c r="IUI892" s="121"/>
      <c r="IUJ892" s="121"/>
      <c r="IUK892" s="121"/>
      <c r="IUL892" s="121"/>
      <c r="IUM892" s="121"/>
      <c r="IUN892" s="121"/>
      <c r="IUO892" s="121"/>
      <c r="IUP892" s="121"/>
      <c r="IUQ892" s="121"/>
      <c r="IUR892" s="121"/>
      <c r="IUS892" s="121"/>
      <c r="IUT892" s="121"/>
      <c r="IUU892" s="121"/>
      <c r="IUV892" s="121"/>
      <c r="IUW892" s="121"/>
      <c r="IUX892" s="121"/>
      <c r="IUY892" s="121"/>
      <c r="IUZ892" s="121"/>
      <c r="IVA892" s="121"/>
      <c r="IVB892" s="121"/>
      <c r="IVC892" s="121"/>
      <c r="IVD892" s="121"/>
      <c r="IVE892" s="121"/>
      <c r="IVF892" s="121"/>
      <c r="IVG892" s="121"/>
      <c r="IVH892" s="121"/>
      <c r="IVI892" s="121"/>
      <c r="IVJ892" s="121"/>
      <c r="IVK892" s="121"/>
      <c r="IVL892" s="121"/>
      <c r="IVM892" s="121"/>
      <c r="IVN892" s="121"/>
      <c r="IVO892" s="121"/>
      <c r="IVP892" s="121"/>
      <c r="IVQ892" s="121"/>
      <c r="IVR892" s="121"/>
      <c r="IVS892" s="121"/>
      <c r="IVT892" s="121"/>
      <c r="IVU892" s="121"/>
      <c r="IVV892" s="121"/>
      <c r="IVW892" s="121"/>
      <c r="IVX892" s="121"/>
      <c r="IVY892" s="121"/>
      <c r="IVZ892" s="121"/>
      <c r="IWA892" s="121"/>
      <c r="IWB892" s="121"/>
      <c r="IWC892" s="121"/>
      <c r="IWD892" s="121"/>
      <c r="IWE892" s="121"/>
      <c r="IWF892" s="121"/>
      <c r="IWG892" s="121"/>
      <c r="IWH892" s="121"/>
      <c r="IWI892" s="121"/>
      <c r="IWJ892" s="121"/>
      <c r="IWK892" s="121"/>
      <c r="IWL892" s="121"/>
      <c r="IWM892" s="121"/>
      <c r="IWN892" s="121"/>
      <c r="IWO892" s="121"/>
      <c r="IWP892" s="121"/>
      <c r="IWQ892" s="121"/>
      <c r="IWR892" s="121"/>
      <c r="IWS892" s="121"/>
      <c r="IWT892" s="121"/>
      <c r="IWU892" s="121"/>
      <c r="IWV892" s="121"/>
      <c r="IWW892" s="121"/>
      <c r="IWX892" s="121"/>
      <c r="IWY892" s="121"/>
      <c r="IWZ892" s="121"/>
      <c r="IXA892" s="121"/>
      <c r="IXB892" s="121"/>
      <c r="IXC892" s="121"/>
      <c r="IXD892" s="121"/>
      <c r="IXE892" s="121"/>
      <c r="IXF892" s="121"/>
      <c r="IXG892" s="121"/>
      <c r="IXH892" s="121"/>
      <c r="IXI892" s="121"/>
      <c r="IXJ892" s="121"/>
      <c r="IXK892" s="121"/>
      <c r="IXL892" s="121"/>
      <c r="IXM892" s="121"/>
      <c r="IXN892" s="121"/>
      <c r="IXO892" s="121"/>
      <c r="IXP892" s="121"/>
      <c r="IXQ892" s="121"/>
      <c r="IXR892" s="121"/>
      <c r="IXS892" s="121"/>
      <c r="IXT892" s="121"/>
      <c r="IXU892" s="121"/>
      <c r="IXV892" s="121"/>
      <c r="IXW892" s="121"/>
      <c r="IXX892" s="121"/>
      <c r="IXY892" s="121"/>
      <c r="IXZ892" s="121"/>
      <c r="IYA892" s="121"/>
      <c r="IYB892" s="121"/>
      <c r="IYC892" s="121"/>
      <c r="IYD892" s="121"/>
      <c r="IYE892" s="121"/>
      <c r="IYF892" s="121"/>
      <c r="IYG892" s="121"/>
      <c r="IYH892" s="121"/>
      <c r="IYI892" s="121"/>
      <c r="IYJ892" s="121"/>
      <c r="IYK892" s="121"/>
      <c r="IYL892" s="121"/>
      <c r="IYM892" s="121"/>
      <c r="IYN892" s="121"/>
      <c r="IYO892" s="121"/>
      <c r="IYP892" s="121"/>
      <c r="IYQ892" s="121"/>
      <c r="IYR892" s="121"/>
      <c r="IYS892" s="121"/>
      <c r="IYT892" s="121"/>
      <c r="IYU892" s="121"/>
      <c r="IYV892" s="121"/>
      <c r="IYW892" s="121"/>
      <c r="IYX892" s="121"/>
      <c r="IYY892" s="121"/>
      <c r="IYZ892" s="121"/>
      <c r="IZA892" s="121"/>
      <c r="IZB892" s="121"/>
      <c r="IZC892" s="121"/>
      <c r="IZD892" s="121"/>
      <c r="IZE892" s="121"/>
      <c r="IZF892" s="121"/>
      <c r="IZG892" s="121"/>
      <c r="IZH892" s="121"/>
      <c r="IZI892" s="121"/>
      <c r="IZJ892" s="121"/>
      <c r="IZK892" s="121"/>
      <c r="IZL892" s="121"/>
      <c r="IZM892" s="121"/>
      <c r="IZN892" s="121"/>
      <c r="IZO892" s="121"/>
      <c r="IZP892" s="121"/>
      <c r="IZQ892" s="121"/>
      <c r="IZR892" s="121"/>
      <c r="IZS892" s="121"/>
      <c r="IZT892" s="121"/>
      <c r="IZU892" s="121"/>
      <c r="IZV892" s="121"/>
      <c r="IZW892" s="121"/>
      <c r="IZX892" s="121"/>
      <c r="IZY892" s="121"/>
      <c r="IZZ892" s="121"/>
      <c r="JAA892" s="121"/>
      <c r="JAB892" s="121"/>
      <c r="JAC892" s="121"/>
      <c r="JAD892" s="121"/>
      <c r="JAE892" s="121"/>
      <c r="JAF892" s="121"/>
      <c r="JAG892" s="121"/>
      <c r="JAH892" s="121"/>
      <c r="JAI892" s="121"/>
      <c r="JAJ892" s="121"/>
      <c r="JAK892" s="121"/>
      <c r="JAL892" s="121"/>
      <c r="JAM892" s="121"/>
      <c r="JAN892" s="121"/>
      <c r="JAO892" s="121"/>
      <c r="JAP892" s="121"/>
      <c r="JAQ892" s="121"/>
      <c r="JAR892" s="121"/>
      <c r="JAS892" s="121"/>
      <c r="JAT892" s="121"/>
      <c r="JAU892" s="121"/>
      <c r="JAV892" s="121"/>
      <c r="JAW892" s="121"/>
      <c r="JAX892" s="121"/>
      <c r="JAY892" s="121"/>
      <c r="JAZ892" s="121"/>
      <c r="JBA892" s="121"/>
      <c r="JBB892" s="121"/>
      <c r="JBC892" s="121"/>
      <c r="JBD892" s="121"/>
      <c r="JBE892" s="121"/>
      <c r="JBF892" s="121"/>
      <c r="JBG892" s="121"/>
      <c r="JBH892" s="121"/>
      <c r="JBI892" s="121"/>
      <c r="JBJ892" s="121"/>
      <c r="JBK892" s="121"/>
      <c r="JBL892" s="121"/>
      <c r="JBM892" s="121"/>
      <c r="JBN892" s="121"/>
      <c r="JBO892" s="121"/>
      <c r="JBP892" s="121"/>
      <c r="JBQ892" s="121"/>
      <c r="JBR892" s="121"/>
      <c r="JBS892" s="121"/>
      <c r="JBT892" s="121"/>
      <c r="JBU892" s="121"/>
      <c r="JBV892" s="121"/>
      <c r="JBW892" s="121"/>
      <c r="JBX892" s="121"/>
      <c r="JBY892" s="121"/>
      <c r="JBZ892" s="121"/>
      <c r="JCA892" s="121"/>
      <c r="JCB892" s="121"/>
      <c r="JCC892" s="121"/>
      <c r="JCD892" s="121"/>
      <c r="JCE892" s="121"/>
      <c r="JCF892" s="121"/>
      <c r="JCG892" s="121"/>
      <c r="JCH892" s="121"/>
      <c r="JCI892" s="121"/>
      <c r="JCJ892" s="121"/>
      <c r="JCK892" s="121"/>
      <c r="JCL892" s="121"/>
      <c r="JCM892" s="121"/>
      <c r="JCN892" s="121"/>
      <c r="JCO892" s="121"/>
      <c r="JCP892" s="121"/>
      <c r="JCQ892" s="121"/>
      <c r="JCR892" s="121"/>
      <c r="JCS892" s="121"/>
      <c r="JCT892" s="121"/>
      <c r="JCU892" s="121"/>
      <c r="JCV892" s="121"/>
      <c r="JCW892" s="121"/>
      <c r="JCX892" s="121"/>
      <c r="JCY892" s="121"/>
      <c r="JCZ892" s="121"/>
      <c r="JDA892" s="121"/>
      <c r="JDB892" s="121"/>
      <c r="JDC892" s="121"/>
      <c r="JDD892" s="121"/>
      <c r="JDE892" s="121"/>
      <c r="JDF892" s="121"/>
      <c r="JDG892" s="121"/>
      <c r="JDH892" s="121"/>
      <c r="JDI892" s="121"/>
      <c r="JDJ892" s="121"/>
      <c r="JDK892" s="121"/>
      <c r="JDL892" s="121"/>
      <c r="JDM892" s="121"/>
      <c r="JDN892" s="121"/>
      <c r="JDO892" s="121"/>
      <c r="JDP892" s="121"/>
      <c r="JDQ892" s="121"/>
      <c r="JDR892" s="121"/>
      <c r="JDS892" s="121"/>
      <c r="JDT892" s="121"/>
      <c r="JDU892" s="121"/>
      <c r="JDV892" s="121"/>
      <c r="JDW892" s="121"/>
      <c r="JDX892" s="121"/>
      <c r="JDY892" s="121"/>
      <c r="JDZ892" s="121"/>
      <c r="JEA892" s="121"/>
      <c r="JEB892" s="121"/>
      <c r="JEC892" s="121"/>
      <c r="JED892" s="121"/>
      <c r="JEE892" s="121"/>
      <c r="JEF892" s="121"/>
      <c r="JEG892" s="121"/>
      <c r="JEH892" s="121"/>
      <c r="JEI892" s="121"/>
      <c r="JEJ892" s="121"/>
      <c r="JEK892" s="121"/>
      <c r="JEL892" s="121"/>
      <c r="JEM892" s="121"/>
      <c r="JEN892" s="121"/>
      <c r="JEO892" s="121"/>
      <c r="JEP892" s="121"/>
      <c r="JEQ892" s="121"/>
      <c r="JER892" s="121"/>
      <c r="JES892" s="121"/>
      <c r="JET892" s="121"/>
      <c r="JEU892" s="121"/>
      <c r="JEV892" s="121"/>
      <c r="JEW892" s="121"/>
      <c r="JEX892" s="121"/>
      <c r="JEY892" s="121"/>
      <c r="JEZ892" s="121"/>
      <c r="JFA892" s="121"/>
      <c r="JFB892" s="121"/>
      <c r="JFC892" s="121"/>
      <c r="JFD892" s="121"/>
      <c r="JFE892" s="121"/>
      <c r="JFF892" s="121"/>
      <c r="JFG892" s="121"/>
      <c r="JFH892" s="121"/>
      <c r="JFI892" s="121"/>
      <c r="JFJ892" s="121"/>
      <c r="JFK892" s="121"/>
      <c r="JFL892" s="121"/>
      <c r="JFM892" s="121"/>
      <c r="JFN892" s="121"/>
      <c r="JFO892" s="121"/>
      <c r="JFP892" s="121"/>
      <c r="JFQ892" s="121"/>
      <c r="JFR892" s="121"/>
      <c r="JFS892" s="121"/>
      <c r="JFT892" s="121"/>
      <c r="JFU892" s="121"/>
      <c r="JFV892" s="121"/>
      <c r="JFW892" s="121"/>
      <c r="JFX892" s="121"/>
      <c r="JFY892" s="121"/>
      <c r="JFZ892" s="121"/>
      <c r="JGA892" s="121"/>
      <c r="JGB892" s="121"/>
      <c r="JGC892" s="121"/>
      <c r="JGD892" s="121"/>
      <c r="JGE892" s="121"/>
      <c r="JGF892" s="121"/>
      <c r="JGG892" s="121"/>
      <c r="JGH892" s="121"/>
      <c r="JGI892" s="121"/>
      <c r="JGJ892" s="121"/>
      <c r="JGK892" s="121"/>
      <c r="JGL892" s="121"/>
      <c r="JGM892" s="121"/>
      <c r="JGN892" s="121"/>
      <c r="JGO892" s="121"/>
      <c r="JGP892" s="121"/>
      <c r="JGQ892" s="121"/>
      <c r="JGR892" s="121"/>
      <c r="JGS892" s="121"/>
      <c r="JGT892" s="121"/>
      <c r="JGU892" s="121"/>
      <c r="JGV892" s="121"/>
      <c r="JGW892" s="121"/>
      <c r="JGX892" s="121"/>
      <c r="JGY892" s="121"/>
      <c r="JGZ892" s="121"/>
      <c r="JHA892" s="121"/>
      <c r="JHB892" s="121"/>
      <c r="JHC892" s="121"/>
      <c r="JHD892" s="121"/>
      <c r="JHE892" s="121"/>
      <c r="JHF892" s="121"/>
      <c r="JHG892" s="121"/>
      <c r="JHH892" s="121"/>
      <c r="JHI892" s="121"/>
      <c r="JHJ892" s="121"/>
      <c r="JHK892" s="121"/>
      <c r="JHL892" s="121"/>
      <c r="JHM892" s="121"/>
      <c r="JHN892" s="121"/>
      <c r="JHO892" s="121"/>
      <c r="JHP892" s="121"/>
      <c r="JHQ892" s="121"/>
      <c r="JHR892" s="121"/>
      <c r="JHS892" s="121"/>
      <c r="JHT892" s="121"/>
      <c r="JHU892" s="121"/>
      <c r="JHV892" s="121"/>
      <c r="JHW892" s="121"/>
      <c r="JHX892" s="121"/>
      <c r="JHY892" s="121"/>
      <c r="JHZ892" s="121"/>
      <c r="JIA892" s="121"/>
      <c r="JIB892" s="121"/>
      <c r="JIC892" s="121"/>
      <c r="JID892" s="121"/>
      <c r="JIE892" s="121"/>
      <c r="JIF892" s="121"/>
      <c r="JIG892" s="121"/>
      <c r="JIH892" s="121"/>
      <c r="JII892" s="121"/>
      <c r="JIJ892" s="121"/>
      <c r="JIK892" s="121"/>
      <c r="JIL892" s="121"/>
      <c r="JIM892" s="121"/>
      <c r="JIN892" s="121"/>
      <c r="JIO892" s="121"/>
      <c r="JIP892" s="121"/>
      <c r="JIQ892" s="121"/>
      <c r="JIR892" s="121"/>
      <c r="JIS892" s="121"/>
      <c r="JIT892" s="121"/>
      <c r="JIU892" s="121"/>
      <c r="JIV892" s="121"/>
      <c r="JIW892" s="121"/>
      <c r="JIX892" s="121"/>
      <c r="JIY892" s="121"/>
      <c r="JIZ892" s="121"/>
      <c r="JJA892" s="121"/>
      <c r="JJB892" s="121"/>
      <c r="JJC892" s="121"/>
      <c r="JJD892" s="121"/>
      <c r="JJE892" s="121"/>
      <c r="JJF892" s="121"/>
      <c r="JJG892" s="121"/>
      <c r="JJH892" s="121"/>
      <c r="JJI892" s="121"/>
      <c r="JJJ892" s="121"/>
      <c r="JJK892" s="121"/>
      <c r="JJL892" s="121"/>
      <c r="JJM892" s="121"/>
      <c r="JJN892" s="121"/>
      <c r="JJO892" s="121"/>
      <c r="JJP892" s="121"/>
      <c r="JJQ892" s="121"/>
      <c r="JJR892" s="121"/>
      <c r="JJS892" s="121"/>
      <c r="JJT892" s="121"/>
      <c r="JJU892" s="121"/>
      <c r="JJV892" s="121"/>
      <c r="JJW892" s="121"/>
      <c r="JJX892" s="121"/>
      <c r="JJY892" s="121"/>
      <c r="JJZ892" s="121"/>
      <c r="JKA892" s="121"/>
      <c r="JKB892" s="121"/>
      <c r="JKC892" s="121"/>
      <c r="JKD892" s="121"/>
      <c r="JKE892" s="121"/>
      <c r="JKF892" s="121"/>
      <c r="JKG892" s="121"/>
      <c r="JKH892" s="121"/>
      <c r="JKI892" s="121"/>
      <c r="JKJ892" s="121"/>
      <c r="JKK892" s="121"/>
      <c r="JKL892" s="121"/>
      <c r="JKM892" s="121"/>
      <c r="JKN892" s="121"/>
      <c r="JKO892" s="121"/>
      <c r="JKP892" s="121"/>
      <c r="JKQ892" s="121"/>
      <c r="JKR892" s="121"/>
      <c r="JKS892" s="121"/>
      <c r="JKT892" s="121"/>
      <c r="JKU892" s="121"/>
      <c r="JKV892" s="121"/>
      <c r="JKW892" s="121"/>
      <c r="JKX892" s="121"/>
      <c r="JKY892" s="121"/>
      <c r="JKZ892" s="121"/>
      <c r="JLA892" s="121"/>
      <c r="JLB892" s="121"/>
      <c r="JLC892" s="121"/>
      <c r="JLD892" s="121"/>
      <c r="JLE892" s="121"/>
      <c r="JLF892" s="121"/>
      <c r="JLG892" s="121"/>
      <c r="JLH892" s="121"/>
      <c r="JLI892" s="121"/>
      <c r="JLJ892" s="121"/>
      <c r="JLK892" s="121"/>
      <c r="JLL892" s="121"/>
      <c r="JLM892" s="121"/>
      <c r="JLN892" s="121"/>
      <c r="JLO892" s="121"/>
      <c r="JLP892" s="121"/>
      <c r="JLQ892" s="121"/>
      <c r="JLR892" s="121"/>
      <c r="JLS892" s="121"/>
      <c r="JLT892" s="121"/>
      <c r="JLU892" s="121"/>
      <c r="JLV892" s="121"/>
      <c r="JLW892" s="121"/>
      <c r="JLX892" s="121"/>
      <c r="JLY892" s="121"/>
      <c r="JLZ892" s="121"/>
      <c r="JMA892" s="121"/>
      <c r="JMB892" s="121"/>
      <c r="JMC892" s="121"/>
      <c r="JMD892" s="121"/>
      <c r="JME892" s="121"/>
      <c r="JMF892" s="121"/>
      <c r="JMG892" s="121"/>
      <c r="JMH892" s="121"/>
      <c r="JMI892" s="121"/>
      <c r="JMJ892" s="121"/>
      <c r="JMK892" s="121"/>
      <c r="JML892" s="121"/>
      <c r="JMM892" s="121"/>
      <c r="JMN892" s="121"/>
      <c r="JMO892" s="121"/>
      <c r="JMP892" s="121"/>
      <c r="JMQ892" s="121"/>
      <c r="JMR892" s="121"/>
      <c r="JMS892" s="121"/>
      <c r="JMT892" s="121"/>
      <c r="JMU892" s="121"/>
      <c r="JMV892" s="121"/>
      <c r="JMW892" s="121"/>
      <c r="JMX892" s="121"/>
      <c r="JMY892" s="121"/>
      <c r="JMZ892" s="121"/>
      <c r="JNA892" s="121"/>
      <c r="JNB892" s="121"/>
      <c r="JNC892" s="121"/>
      <c r="JND892" s="121"/>
      <c r="JNE892" s="121"/>
      <c r="JNF892" s="121"/>
      <c r="JNG892" s="121"/>
      <c r="JNH892" s="121"/>
      <c r="JNI892" s="121"/>
      <c r="JNJ892" s="121"/>
      <c r="JNK892" s="121"/>
      <c r="JNL892" s="121"/>
      <c r="JNM892" s="121"/>
      <c r="JNN892" s="121"/>
      <c r="JNO892" s="121"/>
      <c r="JNP892" s="121"/>
      <c r="JNQ892" s="121"/>
      <c r="JNR892" s="121"/>
      <c r="JNS892" s="121"/>
      <c r="JNT892" s="121"/>
      <c r="JNU892" s="121"/>
      <c r="JNV892" s="121"/>
      <c r="JNW892" s="121"/>
      <c r="JNX892" s="121"/>
      <c r="JNY892" s="121"/>
      <c r="JNZ892" s="121"/>
      <c r="JOA892" s="121"/>
      <c r="JOB892" s="121"/>
      <c r="JOC892" s="121"/>
      <c r="JOD892" s="121"/>
      <c r="JOE892" s="121"/>
      <c r="JOF892" s="121"/>
      <c r="JOG892" s="121"/>
      <c r="JOH892" s="121"/>
      <c r="JOI892" s="121"/>
      <c r="JOJ892" s="121"/>
      <c r="JOK892" s="121"/>
      <c r="JOL892" s="121"/>
      <c r="JOM892" s="121"/>
      <c r="JON892" s="121"/>
      <c r="JOO892" s="121"/>
      <c r="JOP892" s="121"/>
      <c r="JOQ892" s="121"/>
      <c r="JOR892" s="121"/>
      <c r="JOS892" s="121"/>
      <c r="JOT892" s="121"/>
      <c r="JOU892" s="121"/>
      <c r="JOV892" s="121"/>
      <c r="JOW892" s="121"/>
      <c r="JOX892" s="121"/>
      <c r="JOY892" s="121"/>
      <c r="JOZ892" s="121"/>
      <c r="JPA892" s="121"/>
      <c r="JPB892" s="121"/>
      <c r="JPC892" s="121"/>
      <c r="JPD892" s="121"/>
      <c r="JPE892" s="121"/>
      <c r="JPF892" s="121"/>
      <c r="JPG892" s="121"/>
      <c r="JPH892" s="121"/>
      <c r="JPI892" s="121"/>
      <c r="JPJ892" s="121"/>
      <c r="JPK892" s="121"/>
      <c r="JPL892" s="121"/>
      <c r="JPM892" s="121"/>
      <c r="JPN892" s="121"/>
      <c r="JPO892" s="121"/>
      <c r="JPP892" s="121"/>
      <c r="JPQ892" s="121"/>
      <c r="JPR892" s="121"/>
      <c r="JPS892" s="121"/>
      <c r="JPT892" s="121"/>
      <c r="JPU892" s="121"/>
      <c r="JPV892" s="121"/>
      <c r="JPW892" s="121"/>
      <c r="JPX892" s="121"/>
      <c r="JPY892" s="121"/>
      <c r="JPZ892" s="121"/>
      <c r="JQA892" s="121"/>
      <c r="JQB892" s="121"/>
      <c r="JQC892" s="121"/>
      <c r="JQD892" s="121"/>
      <c r="JQE892" s="121"/>
      <c r="JQF892" s="121"/>
      <c r="JQG892" s="121"/>
      <c r="JQH892" s="121"/>
      <c r="JQI892" s="121"/>
      <c r="JQJ892" s="121"/>
      <c r="JQK892" s="121"/>
      <c r="JQL892" s="121"/>
      <c r="JQM892" s="121"/>
      <c r="JQN892" s="121"/>
      <c r="JQO892" s="121"/>
      <c r="JQP892" s="121"/>
      <c r="JQQ892" s="121"/>
      <c r="JQR892" s="121"/>
      <c r="JQS892" s="121"/>
      <c r="JQT892" s="121"/>
      <c r="JQU892" s="121"/>
      <c r="JQV892" s="121"/>
      <c r="JQW892" s="121"/>
      <c r="JQX892" s="121"/>
      <c r="JQY892" s="121"/>
      <c r="JQZ892" s="121"/>
      <c r="JRA892" s="121"/>
      <c r="JRB892" s="121"/>
      <c r="JRC892" s="121"/>
      <c r="JRD892" s="121"/>
      <c r="JRE892" s="121"/>
      <c r="JRF892" s="121"/>
      <c r="JRG892" s="121"/>
      <c r="JRH892" s="121"/>
      <c r="JRI892" s="121"/>
      <c r="JRJ892" s="121"/>
      <c r="JRK892" s="121"/>
      <c r="JRL892" s="121"/>
      <c r="JRM892" s="121"/>
      <c r="JRN892" s="121"/>
      <c r="JRO892" s="121"/>
      <c r="JRP892" s="121"/>
      <c r="JRQ892" s="121"/>
      <c r="JRR892" s="121"/>
      <c r="JRS892" s="121"/>
      <c r="JRT892" s="121"/>
      <c r="JRU892" s="121"/>
      <c r="JRV892" s="121"/>
      <c r="JRW892" s="121"/>
      <c r="JRX892" s="121"/>
      <c r="JRY892" s="121"/>
      <c r="JRZ892" s="121"/>
      <c r="JSA892" s="121"/>
      <c r="JSB892" s="121"/>
      <c r="JSC892" s="121"/>
      <c r="JSD892" s="121"/>
      <c r="JSE892" s="121"/>
      <c r="JSF892" s="121"/>
      <c r="JSG892" s="121"/>
      <c r="JSH892" s="121"/>
      <c r="JSI892" s="121"/>
      <c r="JSJ892" s="121"/>
      <c r="JSK892" s="121"/>
      <c r="JSL892" s="121"/>
      <c r="JSM892" s="121"/>
      <c r="JSN892" s="121"/>
      <c r="JSO892" s="121"/>
      <c r="JSP892" s="121"/>
      <c r="JSQ892" s="121"/>
      <c r="JSR892" s="121"/>
      <c r="JSS892" s="121"/>
      <c r="JST892" s="121"/>
      <c r="JSU892" s="121"/>
      <c r="JSV892" s="121"/>
      <c r="JSW892" s="121"/>
      <c r="JSX892" s="121"/>
      <c r="JSY892" s="121"/>
      <c r="JSZ892" s="121"/>
      <c r="JTA892" s="121"/>
      <c r="JTB892" s="121"/>
      <c r="JTC892" s="121"/>
      <c r="JTD892" s="121"/>
      <c r="JTE892" s="121"/>
      <c r="JTF892" s="121"/>
      <c r="JTG892" s="121"/>
      <c r="JTH892" s="121"/>
      <c r="JTI892" s="121"/>
      <c r="JTJ892" s="121"/>
      <c r="JTK892" s="121"/>
      <c r="JTL892" s="121"/>
      <c r="JTM892" s="121"/>
      <c r="JTN892" s="121"/>
      <c r="JTO892" s="121"/>
      <c r="JTP892" s="121"/>
      <c r="JTQ892" s="121"/>
      <c r="JTR892" s="121"/>
      <c r="JTS892" s="121"/>
      <c r="JTT892" s="121"/>
      <c r="JTU892" s="121"/>
      <c r="JTV892" s="121"/>
      <c r="JTW892" s="121"/>
      <c r="JTX892" s="121"/>
      <c r="JTY892" s="121"/>
      <c r="JTZ892" s="121"/>
      <c r="JUA892" s="121"/>
      <c r="JUB892" s="121"/>
      <c r="JUC892" s="121"/>
      <c r="JUD892" s="121"/>
      <c r="JUE892" s="121"/>
      <c r="JUF892" s="121"/>
      <c r="JUG892" s="121"/>
      <c r="JUH892" s="121"/>
      <c r="JUI892" s="121"/>
      <c r="JUJ892" s="121"/>
      <c r="JUK892" s="121"/>
      <c r="JUL892" s="121"/>
      <c r="JUM892" s="121"/>
      <c r="JUN892" s="121"/>
      <c r="JUO892" s="121"/>
      <c r="JUP892" s="121"/>
      <c r="JUQ892" s="121"/>
      <c r="JUR892" s="121"/>
      <c r="JUS892" s="121"/>
      <c r="JUT892" s="121"/>
      <c r="JUU892" s="121"/>
      <c r="JUV892" s="121"/>
      <c r="JUW892" s="121"/>
      <c r="JUX892" s="121"/>
      <c r="JUY892" s="121"/>
      <c r="JUZ892" s="121"/>
      <c r="JVA892" s="121"/>
      <c r="JVB892" s="121"/>
      <c r="JVC892" s="121"/>
      <c r="JVD892" s="121"/>
      <c r="JVE892" s="121"/>
      <c r="JVF892" s="121"/>
      <c r="JVG892" s="121"/>
      <c r="JVH892" s="121"/>
      <c r="JVI892" s="121"/>
      <c r="JVJ892" s="121"/>
      <c r="JVK892" s="121"/>
      <c r="JVL892" s="121"/>
      <c r="JVM892" s="121"/>
      <c r="JVN892" s="121"/>
      <c r="JVO892" s="121"/>
      <c r="JVP892" s="121"/>
      <c r="JVQ892" s="121"/>
      <c r="JVR892" s="121"/>
      <c r="JVS892" s="121"/>
      <c r="JVT892" s="121"/>
      <c r="JVU892" s="121"/>
      <c r="JVV892" s="121"/>
      <c r="JVW892" s="121"/>
      <c r="JVX892" s="121"/>
      <c r="JVY892" s="121"/>
      <c r="JVZ892" s="121"/>
      <c r="JWA892" s="121"/>
      <c r="JWB892" s="121"/>
      <c r="JWC892" s="121"/>
      <c r="JWD892" s="121"/>
      <c r="JWE892" s="121"/>
      <c r="JWF892" s="121"/>
      <c r="JWG892" s="121"/>
      <c r="JWH892" s="121"/>
      <c r="JWI892" s="121"/>
      <c r="JWJ892" s="121"/>
      <c r="JWK892" s="121"/>
      <c r="JWL892" s="121"/>
      <c r="JWM892" s="121"/>
      <c r="JWN892" s="121"/>
      <c r="JWO892" s="121"/>
      <c r="JWP892" s="121"/>
      <c r="JWQ892" s="121"/>
      <c r="JWR892" s="121"/>
      <c r="JWS892" s="121"/>
      <c r="JWT892" s="121"/>
      <c r="JWU892" s="121"/>
      <c r="JWV892" s="121"/>
      <c r="JWW892" s="121"/>
      <c r="JWX892" s="121"/>
      <c r="JWY892" s="121"/>
      <c r="JWZ892" s="121"/>
      <c r="JXA892" s="121"/>
      <c r="JXB892" s="121"/>
      <c r="JXC892" s="121"/>
      <c r="JXD892" s="121"/>
      <c r="JXE892" s="121"/>
      <c r="JXF892" s="121"/>
      <c r="JXG892" s="121"/>
      <c r="JXH892" s="121"/>
      <c r="JXI892" s="121"/>
      <c r="JXJ892" s="121"/>
      <c r="JXK892" s="121"/>
      <c r="JXL892" s="121"/>
      <c r="JXM892" s="121"/>
      <c r="JXN892" s="121"/>
      <c r="JXO892" s="121"/>
      <c r="JXP892" s="121"/>
      <c r="JXQ892" s="121"/>
      <c r="JXR892" s="121"/>
      <c r="JXS892" s="121"/>
      <c r="JXT892" s="121"/>
      <c r="JXU892" s="121"/>
      <c r="JXV892" s="121"/>
      <c r="JXW892" s="121"/>
      <c r="JXX892" s="121"/>
      <c r="JXY892" s="121"/>
      <c r="JXZ892" s="121"/>
      <c r="JYA892" s="121"/>
      <c r="JYB892" s="121"/>
      <c r="JYC892" s="121"/>
      <c r="JYD892" s="121"/>
      <c r="JYE892" s="121"/>
      <c r="JYF892" s="121"/>
      <c r="JYG892" s="121"/>
      <c r="JYH892" s="121"/>
      <c r="JYI892" s="121"/>
      <c r="JYJ892" s="121"/>
      <c r="JYK892" s="121"/>
      <c r="JYL892" s="121"/>
      <c r="JYM892" s="121"/>
      <c r="JYN892" s="121"/>
      <c r="JYO892" s="121"/>
      <c r="JYP892" s="121"/>
      <c r="JYQ892" s="121"/>
      <c r="JYR892" s="121"/>
      <c r="JYS892" s="121"/>
      <c r="JYT892" s="121"/>
      <c r="JYU892" s="121"/>
      <c r="JYV892" s="121"/>
      <c r="JYW892" s="121"/>
      <c r="JYX892" s="121"/>
      <c r="JYY892" s="121"/>
      <c r="JYZ892" s="121"/>
      <c r="JZA892" s="121"/>
      <c r="JZB892" s="121"/>
      <c r="JZC892" s="121"/>
      <c r="JZD892" s="121"/>
      <c r="JZE892" s="121"/>
      <c r="JZF892" s="121"/>
      <c r="JZG892" s="121"/>
      <c r="JZH892" s="121"/>
      <c r="JZI892" s="121"/>
      <c r="JZJ892" s="121"/>
      <c r="JZK892" s="121"/>
      <c r="JZL892" s="121"/>
      <c r="JZM892" s="121"/>
      <c r="JZN892" s="121"/>
      <c r="JZO892" s="121"/>
      <c r="JZP892" s="121"/>
      <c r="JZQ892" s="121"/>
      <c r="JZR892" s="121"/>
      <c r="JZS892" s="121"/>
      <c r="JZT892" s="121"/>
      <c r="JZU892" s="121"/>
      <c r="JZV892" s="121"/>
      <c r="JZW892" s="121"/>
      <c r="JZX892" s="121"/>
      <c r="JZY892" s="121"/>
      <c r="JZZ892" s="121"/>
      <c r="KAA892" s="121"/>
      <c r="KAB892" s="121"/>
      <c r="KAC892" s="121"/>
      <c r="KAD892" s="121"/>
      <c r="KAE892" s="121"/>
      <c r="KAF892" s="121"/>
      <c r="KAG892" s="121"/>
      <c r="KAH892" s="121"/>
      <c r="KAI892" s="121"/>
      <c r="KAJ892" s="121"/>
      <c r="KAK892" s="121"/>
      <c r="KAL892" s="121"/>
      <c r="KAM892" s="121"/>
      <c r="KAN892" s="121"/>
      <c r="KAO892" s="121"/>
      <c r="KAP892" s="121"/>
      <c r="KAQ892" s="121"/>
      <c r="KAR892" s="121"/>
      <c r="KAS892" s="121"/>
      <c r="KAT892" s="121"/>
      <c r="KAU892" s="121"/>
      <c r="KAV892" s="121"/>
      <c r="KAW892" s="121"/>
      <c r="KAX892" s="121"/>
      <c r="KAY892" s="121"/>
      <c r="KAZ892" s="121"/>
      <c r="KBA892" s="121"/>
      <c r="KBB892" s="121"/>
      <c r="KBC892" s="121"/>
      <c r="KBD892" s="121"/>
      <c r="KBE892" s="121"/>
      <c r="KBF892" s="121"/>
      <c r="KBG892" s="121"/>
      <c r="KBH892" s="121"/>
      <c r="KBI892" s="121"/>
      <c r="KBJ892" s="121"/>
      <c r="KBK892" s="121"/>
      <c r="KBL892" s="121"/>
      <c r="KBM892" s="121"/>
      <c r="KBN892" s="121"/>
      <c r="KBO892" s="121"/>
      <c r="KBP892" s="121"/>
      <c r="KBQ892" s="121"/>
      <c r="KBR892" s="121"/>
      <c r="KBS892" s="121"/>
      <c r="KBT892" s="121"/>
      <c r="KBU892" s="121"/>
      <c r="KBV892" s="121"/>
      <c r="KBW892" s="121"/>
      <c r="KBX892" s="121"/>
      <c r="KBY892" s="121"/>
      <c r="KBZ892" s="121"/>
      <c r="KCA892" s="121"/>
      <c r="KCB892" s="121"/>
      <c r="KCC892" s="121"/>
      <c r="KCD892" s="121"/>
      <c r="KCE892" s="121"/>
      <c r="KCF892" s="121"/>
      <c r="KCG892" s="121"/>
      <c r="KCH892" s="121"/>
      <c r="KCI892" s="121"/>
      <c r="KCJ892" s="121"/>
      <c r="KCK892" s="121"/>
      <c r="KCL892" s="121"/>
      <c r="KCM892" s="121"/>
      <c r="KCN892" s="121"/>
      <c r="KCO892" s="121"/>
      <c r="KCP892" s="121"/>
      <c r="KCQ892" s="121"/>
      <c r="KCR892" s="121"/>
      <c r="KCS892" s="121"/>
      <c r="KCT892" s="121"/>
      <c r="KCU892" s="121"/>
      <c r="KCV892" s="121"/>
      <c r="KCW892" s="121"/>
      <c r="KCX892" s="121"/>
      <c r="KCY892" s="121"/>
      <c r="KCZ892" s="121"/>
      <c r="KDA892" s="121"/>
      <c r="KDB892" s="121"/>
      <c r="KDC892" s="121"/>
      <c r="KDD892" s="121"/>
      <c r="KDE892" s="121"/>
      <c r="KDF892" s="121"/>
      <c r="KDG892" s="121"/>
      <c r="KDH892" s="121"/>
      <c r="KDI892" s="121"/>
      <c r="KDJ892" s="121"/>
      <c r="KDK892" s="121"/>
      <c r="KDL892" s="121"/>
      <c r="KDM892" s="121"/>
      <c r="KDN892" s="121"/>
      <c r="KDO892" s="121"/>
      <c r="KDP892" s="121"/>
      <c r="KDQ892" s="121"/>
      <c r="KDR892" s="121"/>
      <c r="KDS892" s="121"/>
      <c r="KDT892" s="121"/>
      <c r="KDU892" s="121"/>
      <c r="KDV892" s="121"/>
      <c r="KDW892" s="121"/>
      <c r="KDX892" s="121"/>
      <c r="KDY892" s="121"/>
      <c r="KDZ892" s="121"/>
      <c r="KEA892" s="121"/>
      <c r="KEB892" s="121"/>
      <c r="KEC892" s="121"/>
      <c r="KED892" s="121"/>
      <c r="KEE892" s="121"/>
      <c r="KEF892" s="121"/>
      <c r="KEG892" s="121"/>
      <c r="KEH892" s="121"/>
      <c r="KEI892" s="121"/>
      <c r="KEJ892" s="121"/>
      <c r="KEK892" s="121"/>
      <c r="KEL892" s="121"/>
      <c r="KEM892" s="121"/>
      <c r="KEN892" s="121"/>
      <c r="KEO892" s="121"/>
      <c r="KEP892" s="121"/>
      <c r="KEQ892" s="121"/>
      <c r="KER892" s="121"/>
      <c r="KES892" s="121"/>
      <c r="KET892" s="121"/>
      <c r="KEU892" s="121"/>
      <c r="KEV892" s="121"/>
      <c r="KEW892" s="121"/>
      <c r="KEX892" s="121"/>
      <c r="KEY892" s="121"/>
      <c r="KEZ892" s="121"/>
      <c r="KFA892" s="121"/>
      <c r="KFB892" s="121"/>
      <c r="KFC892" s="121"/>
      <c r="KFD892" s="121"/>
      <c r="KFE892" s="121"/>
      <c r="KFF892" s="121"/>
      <c r="KFG892" s="121"/>
      <c r="KFH892" s="121"/>
      <c r="KFI892" s="121"/>
      <c r="KFJ892" s="121"/>
      <c r="KFK892" s="121"/>
      <c r="KFL892" s="121"/>
      <c r="KFM892" s="121"/>
      <c r="KFN892" s="121"/>
      <c r="KFO892" s="121"/>
      <c r="KFP892" s="121"/>
      <c r="KFQ892" s="121"/>
      <c r="KFR892" s="121"/>
      <c r="KFS892" s="121"/>
      <c r="KFT892" s="121"/>
      <c r="KFU892" s="121"/>
      <c r="KFV892" s="121"/>
      <c r="KFW892" s="121"/>
      <c r="KFX892" s="121"/>
      <c r="KFY892" s="121"/>
      <c r="KFZ892" s="121"/>
      <c r="KGA892" s="121"/>
      <c r="KGB892" s="121"/>
      <c r="KGC892" s="121"/>
      <c r="KGD892" s="121"/>
      <c r="KGE892" s="121"/>
      <c r="KGF892" s="121"/>
      <c r="KGG892" s="121"/>
      <c r="KGH892" s="121"/>
      <c r="KGI892" s="121"/>
      <c r="KGJ892" s="121"/>
      <c r="KGK892" s="121"/>
      <c r="KGL892" s="121"/>
      <c r="KGM892" s="121"/>
      <c r="KGN892" s="121"/>
      <c r="KGO892" s="121"/>
      <c r="KGP892" s="121"/>
      <c r="KGQ892" s="121"/>
      <c r="KGR892" s="121"/>
      <c r="KGS892" s="121"/>
      <c r="KGT892" s="121"/>
      <c r="KGU892" s="121"/>
      <c r="KGV892" s="121"/>
      <c r="KGW892" s="121"/>
      <c r="KGX892" s="121"/>
      <c r="KGY892" s="121"/>
      <c r="KGZ892" s="121"/>
      <c r="KHA892" s="121"/>
      <c r="KHB892" s="121"/>
      <c r="KHC892" s="121"/>
      <c r="KHD892" s="121"/>
      <c r="KHE892" s="121"/>
      <c r="KHF892" s="121"/>
      <c r="KHG892" s="121"/>
      <c r="KHH892" s="121"/>
      <c r="KHI892" s="121"/>
      <c r="KHJ892" s="121"/>
      <c r="KHK892" s="121"/>
      <c r="KHL892" s="121"/>
      <c r="KHM892" s="121"/>
      <c r="KHN892" s="121"/>
      <c r="KHO892" s="121"/>
      <c r="KHP892" s="121"/>
      <c r="KHQ892" s="121"/>
      <c r="KHR892" s="121"/>
      <c r="KHS892" s="121"/>
      <c r="KHT892" s="121"/>
      <c r="KHU892" s="121"/>
      <c r="KHV892" s="121"/>
      <c r="KHW892" s="121"/>
      <c r="KHX892" s="121"/>
      <c r="KHY892" s="121"/>
      <c r="KHZ892" s="121"/>
      <c r="KIA892" s="121"/>
      <c r="KIB892" s="121"/>
      <c r="KIC892" s="121"/>
      <c r="KID892" s="121"/>
      <c r="KIE892" s="121"/>
      <c r="KIF892" s="121"/>
      <c r="KIG892" s="121"/>
      <c r="KIH892" s="121"/>
      <c r="KII892" s="121"/>
      <c r="KIJ892" s="121"/>
      <c r="KIK892" s="121"/>
      <c r="KIL892" s="121"/>
      <c r="KIM892" s="121"/>
      <c r="KIN892" s="121"/>
      <c r="KIO892" s="121"/>
      <c r="KIP892" s="121"/>
      <c r="KIQ892" s="121"/>
      <c r="KIR892" s="121"/>
      <c r="KIS892" s="121"/>
      <c r="KIT892" s="121"/>
      <c r="KIU892" s="121"/>
      <c r="KIV892" s="121"/>
      <c r="KIW892" s="121"/>
      <c r="KIX892" s="121"/>
      <c r="KIY892" s="121"/>
      <c r="KIZ892" s="121"/>
      <c r="KJA892" s="121"/>
      <c r="KJB892" s="121"/>
      <c r="KJC892" s="121"/>
      <c r="KJD892" s="121"/>
      <c r="KJE892" s="121"/>
      <c r="KJF892" s="121"/>
      <c r="KJG892" s="121"/>
      <c r="KJH892" s="121"/>
      <c r="KJI892" s="121"/>
      <c r="KJJ892" s="121"/>
      <c r="KJK892" s="121"/>
      <c r="KJL892" s="121"/>
      <c r="KJM892" s="121"/>
      <c r="KJN892" s="121"/>
      <c r="KJO892" s="121"/>
      <c r="KJP892" s="121"/>
      <c r="KJQ892" s="121"/>
      <c r="KJR892" s="121"/>
      <c r="KJS892" s="121"/>
      <c r="KJT892" s="121"/>
      <c r="KJU892" s="121"/>
      <c r="KJV892" s="121"/>
      <c r="KJW892" s="121"/>
      <c r="KJX892" s="121"/>
      <c r="KJY892" s="121"/>
      <c r="KJZ892" s="121"/>
      <c r="KKA892" s="121"/>
      <c r="KKB892" s="121"/>
      <c r="KKC892" s="121"/>
      <c r="KKD892" s="121"/>
      <c r="KKE892" s="121"/>
      <c r="KKF892" s="121"/>
      <c r="KKG892" s="121"/>
      <c r="KKH892" s="121"/>
      <c r="KKI892" s="121"/>
      <c r="KKJ892" s="121"/>
      <c r="KKK892" s="121"/>
      <c r="KKL892" s="121"/>
      <c r="KKM892" s="121"/>
      <c r="KKN892" s="121"/>
      <c r="KKO892" s="121"/>
      <c r="KKP892" s="121"/>
      <c r="KKQ892" s="121"/>
      <c r="KKR892" s="121"/>
      <c r="KKS892" s="121"/>
      <c r="KKT892" s="121"/>
      <c r="KKU892" s="121"/>
      <c r="KKV892" s="121"/>
      <c r="KKW892" s="121"/>
      <c r="KKX892" s="121"/>
      <c r="KKY892" s="121"/>
      <c r="KKZ892" s="121"/>
      <c r="KLA892" s="121"/>
      <c r="KLB892" s="121"/>
      <c r="KLC892" s="121"/>
      <c r="KLD892" s="121"/>
      <c r="KLE892" s="121"/>
      <c r="KLF892" s="121"/>
      <c r="KLG892" s="121"/>
      <c r="KLH892" s="121"/>
      <c r="KLI892" s="121"/>
      <c r="KLJ892" s="121"/>
      <c r="KLK892" s="121"/>
      <c r="KLL892" s="121"/>
      <c r="KLM892" s="121"/>
      <c r="KLN892" s="121"/>
      <c r="KLO892" s="121"/>
      <c r="KLP892" s="121"/>
      <c r="KLQ892" s="121"/>
      <c r="KLR892" s="121"/>
      <c r="KLS892" s="121"/>
      <c r="KLT892" s="121"/>
      <c r="KLU892" s="121"/>
      <c r="KLV892" s="121"/>
      <c r="KLW892" s="121"/>
      <c r="KLX892" s="121"/>
      <c r="KLY892" s="121"/>
      <c r="KLZ892" s="121"/>
      <c r="KMA892" s="121"/>
      <c r="KMB892" s="121"/>
      <c r="KMC892" s="121"/>
      <c r="KMD892" s="121"/>
      <c r="KME892" s="121"/>
      <c r="KMF892" s="121"/>
      <c r="KMG892" s="121"/>
      <c r="KMH892" s="121"/>
      <c r="KMI892" s="121"/>
      <c r="KMJ892" s="121"/>
      <c r="KMK892" s="121"/>
      <c r="KML892" s="121"/>
      <c r="KMM892" s="121"/>
      <c r="KMN892" s="121"/>
      <c r="KMO892" s="121"/>
      <c r="KMP892" s="121"/>
      <c r="KMQ892" s="121"/>
      <c r="KMR892" s="121"/>
      <c r="KMS892" s="121"/>
      <c r="KMT892" s="121"/>
      <c r="KMU892" s="121"/>
      <c r="KMV892" s="121"/>
      <c r="KMW892" s="121"/>
      <c r="KMX892" s="121"/>
      <c r="KMY892" s="121"/>
      <c r="KMZ892" s="121"/>
      <c r="KNA892" s="121"/>
      <c r="KNB892" s="121"/>
      <c r="KNC892" s="121"/>
      <c r="KND892" s="121"/>
      <c r="KNE892" s="121"/>
      <c r="KNF892" s="121"/>
      <c r="KNG892" s="121"/>
      <c r="KNH892" s="121"/>
      <c r="KNI892" s="121"/>
      <c r="KNJ892" s="121"/>
      <c r="KNK892" s="121"/>
      <c r="KNL892" s="121"/>
      <c r="KNM892" s="121"/>
      <c r="KNN892" s="121"/>
      <c r="KNO892" s="121"/>
      <c r="KNP892" s="121"/>
      <c r="KNQ892" s="121"/>
      <c r="KNR892" s="121"/>
      <c r="KNS892" s="121"/>
      <c r="KNT892" s="121"/>
      <c r="KNU892" s="121"/>
      <c r="KNV892" s="121"/>
      <c r="KNW892" s="121"/>
      <c r="KNX892" s="121"/>
      <c r="KNY892" s="121"/>
      <c r="KNZ892" s="121"/>
      <c r="KOA892" s="121"/>
      <c r="KOB892" s="121"/>
      <c r="KOC892" s="121"/>
      <c r="KOD892" s="121"/>
      <c r="KOE892" s="121"/>
      <c r="KOF892" s="121"/>
      <c r="KOG892" s="121"/>
      <c r="KOH892" s="121"/>
      <c r="KOI892" s="121"/>
      <c r="KOJ892" s="121"/>
      <c r="KOK892" s="121"/>
      <c r="KOL892" s="121"/>
      <c r="KOM892" s="121"/>
      <c r="KON892" s="121"/>
      <c r="KOO892" s="121"/>
      <c r="KOP892" s="121"/>
      <c r="KOQ892" s="121"/>
      <c r="KOR892" s="121"/>
      <c r="KOS892" s="121"/>
      <c r="KOT892" s="121"/>
      <c r="KOU892" s="121"/>
      <c r="KOV892" s="121"/>
      <c r="KOW892" s="121"/>
      <c r="KOX892" s="121"/>
      <c r="KOY892" s="121"/>
      <c r="KOZ892" s="121"/>
      <c r="KPA892" s="121"/>
      <c r="KPB892" s="121"/>
      <c r="KPC892" s="121"/>
      <c r="KPD892" s="121"/>
      <c r="KPE892" s="121"/>
      <c r="KPF892" s="121"/>
      <c r="KPG892" s="121"/>
      <c r="KPH892" s="121"/>
      <c r="KPI892" s="121"/>
      <c r="KPJ892" s="121"/>
      <c r="KPK892" s="121"/>
      <c r="KPL892" s="121"/>
      <c r="KPM892" s="121"/>
      <c r="KPN892" s="121"/>
      <c r="KPO892" s="121"/>
      <c r="KPP892" s="121"/>
      <c r="KPQ892" s="121"/>
      <c r="KPR892" s="121"/>
      <c r="KPS892" s="121"/>
      <c r="KPT892" s="121"/>
      <c r="KPU892" s="121"/>
      <c r="KPV892" s="121"/>
      <c r="KPW892" s="121"/>
      <c r="KPX892" s="121"/>
      <c r="KPY892" s="121"/>
      <c r="KPZ892" s="121"/>
      <c r="KQA892" s="121"/>
      <c r="KQB892" s="121"/>
      <c r="KQC892" s="121"/>
      <c r="KQD892" s="121"/>
      <c r="KQE892" s="121"/>
      <c r="KQF892" s="121"/>
      <c r="KQG892" s="121"/>
      <c r="KQH892" s="121"/>
      <c r="KQI892" s="121"/>
      <c r="KQJ892" s="121"/>
      <c r="KQK892" s="121"/>
      <c r="KQL892" s="121"/>
      <c r="KQM892" s="121"/>
      <c r="KQN892" s="121"/>
      <c r="KQO892" s="121"/>
      <c r="KQP892" s="121"/>
      <c r="KQQ892" s="121"/>
      <c r="KQR892" s="121"/>
      <c r="KQS892" s="121"/>
      <c r="KQT892" s="121"/>
      <c r="KQU892" s="121"/>
      <c r="KQV892" s="121"/>
      <c r="KQW892" s="121"/>
      <c r="KQX892" s="121"/>
      <c r="KQY892" s="121"/>
      <c r="KQZ892" s="121"/>
      <c r="KRA892" s="121"/>
      <c r="KRB892" s="121"/>
      <c r="KRC892" s="121"/>
      <c r="KRD892" s="121"/>
      <c r="KRE892" s="121"/>
      <c r="KRF892" s="121"/>
      <c r="KRG892" s="121"/>
      <c r="KRH892" s="121"/>
      <c r="KRI892" s="121"/>
      <c r="KRJ892" s="121"/>
      <c r="KRK892" s="121"/>
      <c r="KRL892" s="121"/>
      <c r="KRM892" s="121"/>
      <c r="KRN892" s="121"/>
      <c r="KRO892" s="121"/>
      <c r="KRP892" s="121"/>
      <c r="KRQ892" s="121"/>
      <c r="KRR892" s="121"/>
      <c r="KRS892" s="121"/>
      <c r="KRT892" s="121"/>
      <c r="KRU892" s="121"/>
      <c r="KRV892" s="121"/>
      <c r="KRW892" s="121"/>
      <c r="KRX892" s="121"/>
      <c r="KRY892" s="121"/>
      <c r="KRZ892" s="121"/>
      <c r="KSA892" s="121"/>
      <c r="KSB892" s="121"/>
      <c r="KSC892" s="121"/>
      <c r="KSD892" s="121"/>
      <c r="KSE892" s="121"/>
      <c r="KSF892" s="121"/>
      <c r="KSG892" s="121"/>
      <c r="KSH892" s="121"/>
      <c r="KSI892" s="121"/>
      <c r="KSJ892" s="121"/>
      <c r="KSK892" s="121"/>
      <c r="KSL892" s="121"/>
      <c r="KSM892" s="121"/>
      <c r="KSN892" s="121"/>
      <c r="KSO892" s="121"/>
      <c r="KSP892" s="121"/>
      <c r="KSQ892" s="121"/>
      <c r="KSR892" s="121"/>
      <c r="KSS892" s="121"/>
      <c r="KST892" s="121"/>
      <c r="KSU892" s="121"/>
      <c r="KSV892" s="121"/>
      <c r="KSW892" s="121"/>
      <c r="KSX892" s="121"/>
      <c r="KSY892" s="121"/>
      <c r="KSZ892" s="121"/>
      <c r="KTA892" s="121"/>
      <c r="KTB892" s="121"/>
      <c r="KTC892" s="121"/>
      <c r="KTD892" s="121"/>
      <c r="KTE892" s="121"/>
      <c r="KTF892" s="121"/>
      <c r="KTG892" s="121"/>
      <c r="KTH892" s="121"/>
      <c r="KTI892" s="121"/>
      <c r="KTJ892" s="121"/>
      <c r="KTK892" s="121"/>
      <c r="KTL892" s="121"/>
      <c r="KTM892" s="121"/>
      <c r="KTN892" s="121"/>
      <c r="KTO892" s="121"/>
      <c r="KTP892" s="121"/>
      <c r="KTQ892" s="121"/>
      <c r="KTR892" s="121"/>
      <c r="KTS892" s="121"/>
      <c r="KTT892" s="121"/>
      <c r="KTU892" s="121"/>
      <c r="KTV892" s="121"/>
      <c r="KTW892" s="121"/>
      <c r="KTX892" s="121"/>
      <c r="KTY892" s="121"/>
      <c r="KTZ892" s="121"/>
      <c r="KUA892" s="121"/>
      <c r="KUB892" s="121"/>
      <c r="KUC892" s="121"/>
      <c r="KUD892" s="121"/>
      <c r="KUE892" s="121"/>
      <c r="KUF892" s="121"/>
      <c r="KUG892" s="121"/>
      <c r="KUH892" s="121"/>
      <c r="KUI892" s="121"/>
      <c r="KUJ892" s="121"/>
      <c r="KUK892" s="121"/>
      <c r="KUL892" s="121"/>
      <c r="KUM892" s="121"/>
      <c r="KUN892" s="121"/>
      <c r="KUO892" s="121"/>
      <c r="KUP892" s="121"/>
      <c r="KUQ892" s="121"/>
      <c r="KUR892" s="121"/>
      <c r="KUS892" s="121"/>
      <c r="KUT892" s="121"/>
      <c r="KUU892" s="121"/>
      <c r="KUV892" s="121"/>
      <c r="KUW892" s="121"/>
      <c r="KUX892" s="121"/>
      <c r="KUY892" s="121"/>
      <c r="KUZ892" s="121"/>
      <c r="KVA892" s="121"/>
      <c r="KVB892" s="121"/>
      <c r="KVC892" s="121"/>
      <c r="KVD892" s="121"/>
      <c r="KVE892" s="121"/>
      <c r="KVF892" s="121"/>
      <c r="KVG892" s="121"/>
      <c r="KVH892" s="121"/>
      <c r="KVI892" s="121"/>
      <c r="KVJ892" s="121"/>
      <c r="KVK892" s="121"/>
      <c r="KVL892" s="121"/>
      <c r="KVM892" s="121"/>
      <c r="KVN892" s="121"/>
      <c r="KVO892" s="121"/>
      <c r="KVP892" s="121"/>
      <c r="KVQ892" s="121"/>
      <c r="KVR892" s="121"/>
      <c r="KVS892" s="121"/>
      <c r="KVT892" s="121"/>
      <c r="KVU892" s="121"/>
      <c r="KVV892" s="121"/>
      <c r="KVW892" s="121"/>
      <c r="KVX892" s="121"/>
      <c r="KVY892" s="121"/>
      <c r="KVZ892" s="121"/>
      <c r="KWA892" s="121"/>
      <c r="KWB892" s="121"/>
      <c r="KWC892" s="121"/>
      <c r="KWD892" s="121"/>
      <c r="KWE892" s="121"/>
      <c r="KWF892" s="121"/>
      <c r="KWG892" s="121"/>
      <c r="KWH892" s="121"/>
      <c r="KWI892" s="121"/>
      <c r="KWJ892" s="121"/>
      <c r="KWK892" s="121"/>
      <c r="KWL892" s="121"/>
      <c r="KWM892" s="121"/>
      <c r="KWN892" s="121"/>
      <c r="KWO892" s="121"/>
      <c r="KWP892" s="121"/>
      <c r="KWQ892" s="121"/>
      <c r="KWR892" s="121"/>
      <c r="KWS892" s="121"/>
      <c r="KWT892" s="121"/>
      <c r="KWU892" s="121"/>
      <c r="KWV892" s="121"/>
      <c r="KWW892" s="121"/>
      <c r="KWX892" s="121"/>
      <c r="KWY892" s="121"/>
      <c r="KWZ892" s="121"/>
      <c r="KXA892" s="121"/>
      <c r="KXB892" s="121"/>
      <c r="KXC892" s="121"/>
      <c r="KXD892" s="121"/>
      <c r="KXE892" s="121"/>
      <c r="KXF892" s="121"/>
      <c r="KXG892" s="121"/>
      <c r="KXH892" s="121"/>
      <c r="KXI892" s="121"/>
      <c r="KXJ892" s="121"/>
      <c r="KXK892" s="121"/>
      <c r="KXL892" s="121"/>
      <c r="KXM892" s="121"/>
      <c r="KXN892" s="121"/>
      <c r="KXO892" s="121"/>
      <c r="KXP892" s="121"/>
      <c r="KXQ892" s="121"/>
      <c r="KXR892" s="121"/>
      <c r="KXS892" s="121"/>
      <c r="KXT892" s="121"/>
      <c r="KXU892" s="121"/>
      <c r="KXV892" s="121"/>
      <c r="KXW892" s="121"/>
      <c r="KXX892" s="121"/>
      <c r="KXY892" s="121"/>
      <c r="KXZ892" s="121"/>
      <c r="KYA892" s="121"/>
      <c r="KYB892" s="121"/>
      <c r="KYC892" s="121"/>
      <c r="KYD892" s="121"/>
      <c r="KYE892" s="121"/>
      <c r="KYF892" s="121"/>
      <c r="KYG892" s="121"/>
      <c r="KYH892" s="121"/>
      <c r="KYI892" s="121"/>
      <c r="KYJ892" s="121"/>
      <c r="KYK892" s="121"/>
      <c r="KYL892" s="121"/>
      <c r="KYM892" s="121"/>
      <c r="KYN892" s="121"/>
      <c r="KYO892" s="121"/>
      <c r="KYP892" s="121"/>
      <c r="KYQ892" s="121"/>
      <c r="KYR892" s="121"/>
      <c r="KYS892" s="121"/>
      <c r="KYT892" s="121"/>
      <c r="KYU892" s="121"/>
      <c r="KYV892" s="121"/>
      <c r="KYW892" s="121"/>
      <c r="KYX892" s="121"/>
      <c r="KYY892" s="121"/>
      <c r="KYZ892" s="121"/>
      <c r="KZA892" s="121"/>
      <c r="KZB892" s="121"/>
      <c r="KZC892" s="121"/>
      <c r="KZD892" s="121"/>
      <c r="KZE892" s="121"/>
      <c r="KZF892" s="121"/>
      <c r="KZG892" s="121"/>
      <c r="KZH892" s="121"/>
      <c r="KZI892" s="121"/>
      <c r="KZJ892" s="121"/>
      <c r="KZK892" s="121"/>
      <c r="KZL892" s="121"/>
      <c r="KZM892" s="121"/>
      <c r="KZN892" s="121"/>
      <c r="KZO892" s="121"/>
      <c r="KZP892" s="121"/>
      <c r="KZQ892" s="121"/>
      <c r="KZR892" s="121"/>
      <c r="KZS892" s="121"/>
      <c r="KZT892" s="121"/>
      <c r="KZU892" s="121"/>
      <c r="KZV892" s="121"/>
      <c r="KZW892" s="121"/>
      <c r="KZX892" s="121"/>
      <c r="KZY892" s="121"/>
      <c r="KZZ892" s="121"/>
      <c r="LAA892" s="121"/>
      <c r="LAB892" s="121"/>
      <c r="LAC892" s="121"/>
      <c r="LAD892" s="121"/>
      <c r="LAE892" s="121"/>
      <c r="LAF892" s="121"/>
      <c r="LAG892" s="121"/>
      <c r="LAH892" s="121"/>
      <c r="LAI892" s="121"/>
      <c r="LAJ892" s="121"/>
      <c r="LAK892" s="121"/>
      <c r="LAL892" s="121"/>
      <c r="LAM892" s="121"/>
      <c r="LAN892" s="121"/>
      <c r="LAO892" s="121"/>
      <c r="LAP892" s="121"/>
      <c r="LAQ892" s="121"/>
      <c r="LAR892" s="121"/>
      <c r="LAS892" s="121"/>
      <c r="LAT892" s="121"/>
      <c r="LAU892" s="121"/>
      <c r="LAV892" s="121"/>
      <c r="LAW892" s="121"/>
      <c r="LAX892" s="121"/>
      <c r="LAY892" s="121"/>
      <c r="LAZ892" s="121"/>
      <c r="LBA892" s="121"/>
      <c r="LBB892" s="121"/>
      <c r="LBC892" s="121"/>
      <c r="LBD892" s="121"/>
      <c r="LBE892" s="121"/>
      <c r="LBF892" s="121"/>
      <c r="LBG892" s="121"/>
      <c r="LBH892" s="121"/>
      <c r="LBI892" s="121"/>
      <c r="LBJ892" s="121"/>
      <c r="LBK892" s="121"/>
      <c r="LBL892" s="121"/>
      <c r="LBM892" s="121"/>
      <c r="LBN892" s="121"/>
      <c r="LBO892" s="121"/>
      <c r="LBP892" s="121"/>
      <c r="LBQ892" s="121"/>
      <c r="LBR892" s="121"/>
      <c r="LBS892" s="121"/>
      <c r="LBT892" s="121"/>
      <c r="LBU892" s="121"/>
      <c r="LBV892" s="121"/>
      <c r="LBW892" s="121"/>
      <c r="LBX892" s="121"/>
      <c r="LBY892" s="121"/>
      <c r="LBZ892" s="121"/>
      <c r="LCA892" s="121"/>
      <c r="LCB892" s="121"/>
      <c r="LCC892" s="121"/>
      <c r="LCD892" s="121"/>
      <c r="LCE892" s="121"/>
      <c r="LCF892" s="121"/>
      <c r="LCG892" s="121"/>
      <c r="LCH892" s="121"/>
      <c r="LCI892" s="121"/>
      <c r="LCJ892" s="121"/>
      <c r="LCK892" s="121"/>
      <c r="LCL892" s="121"/>
      <c r="LCM892" s="121"/>
      <c r="LCN892" s="121"/>
      <c r="LCO892" s="121"/>
      <c r="LCP892" s="121"/>
      <c r="LCQ892" s="121"/>
      <c r="LCR892" s="121"/>
      <c r="LCS892" s="121"/>
      <c r="LCT892" s="121"/>
      <c r="LCU892" s="121"/>
      <c r="LCV892" s="121"/>
      <c r="LCW892" s="121"/>
      <c r="LCX892" s="121"/>
      <c r="LCY892" s="121"/>
      <c r="LCZ892" s="121"/>
      <c r="LDA892" s="121"/>
      <c r="LDB892" s="121"/>
      <c r="LDC892" s="121"/>
      <c r="LDD892" s="121"/>
      <c r="LDE892" s="121"/>
      <c r="LDF892" s="121"/>
      <c r="LDG892" s="121"/>
      <c r="LDH892" s="121"/>
      <c r="LDI892" s="121"/>
      <c r="LDJ892" s="121"/>
      <c r="LDK892" s="121"/>
      <c r="LDL892" s="121"/>
      <c r="LDM892" s="121"/>
      <c r="LDN892" s="121"/>
      <c r="LDO892" s="121"/>
      <c r="LDP892" s="121"/>
      <c r="LDQ892" s="121"/>
      <c r="LDR892" s="121"/>
      <c r="LDS892" s="121"/>
      <c r="LDT892" s="121"/>
      <c r="LDU892" s="121"/>
      <c r="LDV892" s="121"/>
      <c r="LDW892" s="121"/>
      <c r="LDX892" s="121"/>
      <c r="LDY892" s="121"/>
      <c r="LDZ892" s="121"/>
      <c r="LEA892" s="121"/>
      <c r="LEB892" s="121"/>
      <c r="LEC892" s="121"/>
      <c r="LED892" s="121"/>
      <c r="LEE892" s="121"/>
      <c r="LEF892" s="121"/>
      <c r="LEG892" s="121"/>
      <c r="LEH892" s="121"/>
      <c r="LEI892" s="121"/>
      <c r="LEJ892" s="121"/>
      <c r="LEK892" s="121"/>
      <c r="LEL892" s="121"/>
      <c r="LEM892" s="121"/>
      <c r="LEN892" s="121"/>
      <c r="LEO892" s="121"/>
      <c r="LEP892" s="121"/>
      <c r="LEQ892" s="121"/>
      <c r="LER892" s="121"/>
      <c r="LES892" s="121"/>
      <c r="LET892" s="121"/>
      <c r="LEU892" s="121"/>
      <c r="LEV892" s="121"/>
      <c r="LEW892" s="121"/>
      <c r="LEX892" s="121"/>
      <c r="LEY892" s="121"/>
      <c r="LEZ892" s="121"/>
      <c r="LFA892" s="121"/>
      <c r="LFB892" s="121"/>
      <c r="LFC892" s="121"/>
      <c r="LFD892" s="121"/>
      <c r="LFE892" s="121"/>
      <c r="LFF892" s="121"/>
      <c r="LFG892" s="121"/>
      <c r="LFH892" s="121"/>
      <c r="LFI892" s="121"/>
      <c r="LFJ892" s="121"/>
      <c r="LFK892" s="121"/>
      <c r="LFL892" s="121"/>
      <c r="LFM892" s="121"/>
      <c r="LFN892" s="121"/>
      <c r="LFO892" s="121"/>
      <c r="LFP892" s="121"/>
      <c r="LFQ892" s="121"/>
      <c r="LFR892" s="121"/>
      <c r="LFS892" s="121"/>
      <c r="LFT892" s="121"/>
      <c r="LFU892" s="121"/>
      <c r="LFV892" s="121"/>
      <c r="LFW892" s="121"/>
      <c r="LFX892" s="121"/>
      <c r="LFY892" s="121"/>
      <c r="LFZ892" s="121"/>
      <c r="LGA892" s="121"/>
      <c r="LGB892" s="121"/>
      <c r="LGC892" s="121"/>
      <c r="LGD892" s="121"/>
      <c r="LGE892" s="121"/>
      <c r="LGF892" s="121"/>
      <c r="LGG892" s="121"/>
      <c r="LGH892" s="121"/>
      <c r="LGI892" s="121"/>
      <c r="LGJ892" s="121"/>
      <c r="LGK892" s="121"/>
      <c r="LGL892" s="121"/>
      <c r="LGM892" s="121"/>
      <c r="LGN892" s="121"/>
      <c r="LGO892" s="121"/>
      <c r="LGP892" s="121"/>
      <c r="LGQ892" s="121"/>
      <c r="LGR892" s="121"/>
      <c r="LGS892" s="121"/>
      <c r="LGT892" s="121"/>
      <c r="LGU892" s="121"/>
      <c r="LGV892" s="121"/>
      <c r="LGW892" s="121"/>
      <c r="LGX892" s="121"/>
      <c r="LGY892" s="121"/>
      <c r="LGZ892" s="121"/>
      <c r="LHA892" s="121"/>
      <c r="LHB892" s="121"/>
      <c r="LHC892" s="121"/>
      <c r="LHD892" s="121"/>
      <c r="LHE892" s="121"/>
      <c r="LHF892" s="121"/>
      <c r="LHG892" s="121"/>
      <c r="LHH892" s="121"/>
      <c r="LHI892" s="121"/>
      <c r="LHJ892" s="121"/>
      <c r="LHK892" s="121"/>
      <c r="LHL892" s="121"/>
      <c r="LHM892" s="121"/>
      <c r="LHN892" s="121"/>
      <c r="LHO892" s="121"/>
      <c r="LHP892" s="121"/>
      <c r="LHQ892" s="121"/>
      <c r="LHR892" s="121"/>
      <c r="LHS892" s="121"/>
      <c r="LHT892" s="121"/>
      <c r="LHU892" s="121"/>
      <c r="LHV892" s="121"/>
      <c r="LHW892" s="121"/>
      <c r="LHX892" s="121"/>
      <c r="LHY892" s="121"/>
      <c r="LHZ892" s="121"/>
      <c r="LIA892" s="121"/>
      <c r="LIB892" s="121"/>
      <c r="LIC892" s="121"/>
      <c r="LID892" s="121"/>
      <c r="LIE892" s="121"/>
      <c r="LIF892" s="121"/>
      <c r="LIG892" s="121"/>
      <c r="LIH892" s="121"/>
      <c r="LII892" s="121"/>
      <c r="LIJ892" s="121"/>
      <c r="LIK892" s="121"/>
      <c r="LIL892" s="121"/>
      <c r="LIM892" s="121"/>
      <c r="LIN892" s="121"/>
      <c r="LIO892" s="121"/>
      <c r="LIP892" s="121"/>
      <c r="LIQ892" s="121"/>
      <c r="LIR892" s="121"/>
      <c r="LIS892" s="121"/>
      <c r="LIT892" s="121"/>
      <c r="LIU892" s="121"/>
      <c r="LIV892" s="121"/>
      <c r="LIW892" s="121"/>
      <c r="LIX892" s="121"/>
      <c r="LIY892" s="121"/>
      <c r="LIZ892" s="121"/>
      <c r="LJA892" s="121"/>
      <c r="LJB892" s="121"/>
      <c r="LJC892" s="121"/>
      <c r="LJD892" s="121"/>
      <c r="LJE892" s="121"/>
      <c r="LJF892" s="121"/>
      <c r="LJG892" s="121"/>
      <c r="LJH892" s="121"/>
      <c r="LJI892" s="121"/>
      <c r="LJJ892" s="121"/>
      <c r="LJK892" s="121"/>
      <c r="LJL892" s="121"/>
      <c r="LJM892" s="121"/>
      <c r="LJN892" s="121"/>
      <c r="LJO892" s="121"/>
      <c r="LJP892" s="121"/>
      <c r="LJQ892" s="121"/>
      <c r="LJR892" s="121"/>
      <c r="LJS892" s="121"/>
      <c r="LJT892" s="121"/>
      <c r="LJU892" s="121"/>
      <c r="LJV892" s="121"/>
      <c r="LJW892" s="121"/>
      <c r="LJX892" s="121"/>
      <c r="LJY892" s="121"/>
      <c r="LJZ892" s="121"/>
      <c r="LKA892" s="121"/>
      <c r="LKB892" s="121"/>
      <c r="LKC892" s="121"/>
      <c r="LKD892" s="121"/>
      <c r="LKE892" s="121"/>
      <c r="LKF892" s="121"/>
      <c r="LKG892" s="121"/>
      <c r="LKH892" s="121"/>
      <c r="LKI892" s="121"/>
      <c r="LKJ892" s="121"/>
      <c r="LKK892" s="121"/>
      <c r="LKL892" s="121"/>
      <c r="LKM892" s="121"/>
      <c r="LKN892" s="121"/>
      <c r="LKO892" s="121"/>
      <c r="LKP892" s="121"/>
      <c r="LKQ892" s="121"/>
      <c r="LKR892" s="121"/>
      <c r="LKS892" s="121"/>
      <c r="LKT892" s="121"/>
      <c r="LKU892" s="121"/>
      <c r="LKV892" s="121"/>
      <c r="LKW892" s="121"/>
      <c r="LKX892" s="121"/>
      <c r="LKY892" s="121"/>
      <c r="LKZ892" s="121"/>
      <c r="LLA892" s="121"/>
      <c r="LLB892" s="121"/>
      <c r="LLC892" s="121"/>
      <c r="LLD892" s="121"/>
      <c r="LLE892" s="121"/>
      <c r="LLF892" s="121"/>
      <c r="LLG892" s="121"/>
      <c r="LLH892" s="121"/>
      <c r="LLI892" s="121"/>
      <c r="LLJ892" s="121"/>
      <c r="LLK892" s="121"/>
      <c r="LLL892" s="121"/>
      <c r="LLM892" s="121"/>
      <c r="LLN892" s="121"/>
      <c r="LLO892" s="121"/>
      <c r="LLP892" s="121"/>
      <c r="LLQ892" s="121"/>
      <c r="LLR892" s="121"/>
      <c r="LLS892" s="121"/>
      <c r="LLT892" s="121"/>
      <c r="LLU892" s="121"/>
      <c r="LLV892" s="121"/>
      <c r="LLW892" s="121"/>
      <c r="LLX892" s="121"/>
      <c r="LLY892" s="121"/>
      <c r="LLZ892" s="121"/>
      <c r="LMA892" s="121"/>
      <c r="LMB892" s="121"/>
      <c r="LMC892" s="121"/>
      <c r="LMD892" s="121"/>
      <c r="LME892" s="121"/>
      <c r="LMF892" s="121"/>
      <c r="LMG892" s="121"/>
      <c r="LMH892" s="121"/>
      <c r="LMI892" s="121"/>
      <c r="LMJ892" s="121"/>
      <c r="LMK892" s="121"/>
      <c r="LML892" s="121"/>
      <c r="LMM892" s="121"/>
      <c r="LMN892" s="121"/>
      <c r="LMO892" s="121"/>
      <c r="LMP892" s="121"/>
      <c r="LMQ892" s="121"/>
      <c r="LMR892" s="121"/>
      <c r="LMS892" s="121"/>
      <c r="LMT892" s="121"/>
      <c r="LMU892" s="121"/>
      <c r="LMV892" s="121"/>
      <c r="LMW892" s="121"/>
      <c r="LMX892" s="121"/>
      <c r="LMY892" s="121"/>
      <c r="LMZ892" s="121"/>
      <c r="LNA892" s="121"/>
      <c r="LNB892" s="121"/>
      <c r="LNC892" s="121"/>
      <c r="LND892" s="121"/>
      <c r="LNE892" s="121"/>
      <c r="LNF892" s="121"/>
      <c r="LNG892" s="121"/>
      <c r="LNH892" s="121"/>
      <c r="LNI892" s="121"/>
      <c r="LNJ892" s="121"/>
      <c r="LNK892" s="121"/>
      <c r="LNL892" s="121"/>
      <c r="LNM892" s="121"/>
      <c r="LNN892" s="121"/>
      <c r="LNO892" s="121"/>
      <c r="LNP892" s="121"/>
      <c r="LNQ892" s="121"/>
      <c r="LNR892" s="121"/>
      <c r="LNS892" s="121"/>
      <c r="LNT892" s="121"/>
      <c r="LNU892" s="121"/>
      <c r="LNV892" s="121"/>
      <c r="LNW892" s="121"/>
      <c r="LNX892" s="121"/>
      <c r="LNY892" s="121"/>
      <c r="LNZ892" s="121"/>
      <c r="LOA892" s="121"/>
      <c r="LOB892" s="121"/>
      <c r="LOC892" s="121"/>
      <c r="LOD892" s="121"/>
      <c r="LOE892" s="121"/>
      <c r="LOF892" s="121"/>
      <c r="LOG892" s="121"/>
      <c r="LOH892" s="121"/>
      <c r="LOI892" s="121"/>
      <c r="LOJ892" s="121"/>
      <c r="LOK892" s="121"/>
      <c r="LOL892" s="121"/>
      <c r="LOM892" s="121"/>
      <c r="LON892" s="121"/>
      <c r="LOO892" s="121"/>
      <c r="LOP892" s="121"/>
      <c r="LOQ892" s="121"/>
      <c r="LOR892" s="121"/>
      <c r="LOS892" s="121"/>
      <c r="LOT892" s="121"/>
      <c r="LOU892" s="121"/>
      <c r="LOV892" s="121"/>
      <c r="LOW892" s="121"/>
      <c r="LOX892" s="121"/>
      <c r="LOY892" s="121"/>
      <c r="LOZ892" s="121"/>
      <c r="LPA892" s="121"/>
      <c r="LPB892" s="121"/>
      <c r="LPC892" s="121"/>
      <c r="LPD892" s="121"/>
      <c r="LPE892" s="121"/>
      <c r="LPF892" s="121"/>
      <c r="LPG892" s="121"/>
      <c r="LPH892" s="121"/>
      <c r="LPI892" s="121"/>
      <c r="LPJ892" s="121"/>
      <c r="LPK892" s="121"/>
      <c r="LPL892" s="121"/>
      <c r="LPM892" s="121"/>
      <c r="LPN892" s="121"/>
      <c r="LPO892" s="121"/>
      <c r="LPP892" s="121"/>
      <c r="LPQ892" s="121"/>
      <c r="LPR892" s="121"/>
      <c r="LPS892" s="121"/>
      <c r="LPT892" s="121"/>
      <c r="LPU892" s="121"/>
      <c r="LPV892" s="121"/>
      <c r="LPW892" s="121"/>
      <c r="LPX892" s="121"/>
      <c r="LPY892" s="121"/>
      <c r="LPZ892" s="121"/>
      <c r="LQA892" s="121"/>
      <c r="LQB892" s="121"/>
      <c r="LQC892" s="121"/>
      <c r="LQD892" s="121"/>
      <c r="LQE892" s="121"/>
      <c r="LQF892" s="121"/>
      <c r="LQG892" s="121"/>
      <c r="LQH892" s="121"/>
      <c r="LQI892" s="121"/>
      <c r="LQJ892" s="121"/>
      <c r="LQK892" s="121"/>
      <c r="LQL892" s="121"/>
      <c r="LQM892" s="121"/>
      <c r="LQN892" s="121"/>
      <c r="LQO892" s="121"/>
      <c r="LQP892" s="121"/>
      <c r="LQQ892" s="121"/>
      <c r="LQR892" s="121"/>
      <c r="LQS892" s="121"/>
      <c r="LQT892" s="121"/>
      <c r="LQU892" s="121"/>
      <c r="LQV892" s="121"/>
      <c r="LQW892" s="121"/>
      <c r="LQX892" s="121"/>
      <c r="LQY892" s="121"/>
      <c r="LQZ892" s="121"/>
      <c r="LRA892" s="121"/>
      <c r="LRB892" s="121"/>
      <c r="LRC892" s="121"/>
      <c r="LRD892" s="121"/>
      <c r="LRE892" s="121"/>
      <c r="LRF892" s="121"/>
      <c r="LRG892" s="121"/>
      <c r="LRH892" s="121"/>
      <c r="LRI892" s="121"/>
      <c r="LRJ892" s="121"/>
      <c r="LRK892" s="121"/>
      <c r="LRL892" s="121"/>
      <c r="LRM892" s="121"/>
      <c r="LRN892" s="121"/>
      <c r="LRO892" s="121"/>
      <c r="LRP892" s="121"/>
      <c r="LRQ892" s="121"/>
      <c r="LRR892" s="121"/>
      <c r="LRS892" s="121"/>
      <c r="LRT892" s="121"/>
      <c r="LRU892" s="121"/>
      <c r="LRV892" s="121"/>
      <c r="LRW892" s="121"/>
      <c r="LRX892" s="121"/>
      <c r="LRY892" s="121"/>
      <c r="LRZ892" s="121"/>
      <c r="LSA892" s="121"/>
      <c r="LSB892" s="121"/>
      <c r="LSC892" s="121"/>
      <c r="LSD892" s="121"/>
      <c r="LSE892" s="121"/>
      <c r="LSF892" s="121"/>
      <c r="LSG892" s="121"/>
      <c r="LSH892" s="121"/>
      <c r="LSI892" s="121"/>
      <c r="LSJ892" s="121"/>
      <c r="LSK892" s="121"/>
      <c r="LSL892" s="121"/>
      <c r="LSM892" s="121"/>
      <c r="LSN892" s="121"/>
      <c r="LSO892" s="121"/>
      <c r="LSP892" s="121"/>
      <c r="LSQ892" s="121"/>
      <c r="LSR892" s="121"/>
      <c r="LSS892" s="121"/>
      <c r="LST892" s="121"/>
      <c r="LSU892" s="121"/>
      <c r="LSV892" s="121"/>
      <c r="LSW892" s="121"/>
      <c r="LSX892" s="121"/>
      <c r="LSY892" s="121"/>
      <c r="LSZ892" s="121"/>
      <c r="LTA892" s="121"/>
      <c r="LTB892" s="121"/>
      <c r="LTC892" s="121"/>
      <c r="LTD892" s="121"/>
      <c r="LTE892" s="121"/>
      <c r="LTF892" s="121"/>
      <c r="LTG892" s="121"/>
      <c r="LTH892" s="121"/>
      <c r="LTI892" s="121"/>
      <c r="LTJ892" s="121"/>
      <c r="LTK892" s="121"/>
      <c r="LTL892" s="121"/>
      <c r="LTM892" s="121"/>
      <c r="LTN892" s="121"/>
      <c r="LTO892" s="121"/>
      <c r="LTP892" s="121"/>
      <c r="LTQ892" s="121"/>
      <c r="LTR892" s="121"/>
      <c r="LTS892" s="121"/>
      <c r="LTT892" s="121"/>
      <c r="LTU892" s="121"/>
      <c r="LTV892" s="121"/>
      <c r="LTW892" s="121"/>
      <c r="LTX892" s="121"/>
      <c r="LTY892" s="121"/>
      <c r="LTZ892" s="121"/>
      <c r="LUA892" s="121"/>
      <c r="LUB892" s="121"/>
      <c r="LUC892" s="121"/>
      <c r="LUD892" s="121"/>
      <c r="LUE892" s="121"/>
      <c r="LUF892" s="121"/>
      <c r="LUG892" s="121"/>
      <c r="LUH892" s="121"/>
      <c r="LUI892" s="121"/>
      <c r="LUJ892" s="121"/>
      <c r="LUK892" s="121"/>
      <c r="LUL892" s="121"/>
      <c r="LUM892" s="121"/>
      <c r="LUN892" s="121"/>
      <c r="LUO892" s="121"/>
      <c r="LUP892" s="121"/>
      <c r="LUQ892" s="121"/>
      <c r="LUR892" s="121"/>
      <c r="LUS892" s="121"/>
      <c r="LUT892" s="121"/>
      <c r="LUU892" s="121"/>
      <c r="LUV892" s="121"/>
      <c r="LUW892" s="121"/>
      <c r="LUX892" s="121"/>
      <c r="LUY892" s="121"/>
      <c r="LUZ892" s="121"/>
      <c r="LVA892" s="121"/>
      <c r="LVB892" s="121"/>
      <c r="LVC892" s="121"/>
      <c r="LVD892" s="121"/>
      <c r="LVE892" s="121"/>
      <c r="LVF892" s="121"/>
      <c r="LVG892" s="121"/>
      <c r="LVH892" s="121"/>
      <c r="LVI892" s="121"/>
      <c r="LVJ892" s="121"/>
      <c r="LVK892" s="121"/>
      <c r="LVL892" s="121"/>
      <c r="LVM892" s="121"/>
      <c r="LVN892" s="121"/>
      <c r="LVO892" s="121"/>
      <c r="LVP892" s="121"/>
      <c r="LVQ892" s="121"/>
      <c r="LVR892" s="121"/>
      <c r="LVS892" s="121"/>
      <c r="LVT892" s="121"/>
      <c r="LVU892" s="121"/>
      <c r="LVV892" s="121"/>
      <c r="LVW892" s="121"/>
      <c r="LVX892" s="121"/>
      <c r="LVY892" s="121"/>
      <c r="LVZ892" s="121"/>
      <c r="LWA892" s="121"/>
      <c r="LWB892" s="121"/>
      <c r="LWC892" s="121"/>
      <c r="LWD892" s="121"/>
      <c r="LWE892" s="121"/>
      <c r="LWF892" s="121"/>
      <c r="LWG892" s="121"/>
      <c r="LWH892" s="121"/>
      <c r="LWI892" s="121"/>
      <c r="LWJ892" s="121"/>
      <c r="LWK892" s="121"/>
      <c r="LWL892" s="121"/>
      <c r="LWM892" s="121"/>
      <c r="LWN892" s="121"/>
      <c r="LWO892" s="121"/>
      <c r="LWP892" s="121"/>
      <c r="LWQ892" s="121"/>
      <c r="LWR892" s="121"/>
      <c r="LWS892" s="121"/>
      <c r="LWT892" s="121"/>
      <c r="LWU892" s="121"/>
      <c r="LWV892" s="121"/>
      <c r="LWW892" s="121"/>
      <c r="LWX892" s="121"/>
      <c r="LWY892" s="121"/>
      <c r="LWZ892" s="121"/>
      <c r="LXA892" s="121"/>
      <c r="LXB892" s="121"/>
      <c r="LXC892" s="121"/>
      <c r="LXD892" s="121"/>
      <c r="LXE892" s="121"/>
      <c r="LXF892" s="121"/>
      <c r="LXG892" s="121"/>
      <c r="LXH892" s="121"/>
      <c r="LXI892" s="121"/>
      <c r="LXJ892" s="121"/>
      <c r="LXK892" s="121"/>
      <c r="LXL892" s="121"/>
      <c r="LXM892" s="121"/>
      <c r="LXN892" s="121"/>
      <c r="LXO892" s="121"/>
      <c r="LXP892" s="121"/>
      <c r="LXQ892" s="121"/>
      <c r="LXR892" s="121"/>
      <c r="LXS892" s="121"/>
      <c r="LXT892" s="121"/>
      <c r="LXU892" s="121"/>
      <c r="LXV892" s="121"/>
      <c r="LXW892" s="121"/>
      <c r="LXX892" s="121"/>
      <c r="LXY892" s="121"/>
      <c r="LXZ892" s="121"/>
      <c r="LYA892" s="121"/>
      <c r="LYB892" s="121"/>
      <c r="LYC892" s="121"/>
      <c r="LYD892" s="121"/>
      <c r="LYE892" s="121"/>
      <c r="LYF892" s="121"/>
      <c r="LYG892" s="121"/>
      <c r="LYH892" s="121"/>
      <c r="LYI892" s="121"/>
      <c r="LYJ892" s="121"/>
      <c r="LYK892" s="121"/>
      <c r="LYL892" s="121"/>
      <c r="LYM892" s="121"/>
      <c r="LYN892" s="121"/>
      <c r="LYO892" s="121"/>
      <c r="LYP892" s="121"/>
      <c r="LYQ892" s="121"/>
      <c r="LYR892" s="121"/>
      <c r="LYS892" s="121"/>
      <c r="LYT892" s="121"/>
      <c r="LYU892" s="121"/>
      <c r="LYV892" s="121"/>
      <c r="LYW892" s="121"/>
      <c r="LYX892" s="121"/>
      <c r="LYY892" s="121"/>
      <c r="LYZ892" s="121"/>
      <c r="LZA892" s="121"/>
      <c r="LZB892" s="121"/>
      <c r="LZC892" s="121"/>
      <c r="LZD892" s="121"/>
      <c r="LZE892" s="121"/>
      <c r="LZF892" s="121"/>
      <c r="LZG892" s="121"/>
      <c r="LZH892" s="121"/>
      <c r="LZI892" s="121"/>
      <c r="LZJ892" s="121"/>
      <c r="LZK892" s="121"/>
      <c r="LZL892" s="121"/>
      <c r="LZM892" s="121"/>
      <c r="LZN892" s="121"/>
      <c r="LZO892" s="121"/>
      <c r="LZP892" s="121"/>
      <c r="LZQ892" s="121"/>
      <c r="LZR892" s="121"/>
      <c r="LZS892" s="121"/>
      <c r="LZT892" s="121"/>
      <c r="LZU892" s="121"/>
      <c r="LZV892" s="121"/>
      <c r="LZW892" s="121"/>
      <c r="LZX892" s="121"/>
      <c r="LZY892" s="121"/>
      <c r="LZZ892" s="121"/>
      <c r="MAA892" s="121"/>
      <c r="MAB892" s="121"/>
      <c r="MAC892" s="121"/>
      <c r="MAD892" s="121"/>
      <c r="MAE892" s="121"/>
      <c r="MAF892" s="121"/>
      <c r="MAG892" s="121"/>
      <c r="MAH892" s="121"/>
      <c r="MAI892" s="121"/>
      <c r="MAJ892" s="121"/>
      <c r="MAK892" s="121"/>
      <c r="MAL892" s="121"/>
      <c r="MAM892" s="121"/>
      <c r="MAN892" s="121"/>
      <c r="MAO892" s="121"/>
      <c r="MAP892" s="121"/>
      <c r="MAQ892" s="121"/>
      <c r="MAR892" s="121"/>
      <c r="MAS892" s="121"/>
      <c r="MAT892" s="121"/>
      <c r="MAU892" s="121"/>
      <c r="MAV892" s="121"/>
      <c r="MAW892" s="121"/>
      <c r="MAX892" s="121"/>
      <c r="MAY892" s="121"/>
      <c r="MAZ892" s="121"/>
      <c r="MBA892" s="121"/>
      <c r="MBB892" s="121"/>
      <c r="MBC892" s="121"/>
      <c r="MBD892" s="121"/>
      <c r="MBE892" s="121"/>
      <c r="MBF892" s="121"/>
      <c r="MBG892" s="121"/>
      <c r="MBH892" s="121"/>
      <c r="MBI892" s="121"/>
      <c r="MBJ892" s="121"/>
      <c r="MBK892" s="121"/>
      <c r="MBL892" s="121"/>
      <c r="MBM892" s="121"/>
      <c r="MBN892" s="121"/>
      <c r="MBO892" s="121"/>
      <c r="MBP892" s="121"/>
      <c r="MBQ892" s="121"/>
      <c r="MBR892" s="121"/>
      <c r="MBS892" s="121"/>
      <c r="MBT892" s="121"/>
      <c r="MBU892" s="121"/>
      <c r="MBV892" s="121"/>
      <c r="MBW892" s="121"/>
      <c r="MBX892" s="121"/>
      <c r="MBY892" s="121"/>
      <c r="MBZ892" s="121"/>
      <c r="MCA892" s="121"/>
      <c r="MCB892" s="121"/>
      <c r="MCC892" s="121"/>
      <c r="MCD892" s="121"/>
      <c r="MCE892" s="121"/>
      <c r="MCF892" s="121"/>
      <c r="MCG892" s="121"/>
      <c r="MCH892" s="121"/>
      <c r="MCI892" s="121"/>
      <c r="MCJ892" s="121"/>
      <c r="MCK892" s="121"/>
      <c r="MCL892" s="121"/>
      <c r="MCM892" s="121"/>
      <c r="MCN892" s="121"/>
      <c r="MCO892" s="121"/>
      <c r="MCP892" s="121"/>
      <c r="MCQ892" s="121"/>
      <c r="MCR892" s="121"/>
      <c r="MCS892" s="121"/>
      <c r="MCT892" s="121"/>
      <c r="MCU892" s="121"/>
      <c r="MCV892" s="121"/>
      <c r="MCW892" s="121"/>
      <c r="MCX892" s="121"/>
      <c r="MCY892" s="121"/>
      <c r="MCZ892" s="121"/>
      <c r="MDA892" s="121"/>
      <c r="MDB892" s="121"/>
      <c r="MDC892" s="121"/>
      <c r="MDD892" s="121"/>
      <c r="MDE892" s="121"/>
      <c r="MDF892" s="121"/>
      <c r="MDG892" s="121"/>
      <c r="MDH892" s="121"/>
      <c r="MDI892" s="121"/>
      <c r="MDJ892" s="121"/>
      <c r="MDK892" s="121"/>
      <c r="MDL892" s="121"/>
      <c r="MDM892" s="121"/>
      <c r="MDN892" s="121"/>
      <c r="MDO892" s="121"/>
      <c r="MDP892" s="121"/>
      <c r="MDQ892" s="121"/>
      <c r="MDR892" s="121"/>
      <c r="MDS892" s="121"/>
      <c r="MDT892" s="121"/>
      <c r="MDU892" s="121"/>
      <c r="MDV892" s="121"/>
      <c r="MDW892" s="121"/>
      <c r="MDX892" s="121"/>
      <c r="MDY892" s="121"/>
      <c r="MDZ892" s="121"/>
      <c r="MEA892" s="121"/>
      <c r="MEB892" s="121"/>
      <c r="MEC892" s="121"/>
      <c r="MED892" s="121"/>
      <c r="MEE892" s="121"/>
      <c r="MEF892" s="121"/>
      <c r="MEG892" s="121"/>
      <c r="MEH892" s="121"/>
      <c r="MEI892" s="121"/>
      <c r="MEJ892" s="121"/>
      <c r="MEK892" s="121"/>
      <c r="MEL892" s="121"/>
      <c r="MEM892" s="121"/>
      <c r="MEN892" s="121"/>
      <c r="MEO892" s="121"/>
      <c r="MEP892" s="121"/>
      <c r="MEQ892" s="121"/>
      <c r="MER892" s="121"/>
      <c r="MES892" s="121"/>
      <c r="MET892" s="121"/>
      <c r="MEU892" s="121"/>
      <c r="MEV892" s="121"/>
      <c r="MEW892" s="121"/>
      <c r="MEX892" s="121"/>
      <c r="MEY892" s="121"/>
      <c r="MEZ892" s="121"/>
      <c r="MFA892" s="121"/>
      <c r="MFB892" s="121"/>
      <c r="MFC892" s="121"/>
      <c r="MFD892" s="121"/>
      <c r="MFE892" s="121"/>
      <c r="MFF892" s="121"/>
      <c r="MFG892" s="121"/>
      <c r="MFH892" s="121"/>
      <c r="MFI892" s="121"/>
      <c r="MFJ892" s="121"/>
      <c r="MFK892" s="121"/>
      <c r="MFL892" s="121"/>
      <c r="MFM892" s="121"/>
      <c r="MFN892" s="121"/>
      <c r="MFO892" s="121"/>
      <c r="MFP892" s="121"/>
      <c r="MFQ892" s="121"/>
      <c r="MFR892" s="121"/>
      <c r="MFS892" s="121"/>
      <c r="MFT892" s="121"/>
      <c r="MFU892" s="121"/>
      <c r="MFV892" s="121"/>
      <c r="MFW892" s="121"/>
      <c r="MFX892" s="121"/>
      <c r="MFY892" s="121"/>
      <c r="MFZ892" s="121"/>
      <c r="MGA892" s="121"/>
      <c r="MGB892" s="121"/>
      <c r="MGC892" s="121"/>
      <c r="MGD892" s="121"/>
      <c r="MGE892" s="121"/>
      <c r="MGF892" s="121"/>
      <c r="MGG892" s="121"/>
      <c r="MGH892" s="121"/>
      <c r="MGI892" s="121"/>
      <c r="MGJ892" s="121"/>
      <c r="MGK892" s="121"/>
      <c r="MGL892" s="121"/>
      <c r="MGM892" s="121"/>
      <c r="MGN892" s="121"/>
      <c r="MGO892" s="121"/>
      <c r="MGP892" s="121"/>
      <c r="MGQ892" s="121"/>
      <c r="MGR892" s="121"/>
      <c r="MGS892" s="121"/>
      <c r="MGT892" s="121"/>
      <c r="MGU892" s="121"/>
      <c r="MGV892" s="121"/>
      <c r="MGW892" s="121"/>
      <c r="MGX892" s="121"/>
      <c r="MGY892" s="121"/>
      <c r="MGZ892" s="121"/>
      <c r="MHA892" s="121"/>
      <c r="MHB892" s="121"/>
      <c r="MHC892" s="121"/>
      <c r="MHD892" s="121"/>
      <c r="MHE892" s="121"/>
      <c r="MHF892" s="121"/>
      <c r="MHG892" s="121"/>
      <c r="MHH892" s="121"/>
      <c r="MHI892" s="121"/>
      <c r="MHJ892" s="121"/>
      <c r="MHK892" s="121"/>
      <c r="MHL892" s="121"/>
      <c r="MHM892" s="121"/>
      <c r="MHN892" s="121"/>
      <c r="MHO892" s="121"/>
      <c r="MHP892" s="121"/>
      <c r="MHQ892" s="121"/>
      <c r="MHR892" s="121"/>
      <c r="MHS892" s="121"/>
      <c r="MHT892" s="121"/>
      <c r="MHU892" s="121"/>
      <c r="MHV892" s="121"/>
      <c r="MHW892" s="121"/>
      <c r="MHX892" s="121"/>
      <c r="MHY892" s="121"/>
      <c r="MHZ892" s="121"/>
      <c r="MIA892" s="121"/>
      <c r="MIB892" s="121"/>
      <c r="MIC892" s="121"/>
      <c r="MID892" s="121"/>
      <c r="MIE892" s="121"/>
      <c r="MIF892" s="121"/>
      <c r="MIG892" s="121"/>
      <c r="MIH892" s="121"/>
      <c r="MII892" s="121"/>
      <c r="MIJ892" s="121"/>
      <c r="MIK892" s="121"/>
      <c r="MIL892" s="121"/>
      <c r="MIM892" s="121"/>
      <c r="MIN892" s="121"/>
      <c r="MIO892" s="121"/>
      <c r="MIP892" s="121"/>
      <c r="MIQ892" s="121"/>
      <c r="MIR892" s="121"/>
      <c r="MIS892" s="121"/>
      <c r="MIT892" s="121"/>
      <c r="MIU892" s="121"/>
      <c r="MIV892" s="121"/>
      <c r="MIW892" s="121"/>
      <c r="MIX892" s="121"/>
      <c r="MIY892" s="121"/>
      <c r="MIZ892" s="121"/>
      <c r="MJA892" s="121"/>
      <c r="MJB892" s="121"/>
      <c r="MJC892" s="121"/>
      <c r="MJD892" s="121"/>
      <c r="MJE892" s="121"/>
      <c r="MJF892" s="121"/>
      <c r="MJG892" s="121"/>
      <c r="MJH892" s="121"/>
      <c r="MJI892" s="121"/>
      <c r="MJJ892" s="121"/>
      <c r="MJK892" s="121"/>
      <c r="MJL892" s="121"/>
      <c r="MJM892" s="121"/>
      <c r="MJN892" s="121"/>
      <c r="MJO892" s="121"/>
      <c r="MJP892" s="121"/>
      <c r="MJQ892" s="121"/>
      <c r="MJR892" s="121"/>
      <c r="MJS892" s="121"/>
      <c r="MJT892" s="121"/>
      <c r="MJU892" s="121"/>
      <c r="MJV892" s="121"/>
      <c r="MJW892" s="121"/>
      <c r="MJX892" s="121"/>
      <c r="MJY892" s="121"/>
      <c r="MJZ892" s="121"/>
      <c r="MKA892" s="121"/>
      <c r="MKB892" s="121"/>
      <c r="MKC892" s="121"/>
      <c r="MKD892" s="121"/>
      <c r="MKE892" s="121"/>
      <c r="MKF892" s="121"/>
      <c r="MKG892" s="121"/>
      <c r="MKH892" s="121"/>
      <c r="MKI892" s="121"/>
      <c r="MKJ892" s="121"/>
      <c r="MKK892" s="121"/>
      <c r="MKL892" s="121"/>
      <c r="MKM892" s="121"/>
      <c r="MKN892" s="121"/>
      <c r="MKO892" s="121"/>
      <c r="MKP892" s="121"/>
      <c r="MKQ892" s="121"/>
      <c r="MKR892" s="121"/>
      <c r="MKS892" s="121"/>
      <c r="MKT892" s="121"/>
      <c r="MKU892" s="121"/>
      <c r="MKV892" s="121"/>
      <c r="MKW892" s="121"/>
      <c r="MKX892" s="121"/>
      <c r="MKY892" s="121"/>
      <c r="MKZ892" s="121"/>
      <c r="MLA892" s="121"/>
      <c r="MLB892" s="121"/>
      <c r="MLC892" s="121"/>
      <c r="MLD892" s="121"/>
      <c r="MLE892" s="121"/>
      <c r="MLF892" s="121"/>
      <c r="MLG892" s="121"/>
      <c r="MLH892" s="121"/>
      <c r="MLI892" s="121"/>
      <c r="MLJ892" s="121"/>
      <c r="MLK892" s="121"/>
      <c r="MLL892" s="121"/>
      <c r="MLM892" s="121"/>
      <c r="MLN892" s="121"/>
      <c r="MLO892" s="121"/>
      <c r="MLP892" s="121"/>
      <c r="MLQ892" s="121"/>
      <c r="MLR892" s="121"/>
      <c r="MLS892" s="121"/>
      <c r="MLT892" s="121"/>
      <c r="MLU892" s="121"/>
      <c r="MLV892" s="121"/>
      <c r="MLW892" s="121"/>
      <c r="MLX892" s="121"/>
      <c r="MLY892" s="121"/>
      <c r="MLZ892" s="121"/>
      <c r="MMA892" s="121"/>
      <c r="MMB892" s="121"/>
      <c r="MMC892" s="121"/>
      <c r="MMD892" s="121"/>
      <c r="MME892" s="121"/>
      <c r="MMF892" s="121"/>
      <c r="MMG892" s="121"/>
      <c r="MMH892" s="121"/>
      <c r="MMI892" s="121"/>
      <c r="MMJ892" s="121"/>
      <c r="MMK892" s="121"/>
      <c r="MML892" s="121"/>
      <c r="MMM892" s="121"/>
      <c r="MMN892" s="121"/>
      <c r="MMO892" s="121"/>
      <c r="MMP892" s="121"/>
      <c r="MMQ892" s="121"/>
      <c r="MMR892" s="121"/>
      <c r="MMS892" s="121"/>
      <c r="MMT892" s="121"/>
      <c r="MMU892" s="121"/>
      <c r="MMV892" s="121"/>
      <c r="MMW892" s="121"/>
      <c r="MMX892" s="121"/>
      <c r="MMY892" s="121"/>
      <c r="MMZ892" s="121"/>
      <c r="MNA892" s="121"/>
      <c r="MNB892" s="121"/>
      <c r="MNC892" s="121"/>
      <c r="MND892" s="121"/>
      <c r="MNE892" s="121"/>
      <c r="MNF892" s="121"/>
      <c r="MNG892" s="121"/>
      <c r="MNH892" s="121"/>
      <c r="MNI892" s="121"/>
      <c r="MNJ892" s="121"/>
      <c r="MNK892" s="121"/>
      <c r="MNL892" s="121"/>
      <c r="MNM892" s="121"/>
      <c r="MNN892" s="121"/>
      <c r="MNO892" s="121"/>
      <c r="MNP892" s="121"/>
      <c r="MNQ892" s="121"/>
      <c r="MNR892" s="121"/>
      <c r="MNS892" s="121"/>
      <c r="MNT892" s="121"/>
      <c r="MNU892" s="121"/>
      <c r="MNV892" s="121"/>
      <c r="MNW892" s="121"/>
      <c r="MNX892" s="121"/>
      <c r="MNY892" s="121"/>
      <c r="MNZ892" s="121"/>
      <c r="MOA892" s="121"/>
      <c r="MOB892" s="121"/>
      <c r="MOC892" s="121"/>
      <c r="MOD892" s="121"/>
      <c r="MOE892" s="121"/>
      <c r="MOF892" s="121"/>
      <c r="MOG892" s="121"/>
      <c r="MOH892" s="121"/>
      <c r="MOI892" s="121"/>
      <c r="MOJ892" s="121"/>
      <c r="MOK892" s="121"/>
      <c r="MOL892" s="121"/>
      <c r="MOM892" s="121"/>
      <c r="MON892" s="121"/>
      <c r="MOO892" s="121"/>
      <c r="MOP892" s="121"/>
      <c r="MOQ892" s="121"/>
      <c r="MOR892" s="121"/>
      <c r="MOS892" s="121"/>
      <c r="MOT892" s="121"/>
      <c r="MOU892" s="121"/>
      <c r="MOV892" s="121"/>
      <c r="MOW892" s="121"/>
      <c r="MOX892" s="121"/>
      <c r="MOY892" s="121"/>
      <c r="MOZ892" s="121"/>
      <c r="MPA892" s="121"/>
      <c r="MPB892" s="121"/>
      <c r="MPC892" s="121"/>
      <c r="MPD892" s="121"/>
      <c r="MPE892" s="121"/>
      <c r="MPF892" s="121"/>
      <c r="MPG892" s="121"/>
      <c r="MPH892" s="121"/>
      <c r="MPI892" s="121"/>
      <c r="MPJ892" s="121"/>
      <c r="MPK892" s="121"/>
      <c r="MPL892" s="121"/>
      <c r="MPM892" s="121"/>
      <c r="MPN892" s="121"/>
      <c r="MPO892" s="121"/>
      <c r="MPP892" s="121"/>
      <c r="MPQ892" s="121"/>
      <c r="MPR892" s="121"/>
      <c r="MPS892" s="121"/>
      <c r="MPT892" s="121"/>
      <c r="MPU892" s="121"/>
      <c r="MPV892" s="121"/>
      <c r="MPW892" s="121"/>
      <c r="MPX892" s="121"/>
      <c r="MPY892" s="121"/>
      <c r="MPZ892" s="121"/>
      <c r="MQA892" s="121"/>
      <c r="MQB892" s="121"/>
      <c r="MQC892" s="121"/>
      <c r="MQD892" s="121"/>
      <c r="MQE892" s="121"/>
      <c r="MQF892" s="121"/>
      <c r="MQG892" s="121"/>
      <c r="MQH892" s="121"/>
      <c r="MQI892" s="121"/>
      <c r="MQJ892" s="121"/>
      <c r="MQK892" s="121"/>
      <c r="MQL892" s="121"/>
      <c r="MQM892" s="121"/>
      <c r="MQN892" s="121"/>
      <c r="MQO892" s="121"/>
      <c r="MQP892" s="121"/>
      <c r="MQQ892" s="121"/>
      <c r="MQR892" s="121"/>
      <c r="MQS892" s="121"/>
      <c r="MQT892" s="121"/>
      <c r="MQU892" s="121"/>
      <c r="MQV892" s="121"/>
      <c r="MQW892" s="121"/>
      <c r="MQX892" s="121"/>
      <c r="MQY892" s="121"/>
      <c r="MQZ892" s="121"/>
      <c r="MRA892" s="121"/>
      <c r="MRB892" s="121"/>
      <c r="MRC892" s="121"/>
      <c r="MRD892" s="121"/>
      <c r="MRE892" s="121"/>
      <c r="MRF892" s="121"/>
      <c r="MRG892" s="121"/>
      <c r="MRH892" s="121"/>
      <c r="MRI892" s="121"/>
      <c r="MRJ892" s="121"/>
      <c r="MRK892" s="121"/>
      <c r="MRL892" s="121"/>
      <c r="MRM892" s="121"/>
      <c r="MRN892" s="121"/>
      <c r="MRO892" s="121"/>
      <c r="MRP892" s="121"/>
      <c r="MRQ892" s="121"/>
      <c r="MRR892" s="121"/>
      <c r="MRS892" s="121"/>
      <c r="MRT892" s="121"/>
      <c r="MRU892" s="121"/>
      <c r="MRV892" s="121"/>
      <c r="MRW892" s="121"/>
      <c r="MRX892" s="121"/>
      <c r="MRY892" s="121"/>
      <c r="MRZ892" s="121"/>
      <c r="MSA892" s="121"/>
      <c r="MSB892" s="121"/>
      <c r="MSC892" s="121"/>
      <c r="MSD892" s="121"/>
      <c r="MSE892" s="121"/>
      <c r="MSF892" s="121"/>
      <c r="MSG892" s="121"/>
      <c r="MSH892" s="121"/>
      <c r="MSI892" s="121"/>
      <c r="MSJ892" s="121"/>
      <c r="MSK892" s="121"/>
      <c r="MSL892" s="121"/>
      <c r="MSM892" s="121"/>
      <c r="MSN892" s="121"/>
      <c r="MSO892" s="121"/>
      <c r="MSP892" s="121"/>
      <c r="MSQ892" s="121"/>
      <c r="MSR892" s="121"/>
      <c r="MSS892" s="121"/>
      <c r="MST892" s="121"/>
      <c r="MSU892" s="121"/>
      <c r="MSV892" s="121"/>
      <c r="MSW892" s="121"/>
      <c r="MSX892" s="121"/>
      <c r="MSY892" s="121"/>
      <c r="MSZ892" s="121"/>
      <c r="MTA892" s="121"/>
      <c r="MTB892" s="121"/>
      <c r="MTC892" s="121"/>
      <c r="MTD892" s="121"/>
      <c r="MTE892" s="121"/>
      <c r="MTF892" s="121"/>
      <c r="MTG892" s="121"/>
      <c r="MTH892" s="121"/>
      <c r="MTI892" s="121"/>
      <c r="MTJ892" s="121"/>
      <c r="MTK892" s="121"/>
      <c r="MTL892" s="121"/>
      <c r="MTM892" s="121"/>
      <c r="MTN892" s="121"/>
      <c r="MTO892" s="121"/>
      <c r="MTP892" s="121"/>
      <c r="MTQ892" s="121"/>
      <c r="MTR892" s="121"/>
      <c r="MTS892" s="121"/>
      <c r="MTT892" s="121"/>
      <c r="MTU892" s="121"/>
      <c r="MTV892" s="121"/>
      <c r="MTW892" s="121"/>
      <c r="MTX892" s="121"/>
      <c r="MTY892" s="121"/>
      <c r="MTZ892" s="121"/>
      <c r="MUA892" s="121"/>
      <c r="MUB892" s="121"/>
      <c r="MUC892" s="121"/>
      <c r="MUD892" s="121"/>
      <c r="MUE892" s="121"/>
      <c r="MUF892" s="121"/>
      <c r="MUG892" s="121"/>
      <c r="MUH892" s="121"/>
      <c r="MUI892" s="121"/>
      <c r="MUJ892" s="121"/>
      <c r="MUK892" s="121"/>
      <c r="MUL892" s="121"/>
      <c r="MUM892" s="121"/>
      <c r="MUN892" s="121"/>
      <c r="MUO892" s="121"/>
      <c r="MUP892" s="121"/>
      <c r="MUQ892" s="121"/>
      <c r="MUR892" s="121"/>
      <c r="MUS892" s="121"/>
      <c r="MUT892" s="121"/>
      <c r="MUU892" s="121"/>
      <c r="MUV892" s="121"/>
      <c r="MUW892" s="121"/>
      <c r="MUX892" s="121"/>
      <c r="MUY892" s="121"/>
      <c r="MUZ892" s="121"/>
      <c r="MVA892" s="121"/>
      <c r="MVB892" s="121"/>
      <c r="MVC892" s="121"/>
      <c r="MVD892" s="121"/>
      <c r="MVE892" s="121"/>
      <c r="MVF892" s="121"/>
      <c r="MVG892" s="121"/>
      <c r="MVH892" s="121"/>
      <c r="MVI892" s="121"/>
      <c r="MVJ892" s="121"/>
      <c r="MVK892" s="121"/>
      <c r="MVL892" s="121"/>
      <c r="MVM892" s="121"/>
      <c r="MVN892" s="121"/>
      <c r="MVO892" s="121"/>
      <c r="MVP892" s="121"/>
      <c r="MVQ892" s="121"/>
      <c r="MVR892" s="121"/>
      <c r="MVS892" s="121"/>
      <c r="MVT892" s="121"/>
      <c r="MVU892" s="121"/>
      <c r="MVV892" s="121"/>
      <c r="MVW892" s="121"/>
      <c r="MVX892" s="121"/>
      <c r="MVY892" s="121"/>
      <c r="MVZ892" s="121"/>
      <c r="MWA892" s="121"/>
      <c r="MWB892" s="121"/>
      <c r="MWC892" s="121"/>
      <c r="MWD892" s="121"/>
      <c r="MWE892" s="121"/>
      <c r="MWF892" s="121"/>
      <c r="MWG892" s="121"/>
      <c r="MWH892" s="121"/>
      <c r="MWI892" s="121"/>
      <c r="MWJ892" s="121"/>
      <c r="MWK892" s="121"/>
      <c r="MWL892" s="121"/>
      <c r="MWM892" s="121"/>
      <c r="MWN892" s="121"/>
      <c r="MWO892" s="121"/>
      <c r="MWP892" s="121"/>
      <c r="MWQ892" s="121"/>
      <c r="MWR892" s="121"/>
      <c r="MWS892" s="121"/>
      <c r="MWT892" s="121"/>
      <c r="MWU892" s="121"/>
      <c r="MWV892" s="121"/>
      <c r="MWW892" s="121"/>
      <c r="MWX892" s="121"/>
      <c r="MWY892" s="121"/>
      <c r="MWZ892" s="121"/>
      <c r="MXA892" s="121"/>
      <c r="MXB892" s="121"/>
      <c r="MXC892" s="121"/>
      <c r="MXD892" s="121"/>
      <c r="MXE892" s="121"/>
      <c r="MXF892" s="121"/>
      <c r="MXG892" s="121"/>
      <c r="MXH892" s="121"/>
      <c r="MXI892" s="121"/>
      <c r="MXJ892" s="121"/>
      <c r="MXK892" s="121"/>
      <c r="MXL892" s="121"/>
      <c r="MXM892" s="121"/>
      <c r="MXN892" s="121"/>
      <c r="MXO892" s="121"/>
      <c r="MXP892" s="121"/>
      <c r="MXQ892" s="121"/>
      <c r="MXR892" s="121"/>
      <c r="MXS892" s="121"/>
      <c r="MXT892" s="121"/>
      <c r="MXU892" s="121"/>
      <c r="MXV892" s="121"/>
      <c r="MXW892" s="121"/>
      <c r="MXX892" s="121"/>
      <c r="MXY892" s="121"/>
      <c r="MXZ892" s="121"/>
      <c r="MYA892" s="121"/>
      <c r="MYB892" s="121"/>
      <c r="MYC892" s="121"/>
      <c r="MYD892" s="121"/>
      <c r="MYE892" s="121"/>
      <c r="MYF892" s="121"/>
      <c r="MYG892" s="121"/>
      <c r="MYH892" s="121"/>
      <c r="MYI892" s="121"/>
      <c r="MYJ892" s="121"/>
      <c r="MYK892" s="121"/>
      <c r="MYL892" s="121"/>
      <c r="MYM892" s="121"/>
      <c r="MYN892" s="121"/>
      <c r="MYO892" s="121"/>
      <c r="MYP892" s="121"/>
      <c r="MYQ892" s="121"/>
      <c r="MYR892" s="121"/>
      <c r="MYS892" s="121"/>
      <c r="MYT892" s="121"/>
      <c r="MYU892" s="121"/>
      <c r="MYV892" s="121"/>
      <c r="MYW892" s="121"/>
      <c r="MYX892" s="121"/>
      <c r="MYY892" s="121"/>
      <c r="MYZ892" s="121"/>
      <c r="MZA892" s="121"/>
      <c r="MZB892" s="121"/>
      <c r="MZC892" s="121"/>
      <c r="MZD892" s="121"/>
      <c r="MZE892" s="121"/>
      <c r="MZF892" s="121"/>
      <c r="MZG892" s="121"/>
      <c r="MZH892" s="121"/>
      <c r="MZI892" s="121"/>
      <c r="MZJ892" s="121"/>
      <c r="MZK892" s="121"/>
      <c r="MZL892" s="121"/>
      <c r="MZM892" s="121"/>
      <c r="MZN892" s="121"/>
      <c r="MZO892" s="121"/>
      <c r="MZP892" s="121"/>
      <c r="MZQ892" s="121"/>
      <c r="MZR892" s="121"/>
      <c r="MZS892" s="121"/>
      <c r="MZT892" s="121"/>
      <c r="MZU892" s="121"/>
      <c r="MZV892" s="121"/>
      <c r="MZW892" s="121"/>
      <c r="MZX892" s="121"/>
      <c r="MZY892" s="121"/>
      <c r="MZZ892" s="121"/>
      <c r="NAA892" s="121"/>
      <c r="NAB892" s="121"/>
      <c r="NAC892" s="121"/>
      <c r="NAD892" s="121"/>
      <c r="NAE892" s="121"/>
      <c r="NAF892" s="121"/>
      <c r="NAG892" s="121"/>
      <c r="NAH892" s="121"/>
      <c r="NAI892" s="121"/>
      <c r="NAJ892" s="121"/>
      <c r="NAK892" s="121"/>
      <c r="NAL892" s="121"/>
      <c r="NAM892" s="121"/>
      <c r="NAN892" s="121"/>
      <c r="NAO892" s="121"/>
      <c r="NAP892" s="121"/>
      <c r="NAQ892" s="121"/>
      <c r="NAR892" s="121"/>
      <c r="NAS892" s="121"/>
      <c r="NAT892" s="121"/>
      <c r="NAU892" s="121"/>
      <c r="NAV892" s="121"/>
      <c r="NAW892" s="121"/>
      <c r="NAX892" s="121"/>
      <c r="NAY892" s="121"/>
      <c r="NAZ892" s="121"/>
      <c r="NBA892" s="121"/>
      <c r="NBB892" s="121"/>
      <c r="NBC892" s="121"/>
      <c r="NBD892" s="121"/>
      <c r="NBE892" s="121"/>
      <c r="NBF892" s="121"/>
      <c r="NBG892" s="121"/>
      <c r="NBH892" s="121"/>
      <c r="NBI892" s="121"/>
      <c r="NBJ892" s="121"/>
      <c r="NBK892" s="121"/>
      <c r="NBL892" s="121"/>
      <c r="NBM892" s="121"/>
      <c r="NBN892" s="121"/>
      <c r="NBO892" s="121"/>
      <c r="NBP892" s="121"/>
      <c r="NBQ892" s="121"/>
      <c r="NBR892" s="121"/>
      <c r="NBS892" s="121"/>
      <c r="NBT892" s="121"/>
      <c r="NBU892" s="121"/>
      <c r="NBV892" s="121"/>
      <c r="NBW892" s="121"/>
      <c r="NBX892" s="121"/>
      <c r="NBY892" s="121"/>
      <c r="NBZ892" s="121"/>
      <c r="NCA892" s="121"/>
      <c r="NCB892" s="121"/>
      <c r="NCC892" s="121"/>
      <c r="NCD892" s="121"/>
      <c r="NCE892" s="121"/>
      <c r="NCF892" s="121"/>
      <c r="NCG892" s="121"/>
      <c r="NCH892" s="121"/>
      <c r="NCI892" s="121"/>
      <c r="NCJ892" s="121"/>
      <c r="NCK892" s="121"/>
      <c r="NCL892" s="121"/>
      <c r="NCM892" s="121"/>
      <c r="NCN892" s="121"/>
      <c r="NCO892" s="121"/>
      <c r="NCP892" s="121"/>
      <c r="NCQ892" s="121"/>
      <c r="NCR892" s="121"/>
      <c r="NCS892" s="121"/>
      <c r="NCT892" s="121"/>
      <c r="NCU892" s="121"/>
      <c r="NCV892" s="121"/>
      <c r="NCW892" s="121"/>
      <c r="NCX892" s="121"/>
      <c r="NCY892" s="121"/>
      <c r="NCZ892" s="121"/>
      <c r="NDA892" s="121"/>
      <c r="NDB892" s="121"/>
      <c r="NDC892" s="121"/>
      <c r="NDD892" s="121"/>
      <c r="NDE892" s="121"/>
      <c r="NDF892" s="121"/>
      <c r="NDG892" s="121"/>
      <c r="NDH892" s="121"/>
      <c r="NDI892" s="121"/>
      <c r="NDJ892" s="121"/>
      <c r="NDK892" s="121"/>
      <c r="NDL892" s="121"/>
      <c r="NDM892" s="121"/>
      <c r="NDN892" s="121"/>
      <c r="NDO892" s="121"/>
      <c r="NDP892" s="121"/>
      <c r="NDQ892" s="121"/>
      <c r="NDR892" s="121"/>
      <c r="NDS892" s="121"/>
      <c r="NDT892" s="121"/>
      <c r="NDU892" s="121"/>
      <c r="NDV892" s="121"/>
      <c r="NDW892" s="121"/>
      <c r="NDX892" s="121"/>
      <c r="NDY892" s="121"/>
      <c r="NDZ892" s="121"/>
      <c r="NEA892" s="121"/>
      <c r="NEB892" s="121"/>
      <c r="NEC892" s="121"/>
      <c r="NED892" s="121"/>
      <c r="NEE892" s="121"/>
      <c r="NEF892" s="121"/>
      <c r="NEG892" s="121"/>
      <c r="NEH892" s="121"/>
      <c r="NEI892" s="121"/>
      <c r="NEJ892" s="121"/>
      <c r="NEK892" s="121"/>
      <c r="NEL892" s="121"/>
      <c r="NEM892" s="121"/>
      <c r="NEN892" s="121"/>
      <c r="NEO892" s="121"/>
      <c r="NEP892" s="121"/>
      <c r="NEQ892" s="121"/>
      <c r="NER892" s="121"/>
      <c r="NES892" s="121"/>
      <c r="NET892" s="121"/>
      <c r="NEU892" s="121"/>
      <c r="NEV892" s="121"/>
      <c r="NEW892" s="121"/>
      <c r="NEX892" s="121"/>
      <c r="NEY892" s="121"/>
      <c r="NEZ892" s="121"/>
      <c r="NFA892" s="121"/>
      <c r="NFB892" s="121"/>
      <c r="NFC892" s="121"/>
      <c r="NFD892" s="121"/>
      <c r="NFE892" s="121"/>
      <c r="NFF892" s="121"/>
      <c r="NFG892" s="121"/>
      <c r="NFH892" s="121"/>
      <c r="NFI892" s="121"/>
      <c r="NFJ892" s="121"/>
      <c r="NFK892" s="121"/>
      <c r="NFL892" s="121"/>
      <c r="NFM892" s="121"/>
      <c r="NFN892" s="121"/>
      <c r="NFO892" s="121"/>
      <c r="NFP892" s="121"/>
      <c r="NFQ892" s="121"/>
      <c r="NFR892" s="121"/>
      <c r="NFS892" s="121"/>
      <c r="NFT892" s="121"/>
      <c r="NFU892" s="121"/>
      <c r="NFV892" s="121"/>
      <c r="NFW892" s="121"/>
      <c r="NFX892" s="121"/>
      <c r="NFY892" s="121"/>
      <c r="NFZ892" s="121"/>
      <c r="NGA892" s="121"/>
      <c r="NGB892" s="121"/>
      <c r="NGC892" s="121"/>
      <c r="NGD892" s="121"/>
      <c r="NGE892" s="121"/>
      <c r="NGF892" s="121"/>
      <c r="NGG892" s="121"/>
      <c r="NGH892" s="121"/>
      <c r="NGI892" s="121"/>
      <c r="NGJ892" s="121"/>
      <c r="NGK892" s="121"/>
      <c r="NGL892" s="121"/>
      <c r="NGM892" s="121"/>
      <c r="NGN892" s="121"/>
      <c r="NGO892" s="121"/>
      <c r="NGP892" s="121"/>
      <c r="NGQ892" s="121"/>
      <c r="NGR892" s="121"/>
      <c r="NGS892" s="121"/>
      <c r="NGT892" s="121"/>
      <c r="NGU892" s="121"/>
      <c r="NGV892" s="121"/>
      <c r="NGW892" s="121"/>
      <c r="NGX892" s="121"/>
      <c r="NGY892" s="121"/>
      <c r="NGZ892" s="121"/>
      <c r="NHA892" s="121"/>
      <c r="NHB892" s="121"/>
      <c r="NHC892" s="121"/>
      <c r="NHD892" s="121"/>
      <c r="NHE892" s="121"/>
      <c r="NHF892" s="121"/>
      <c r="NHG892" s="121"/>
      <c r="NHH892" s="121"/>
      <c r="NHI892" s="121"/>
      <c r="NHJ892" s="121"/>
      <c r="NHK892" s="121"/>
      <c r="NHL892" s="121"/>
      <c r="NHM892" s="121"/>
      <c r="NHN892" s="121"/>
      <c r="NHO892" s="121"/>
      <c r="NHP892" s="121"/>
      <c r="NHQ892" s="121"/>
      <c r="NHR892" s="121"/>
      <c r="NHS892" s="121"/>
      <c r="NHT892" s="121"/>
      <c r="NHU892" s="121"/>
      <c r="NHV892" s="121"/>
      <c r="NHW892" s="121"/>
      <c r="NHX892" s="121"/>
      <c r="NHY892" s="121"/>
      <c r="NHZ892" s="121"/>
      <c r="NIA892" s="121"/>
      <c r="NIB892" s="121"/>
      <c r="NIC892" s="121"/>
      <c r="NID892" s="121"/>
      <c r="NIE892" s="121"/>
      <c r="NIF892" s="121"/>
      <c r="NIG892" s="121"/>
      <c r="NIH892" s="121"/>
      <c r="NII892" s="121"/>
      <c r="NIJ892" s="121"/>
      <c r="NIK892" s="121"/>
      <c r="NIL892" s="121"/>
      <c r="NIM892" s="121"/>
      <c r="NIN892" s="121"/>
      <c r="NIO892" s="121"/>
      <c r="NIP892" s="121"/>
      <c r="NIQ892" s="121"/>
      <c r="NIR892" s="121"/>
      <c r="NIS892" s="121"/>
      <c r="NIT892" s="121"/>
      <c r="NIU892" s="121"/>
      <c r="NIV892" s="121"/>
      <c r="NIW892" s="121"/>
      <c r="NIX892" s="121"/>
      <c r="NIY892" s="121"/>
      <c r="NIZ892" s="121"/>
      <c r="NJA892" s="121"/>
      <c r="NJB892" s="121"/>
      <c r="NJC892" s="121"/>
      <c r="NJD892" s="121"/>
      <c r="NJE892" s="121"/>
      <c r="NJF892" s="121"/>
      <c r="NJG892" s="121"/>
      <c r="NJH892" s="121"/>
      <c r="NJI892" s="121"/>
      <c r="NJJ892" s="121"/>
      <c r="NJK892" s="121"/>
      <c r="NJL892" s="121"/>
      <c r="NJM892" s="121"/>
      <c r="NJN892" s="121"/>
      <c r="NJO892" s="121"/>
      <c r="NJP892" s="121"/>
      <c r="NJQ892" s="121"/>
      <c r="NJR892" s="121"/>
      <c r="NJS892" s="121"/>
      <c r="NJT892" s="121"/>
      <c r="NJU892" s="121"/>
      <c r="NJV892" s="121"/>
      <c r="NJW892" s="121"/>
      <c r="NJX892" s="121"/>
      <c r="NJY892" s="121"/>
      <c r="NJZ892" s="121"/>
      <c r="NKA892" s="121"/>
      <c r="NKB892" s="121"/>
      <c r="NKC892" s="121"/>
      <c r="NKD892" s="121"/>
      <c r="NKE892" s="121"/>
      <c r="NKF892" s="121"/>
      <c r="NKG892" s="121"/>
      <c r="NKH892" s="121"/>
      <c r="NKI892" s="121"/>
      <c r="NKJ892" s="121"/>
      <c r="NKK892" s="121"/>
      <c r="NKL892" s="121"/>
      <c r="NKM892" s="121"/>
      <c r="NKN892" s="121"/>
      <c r="NKO892" s="121"/>
      <c r="NKP892" s="121"/>
      <c r="NKQ892" s="121"/>
      <c r="NKR892" s="121"/>
      <c r="NKS892" s="121"/>
      <c r="NKT892" s="121"/>
      <c r="NKU892" s="121"/>
      <c r="NKV892" s="121"/>
      <c r="NKW892" s="121"/>
      <c r="NKX892" s="121"/>
      <c r="NKY892" s="121"/>
      <c r="NKZ892" s="121"/>
      <c r="NLA892" s="121"/>
      <c r="NLB892" s="121"/>
      <c r="NLC892" s="121"/>
      <c r="NLD892" s="121"/>
      <c r="NLE892" s="121"/>
      <c r="NLF892" s="121"/>
      <c r="NLG892" s="121"/>
      <c r="NLH892" s="121"/>
      <c r="NLI892" s="121"/>
      <c r="NLJ892" s="121"/>
      <c r="NLK892" s="121"/>
      <c r="NLL892" s="121"/>
      <c r="NLM892" s="121"/>
      <c r="NLN892" s="121"/>
      <c r="NLO892" s="121"/>
      <c r="NLP892" s="121"/>
      <c r="NLQ892" s="121"/>
      <c r="NLR892" s="121"/>
      <c r="NLS892" s="121"/>
      <c r="NLT892" s="121"/>
      <c r="NLU892" s="121"/>
      <c r="NLV892" s="121"/>
      <c r="NLW892" s="121"/>
      <c r="NLX892" s="121"/>
      <c r="NLY892" s="121"/>
      <c r="NLZ892" s="121"/>
      <c r="NMA892" s="121"/>
      <c r="NMB892" s="121"/>
      <c r="NMC892" s="121"/>
      <c r="NMD892" s="121"/>
      <c r="NME892" s="121"/>
      <c r="NMF892" s="121"/>
      <c r="NMG892" s="121"/>
      <c r="NMH892" s="121"/>
      <c r="NMI892" s="121"/>
      <c r="NMJ892" s="121"/>
      <c r="NMK892" s="121"/>
      <c r="NML892" s="121"/>
      <c r="NMM892" s="121"/>
      <c r="NMN892" s="121"/>
      <c r="NMO892" s="121"/>
      <c r="NMP892" s="121"/>
      <c r="NMQ892" s="121"/>
      <c r="NMR892" s="121"/>
      <c r="NMS892" s="121"/>
      <c r="NMT892" s="121"/>
      <c r="NMU892" s="121"/>
      <c r="NMV892" s="121"/>
      <c r="NMW892" s="121"/>
      <c r="NMX892" s="121"/>
      <c r="NMY892" s="121"/>
      <c r="NMZ892" s="121"/>
      <c r="NNA892" s="121"/>
      <c r="NNB892" s="121"/>
      <c r="NNC892" s="121"/>
      <c r="NND892" s="121"/>
      <c r="NNE892" s="121"/>
      <c r="NNF892" s="121"/>
      <c r="NNG892" s="121"/>
      <c r="NNH892" s="121"/>
      <c r="NNI892" s="121"/>
      <c r="NNJ892" s="121"/>
      <c r="NNK892" s="121"/>
      <c r="NNL892" s="121"/>
      <c r="NNM892" s="121"/>
      <c r="NNN892" s="121"/>
      <c r="NNO892" s="121"/>
      <c r="NNP892" s="121"/>
      <c r="NNQ892" s="121"/>
      <c r="NNR892" s="121"/>
      <c r="NNS892" s="121"/>
      <c r="NNT892" s="121"/>
      <c r="NNU892" s="121"/>
      <c r="NNV892" s="121"/>
      <c r="NNW892" s="121"/>
      <c r="NNX892" s="121"/>
      <c r="NNY892" s="121"/>
      <c r="NNZ892" s="121"/>
      <c r="NOA892" s="121"/>
      <c r="NOB892" s="121"/>
      <c r="NOC892" s="121"/>
      <c r="NOD892" s="121"/>
      <c r="NOE892" s="121"/>
      <c r="NOF892" s="121"/>
      <c r="NOG892" s="121"/>
      <c r="NOH892" s="121"/>
      <c r="NOI892" s="121"/>
      <c r="NOJ892" s="121"/>
      <c r="NOK892" s="121"/>
      <c r="NOL892" s="121"/>
      <c r="NOM892" s="121"/>
      <c r="NON892" s="121"/>
      <c r="NOO892" s="121"/>
      <c r="NOP892" s="121"/>
      <c r="NOQ892" s="121"/>
      <c r="NOR892" s="121"/>
      <c r="NOS892" s="121"/>
      <c r="NOT892" s="121"/>
      <c r="NOU892" s="121"/>
      <c r="NOV892" s="121"/>
      <c r="NOW892" s="121"/>
      <c r="NOX892" s="121"/>
      <c r="NOY892" s="121"/>
      <c r="NOZ892" s="121"/>
      <c r="NPA892" s="121"/>
      <c r="NPB892" s="121"/>
      <c r="NPC892" s="121"/>
      <c r="NPD892" s="121"/>
      <c r="NPE892" s="121"/>
      <c r="NPF892" s="121"/>
      <c r="NPG892" s="121"/>
      <c r="NPH892" s="121"/>
      <c r="NPI892" s="121"/>
      <c r="NPJ892" s="121"/>
      <c r="NPK892" s="121"/>
      <c r="NPL892" s="121"/>
      <c r="NPM892" s="121"/>
      <c r="NPN892" s="121"/>
      <c r="NPO892" s="121"/>
      <c r="NPP892" s="121"/>
      <c r="NPQ892" s="121"/>
      <c r="NPR892" s="121"/>
      <c r="NPS892" s="121"/>
      <c r="NPT892" s="121"/>
      <c r="NPU892" s="121"/>
      <c r="NPV892" s="121"/>
      <c r="NPW892" s="121"/>
      <c r="NPX892" s="121"/>
      <c r="NPY892" s="121"/>
      <c r="NPZ892" s="121"/>
      <c r="NQA892" s="121"/>
      <c r="NQB892" s="121"/>
      <c r="NQC892" s="121"/>
      <c r="NQD892" s="121"/>
      <c r="NQE892" s="121"/>
      <c r="NQF892" s="121"/>
      <c r="NQG892" s="121"/>
      <c r="NQH892" s="121"/>
      <c r="NQI892" s="121"/>
      <c r="NQJ892" s="121"/>
      <c r="NQK892" s="121"/>
      <c r="NQL892" s="121"/>
      <c r="NQM892" s="121"/>
      <c r="NQN892" s="121"/>
      <c r="NQO892" s="121"/>
      <c r="NQP892" s="121"/>
      <c r="NQQ892" s="121"/>
      <c r="NQR892" s="121"/>
      <c r="NQS892" s="121"/>
      <c r="NQT892" s="121"/>
      <c r="NQU892" s="121"/>
      <c r="NQV892" s="121"/>
      <c r="NQW892" s="121"/>
      <c r="NQX892" s="121"/>
      <c r="NQY892" s="121"/>
      <c r="NQZ892" s="121"/>
      <c r="NRA892" s="121"/>
      <c r="NRB892" s="121"/>
      <c r="NRC892" s="121"/>
      <c r="NRD892" s="121"/>
      <c r="NRE892" s="121"/>
      <c r="NRF892" s="121"/>
      <c r="NRG892" s="121"/>
      <c r="NRH892" s="121"/>
      <c r="NRI892" s="121"/>
      <c r="NRJ892" s="121"/>
      <c r="NRK892" s="121"/>
      <c r="NRL892" s="121"/>
      <c r="NRM892" s="121"/>
      <c r="NRN892" s="121"/>
      <c r="NRO892" s="121"/>
      <c r="NRP892" s="121"/>
      <c r="NRQ892" s="121"/>
      <c r="NRR892" s="121"/>
      <c r="NRS892" s="121"/>
      <c r="NRT892" s="121"/>
      <c r="NRU892" s="121"/>
      <c r="NRV892" s="121"/>
      <c r="NRW892" s="121"/>
      <c r="NRX892" s="121"/>
      <c r="NRY892" s="121"/>
      <c r="NRZ892" s="121"/>
      <c r="NSA892" s="121"/>
      <c r="NSB892" s="121"/>
      <c r="NSC892" s="121"/>
      <c r="NSD892" s="121"/>
      <c r="NSE892" s="121"/>
      <c r="NSF892" s="121"/>
      <c r="NSG892" s="121"/>
      <c r="NSH892" s="121"/>
      <c r="NSI892" s="121"/>
      <c r="NSJ892" s="121"/>
      <c r="NSK892" s="121"/>
      <c r="NSL892" s="121"/>
      <c r="NSM892" s="121"/>
      <c r="NSN892" s="121"/>
      <c r="NSO892" s="121"/>
      <c r="NSP892" s="121"/>
      <c r="NSQ892" s="121"/>
      <c r="NSR892" s="121"/>
      <c r="NSS892" s="121"/>
      <c r="NST892" s="121"/>
      <c r="NSU892" s="121"/>
      <c r="NSV892" s="121"/>
      <c r="NSW892" s="121"/>
      <c r="NSX892" s="121"/>
      <c r="NSY892" s="121"/>
      <c r="NSZ892" s="121"/>
      <c r="NTA892" s="121"/>
      <c r="NTB892" s="121"/>
      <c r="NTC892" s="121"/>
      <c r="NTD892" s="121"/>
      <c r="NTE892" s="121"/>
      <c r="NTF892" s="121"/>
      <c r="NTG892" s="121"/>
      <c r="NTH892" s="121"/>
      <c r="NTI892" s="121"/>
      <c r="NTJ892" s="121"/>
      <c r="NTK892" s="121"/>
      <c r="NTL892" s="121"/>
      <c r="NTM892" s="121"/>
      <c r="NTN892" s="121"/>
      <c r="NTO892" s="121"/>
      <c r="NTP892" s="121"/>
      <c r="NTQ892" s="121"/>
      <c r="NTR892" s="121"/>
      <c r="NTS892" s="121"/>
      <c r="NTT892" s="121"/>
      <c r="NTU892" s="121"/>
      <c r="NTV892" s="121"/>
      <c r="NTW892" s="121"/>
      <c r="NTX892" s="121"/>
      <c r="NTY892" s="121"/>
      <c r="NTZ892" s="121"/>
      <c r="NUA892" s="121"/>
      <c r="NUB892" s="121"/>
      <c r="NUC892" s="121"/>
      <c r="NUD892" s="121"/>
      <c r="NUE892" s="121"/>
      <c r="NUF892" s="121"/>
      <c r="NUG892" s="121"/>
      <c r="NUH892" s="121"/>
      <c r="NUI892" s="121"/>
      <c r="NUJ892" s="121"/>
      <c r="NUK892" s="121"/>
      <c r="NUL892" s="121"/>
      <c r="NUM892" s="121"/>
      <c r="NUN892" s="121"/>
      <c r="NUO892" s="121"/>
      <c r="NUP892" s="121"/>
      <c r="NUQ892" s="121"/>
      <c r="NUR892" s="121"/>
      <c r="NUS892" s="121"/>
      <c r="NUT892" s="121"/>
      <c r="NUU892" s="121"/>
      <c r="NUV892" s="121"/>
      <c r="NUW892" s="121"/>
      <c r="NUX892" s="121"/>
      <c r="NUY892" s="121"/>
      <c r="NUZ892" s="121"/>
      <c r="NVA892" s="121"/>
      <c r="NVB892" s="121"/>
      <c r="NVC892" s="121"/>
      <c r="NVD892" s="121"/>
      <c r="NVE892" s="121"/>
      <c r="NVF892" s="121"/>
      <c r="NVG892" s="121"/>
      <c r="NVH892" s="121"/>
      <c r="NVI892" s="121"/>
      <c r="NVJ892" s="121"/>
      <c r="NVK892" s="121"/>
      <c r="NVL892" s="121"/>
      <c r="NVM892" s="121"/>
      <c r="NVN892" s="121"/>
      <c r="NVO892" s="121"/>
      <c r="NVP892" s="121"/>
      <c r="NVQ892" s="121"/>
      <c r="NVR892" s="121"/>
      <c r="NVS892" s="121"/>
      <c r="NVT892" s="121"/>
      <c r="NVU892" s="121"/>
      <c r="NVV892" s="121"/>
      <c r="NVW892" s="121"/>
      <c r="NVX892" s="121"/>
      <c r="NVY892" s="121"/>
      <c r="NVZ892" s="121"/>
      <c r="NWA892" s="121"/>
      <c r="NWB892" s="121"/>
      <c r="NWC892" s="121"/>
      <c r="NWD892" s="121"/>
      <c r="NWE892" s="121"/>
      <c r="NWF892" s="121"/>
      <c r="NWG892" s="121"/>
      <c r="NWH892" s="121"/>
      <c r="NWI892" s="121"/>
      <c r="NWJ892" s="121"/>
      <c r="NWK892" s="121"/>
      <c r="NWL892" s="121"/>
      <c r="NWM892" s="121"/>
      <c r="NWN892" s="121"/>
      <c r="NWO892" s="121"/>
      <c r="NWP892" s="121"/>
      <c r="NWQ892" s="121"/>
      <c r="NWR892" s="121"/>
      <c r="NWS892" s="121"/>
      <c r="NWT892" s="121"/>
      <c r="NWU892" s="121"/>
      <c r="NWV892" s="121"/>
      <c r="NWW892" s="121"/>
      <c r="NWX892" s="121"/>
      <c r="NWY892" s="121"/>
      <c r="NWZ892" s="121"/>
      <c r="NXA892" s="121"/>
      <c r="NXB892" s="121"/>
      <c r="NXC892" s="121"/>
      <c r="NXD892" s="121"/>
      <c r="NXE892" s="121"/>
      <c r="NXF892" s="121"/>
      <c r="NXG892" s="121"/>
      <c r="NXH892" s="121"/>
      <c r="NXI892" s="121"/>
      <c r="NXJ892" s="121"/>
      <c r="NXK892" s="121"/>
      <c r="NXL892" s="121"/>
      <c r="NXM892" s="121"/>
      <c r="NXN892" s="121"/>
      <c r="NXO892" s="121"/>
      <c r="NXP892" s="121"/>
      <c r="NXQ892" s="121"/>
      <c r="NXR892" s="121"/>
      <c r="NXS892" s="121"/>
      <c r="NXT892" s="121"/>
      <c r="NXU892" s="121"/>
      <c r="NXV892" s="121"/>
      <c r="NXW892" s="121"/>
      <c r="NXX892" s="121"/>
      <c r="NXY892" s="121"/>
      <c r="NXZ892" s="121"/>
      <c r="NYA892" s="121"/>
      <c r="NYB892" s="121"/>
      <c r="NYC892" s="121"/>
      <c r="NYD892" s="121"/>
      <c r="NYE892" s="121"/>
      <c r="NYF892" s="121"/>
      <c r="NYG892" s="121"/>
      <c r="NYH892" s="121"/>
      <c r="NYI892" s="121"/>
      <c r="NYJ892" s="121"/>
      <c r="NYK892" s="121"/>
      <c r="NYL892" s="121"/>
      <c r="NYM892" s="121"/>
      <c r="NYN892" s="121"/>
      <c r="NYO892" s="121"/>
      <c r="NYP892" s="121"/>
      <c r="NYQ892" s="121"/>
      <c r="NYR892" s="121"/>
      <c r="NYS892" s="121"/>
      <c r="NYT892" s="121"/>
      <c r="NYU892" s="121"/>
      <c r="NYV892" s="121"/>
      <c r="NYW892" s="121"/>
      <c r="NYX892" s="121"/>
      <c r="NYY892" s="121"/>
      <c r="NYZ892" s="121"/>
      <c r="NZA892" s="121"/>
      <c r="NZB892" s="121"/>
      <c r="NZC892" s="121"/>
      <c r="NZD892" s="121"/>
      <c r="NZE892" s="121"/>
      <c r="NZF892" s="121"/>
      <c r="NZG892" s="121"/>
      <c r="NZH892" s="121"/>
      <c r="NZI892" s="121"/>
      <c r="NZJ892" s="121"/>
      <c r="NZK892" s="121"/>
      <c r="NZL892" s="121"/>
      <c r="NZM892" s="121"/>
      <c r="NZN892" s="121"/>
      <c r="NZO892" s="121"/>
      <c r="NZP892" s="121"/>
      <c r="NZQ892" s="121"/>
      <c r="NZR892" s="121"/>
      <c r="NZS892" s="121"/>
      <c r="NZT892" s="121"/>
      <c r="NZU892" s="121"/>
      <c r="NZV892" s="121"/>
      <c r="NZW892" s="121"/>
      <c r="NZX892" s="121"/>
      <c r="NZY892" s="121"/>
      <c r="NZZ892" s="121"/>
      <c r="OAA892" s="121"/>
      <c r="OAB892" s="121"/>
      <c r="OAC892" s="121"/>
      <c r="OAD892" s="121"/>
      <c r="OAE892" s="121"/>
      <c r="OAF892" s="121"/>
      <c r="OAG892" s="121"/>
      <c r="OAH892" s="121"/>
      <c r="OAI892" s="121"/>
      <c r="OAJ892" s="121"/>
      <c r="OAK892" s="121"/>
      <c r="OAL892" s="121"/>
      <c r="OAM892" s="121"/>
      <c r="OAN892" s="121"/>
      <c r="OAO892" s="121"/>
      <c r="OAP892" s="121"/>
      <c r="OAQ892" s="121"/>
      <c r="OAR892" s="121"/>
      <c r="OAS892" s="121"/>
      <c r="OAT892" s="121"/>
      <c r="OAU892" s="121"/>
      <c r="OAV892" s="121"/>
      <c r="OAW892" s="121"/>
      <c r="OAX892" s="121"/>
      <c r="OAY892" s="121"/>
      <c r="OAZ892" s="121"/>
      <c r="OBA892" s="121"/>
      <c r="OBB892" s="121"/>
      <c r="OBC892" s="121"/>
      <c r="OBD892" s="121"/>
      <c r="OBE892" s="121"/>
      <c r="OBF892" s="121"/>
      <c r="OBG892" s="121"/>
      <c r="OBH892" s="121"/>
      <c r="OBI892" s="121"/>
      <c r="OBJ892" s="121"/>
      <c r="OBK892" s="121"/>
      <c r="OBL892" s="121"/>
      <c r="OBM892" s="121"/>
      <c r="OBN892" s="121"/>
      <c r="OBO892" s="121"/>
      <c r="OBP892" s="121"/>
      <c r="OBQ892" s="121"/>
      <c r="OBR892" s="121"/>
      <c r="OBS892" s="121"/>
      <c r="OBT892" s="121"/>
      <c r="OBU892" s="121"/>
      <c r="OBV892" s="121"/>
      <c r="OBW892" s="121"/>
      <c r="OBX892" s="121"/>
      <c r="OBY892" s="121"/>
      <c r="OBZ892" s="121"/>
      <c r="OCA892" s="121"/>
      <c r="OCB892" s="121"/>
      <c r="OCC892" s="121"/>
      <c r="OCD892" s="121"/>
      <c r="OCE892" s="121"/>
      <c r="OCF892" s="121"/>
      <c r="OCG892" s="121"/>
      <c r="OCH892" s="121"/>
      <c r="OCI892" s="121"/>
      <c r="OCJ892" s="121"/>
      <c r="OCK892" s="121"/>
      <c r="OCL892" s="121"/>
      <c r="OCM892" s="121"/>
      <c r="OCN892" s="121"/>
      <c r="OCO892" s="121"/>
      <c r="OCP892" s="121"/>
      <c r="OCQ892" s="121"/>
      <c r="OCR892" s="121"/>
      <c r="OCS892" s="121"/>
      <c r="OCT892" s="121"/>
      <c r="OCU892" s="121"/>
      <c r="OCV892" s="121"/>
      <c r="OCW892" s="121"/>
      <c r="OCX892" s="121"/>
      <c r="OCY892" s="121"/>
      <c r="OCZ892" s="121"/>
      <c r="ODA892" s="121"/>
      <c r="ODB892" s="121"/>
      <c r="ODC892" s="121"/>
      <c r="ODD892" s="121"/>
      <c r="ODE892" s="121"/>
      <c r="ODF892" s="121"/>
      <c r="ODG892" s="121"/>
      <c r="ODH892" s="121"/>
      <c r="ODI892" s="121"/>
      <c r="ODJ892" s="121"/>
      <c r="ODK892" s="121"/>
      <c r="ODL892" s="121"/>
      <c r="ODM892" s="121"/>
      <c r="ODN892" s="121"/>
      <c r="ODO892" s="121"/>
      <c r="ODP892" s="121"/>
      <c r="ODQ892" s="121"/>
      <c r="ODR892" s="121"/>
      <c r="ODS892" s="121"/>
      <c r="ODT892" s="121"/>
      <c r="ODU892" s="121"/>
      <c r="ODV892" s="121"/>
      <c r="ODW892" s="121"/>
      <c r="ODX892" s="121"/>
      <c r="ODY892" s="121"/>
      <c r="ODZ892" s="121"/>
      <c r="OEA892" s="121"/>
      <c r="OEB892" s="121"/>
      <c r="OEC892" s="121"/>
      <c r="OED892" s="121"/>
      <c r="OEE892" s="121"/>
      <c r="OEF892" s="121"/>
      <c r="OEG892" s="121"/>
      <c r="OEH892" s="121"/>
      <c r="OEI892" s="121"/>
      <c r="OEJ892" s="121"/>
      <c r="OEK892" s="121"/>
      <c r="OEL892" s="121"/>
      <c r="OEM892" s="121"/>
      <c r="OEN892" s="121"/>
      <c r="OEO892" s="121"/>
      <c r="OEP892" s="121"/>
      <c r="OEQ892" s="121"/>
      <c r="OER892" s="121"/>
      <c r="OES892" s="121"/>
      <c r="OET892" s="121"/>
      <c r="OEU892" s="121"/>
      <c r="OEV892" s="121"/>
      <c r="OEW892" s="121"/>
      <c r="OEX892" s="121"/>
      <c r="OEY892" s="121"/>
      <c r="OEZ892" s="121"/>
      <c r="OFA892" s="121"/>
      <c r="OFB892" s="121"/>
      <c r="OFC892" s="121"/>
      <c r="OFD892" s="121"/>
      <c r="OFE892" s="121"/>
      <c r="OFF892" s="121"/>
      <c r="OFG892" s="121"/>
      <c r="OFH892" s="121"/>
      <c r="OFI892" s="121"/>
      <c r="OFJ892" s="121"/>
      <c r="OFK892" s="121"/>
      <c r="OFL892" s="121"/>
      <c r="OFM892" s="121"/>
      <c r="OFN892" s="121"/>
      <c r="OFO892" s="121"/>
      <c r="OFP892" s="121"/>
      <c r="OFQ892" s="121"/>
      <c r="OFR892" s="121"/>
      <c r="OFS892" s="121"/>
      <c r="OFT892" s="121"/>
      <c r="OFU892" s="121"/>
      <c r="OFV892" s="121"/>
      <c r="OFW892" s="121"/>
      <c r="OFX892" s="121"/>
      <c r="OFY892" s="121"/>
      <c r="OFZ892" s="121"/>
      <c r="OGA892" s="121"/>
      <c r="OGB892" s="121"/>
      <c r="OGC892" s="121"/>
      <c r="OGD892" s="121"/>
      <c r="OGE892" s="121"/>
      <c r="OGF892" s="121"/>
      <c r="OGG892" s="121"/>
      <c r="OGH892" s="121"/>
      <c r="OGI892" s="121"/>
      <c r="OGJ892" s="121"/>
      <c r="OGK892" s="121"/>
      <c r="OGL892" s="121"/>
      <c r="OGM892" s="121"/>
      <c r="OGN892" s="121"/>
      <c r="OGO892" s="121"/>
      <c r="OGP892" s="121"/>
      <c r="OGQ892" s="121"/>
      <c r="OGR892" s="121"/>
      <c r="OGS892" s="121"/>
      <c r="OGT892" s="121"/>
      <c r="OGU892" s="121"/>
      <c r="OGV892" s="121"/>
      <c r="OGW892" s="121"/>
      <c r="OGX892" s="121"/>
      <c r="OGY892" s="121"/>
      <c r="OGZ892" s="121"/>
      <c r="OHA892" s="121"/>
      <c r="OHB892" s="121"/>
      <c r="OHC892" s="121"/>
      <c r="OHD892" s="121"/>
      <c r="OHE892" s="121"/>
      <c r="OHF892" s="121"/>
      <c r="OHG892" s="121"/>
      <c r="OHH892" s="121"/>
      <c r="OHI892" s="121"/>
      <c r="OHJ892" s="121"/>
      <c r="OHK892" s="121"/>
      <c r="OHL892" s="121"/>
      <c r="OHM892" s="121"/>
      <c r="OHN892" s="121"/>
      <c r="OHO892" s="121"/>
      <c r="OHP892" s="121"/>
      <c r="OHQ892" s="121"/>
      <c r="OHR892" s="121"/>
      <c r="OHS892" s="121"/>
      <c r="OHT892" s="121"/>
      <c r="OHU892" s="121"/>
      <c r="OHV892" s="121"/>
      <c r="OHW892" s="121"/>
      <c r="OHX892" s="121"/>
      <c r="OHY892" s="121"/>
      <c r="OHZ892" s="121"/>
      <c r="OIA892" s="121"/>
      <c r="OIB892" s="121"/>
      <c r="OIC892" s="121"/>
      <c r="OID892" s="121"/>
      <c r="OIE892" s="121"/>
      <c r="OIF892" s="121"/>
      <c r="OIG892" s="121"/>
      <c r="OIH892" s="121"/>
      <c r="OII892" s="121"/>
      <c r="OIJ892" s="121"/>
      <c r="OIK892" s="121"/>
      <c r="OIL892" s="121"/>
      <c r="OIM892" s="121"/>
      <c r="OIN892" s="121"/>
      <c r="OIO892" s="121"/>
      <c r="OIP892" s="121"/>
      <c r="OIQ892" s="121"/>
      <c r="OIR892" s="121"/>
      <c r="OIS892" s="121"/>
      <c r="OIT892" s="121"/>
      <c r="OIU892" s="121"/>
      <c r="OIV892" s="121"/>
      <c r="OIW892" s="121"/>
      <c r="OIX892" s="121"/>
      <c r="OIY892" s="121"/>
      <c r="OIZ892" s="121"/>
      <c r="OJA892" s="121"/>
      <c r="OJB892" s="121"/>
      <c r="OJC892" s="121"/>
      <c r="OJD892" s="121"/>
      <c r="OJE892" s="121"/>
      <c r="OJF892" s="121"/>
      <c r="OJG892" s="121"/>
      <c r="OJH892" s="121"/>
      <c r="OJI892" s="121"/>
      <c r="OJJ892" s="121"/>
      <c r="OJK892" s="121"/>
      <c r="OJL892" s="121"/>
      <c r="OJM892" s="121"/>
      <c r="OJN892" s="121"/>
      <c r="OJO892" s="121"/>
      <c r="OJP892" s="121"/>
      <c r="OJQ892" s="121"/>
      <c r="OJR892" s="121"/>
      <c r="OJS892" s="121"/>
      <c r="OJT892" s="121"/>
      <c r="OJU892" s="121"/>
      <c r="OJV892" s="121"/>
      <c r="OJW892" s="121"/>
      <c r="OJX892" s="121"/>
      <c r="OJY892" s="121"/>
      <c r="OJZ892" s="121"/>
      <c r="OKA892" s="121"/>
      <c r="OKB892" s="121"/>
      <c r="OKC892" s="121"/>
      <c r="OKD892" s="121"/>
      <c r="OKE892" s="121"/>
      <c r="OKF892" s="121"/>
      <c r="OKG892" s="121"/>
      <c r="OKH892" s="121"/>
      <c r="OKI892" s="121"/>
      <c r="OKJ892" s="121"/>
      <c r="OKK892" s="121"/>
      <c r="OKL892" s="121"/>
      <c r="OKM892" s="121"/>
      <c r="OKN892" s="121"/>
      <c r="OKO892" s="121"/>
      <c r="OKP892" s="121"/>
      <c r="OKQ892" s="121"/>
      <c r="OKR892" s="121"/>
      <c r="OKS892" s="121"/>
      <c r="OKT892" s="121"/>
      <c r="OKU892" s="121"/>
      <c r="OKV892" s="121"/>
      <c r="OKW892" s="121"/>
      <c r="OKX892" s="121"/>
      <c r="OKY892" s="121"/>
      <c r="OKZ892" s="121"/>
      <c r="OLA892" s="121"/>
      <c r="OLB892" s="121"/>
      <c r="OLC892" s="121"/>
      <c r="OLD892" s="121"/>
      <c r="OLE892" s="121"/>
      <c r="OLF892" s="121"/>
      <c r="OLG892" s="121"/>
      <c r="OLH892" s="121"/>
      <c r="OLI892" s="121"/>
      <c r="OLJ892" s="121"/>
      <c r="OLK892" s="121"/>
      <c r="OLL892" s="121"/>
      <c r="OLM892" s="121"/>
      <c r="OLN892" s="121"/>
      <c r="OLO892" s="121"/>
      <c r="OLP892" s="121"/>
      <c r="OLQ892" s="121"/>
      <c r="OLR892" s="121"/>
      <c r="OLS892" s="121"/>
      <c r="OLT892" s="121"/>
      <c r="OLU892" s="121"/>
      <c r="OLV892" s="121"/>
      <c r="OLW892" s="121"/>
      <c r="OLX892" s="121"/>
      <c r="OLY892" s="121"/>
      <c r="OLZ892" s="121"/>
      <c r="OMA892" s="121"/>
      <c r="OMB892" s="121"/>
      <c r="OMC892" s="121"/>
      <c r="OMD892" s="121"/>
      <c r="OME892" s="121"/>
      <c r="OMF892" s="121"/>
      <c r="OMG892" s="121"/>
      <c r="OMH892" s="121"/>
      <c r="OMI892" s="121"/>
      <c r="OMJ892" s="121"/>
      <c r="OMK892" s="121"/>
      <c r="OML892" s="121"/>
      <c r="OMM892" s="121"/>
      <c r="OMN892" s="121"/>
      <c r="OMO892" s="121"/>
      <c r="OMP892" s="121"/>
      <c r="OMQ892" s="121"/>
      <c r="OMR892" s="121"/>
      <c r="OMS892" s="121"/>
      <c r="OMT892" s="121"/>
      <c r="OMU892" s="121"/>
      <c r="OMV892" s="121"/>
      <c r="OMW892" s="121"/>
      <c r="OMX892" s="121"/>
      <c r="OMY892" s="121"/>
      <c r="OMZ892" s="121"/>
      <c r="ONA892" s="121"/>
      <c r="ONB892" s="121"/>
      <c r="ONC892" s="121"/>
      <c r="OND892" s="121"/>
      <c r="ONE892" s="121"/>
      <c r="ONF892" s="121"/>
      <c r="ONG892" s="121"/>
      <c r="ONH892" s="121"/>
      <c r="ONI892" s="121"/>
      <c r="ONJ892" s="121"/>
      <c r="ONK892" s="121"/>
      <c r="ONL892" s="121"/>
      <c r="ONM892" s="121"/>
      <c r="ONN892" s="121"/>
      <c r="ONO892" s="121"/>
      <c r="ONP892" s="121"/>
      <c r="ONQ892" s="121"/>
      <c r="ONR892" s="121"/>
      <c r="ONS892" s="121"/>
      <c r="ONT892" s="121"/>
      <c r="ONU892" s="121"/>
      <c r="ONV892" s="121"/>
      <c r="ONW892" s="121"/>
      <c r="ONX892" s="121"/>
      <c r="ONY892" s="121"/>
      <c r="ONZ892" s="121"/>
      <c r="OOA892" s="121"/>
      <c r="OOB892" s="121"/>
      <c r="OOC892" s="121"/>
      <c r="OOD892" s="121"/>
      <c r="OOE892" s="121"/>
      <c r="OOF892" s="121"/>
      <c r="OOG892" s="121"/>
      <c r="OOH892" s="121"/>
      <c r="OOI892" s="121"/>
      <c r="OOJ892" s="121"/>
      <c r="OOK892" s="121"/>
      <c r="OOL892" s="121"/>
      <c r="OOM892" s="121"/>
      <c r="OON892" s="121"/>
      <c r="OOO892" s="121"/>
      <c r="OOP892" s="121"/>
      <c r="OOQ892" s="121"/>
      <c r="OOR892" s="121"/>
      <c r="OOS892" s="121"/>
      <c r="OOT892" s="121"/>
      <c r="OOU892" s="121"/>
      <c r="OOV892" s="121"/>
      <c r="OOW892" s="121"/>
      <c r="OOX892" s="121"/>
      <c r="OOY892" s="121"/>
      <c r="OOZ892" s="121"/>
      <c r="OPA892" s="121"/>
      <c r="OPB892" s="121"/>
      <c r="OPC892" s="121"/>
      <c r="OPD892" s="121"/>
      <c r="OPE892" s="121"/>
      <c r="OPF892" s="121"/>
      <c r="OPG892" s="121"/>
      <c r="OPH892" s="121"/>
      <c r="OPI892" s="121"/>
      <c r="OPJ892" s="121"/>
      <c r="OPK892" s="121"/>
      <c r="OPL892" s="121"/>
      <c r="OPM892" s="121"/>
      <c r="OPN892" s="121"/>
      <c r="OPO892" s="121"/>
      <c r="OPP892" s="121"/>
      <c r="OPQ892" s="121"/>
      <c r="OPR892" s="121"/>
      <c r="OPS892" s="121"/>
      <c r="OPT892" s="121"/>
      <c r="OPU892" s="121"/>
      <c r="OPV892" s="121"/>
      <c r="OPW892" s="121"/>
      <c r="OPX892" s="121"/>
      <c r="OPY892" s="121"/>
      <c r="OPZ892" s="121"/>
      <c r="OQA892" s="121"/>
      <c r="OQB892" s="121"/>
      <c r="OQC892" s="121"/>
      <c r="OQD892" s="121"/>
      <c r="OQE892" s="121"/>
      <c r="OQF892" s="121"/>
      <c r="OQG892" s="121"/>
      <c r="OQH892" s="121"/>
      <c r="OQI892" s="121"/>
      <c r="OQJ892" s="121"/>
      <c r="OQK892" s="121"/>
      <c r="OQL892" s="121"/>
      <c r="OQM892" s="121"/>
      <c r="OQN892" s="121"/>
      <c r="OQO892" s="121"/>
      <c r="OQP892" s="121"/>
      <c r="OQQ892" s="121"/>
      <c r="OQR892" s="121"/>
      <c r="OQS892" s="121"/>
      <c r="OQT892" s="121"/>
      <c r="OQU892" s="121"/>
      <c r="OQV892" s="121"/>
      <c r="OQW892" s="121"/>
      <c r="OQX892" s="121"/>
      <c r="OQY892" s="121"/>
      <c r="OQZ892" s="121"/>
      <c r="ORA892" s="121"/>
      <c r="ORB892" s="121"/>
      <c r="ORC892" s="121"/>
      <c r="ORD892" s="121"/>
      <c r="ORE892" s="121"/>
      <c r="ORF892" s="121"/>
      <c r="ORG892" s="121"/>
      <c r="ORH892" s="121"/>
      <c r="ORI892" s="121"/>
      <c r="ORJ892" s="121"/>
      <c r="ORK892" s="121"/>
      <c r="ORL892" s="121"/>
      <c r="ORM892" s="121"/>
      <c r="ORN892" s="121"/>
      <c r="ORO892" s="121"/>
      <c r="ORP892" s="121"/>
      <c r="ORQ892" s="121"/>
      <c r="ORR892" s="121"/>
      <c r="ORS892" s="121"/>
      <c r="ORT892" s="121"/>
      <c r="ORU892" s="121"/>
      <c r="ORV892" s="121"/>
      <c r="ORW892" s="121"/>
      <c r="ORX892" s="121"/>
      <c r="ORY892" s="121"/>
      <c r="ORZ892" s="121"/>
      <c r="OSA892" s="121"/>
      <c r="OSB892" s="121"/>
      <c r="OSC892" s="121"/>
      <c r="OSD892" s="121"/>
      <c r="OSE892" s="121"/>
      <c r="OSF892" s="121"/>
      <c r="OSG892" s="121"/>
      <c r="OSH892" s="121"/>
      <c r="OSI892" s="121"/>
      <c r="OSJ892" s="121"/>
      <c r="OSK892" s="121"/>
      <c r="OSL892" s="121"/>
      <c r="OSM892" s="121"/>
      <c r="OSN892" s="121"/>
      <c r="OSO892" s="121"/>
      <c r="OSP892" s="121"/>
      <c r="OSQ892" s="121"/>
      <c r="OSR892" s="121"/>
      <c r="OSS892" s="121"/>
      <c r="OST892" s="121"/>
      <c r="OSU892" s="121"/>
      <c r="OSV892" s="121"/>
      <c r="OSW892" s="121"/>
      <c r="OSX892" s="121"/>
      <c r="OSY892" s="121"/>
      <c r="OSZ892" s="121"/>
      <c r="OTA892" s="121"/>
      <c r="OTB892" s="121"/>
      <c r="OTC892" s="121"/>
      <c r="OTD892" s="121"/>
      <c r="OTE892" s="121"/>
      <c r="OTF892" s="121"/>
      <c r="OTG892" s="121"/>
      <c r="OTH892" s="121"/>
      <c r="OTI892" s="121"/>
      <c r="OTJ892" s="121"/>
      <c r="OTK892" s="121"/>
      <c r="OTL892" s="121"/>
      <c r="OTM892" s="121"/>
      <c r="OTN892" s="121"/>
      <c r="OTO892" s="121"/>
      <c r="OTP892" s="121"/>
      <c r="OTQ892" s="121"/>
      <c r="OTR892" s="121"/>
      <c r="OTS892" s="121"/>
      <c r="OTT892" s="121"/>
      <c r="OTU892" s="121"/>
      <c r="OTV892" s="121"/>
      <c r="OTW892" s="121"/>
      <c r="OTX892" s="121"/>
      <c r="OTY892" s="121"/>
      <c r="OTZ892" s="121"/>
      <c r="OUA892" s="121"/>
      <c r="OUB892" s="121"/>
      <c r="OUC892" s="121"/>
      <c r="OUD892" s="121"/>
      <c r="OUE892" s="121"/>
      <c r="OUF892" s="121"/>
      <c r="OUG892" s="121"/>
      <c r="OUH892" s="121"/>
      <c r="OUI892" s="121"/>
      <c r="OUJ892" s="121"/>
      <c r="OUK892" s="121"/>
      <c r="OUL892" s="121"/>
      <c r="OUM892" s="121"/>
      <c r="OUN892" s="121"/>
      <c r="OUO892" s="121"/>
      <c r="OUP892" s="121"/>
      <c r="OUQ892" s="121"/>
      <c r="OUR892" s="121"/>
      <c r="OUS892" s="121"/>
      <c r="OUT892" s="121"/>
      <c r="OUU892" s="121"/>
      <c r="OUV892" s="121"/>
      <c r="OUW892" s="121"/>
      <c r="OUX892" s="121"/>
      <c r="OUY892" s="121"/>
      <c r="OUZ892" s="121"/>
      <c r="OVA892" s="121"/>
      <c r="OVB892" s="121"/>
      <c r="OVC892" s="121"/>
      <c r="OVD892" s="121"/>
      <c r="OVE892" s="121"/>
      <c r="OVF892" s="121"/>
      <c r="OVG892" s="121"/>
      <c r="OVH892" s="121"/>
      <c r="OVI892" s="121"/>
      <c r="OVJ892" s="121"/>
      <c r="OVK892" s="121"/>
      <c r="OVL892" s="121"/>
      <c r="OVM892" s="121"/>
      <c r="OVN892" s="121"/>
      <c r="OVO892" s="121"/>
      <c r="OVP892" s="121"/>
      <c r="OVQ892" s="121"/>
      <c r="OVR892" s="121"/>
      <c r="OVS892" s="121"/>
      <c r="OVT892" s="121"/>
      <c r="OVU892" s="121"/>
      <c r="OVV892" s="121"/>
      <c r="OVW892" s="121"/>
      <c r="OVX892" s="121"/>
      <c r="OVY892" s="121"/>
      <c r="OVZ892" s="121"/>
      <c r="OWA892" s="121"/>
      <c r="OWB892" s="121"/>
      <c r="OWC892" s="121"/>
      <c r="OWD892" s="121"/>
      <c r="OWE892" s="121"/>
      <c r="OWF892" s="121"/>
      <c r="OWG892" s="121"/>
      <c r="OWH892" s="121"/>
      <c r="OWI892" s="121"/>
      <c r="OWJ892" s="121"/>
      <c r="OWK892" s="121"/>
      <c r="OWL892" s="121"/>
      <c r="OWM892" s="121"/>
      <c r="OWN892" s="121"/>
      <c r="OWO892" s="121"/>
      <c r="OWP892" s="121"/>
      <c r="OWQ892" s="121"/>
      <c r="OWR892" s="121"/>
      <c r="OWS892" s="121"/>
      <c r="OWT892" s="121"/>
      <c r="OWU892" s="121"/>
      <c r="OWV892" s="121"/>
      <c r="OWW892" s="121"/>
      <c r="OWX892" s="121"/>
      <c r="OWY892" s="121"/>
      <c r="OWZ892" s="121"/>
      <c r="OXA892" s="121"/>
      <c r="OXB892" s="121"/>
      <c r="OXC892" s="121"/>
      <c r="OXD892" s="121"/>
      <c r="OXE892" s="121"/>
      <c r="OXF892" s="121"/>
      <c r="OXG892" s="121"/>
      <c r="OXH892" s="121"/>
      <c r="OXI892" s="121"/>
      <c r="OXJ892" s="121"/>
      <c r="OXK892" s="121"/>
      <c r="OXL892" s="121"/>
      <c r="OXM892" s="121"/>
      <c r="OXN892" s="121"/>
      <c r="OXO892" s="121"/>
      <c r="OXP892" s="121"/>
      <c r="OXQ892" s="121"/>
      <c r="OXR892" s="121"/>
      <c r="OXS892" s="121"/>
      <c r="OXT892" s="121"/>
      <c r="OXU892" s="121"/>
      <c r="OXV892" s="121"/>
      <c r="OXW892" s="121"/>
      <c r="OXX892" s="121"/>
      <c r="OXY892" s="121"/>
      <c r="OXZ892" s="121"/>
      <c r="OYA892" s="121"/>
      <c r="OYB892" s="121"/>
      <c r="OYC892" s="121"/>
      <c r="OYD892" s="121"/>
      <c r="OYE892" s="121"/>
      <c r="OYF892" s="121"/>
      <c r="OYG892" s="121"/>
      <c r="OYH892" s="121"/>
      <c r="OYI892" s="121"/>
      <c r="OYJ892" s="121"/>
      <c r="OYK892" s="121"/>
      <c r="OYL892" s="121"/>
      <c r="OYM892" s="121"/>
      <c r="OYN892" s="121"/>
      <c r="OYO892" s="121"/>
      <c r="OYP892" s="121"/>
      <c r="OYQ892" s="121"/>
      <c r="OYR892" s="121"/>
      <c r="OYS892" s="121"/>
      <c r="OYT892" s="121"/>
      <c r="OYU892" s="121"/>
      <c r="OYV892" s="121"/>
      <c r="OYW892" s="121"/>
      <c r="OYX892" s="121"/>
      <c r="OYY892" s="121"/>
      <c r="OYZ892" s="121"/>
      <c r="OZA892" s="121"/>
      <c r="OZB892" s="121"/>
      <c r="OZC892" s="121"/>
      <c r="OZD892" s="121"/>
      <c r="OZE892" s="121"/>
      <c r="OZF892" s="121"/>
      <c r="OZG892" s="121"/>
      <c r="OZH892" s="121"/>
      <c r="OZI892" s="121"/>
      <c r="OZJ892" s="121"/>
      <c r="OZK892" s="121"/>
      <c r="OZL892" s="121"/>
      <c r="OZM892" s="121"/>
      <c r="OZN892" s="121"/>
      <c r="OZO892" s="121"/>
      <c r="OZP892" s="121"/>
      <c r="OZQ892" s="121"/>
      <c r="OZR892" s="121"/>
      <c r="OZS892" s="121"/>
      <c r="OZT892" s="121"/>
      <c r="OZU892" s="121"/>
      <c r="OZV892" s="121"/>
      <c r="OZW892" s="121"/>
      <c r="OZX892" s="121"/>
      <c r="OZY892" s="121"/>
      <c r="OZZ892" s="121"/>
      <c r="PAA892" s="121"/>
      <c r="PAB892" s="121"/>
      <c r="PAC892" s="121"/>
      <c r="PAD892" s="121"/>
      <c r="PAE892" s="121"/>
      <c r="PAF892" s="121"/>
      <c r="PAG892" s="121"/>
      <c r="PAH892" s="121"/>
      <c r="PAI892" s="121"/>
      <c r="PAJ892" s="121"/>
      <c r="PAK892" s="121"/>
      <c r="PAL892" s="121"/>
      <c r="PAM892" s="121"/>
      <c r="PAN892" s="121"/>
      <c r="PAO892" s="121"/>
      <c r="PAP892" s="121"/>
      <c r="PAQ892" s="121"/>
      <c r="PAR892" s="121"/>
      <c r="PAS892" s="121"/>
      <c r="PAT892" s="121"/>
      <c r="PAU892" s="121"/>
      <c r="PAV892" s="121"/>
      <c r="PAW892" s="121"/>
      <c r="PAX892" s="121"/>
      <c r="PAY892" s="121"/>
      <c r="PAZ892" s="121"/>
      <c r="PBA892" s="121"/>
      <c r="PBB892" s="121"/>
      <c r="PBC892" s="121"/>
      <c r="PBD892" s="121"/>
      <c r="PBE892" s="121"/>
      <c r="PBF892" s="121"/>
      <c r="PBG892" s="121"/>
      <c r="PBH892" s="121"/>
      <c r="PBI892" s="121"/>
      <c r="PBJ892" s="121"/>
      <c r="PBK892" s="121"/>
      <c r="PBL892" s="121"/>
      <c r="PBM892" s="121"/>
      <c r="PBN892" s="121"/>
      <c r="PBO892" s="121"/>
      <c r="PBP892" s="121"/>
      <c r="PBQ892" s="121"/>
      <c r="PBR892" s="121"/>
      <c r="PBS892" s="121"/>
      <c r="PBT892" s="121"/>
      <c r="PBU892" s="121"/>
      <c r="PBV892" s="121"/>
      <c r="PBW892" s="121"/>
      <c r="PBX892" s="121"/>
      <c r="PBY892" s="121"/>
      <c r="PBZ892" s="121"/>
      <c r="PCA892" s="121"/>
      <c r="PCB892" s="121"/>
      <c r="PCC892" s="121"/>
      <c r="PCD892" s="121"/>
      <c r="PCE892" s="121"/>
      <c r="PCF892" s="121"/>
      <c r="PCG892" s="121"/>
      <c r="PCH892" s="121"/>
      <c r="PCI892" s="121"/>
      <c r="PCJ892" s="121"/>
      <c r="PCK892" s="121"/>
      <c r="PCL892" s="121"/>
      <c r="PCM892" s="121"/>
      <c r="PCN892" s="121"/>
      <c r="PCO892" s="121"/>
      <c r="PCP892" s="121"/>
      <c r="PCQ892" s="121"/>
      <c r="PCR892" s="121"/>
      <c r="PCS892" s="121"/>
      <c r="PCT892" s="121"/>
      <c r="PCU892" s="121"/>
      <c r="PCV892" s="121"/>
      <c r="PCW892" s="121"/>
      <c r="PCX892" s="121"/>
      <c r="PCY892" s="121"/>
      <c r="PCZ892" s="121"/>
      <c r="PDA892" s="121"/>
      <c r="PDB892" s="121"/>
      <c r="PDC892" s="121"/>
      <c r="PDD892" s="121"/>
      <c r="PDE892" s="121"/>
      <c r="PDF892" s="121"/>
      <c r="PDG892" s="121"/>
      <c r="PDH892" s="121"/>
      <c r="PDI892" s="121"/>
      <c r="PDJ892" s="121"/>
      <c r="PDK892" s="121"/>
      <c r="PDL892" s="121"/>
      <c r="PDM892" s="121"/>
      <c r="PDN892" s="121"/>
      <c r="PDO892" s="121"/>
      <c r="PDP892" s="121"/>
      <c r="PDQ892" s="121"/>
      <c r="PDR892" s="121"/>
      <c r="PDS892" s="121"/>
      <c r="PDT892" s="121"/>
      <c r="PDU892" s="121"/>
      <c r="PDV892" s="121"/>
      <c r="PDW892" s="121"/>
      <c r="PDX892" s="121"/>
      <c r="PDY892" s="121"/>
      <c r="PDZ892" s="121"/>
      <c r="PEA892" s="121"/>
      <c r="PEB892" s="121"/>
      <c r="PEC892" s="121"/>
      <c r="PED892" s="121"/>
      <c r="PEE892" s="121"/>
      <c r="PEF892" s="121"/>
      <c r="PEG892" s="121"/>
      <c r="PEH892" s="121"/>
      <c r="PEI892" s="121"/>
      <c r="PEJ892" s="121"/>
      <c r="PEK892" s="121"/>
      <c r="PEL892" s="121"/>
      <c r="PEM892" s="121"/>
      <c r="PEN892" s="121"/>
      <c r="PEO892" s="121"/>
      <c r="PEP892" s="121"/>
      <c r="PEQ892" s="121"/>
      <c r="PER892" s="121"/>
      <c r="PES892" s="121"/>
      <c r="PET892" s="121"/>
      <c r="PEU892" s="121"/>
      <c r="PEV892" s="121"/>
      <c r="PEW892" s="121"/>
      <c r="PEX892" s="121"/>
      <c r="PEY892" s="121"/>
      <c r="PEZ892" s="121"/>
      <c r="PFA892" s="121"/>
      <c r="PFB892" s="121"/>
      <c r="PFC892" s="121"/>
      <c r="PFD892" s="121"/>
      <c r="PFE892" s="121"/>
      <c r="PFF892" s="121"/>
      <c r="PFG892" s="121"/>
      <c r="PFH892" s="121"/>
      <c r="PFI892" s="121"/>
      <c r="PFJ892" s="121"/>
      <c r="PFK892" s="121"/>
      <c r="PFL892" s="121"/>
      <c r="PFM892" s="121"/>
      <c r="PFN892" s="121"/>
      <c r="PFO892" s="121"/>
      <c r="PFP892" s="121"/>
      <c r="PFQ892" s="121"/>
      <c r="PFR892" s="121"/>
      <c r="PFS892" s="121"/>
      <c r="PFT892" s="121"/>
      <c r="PFU892" s="121"/>
      <c r="PFV892" s="121"/>
      <c r="PFW892" s="121"/>
      <c r="PFX892" s="121"/>
      <c r="PFY892" s="121"/>
      <c r="PFZ892" s="121"/>
      <c r="PGA892" s="121"/>
      <c r="PGB892" s="121"/>
      <c r="PGC892" s="121"/>
      <c r="PGD892" s="121"/>
      <c r="PGE892" s="121"/>
      <c r="PGF892" s="121"/>
      <c r="PGG892" s="121"/>
      <c r="PGH892" s="121"/>
      <c r="PGI892" s="121"/>
      <c r="PGJ892" s="121"/>
      <c r="PGK892" s="121"/>
      <c r="PGL892" s="121"/>
      <c r="PGM892" s="121"/>
      <c r="PGN892" s="121"/>
      <c r="PGO892" s="121"/>
      <c r="PGP892" s="121"/>
      <c r="PGQ892" s="121"/>
      <c r="PGR892" s="121"/>
      <c r="PGS892" s="121"/>
      <c r="PGT892" s="121"/>
      <c r="PGU892" s="121"/>
      <c r="PGV892" s="121"/>
      <c r="PGW892" s="121"/>
      <c r="PGX892" s="121"/>
      <c r="PGY892" s="121"/>
      <c r="PGZ892" s="121"/>
      <c r="PHA892" s="121"/>
      <c r="PHB892" s="121"/>
      <c r="PHC892" s="121"/>
      <c r="PHD892" s="121"/>
      <c r="PHE892" s="121"/>
      <c r="PHF892" s="121"/>
      <c r="PHG892" s="121"/>
      <c r="PHH892" s="121"/>
      <c r="PHI892" s="121"/>
      <c r="PHJ892" s="121"/>
      <c r="PHK892" s="121"/>
      <c r="PHL892" s="121"/>
      <c r="PHM892" s="121"/>
      <c r="PHN892" s="121"/>
      <c r="PHO892" s="121"/>
      <c r="PHP892" s="121"/>
      <c r="PHQ892" s="121"/>
      <c r="PHR892" s="121"/>
      <c r="PHS892" s="121"/>
      <c r="PHT892" s="121"/>
      <c r="PHU892" s="121"/>
      <c r="PHV892" s="121"/>
      <c r="PHW892" s="121"/>
      <c r="PHX892" s="121"/>
      <c r="PHY892" s="121"/>
      <c r="PHZ892" s="121"/>
      <c r="PIA892" s="121"/>
      <c r="PIB892" s="121"/>
      <c r="PIC892" s="121"/>
      <c r="PID892" s="121"/>
      <c r="PIE892" s="121"/>
      <c r="PIF892" s="121"/>
      <c r="PIG892" s="121"/>
      <c r="PIH892" s="121"/>
      <c r="PII892" s="121"/>
      <c r="PIJ892" s="121"/>
      <c r="PIK892" s="121"/>
      <c r="PIL892" s="121"/>
      <c r="PIM892" s="121"/>
      <c r="PIN892" s="121"/>
      <c r="PIO892" s="121"/>
      <c r="PIP892" s="121"/>
      <c r="PIQ892" s="121"/>
      <c r="PIR892" s="121"/>
      <c r="PIS892" s="121"/>
      <c r="PIT892" s="121"/>
      <c r="PIU892" s="121"/>
      <c r="PIV892" s="121"/>
      <c r="PIW892" s="121"/>
      <c r="PIX892" s="121"/>
      <c r="PIY892" s="121"/>
      <c r="PIZ892" s="121"/>
      <c r="PJA892" s="121"/>
      <c r="PJB892" s="121"/>
      <c r="PJC892" s="121"/>
      <c r="PJD892" s="121"/>
      <c r="PJE892" s="121"/>
      <c r="PJF892" s="121"/>
      <c r="PJG892" s="121"/>
      <c r="PJH892" s="121"/>
      <c r="PJI892" s="121"/>
      <c r="PJJ892" s="121"/>
      <c r="PJK892" s="121"/>
      <c r="PJL892" s="121"/>
      <c r="PJM892" s="121"/>
      <c r="PJN892" s="121"/>
      <c r="PJO892" s="121"/>
      <c r="PJP892" s="121"/>
      <c r="PJQ892" s="121"/>
      <c r="PJR892" s="121"/>
      <c r="PJS892" s="121"/>
      <c r="PJT892" s="121"/>
      <c r="PJU892" s="121"/>
      <c r="PJV892" s="121"/>
      <c r="PJW892" s="121"/>
      <c r="PJX892" s="121"/>
      <c r="PJY892" s="121"/>
      <c r="PJZ892" s="121"/>
      <c r="PKA892" s="121"/>
      <c r="PKB892" s="121"/>
      <c r="PKC892" s="121"/>
      <c r="PKD892" s="121"/>
      <c r="PKE892" s="121"/>
      <c r="PKF892" s="121"/>
      <c r="PKG892" s="121"/>
      <c r="PKH892" s="121"/>
      <c r="PKI892" s="121"/>
      <c r="PKJ892" s="121"/>
      <c r="PKK892" s="121"/>
      <c r="PKL892" s="121"/>
      <c r="PKM892" s="121"/>
      <c r="PKN892" s="121"/>
      <c r="PKO892" s="121"/>
      <c r="PKP892" s="121"/>
      <c r="PKQ892" s="121"/>
      <c r="PKR892" s="121"/>
      <c r="PKS892" s="121"/>
      <c r="PKT892" s="121"/>
      <c r="PKU892" s="121"/>
      <c r="PKV892" s="121"/>
      <c r="PKW892" s="121"/>
      <c r="PKX892" s="121"/>
      <c r="PKY892" s="121"/>
      <c r="PKZ892" s="121"/>
      <c r="PLA892" s="121"/>
      <c r="PLB892" s="121"/>
      <c r="PLC892" s="121"/>
      <c r="PLD892" s="121"/>
      <c r="PLE892" s="121"/>
      <c r="PLF892" s="121"/>
      <c r="PLG892" s="121"/>
      <c r="PLH892" s="121"/>
      <c r="PLI892" s="121"/>
      <c r="PLJ892" s="121"/>
      <c r="PLK892" s="121"/>
      <c r="PLL892" s="121"/>
      <c r="PLM892" s="121"/>
      <c r="PLN892" s="121"/>
      <c r="PLO892" s="121"/>
      <c r="PLP892" s="121"/>
      <c r="PLQ892" s="121"/>
      <c r="PLR892" s="121"/>
      <c r="PLS892" s="121"/>
      <c r="PLT892" s="121"/>
      <c r="PLU892" s="121"/>
      <c r="PLV892" s="121"/>
      <c r="PLW892" s="121"/>
      <c r="PLX892" s="121"/>
      <c r="PLY892" s="121"/>
      <c r="PLZ892" s="121"/>
      <c r="PMA892" s="121"/>
      <c r="PMB892" s="121"/>
      <c r="PMC892" s="121"/>
      <c r="PMD892" s="121"/>
      <c r="PME892" s="121"/>
      <c r="PMF892" s="121"/>
      <c r="PMG892" s="121"/>
      <c r="PMH892" s="121"/>
      <c r="PMI892" s="121"/>
      <c r="PMJ892" s="121"/>
      <c r="PMK892" s="121"/>
      <c r="PML892" s="121"/>
      <c r="PMM892" s="121"/>
      <c r="PMN892" s="121"/>
      <c r="PMO892" s="121"/>
      <c r="PMP892" s="121"/>
      <c r="PMQ892" s="121"/>
      <c r="PMR892" s="121"/>
      <c r="PMS892" s="121"/>
      <c r="PMT892" s="121"/>
      <c r="PMU892" s="121"/>
      <c r="PMV892" s="121"/>
      <c r="PMW892" s="121"/>
      <c r="PMX892" s="121"/>
      <c r="PMY892" s="121"/>
      <c r="PMZ892" s="121"/>
      <c r="PNA892" s="121"/>
      <c r="PNB892" s="121"/>
      <c r="PNC892" s="121"/>
      <c r="PND892" s="121"/>
      <c r="PNE892" s="121"/>
      <c r="PNF892" s="121"/>
      <c r="PNG892" s="121"/>
      <c r="PNH892" s="121"/>
      <c r="PNI892" s="121"/>
      <c r="PNJ892" s="121"/>
      <c r="PNK892" s="121"/>
      <c r="PNL892" s="121"/>
      <c r="PNM892" s="121"/>
      <c r="PNN892" s="121"/>
      <c r="PNO892" s="121"/>
      <c r="PNP892" s="121"/>
      <c r="PNQ892" s="121"/>
      <c r="PNR892" s="121"/>
      <c r="PNS892" s="121"/>
      <c r="PNT892" s="121"/>
      <c r="PNU892" s="121"/>
      <c r="PNV892" s="121"/>
      <c r="PNW892" s="121"/>
      <c r="PNX892" s="121"/>
      <c r="PNY892" s="121"/>
      <c r="PNZ892" s="121"/>
      <c r="POA892" s="121"/>
      <c r="POB892" s="121"/>
      <c r="POC892" s="121"/>
      <c r="POD892" s="121"/>
      <c r="POE892" s="121"/>
      <c r="POF892" s="121"/>
      <c r="POG892" s="121"/>
      <c r="POH892" s="121"/>
      <c r="POI892" s="121"/>
      <c r="POJ892" s="121"/>
      <c r="POK892" s="121"/>
      <c r="POL892" s="121"/>
      <c r="POM892" s="121"/>
      <c r="PON892" s="121"/>
      <c r="POO892" s="121"/>
      <c r="POP892" s="121"/>
      <c r="POQ892" s="121"/>
      <c r="POR892" s="121"/>
      <c r="POS892" s="121"/>
      <c r="POT892" s="121"/>
      <c r="POU892" s="121"/>
      <c r="POV892" s="121"/>
      <c r="POW892" s="121"/>
      <c r="POX892" s="121"/>
      <c r="POY892" s="121"/>
      <c r="POZ892" s="121"/>
      <c r="PPA892" s="121"/>
      <c r="PPB892" s="121"/>
      <c r="PPC892" s="121"/>
      <c r="PPD892" s="121"/>
      <c r="PPE892" s="121"/>
      <c r="PPF892" s="121"/>
      <c r="PPG892" s="121"/>
      <c r="PPH892" s="121"/>
      <c r="PPI892" s="121"/>
      <c r="PPJ892" s="121"/>
      <c r="PPK892" s="121"/>
      <c r="PPL892" s="121"/>
      <c r="PPM892" s="121"/>
      <c r="PPN892" s="121"/>
      <c r="PPO892" s="121"/>
      <c r="PPP892" s="121"/>
      <c r="PPQ892" s="121"/>
      <c r="PPR892" s="121"/>
      <c r="PPS892" s="121"/>
      <c r="PPT892" s="121"/>
      <c r="PPU892" s="121"/>
      <c r="PPV892" s="121"/>
      <c r="PPW892" s="121"/>
      <c r="PPX892" s="121"/>
      <c r="PPY892" s="121"/>
      <c r="PPZ892" s="121"/>
      <c r="PQA892" s="121"/>
      <c r="PQB892" s="121"/>
      <c r="PQC892" s="121"/>
      <c r="PQD892" s="121"/>
      <c r="PQE892" s="121"/>
      <c r="PQF892" s="121"/>
      <c r="PQG892" s="121"/>
      <c r="PQH892" s="121"/>
      <c r="PQI892" s="121"/>
      <c r="PQJ892" s="121"/>
      <c r="PQK892" s="121"/>
      <c r="PQL892" s="121"/>
      <c r="PQM892" s="121"/>
      <c r="PQN892" s="121"/>
      <c r="PQO892" s="121"/>
      <c r="PQP892" s="121"/>
      <c r="PQQ892" s="121"/>
      <c r="PQR892" s="121"/>
      <c r="PQS892" s="121"/>
      <c r="PQT892" s="121"/>
      <c r="PQU892" s="121"/>
      <c r="PQV892" s="121"/>
      <c r="PQW892" s="121"/>
      <c r="PQX892" s="121"/>
      <c r="PQY892" s="121"/>
      <c r="PQZ892" s="121"/>
      <c r="PRA892" s="121"/>
      <c r="PRB892" s="121"/>
      <c r="PRC892" s="121"/>
      <c r="PRD892" s="121"/>
      <c r="PRE892" s="121"/>
      <c r="PRF892" s="121"/>
      <c r="PRG892" s="121"/>
      <c r="PRH892" s="121"/>
      <c r="PRI892" s="121"/>
      <c r="PRJ892" s="121"/>
      <c r="PRK892" s="121"/>
      <c r="PRL892" s="121"/>
      <c r="PRM892" s="121"/>
      <c r="PRN892" s="121"/>
      <c r="PRO892" s="121"/>
      <c r="PRP892" s="121"/>
      <c r="PRQ892" s="121"/>
      <c r="PRR892" s="121"/>
      <c r="PRS892" s="121"/>
      <c r="PRT892" s="121"/>
      <c r="PRU892" s="121"/>
      <c r="PRV892" s="121"/>
      <c r="PRW892" s="121"/>
      <c r="PRX892" s="121"/>
      <c r="PRY892" s="121"/>
      <c r="PRZ892" s="121"/>
      <c r="PSA892" s="121"/>
      <c r="PSB892" s="121"/>
      <c r="PSC892" s="121"/>
      <c r="PSD892" s="121"/>
      <c r="PSE892" s="121"/>
      <c r="PSF892" s="121"/>
      <c r="PSG892" s="121"/>
      <c r="PSH892" s="121"/>
      <c r="PSI892" s="121"/>
      <c r="PSJ892" s="121"/>
      <c r="PSK892" s="121"/>
      <c r="PSL892" s="121"/>
      <c r="PSM892" s="121"/>
      <c r="PSN892" s="121"/>
      <c r="PSO892" s="121"/>
      <c r="PSP892" s="121"/>
      <c r="PSQ892" s="121"/>
      <c r="PSR892" s="121"/>
      <c r="PSS892" s="121"/>
      <c r="PST892" s="121"/>
      <c r="PSU892" s="121"/>
      <c r="PSV892" s="121"/>
      <c r="PSW892" s="121"/>
      <c r="PSX892" s="121"/>
      <c r="PSY892" s="121"/>
      <c r="PSZ892" s="121"/>
      <c r="PTA892" s="121"/>
      <c r="PTB892" s="121"/>
      <c r="PTC892" s="121"/>
      <c r="PTD892" s="121"/>
      <c r="PTE892" s="121"/>
      <c r="PTF892" s="121"/>
      <c r="PTG892" s="121"/>
      <c r="PTH892" s="121"/>
      <c r="PTI892" s="121"/>
      <c r="PTJ892" s="121"/>
      <c r="PTK892" s="121"/>
      <c r="PTL892" s="121"/>
      <c r="PTM892" s="121"/>
      <c r="PTN892" s="121"/>
      <c r="PTO892" s="121"/>
      <c r="PTP892" s="121"/>
      <c r="PTQ892" s="121"/>
      <c r="PTR892" s="121"/>
      <c r="PTS892" s="121"/>
      <c r="PTT892" s="121"/>
      <c r="PTU892" s="121"/>
      <c r="PTV892" s="121"/>
      <c r="PTW892" s="121"/>
      <c r="PTX892" s="121"/>
      <c r="PTY892" s="121"/>
      <c r="PTZ892" s="121"/>
      <c r="PUA892" s="121"/>
      <c r="PUB892" s="121"/>
      <c r="PUC892" s="121"/>
      <c r="PUD892" s="121"/>
      <c r="PUE892" s="121"/>
      <c r="PUF892" s="121"/>
      <c r="PUG892" s="121"/>
      <c r="PUH892" s="121"/>
      <c r="PUI892" s="121"/>
      <c r="PUJ892" s="121"/>
      <c r="PUK892" s="121"/>
      <c r="PUL892" s="121"/>
      <c r="PUM892" s="121"/>
      <c r="PUN892" s="121"/>
      <c r="PUO892" s="121"/>
      <c r="PUP892" s="121"/>
      <c r="PUQ892" s="121"/>
      <c r="PUR892" s="121"/>
      <c r="PUS892" s="121"/>
      <c r="PUT892" s="121"/>
      <c r="PUU892" s="121"/>
      <c r="PUV892" s="121"/>
      <c r="PUW892" s="121"/>
      <c r="PUX892" s="121"/>
      <c r="PUY892" s="121"/>
      <c r="PUZ892" s="121"/>
      <c r="PVA892" s="121"/>
      <c r="PVB892" s="121"/>
      <c r="PVC892" s="121"/>
      <c r="PVD892" s="121"/>
      <c r="PVE892" s="121"/>
      <c r="PVF892" s="121"/>
      <c r="PVG892" s="121"/>
      <c r="PVH892" s="121"/>
      <c r="PVI892" s="121"/>
      <c r="PVJ892" s="121"/>
      <c r="PVK892" s="121"/>
      <c r="PVL892" s="121"/>
      <c r="PVM892" s="121"/>
      <c r="PVN892" s="121"/>
      <c r="PVO892" s="121"/>
      <c r="PVP892" s="121"/>
      <c r="PVQ892" s="121"/>
      <c r="PVR892" s="121"/>
      <c r="PVS892" s="121"/>
      <c r="PVT892" s="121"/>
      <c r="PVU892" s="121"/>
      <c r="PVV892" s="121"/>
      <c r="PVW892" s="121"/>
      <c r="PVX892" s="121"/>
      <c r="PVY892" s="121"/>
      <c r="PVZ892" s="121"/>
      <c r="PWA892" s="121"/>
      <c r="PWB892" s="121"/>
      <c r="PWC892" s="121"/>
      <c r="PWD892" s="121"/>
      <c r="PWE892" s="121"/>
      <c r="PWF892" s="121"/>
      <c r="PWG892" s="121"/>
      <c r="PWH892" s="121"/>
      <c r="PWI892" s="121"/>
      <c r="PWJ892" s="121"/>
      <c r="PWK892" s="121"/>
      <c r="PWL892" s="121"/>
      <c r="PWM892" s="121"/>
      <c r="PWN892" s="121"/>
      <c r="PWO892" s="121"/>
      <c r="PWP892" s="121"/>
      <c r="PWQ892" s="121"/>
      <c r="PWR892" s="121"/>
      <c r="PWS892" s="121"/>
      <c r="PWT892" s="121"/>
      <c r="PWU892" s="121"/>
      <c r="PWV892" s="121"/>
      <c r="PWW892" s="121"/>
      <c r="PWX892" s="121"/>
      <c r="PWY892" s="121"/>
      <c r="PWZ892" s="121"/>
      <c r="PXA892" s="121"/>
      <c r="PXB892" s="121"/>
      <c r="PXC892" s="121"/>
      <c r="PXD892" s="121"/>
      <c r="PXE892" s="121"/>
      <c r="PXF892" s="121"/>
      <c r="PXG892" s="121"/>
      <c r="PXH892" s="121"/>
      <c r="PXI892" s="121"/>
      <c r="PXJ892" s="121"/>
      <c r="PXK892" s="121"/>
      <c r="PXL892" s="121"/>
      <c r="PXM892" s="121"/>
      <c r="PXN892" s="121"/>
      <c r="PXO892" s="121"/>
      <c r="PXP892" s="121"/>
      <c r="PXQ892" s="121"/>
      <c r="PXR892" s="121"/>
      <c r="PXS892" s="121"/>
      <c r="PXT892" s="121"/>
      <c r="PXU892" s="121"/>
      <c r="PXV892" s="121"/>
      <c r="PXW892" s="121"/>
      <c r="PXX892" s="121"/>
      <c r="PXY892" s="121"/>
      <c r="PXZ892" s="121"/>
      <c r="PYA892" s="121"/>
      <c r="PYB892" s="121"/>
      <c r="PYC892" s="121"/>
      <c r="PYD892" s="121"/>
      <c r="PYE892" s="121"/>
      <c r="PYF892" s="121"/>
      <c r="PYG892" s="121"/>
      <c r="PYH892" s="121"/>
      <c r="PYI892" s="121"/>
      <c r="PYJ892" s="121"/>
      <c r="PYK892" s="121"/>
      <c r="PYL892" s="121"/>
      <c r="PYM892" s="121"/>
      <c r="PYN892" s="121"/>
      <c r="PYO892" s="121"/>
      <c r="PYP892" s="121"/>
      <c r="PYQ892" s="121"/>
      <c r="PYR892" s="121"/>
      <c r="PYS892" s="121"/>
      <c r="PYT892" s="121"/>
      <c r="PYU892" s="121"/>
      <c r="PYV892" s="121"/>
      <c r="PYW892" s="121"/>
      <c r="PYX892" s="121"/>
      <c r="PYY892" s="121"/>
      <c r="PYZ892" s="121"/>
      <c r="PZA892" s="121"/>
      <c r="PZB892" s="121"/>
      <c r="PZC892" s="121"/>
      <c r="PZD892" s="121"/>
      <c r="PZE892" s="121"/>
      <c r="PZF892" s="121"/>
      <c r="PZG892" s="121"/>
      <c r="PZH892" s="121"/>
      <c r="PZI892" s="121"/>
      <c r="PZJ892" s="121"/>
      <c r="PZK892" s="121"/>
      <c r="PZL892" s="121"/>
      <c r="PZM892" s="121"/>
      <c r="PZN892" s="121"/>
      <c r="PZO892" s="121"/>
      <c r="PZP892" s="121"/>
      <c r="PZQ892" s="121"/>
      <c r="PZR892" s="121"/>
      <c r="PZS892" s="121"/>
      <c r="PZT892" s="121"/>
      <c r="PZU892" s="121"/>
      <c r="PZV892" s="121"/>
      <c r="PZW892" s="121"/>
      <c r="PZX892" s="121"/>
      <c r="PZY892" s="121"/>
      <c r="PZZ892" s="121"/>
      <c r="QAA892" s="121"/>
      <c r="QAB892" s="121"/>
      <c r="QAC892" s="121"/>
      <c r="QAD892" s="121"/>
      <c r="QAE892" s="121"/>
      <c r="QAF892" s="121"/>
      <c r="QAG892" s="121"/>
      <c r="QAH892" s="121"/>
      <c r="QAI892" s="121"/>
      <c r="QAJ892" s="121"/>
      <c r="QAK892" s="121"/>
      <c r="QAL892" s="121"/>
      <c r="QAM892" s="121"/>
      <c r="QAN892" s="121"/>
      <c r="QAO892" s="121"/>
      <c r="QAP892" s="121"/>
      <c r="QAQ892" s="121"/>
      <c r="QAR892" s="121"/>
      <c r="QAS892" s="121"/>
      <c r="QAT892" s="121"/>
      <c r="QAU892" s="121"/>
      <c r="QAV892" s="121"/>
      <c r="QAW892" s="121"/>
      <c r="QAX892" s="121"/>
      <c r="QAY892" s="121"/>
      <c r="QAZ892" s="121"/>
      <c r="QBA892" s="121"/>
      <c r="QBB892" s="121"/>
      <c r="QBC892" s="121"/>
      <c r="QBD892" s="121"/>
      <c r="QBE892" s="121"/>
      <c r="QBF892" s="121"/>
      <c r="QBG892" s="121"/>
      <c r="QBH892" s="121"/>
      <c r="QBI892" s="121"/>
      <c r="QBJ892" s="121"/>
      <c r="QBK892" s="121"/>
      <c r="QBL892" s="121"/>
      <c r="QBM892" s="121"/>
      <c r="QBN892" s="121"/>
      <c r="QBO892" s="121"/>
      <c r="QBP892" s="121"/>
      <c r="QBQ892" s="121"/>
      <c r="QBR892" s="121"/>
      <c r="QBS892" s="121"/>
      <c r="QBT892" s="121"/>
      <c r="QBU892" s="121"/>
      <c r="QBV892" s="121"/>
      <c r="QBW892" s="121"/>
      <c r="QBX892" s="121"/>
      <c r="QBY892" s="121"/>
      <c r="QBZ892" s="121"/>
      <c r="QCA892" s="121"/>
      <c r="QCB892" s="121"/>
      <c r="QCC892" s="121"/>
      <c r="QCD892" s="121"/>
      <c r="QCE892" s="121"/>
      <c r="QCF892" s="121"/>
      <c r="QCG892" s="121"/>
      <c r="QCH892" s="121"/>
      <c r="QCI892" s="121"/>
      <c r="QCJ892" s="121"/>
      <c r="QCK892" s="121"/>
      <c r="QCL892" s="121"/>
      <c r="QCM892" s="121"/>
      <c r="QCN892" s="121"/>
      <c r="QCO892" s="121"/>
      <c r="QCP892" s="121"/>
      <c r="QCQ892" s="121"/>
      <c r="QCR892" s="121"/>
      <c r="QCS892" s="121"/>
      <c r="QCT892" s="121"/>
      <c r="QCU892" s="121"/>
      <c r="QCV892" s="121"/>
      <c r="QCW892" s="121"/>
      <c r="QCX892" s="121"/>
      <c r="QCY892" s="121"/>
      <c r="QCZ892" s="121"/>
      <c r="QDA892" s="121"/>
      <c r="QDB892" s="121"/>
      <c r="QDC892" s="121"/>
      <c r="QDD892" s="121"/>
      <c r="QDE892" s="121"/>
      <c r="QDF892" s="121"/>
      <c r="QDG892" s="121"/>
      <c r="QDH892" s="121"/>
      <c r="QDI892" s="121"/>
      <c r="QDJ892" s="121"/>
      <c r="QDK892" s="121"/>
      <c r="QDL892" s="121"/>
      <c r="QDM892" s="121"/>
      <c r="QDN892" s="121"/>
      <c r="QDO892" s="121"/>
      <c r="QDP892" s="121"/>
      <c r="QDQ892" s="121"/>
      <c r="QDR892" s="121"/>
      <c r="QDS892" s="121"/>
      <c r="QDT892" s="121"/>
      <c r="QDU892" s="121"/>
      <c r="QDV892" s="121"/>
      <c r="QDW892" s="121"/>
      <c r="QDX892" s="121"/>
      <c r="QDY892" s="121"/>
      <c r="QDZ892" s="121"/>
      <c r="QEA892" s="121"/>
      <c r="QEB892" s="121"/>
      <c r="QEC892" s="121"/>
      <c r="QED892" s="121"/>
      <c r="QEE892" s="121"/>
      <c r="QEF892" s="121"/>
      <c r="QEG892" s="121"/>
      <c r="QEH892" s="121"/>
      <c r="QEI892" s="121"/>
      <c r="QEJ892" s="121"/>
      <c r="QEK892" s="121"/>
      <c r="QEL892" s="121"/>
      <c r="QEM892" s="121"/>
      <c r="QEN892" s="121"/>
      <c r="QEO892" s="121"/>
      <c r="QEP892" s="121"/>
      <c r="QEQ892" s="121"/>
      <c r="QER892" s="121"/>
      <c r="QES892" s="121"/>
      <c r="QET892" s="121"/>
      <c r="QEU892" s="121"/>
      <c r="QEV892" s="121"/>
      <c r="QEW892" s="121"/>
      <c r="QEX892" s="121"/>
      <c r="QEY892" s="121"/>
      <c r="QEZ892" s="121"/>
      <c r="QFA892" s="121"/>
      <c r="QFB892" s="121"/>
      <c r="QFC892" s="121"/>
      <c r="QFD892" s="121"/>
      <c r="QFE892" s="121"/>
      <c r="QFF892" s="121"/>
      <c r="QFG892" s="121"/>
      <c r="QFH892" s="121"/>
      <c r="QFI892" s="121"/>
      <c r="QFJ892" s="121"/>
      <c r="QFK892" s="121"/>
      <c r="QFL892" s="121"/>
      <c r="QFM892" s="121"/>
      <c r="QFN892" s="121"/>
      <c r="QFO892" s="121"/>
      <c r="QFP892" s="121"/>
      <c r="QFQ892" s="121"/>
      <c r="QFR892" s="121"/>
      <c r="QFS892" s="121"/>
      <c r="QFT892" s="121"/>
      <c r="QFU892" s="121"/>
      <c r="QFV892" s="121"/>
      <c r="QFW892" s="121"/>
      <c r="QFX892" s="121"/>
      <c r="QFY892" s="121"/>
      <c r="QFZ892" s="121"/>
      <c r="QGA892" s="121"/>
      <c r="QGB892" s="121"/>
      <c r="QGC892" s="121"/>
      <c r="QGD892" s="121"/>
      <c r="QGE892" s="121"/>
      <c r="QGF892" s="121"/>
      <c r="QGG892" s="121"/>
      <c r="QGH892" s="121"/>
      <c r="QGI892" s="121"/>
      <c r="QGJ892" s="121"/>
      <c r="QGK892" s="121"/>
      <c r="QGL892" s="121"/>
      <c r="QGM892" s="121"/>
      <c r="QGN892" s="121"/>
      <c r="QGO892" s="121"/>
      <c r="QGP892" s="121"/>
      <c r="QGQ892" s="121"/>
      <c r="QGR892" s="121"/>
      <c r="QGS892" s="121"/>
      <c r="QGT892" s="121"/>
      <c r="QGU892" s="121"/>
      <c r="QGV892" s="121"/>
      <c r="QGW892" s="121"/>
      <c r="QGX892" s="121"/>
      <c r="QGY892" s="121"/>
      <c r="QGZ892" s="121"/>
      <c r="QHA892" s="121"/>
      <c r="QHB892" s="121"/>
      <c r="QHC892" s="121"/>
      <c r="QHD892" s="121"/>
      <c r="QHE892" s="121"/>
      <c r="QHF892" s="121"/>
      <c r="QHG892" s="121"/>
      <c r="QHH892" s="121"/>
      <c r="QHI892" s="121"/>
      <c r="QHJ892" s="121"/>
      <c r="QHK892" s="121"/>
      <c r="QHL892" s="121"/>
      <c r="QHM892" s="121"/>
      <c r="QHN892" s="121"/>
      <c r="QHO892" s="121"/>
      <c r="QHP892" s="121"/>
      <c r="QHQ892" s="121"/>
      <c r="QHR892" s="121"/>
      <c r="QHS892" s="121"/>
      <c r="QHT892" s="121"/>
      <c r="QHU892" s="121"/>
      <c r="QHV892" s="121"/>
      <c r="QHW892" s="121"/>
      <c r="QHX892" s="121"/>
      <c r="QHY892" s="121"/>
      <c r="QHZ892" s="121"/>
      <c r="QIA892" s="121"/>
      <c r="QIB892" s="121"/>
      <c r="QIC892" s="121"/>
      <c r="QID892" s="121"/>
      <c r="QIE892" s="121"/>
      <c r="QIF892" s="121"/>
      <c r="QIG892" s="121"/>
      <c r="QIH892" s="121"/>
      <c r="QII892" s="121"/>
      <c r="QIJ892" s="121"/>
      <c r="QIK892" s="121"/>
      <c r="QIL892" s="121"/>
      <c r="QIM892" s="121"/>
      <c r="QIN892" s="121"/>
      <c r="QIO892" s="121"/>
      <c r="QIP892" s="121"/>
      <c r="QIQ892" s="121"/>
      <c r="QIR892" s="121"/>
      <c r="QIS892" s="121"/>
      <c r="QIT892" s="121"/>
      <c r="QIU892" s="121"/>
      <c r="QIV892" s="121"/>
      <c r="QIW892" s="121"/>
      <c r="QIX892" s="121"/>
      <c r="QIY892" s="121"/>
      <c r="QIZ892" s="121"/>
      <c r="QJA892" s="121"/>
      <c r="QJB892" s="121"/>
      <c r="QJC892" s="121"/>
      <c r="QJD892" s="121"/>
      <c r="QJE892" s="121"/>
      <c r="QJF892" s="121"/>
      <c r="QJG892" s="121"/>
      <c r="QJH892" s="121"/>
      <c r="QJI892" s="121"/>
      <c r="QJJ892" s="121"/>
      <c r="QJK892" s="121"/>
      <c r="QJL892" s="121"/>
      <c r="QJM892" s="121"/>
      <c r="QJN892" s="121"/>
      <c r="QJO892" s="121"/>
      <c r="QJP892" s="121"/>
      <c r="QJQ892" s="121"/>
      <c r="QJR892" s="121"/>
      <c r="QJS892" s="121"/>
      <c r="QJT892" s="121"/>
      <c r="QJU892" s="121"/>
      <c r="QJV892" s="121"/>
      <c r="QJW892" s="121"/>
      <c r="QJX892" s="121"/>
      <c r="QJY892" s="121"/>
      <c r="QJZ892" s="121"/>
      <c r="QKA892" s="121"/>
      <c r="QKB892" s="121"/>
      <c r="QKC892" s="121"/>
      <c r="QKD892" s="121"/>
      <c r="QKE892" s="121"/>
      <c r="QKF892" s="121"/>
      <c r="QKG892" s="121"/>
      <c r="QKH892" s="121"/>
      <c r="QKI892" s="121"/>
      <c r="QKJ892" s="121"/>
      <c r="QKK892" s="121"/>
      <c r="QKL892" s="121"/>
      <c r="QKM892" s="121"/>
      <c r="QKN892" s="121"/>
      <c r="QKO892" s="121"/>
      <c r="QKP892" s="121"/>
      <c r="QKQ892" s="121"/>
      <c r="QKR892" s="121"/>
      <c r="QKS892" s="121"/>
      <c r="QKT892" s="121"/>
      <c r="QKU892" s="121"/>
      <c r="QKV892" s="121"/>
      <c r="QKW892" s="121"/>
      <c r="QKX892" s="121"/>
      <c r="QKY892" s="121"/>
      <c r="QKZ892" s="121"/>
      <c r="QLA892" s="121"/>
      <c r="QLB892" s="121"/>
      <c r="QLC892" s="121"/>
      <c r="QLD892" s="121"/>
      <c r="QLE892" s="121"/>
      <c r="QLF892" s="121"/>
      <c r="QLG892" s="121"/>
      <c r="QLH892" s="121"/>
      <c r="QLI892" s="121"/>
      <c r="QLJ892" s="121"/>
      <c r="QLK892" s="121"/>
      <c r="QLL892" s="121"/>
      <c r="QLM892" s="121"/>
      <c r="QLN892" s="121"/>
      <c r="QLO892" s="121"/>
      <c r="QLP892" s="121"/>
      <c r="QLQ892" s="121"/>
      <c r="QLR892" s="121"/>
      <c r="QLS892" s="121"/>
      <c r="QLT892" s="121"/>
      <c r="QLU892" s="121"/>
      <c r="QLV892" s="121"/>
      <c r="QLW892" s="121"/>
      <c r="QLX892" s="121"/>
      <c r="QLY892" s="121"/>
      <c r="QLZ892" s="121"/>
      <c r="QMA892" s="121"/>
      <c r="QMB892" s="121"/>
      <c r="QMC892" s="121"/>
      <c r="QMD892" s="121"/>
      <c r="QME892" s="121"/>
      <c r="QMF892" s="121"/>
      <c r="QMG892" s="121"/>
      <c r="QMH892" s="121"/>
      <c r="QMI892" s="121"/>
      <c r="QMJ892" s="121"/>
      <c r="QMK892" s="121"/>
      <c r="QML892" s="121"/>
      <c r="QMM892" s="121"/>
      <c r="QMN892" s="121"/>
      <c r="QMO892" s="121"/>
      <c r="QMP892" s="121"/>
      <c r="QMQ892" s="121"/>
      <c r="QMR892" s="121"/>
      <c r="QMS892" s="121"/>
      <c r="QMT892" s="121"/>
      <c r="QMU892" s="121"/>
      <c r="QMV892" s="121"/>
      <c r="QMW892" s="121"/>
      <c r="QMX892" s="121"/>
      <c r="QMY892" s="121"/>
      <c r="QMZ892" s="121"/>
      <c r="QNA892" s="121"/>
      <c r="QNB892" s="121"/>
      <c r="QNC892" s="121"/>
      <c r="QND892" s="121"/>
      <c r="QNE892" s="121"/>
      <c r="QNF892" s="121"/>
      <c r="QNG892" s="121"/>
      <c r="QNH892" s="121"/>
      <c r="QNI892" s="121"/>
      <c r="QNJ892" s="121"/>
      <c r="QNK892" s="121"/>
      <c r="QNL892" s="121"/>
      <c r="QNM892" s="121"/>
      <c r="QNN892" s="121"/>
      <c r="QNO892" s="121"/>
      <c r="QNP892" s="121"/>
      <c r="QNQ892" s="121"/>
      <c r="QNR892" s="121"/>
      <c r="QNS892" s="121"/>
      <c r="QNT892" s="121"/>
      <c r="QNU892" s="121"/>
      <c r="QNV892" s="121"/>
      <c r="QNW892" s="121"/>
      <c r="QNX892" s="121"/>
      <c r="QNY892" s="121"/>
      <c r="QNZ892" s="121"/>
      <c r="QOA892" s="121"/>
      <c r="QOB892" s="121"/>
      <c r="QOC892" s="121"/>
      <c r="QOD892" s="121"/>
      <c r="QOE892" s="121"/>
      <c r="QOF892" s="121"/>
      <c r="QOG892" s="121"/>
      <c r="QOH892" s="121"/>
      <c r="QOI892" s="121"/>
      <c r="QOJ892" s="121"/>
      <c r="QOK892" s="121"/>
      <c r="QOL892" s="121"/>
      <c r="QOM892" s="121"/>
      <c r="QON892" s="121"/>
      <c r="QOO892" s="121"/>
      <c r="QOP892" s="121"/>
      <c r="QOQ892" s="121"/>
      <c r="QOR892" s="121"/>
      <c r="QOS892" s="121"/>
      <c r="QOT892" s="121"/>
      <c r="QOU892" s="121"/>
      <c r="QOV892" s="121"/>
      <c r="QOW892" s="121"/>
      <c r="QOX892" s="121"/>
      <c r="QOY892" s="121"/>
      <c r="QOZ892" s="121"/>
      <c r="QPA892" s="121"/>
      <c r="QPB892" s="121"/>
      <c r="QPC892" s="121"/>
      <c r="QPD892" s="121"/>
      <c r="QPE892" s="121"/>
      <c r="QPF892" s="121"/>
      <c r="QPG892" s="121"/>
      <c r="QPH892" s="121"/>
      <c r="QPI892" s="121"/>
      <c r="QPJ892" s="121"/>
      <c r="QPK892" s="121"/>
      <c r="QPL892" s="121"/>
      <c r="QPM892" s="121"/>
      <c r="QPN892" s="121"/>
      <c r="QPO892" s="121"/>
      <c r="QPP892" s="121"/>
      <c r="QPQ892" s="121"/>
      <c r="QPR892" s="121"/>
      <c r="QPS892" s="121"/>
      <c r="QPT892" s="121"/>
      <c r="QPU892" s="121"/>
      <c r="QPV892" s="121"/>
      <c r="QPW892" s="121"/>
      <c r="QPX892" s="121"/>
      <c r="QPY892" s="121"/>
      <c r="QPZ892" s="121"/>
      <c r="QQA892" s="121"/>
      <c r="QQB892" s="121"/>
      <c r="QQC892" s="121"/>
      <c r="QQD892" s="121"/>
      <c r="QQE892" s="121"/>
      <c r="QQF892" s="121"/>
      <c r="QQG892" s="121"/>
      <c r="QQH892" s="121"/>
      <c r="QQI892" s="121"/>
      <c r="QQJ892" s="121"/>
      <c r="QQK892" s="121"/>
      <c r="QQL892" s="121"/>
      <c r="QQM892" s="121"/>
      <c r="QQN892" s="121"/>
      <c r="QQO892" s="121"/>
      <c r="QQP892" s="121"/>
      <c r="QQQ892" s="121"/>
      <c r="QQR892" s="121"/>
      <c r="QQS892" s="121"/>
      <c r="QQT892" s="121"/>
      <c r="QQU892" s="121"/>
      <c r="QQV892" s="121"/>
      <c r="QQW892" s="121"/>
      <c r="QQX892" s="121"/>
      <c r="QQY892" s="121"/>
      <c r="QQZ892" s="121"/>
      <c r="QRA892" s="121"/>
      <c r="QRB892" s="121"/>
      <c r="QRC892" s="121"/>
      <c r="QRD892" s="121"/>
      <c r="QRE892" s="121"/>
      <c r="QRF892" s="121"/>
      <c r="QRG892" s="121"/>
      <c r="QRH892" s="121"/>
      <c r="QRI892" s="121"/>
      <c r="QRJ892" s="121"/>
      <c r="QRK892" s="121"/>
      <c r="QRL892" s="121"/>
      <c r="QRM892" s="121"/>
      <c r="QRN892" s="121"/>
      <c r="QRO892" s="121"/>
      <c r="QRP892" s="121"/>
      <c r="QRQ892" s="121"/>
      <c r="QRR892" s="121"/>
      <c r="QRS892" s="121"/>
      <c r="QRT892" s="121"/>
      <c r="QRU892" s="121"/>
      <c r="QRV892" s="121"/>
      <c r="QRW892" s="121"/>
      <c r="QRX892" s="121"/>
      <c r="QRY892" s="121"/>
      <c r="QRZ892" s="121"/>
      <c r="QSA892" s="121"/>
      <c r="QSB892" s="121"/>
      <c r="QSC892" s="121"/>
      <c r="QSD892" s="121"/>
      <c r="QSE892" s="121"/>
      <c r="QSF892" s="121"/>
      <c r="QSG892" s="121"/>
      <c r="QSH892" s="121"/>
      <c r="QSI892" s="121"/>
      <c r="QSJ892" s="121"/>
      <c r="QSK892" s="121"/>
      <c r="QSL892" s="121"/>
      <c r="QSM892" s="121"/>
      <c r="QSN892" s="121"/>
      <c r="QSO892" s="121"/>
      <c r="QSP892" s="121"/>
      <c r="QSQ892" s="121"/>
      <c r="QSR892" s="121"/>
      <c r="QSS892" s="121"/>
      <c r="QST892" s="121"/>
      <c r="QSU892" s="121"/>
      <c r="QSV892" s="121"/>
      <c r="QSW892" s="121"/>
      <c r="QSX892" s="121"/>
      <c r="QSY892" s="121"/>
      <c r="QSZ892" s="121"/>
      <c r="QTA892" s="121"/>
      <c r="QTB892" s="121"/>
      <c r="QTC892" s="121"/>
      <c r="QTD892" s="121"/>
      <c r="QTE892" s="121"/>
      <c r="QTF892" s="121"/>
      <c r="QTG892" s="121"/>
      <c r="QTH892" s="121"/>
      <c r="QTI892" s="121"/>
      <c r="QTJ892" s="121"/>
      <c r="QTK892" s="121"/>
      <c r="QTL892" s="121"/>
      <c r="QTM892" s="121"/>
      <c r="QTN892" s="121"/>
      <c r="QTO892" s="121"/>
      <c r="QTP892" s="121"/>
      <c r="QTQ892" s="121"/>
      <c r="QTR892" s="121"/>
      <c r="QTS892" s="121"/>
      <c r="QTT892" s="121"/>
      <c r="QTU892" s="121"/>
      <c r="QTV892" s="121"/>
      <c r="QTW892" s="121"/>
      <c r="QTX892" s="121"/>
      <c r="QTY892" s="121"/>
      <c r="QTZ892" s="121"/>
      <c r="QUA892" s="121"/>
      <c r="QUB892" s="121"/>
      <c r="QUC892" s="121"/>
      <c r="QUD892" s="121"/>
      <c r="QUE892" s="121"/>
      <c r="QUF892" s="121"/>
      <c r="QUG892" s="121"/>
      <c r="QUH892" s="121"/>
      <c r="QUI892" s="121"/>
      <c r="QUJ892" s="121"/>
      <c r="QUK892" s="121"/>
      <c r="QUL892" s="121"/>
      <c r="QUM892" s="121"/>
      <c r="QUN892" s="121"/>
      <c r="QUO892" s="121"/>
      <c r="QUP892" s="121"/>
      <c r="QUQ892" s="121"/>
      <c r="QUR892" s="121"/>
      <c r="QUS892" s="121"/>
      <c r="QUT892" s="121"/>
      <c r="QUU892" s="121"/>
      <c r="QUV892" s="121"/>
      <c r="QUW892" s="121"/>
      <c r="QUX892" s="121"/>
      <c r="QUY892" s="121"/>
      <c r="QUZ892" s="121"/>
      <c r="QVA892" s="121"/>
      <c r="QVB892" s="121"/>
      <c r="QVC892" s="121"/>
      <c r="QVD892" s="121"/>
      <c r="QVE892" s="121"/>
      <c r="QVF892" s="121"/>
      <c r="QVG892" s="121"/>
      <c r="QVH892" s="121"/>
      <c r="QVI892" s="121"/>
      <c r="QVJ892" s="121"/>
      <c r="QVK892" s="121"/>
      <c r="QVL892" s="121"/>
      <c r="QVM892" s="121"/>
      <c r="QVN892" s="121"/>
      <c r="QVO892" s="121"/>
      <c r="QVP892" s="121"/>
      <c r="QVQ892" s="121"/>
      <c r="QVR892" s="121"/>
      <c r="QVS892" s="121"/>
      <c r="QVT892" s="121"/>
      <c r="QVU892" s="121"/>
      <c r="QVV892" s="121"/>
      <c r="QVW892" s="121"/>
      <c r="QVX892" s="121"/>
      <c r="QVY892" s="121"/>
      <c r="QVZ892" s="121"/>
      <c r="QWA892" s="121"/>
      <c r="QWB892" s="121"/>
      <c r="QWC892" s="121"/>
      <c r="QWD892" s="121"/>
      <c r="QWE892" s="121"/>
      <c r="QWF892" s="121"/>
      <c r="QWG892" s="121"/>
      <c r="QWH892" s="121"/>
      <c r="QWI892" s="121"/>
      <c r="QWJ892" s="121"/>
      <c r="QWK892" s="121"/>
      <c r="QWL892" s="121"/>
      <c r="QWM892" s="121"/>
      <c r="QWN892" s="121"/>
      <c r="QWO892" s="121"/>
      <c r="QWP892" s="121"/>
      <c r="QWQ892" s="121"/>
      <c r="QWR892" s="121"/>
      <c r="QWS892" s="121"/>
      <c r="QWT892" s="121"/>
      <c r="QWU892" s="121"/>
      <c r="QWV892" s="121"/>
      <c r="QWW892" s="121"/>
      <c r="QWX892" s="121"/>
      <c r="QWY892" s="121"/>
      <c r="QWZ892" s="121"/>
      <c r="QXA892" s="121"/>
      <c r="QXB892" s="121"/>
      <c r="QXC892" s="121"/>
      <c r="QXD892" s="121"/>
      <c r="QXE892" s="121"/>
      <c r="QXF892" s="121"/>
      <c r="QXG892" s="121"/>
      <c r="QXH892" s="121"/>
      <c r="QXI892" s="121"/>
      <c r="QXJ892" s="121"/>
      <c r="QXK892" s="121"/>
      <c r="QXL892" s="121"/>
      <c r="QXM892" s="121"/>
      <c r="QXN892" s="121"/>
      <c r="QXO892" s="121"/>
      <c r="QXP892" s="121"/>
      <c r="QXQ892" s="121"/>
      <c r="QXR892" s="121"/>
      <c r="QXS892" s="121"/>
      <c r="QXT892" s="121"/>
      <c r="QXU892" s="121"/>
      <c r="QXV892" s="121"/>
      <c r="QXW892" s="121"/>
      <c r="QXX892" s="121"/>
      <c r="QXY892" s="121"/>
      <c r="QXZ892" s="121"/>
      <c r="QYA892" s="121"/>
      <c r="QYB892" s="121"/>
      <c r="QYC892" s="121"/>
      <c r="QYD892" s="121"/>
      <c r="QYE892" s="121"/>
      <c r="QYF892" s="121"/>
      <c r="QYG892" s="121"/>
      <c r="QYH892" s="121"/>
      <c r="QYI892" s="121"/>
      <c r="QYJ892" s="121"/>
      <c r="QYK892" s="121"/>
      <c r="QYL892" s="121"/>
      <c r="QYM892" s="121"/>
      <c r="QYN892" s="121"/>
      <c r="QYO892" s="121"/>
      <c r="QYP892" s="121"/>
      <c r="QYQ892" s="121"/>
      <c r="QYR892" s="121"/>
      <c r="QYS892" s="121"/>
      <c r="QYT892" s="121"/>
      <c r="QYU892" s="121"/>
      <c r="QYV892" s="121"/>
      <c r="QYW892" s="121"/>
      <c r="QYX892" s="121"/>
      <c r="QYY892" s="121"/>
      <c r="QYZ892" s="121"/>
      <c r="QZA892" s="121"/>
      <c r="QZB892" s="121"/>
      <c r="QZC892" s="121"/>
      <c r="QZD892" s="121"/>
      <c r="QZE892" s="121"/>
      <c r="QZF892" s="121"/>
      <c r="QZG892" s="121"/>
      <c r="QZH892" s="121"/>
      <c r="QZI892" s="121"/>
      <c r="QZJ892" s="121"/>
      <c r="QZK892" s="121"/>
      <c r="QZL892" s="121"/>
      <c r="QZM892" s="121"/>
      <c r="QZN892" s="121"/>
      <c r="QZO892" s="121"/>
      <c r="QZP892" s="121"/>
      <c r="QZQ892" s="121"/>
      <c r="QZR892" s="121"/>
      <c r="QZS892" s="121"/>
      <c r="QZT892" s="121"/>
      <c r="QZU892" s="121"/>
      <c r="QZV892" s="121"/>
      <c r="QZW892" s="121"/>
      <c r="QZX892" s="121"/>
      <c r="QZY892" s="121"/>
      <c r="QZZ892" s="121"/>
      <c r="RAA892" s="121"/>
      <c r="RAB892" s="121"/>
      <c r="RAC892" s="121"/>
      <c r="RAD892" s="121"/>
      <c r="RAE892" s="121"/>
      <c r="RAF892" s="121"/>
      <c r="RAG892" s="121"/>
      <c r="RAH892" s="121"/>
      <c r="RAI892" s="121"/>
      <c r="RAJ892" s="121"/>
      <c r="RAK892" s="121"/>
      <c r="RAL892" s="121"/>
      <c r="RAM892" s="121"/>
      <c r="RAN892" s="121"/>
      <c r="RAO892" s="121"/>
      <c r="RAP892" s="121"/>
      <c r="RAQ892" s="121"/>
      <c r="RAR892" s="121"/>
      <c r="RAS892" s="121"/>
      <c r="RAT892" s="121"/>
      <c r="RAU892" s="121"/>
      <c r="RAV892" s="121"/>
      <c r="RAW892" s="121"/>
      <c r="RAX892" s="121"/>
      <c r="RAY892" s="121"/>
      <c r="RAZ892" s="121"/>
      <c r="RBA892" s="121"/>
      <c r="RBB892" s="121"/>
      <c r="RBC892" s="121"/>
      <c r="RBD892" s="121"/>
      <c r="RBE892" s="121"/>
      <c r="RBF892" s="121"/>
      <c r="RBG892" s="121"/>
      <c r="RBH892" s="121"/>
      <c r="RBI892" s="121"/>
      <c r="RBJ892" s="121"/>
      <c r="RBK892" s="121"/>
      <c r="RBL892" s="121"/>
      <c r="RBM892" s="121"/>
      <c r="RBN892" s="121"/>
      <c r="RBO892" s="121"/>
      <c r="RBP892" s="121"/>
      <c r="RBQ892" s="121"/>
      <c r="RBR892" s="121"/>
      <c r="RBS892" s="121"/>
      <c r="RBT892" s="121"/>
      <c r="RBU892" s="121"/>
      <c r="RBV892" s="121"/>
      <c r="RBW892" s="121"/>
      <c r="RBX892" s="121"/>
      <c r="RBY892" s="121"/>
      <c r="RBZ892" s="121"/>
      <c r="RCA892" s="121"/>
      <c r="RCB892" s="121"/>
      <c r="RCC892" s="121"/>
      <c r="RCD892" s="121"/>
      <c r="RCE892" s="121"/>
      <c r="RCF892" s="121"/>
      <c r="RCG892" s="121"/>
      <c r="RCH892" s="121"/>
      <c r="RCI892" s="121"/>
      <c r="RCJ892" s="121"/>
      <c r="RCK892" s="121"/>
      <c r="RCL892" s="121"/>
      <c r="RCM892" s="121"/>
      <c r="RCN892" s="121"/>
      <c r="RCO892" s="121"/>
      <c r="RCP892" s="121"/>
      <c r="RCQ892" s="121"/>
      <c r="RCR892" s="121"/>
      <c r="RCS892" s="121"/>
      <c r="RCT892" s="121"/>
      <c r="RCU892" s="121"/>
      <c r="RCV892" s="121"/>
      <c r="RCW892" s="121"/>
      <c r="RCX892" s="121"/>
      <c r="RCY892" s="121"/>
      <c r="RCZ892" s="121"/>
      <c r="RDA892" s="121"/>
      <c r="RDB892" s="121"/>
      <c r="RDC892" s="121"/>
      <c r="RDD892" s="121"/>
      <c r="RDE892" s="121"/>
      <c r="RDF892" s="121"/>
      <c r="RDG892" s="121"/>
      <c r="RDH892" s="121"/>
      <c r="RDI892" s="121"/>
      <c r="RDJ892" s="121"/>
      <c r="RDK892" s="121"/>
      <c r="RDL892" s="121"/>
      <c r="RDM892" s="121"/>
      <c r="RDN892" s="121"/>
      <c r="RDO892" s="121"/>
      <c r="RDP892" s="121"/>
      <c r="RDQ892" s="121"/>
      <c r="RDR892" s="121"/>
      <c r="RDS892" s="121"/>
      <c r="RDT892" s="121"/>
      <c r="RDU892" s="121"/>
      <c r="RDV892" s="121"/>
      <c r="RDW892" s="121"/>
      <c r="RDX892" s="121"/>
      <c r="RDY892" s="121"/>
      <c r="RDZ892" s="121"/>
      <c r="REA892" s="121"/>
      <c r="REB892" s="121"/>
      <c r="REC892" s="121"/>
      <c r="RED892" s="121"/>
      <c r="REE892" s="121"/>
      <c r="REF892" s="121"/>
      <c r="REG892" s="121"/>
      <c r="REH892" s="121"/>
      <c r="REI892" s="121"/>
      <c r="REJ892" s="121"/>
      <c r="REK892" s="121"/>
      <c r="REL892" s="121"/>
      <c r="REM892" s="121"/>
      <c r="REN892" s="121"/>
      <c r="REO892" s="121"/>
      <c r="REP892" s="121"/>
      <c r="REQ892" s="121"/>
      <c r="RER892" s="121"/>
      <c r="RES892" s="121"/>
      <c r="RET892" s="121"/>
      <c r="REU892" s="121"/>
      <c r="REV892" s="121"/>
      <c r="REW892" s="121"/>
      <c r="REX892" s="121"/>
      <c r="REY892" s="121"/>
      <c r="REZ892" s="121"/>
      <c r="RFA892" s="121"/>
      <c r="RFB892" s="121"/>
      <c r="RFC892" s="121"/>
      <c r="RFD892" s="121"/>
      <c r="RFE892" s="121"/>
      <c r="RFF892" s="121"/>
      <c r="RFG892" s="121"/>
      <c r="RFH892" s="121"/>
      <c r="RFI892" s="121"/>
      <c r="RFJ892" s="121"/>
      <c r="RFK892" s="121"/>
      <c r="RFL892" s="121"/>
      <c r="RFM892" s="121"/>
      <c r="RFN892" s="121"/>
      <c r="RFO892" s="121"/>
      <c r="RFP892" s="121"/>
      <c r="RFQ892" s="121"/>
      <c r="RFR892" s="121"/>
      <c r="RFS892" s="121"/>
      <c r="RFT892" s="121"/>
      <c r="RFU892" s="121"/>
      <c r="RFV892" s="121"/>
      <c r="RFW892" s="121"/>
      <c r="RFX892" s="121"/>
      <c r="RFY892" s="121"/>
      <c r="RFZ892" s="121"/>
      <c r="RGA892" s="121"/>
      <c r="RGB892" s="121"/>
      <c r="RGC892" s="121"/>
      <c r="RGD892" s="121"/>
      <c r="RGE892" s="121"/>
      <c r="RGF892" s="121"/>
      <c r="RGG892" s="121"/>
      <c r="RGH892" s="121"/>
      <c r="RGI892" s="121"/>
      <c r="RGJ892" s="121"/>
      <c r="RGK892" s="121"/>
      <c r="RGL892" s="121"/>
      <c r="RGM892" s="121"/>
      <c r="RGN892" s="121"/>
      <c r="RGO892" s="121"/>
      <c r="RGP892" s="121"/>
      <c r="RGQ892" s="121"/>
      <c r="RGR892" s="121"/>
      <c r="RGS892" s="121"/>
      <c r="RGT892" s="121"/>
      <c r="RGU892" s="121"/>
      <c r="RGV892" s="121"/>
      <c r="RGW892" s="121"/>
      <c r="RGX892" s="121"/>
      <c r="RGY892" s="121"/>
      <c r="RGZ892" s="121"/>
      <c r="RHA892" s="121"/>
      <c r="RHB892" s="121"/>
      <c r="RHC892" s="121"/>
      <c r="RHD892" s="121"/>
      <c r="RHE892" s="121"/>
      <c r="RHF892" s="121"/>
      <c r="RHG892" s="121"/>
      <c r="RHH892" s="121"/>
      <c r="RHI892" s="121"/>
      <c r="RHJ892" s="121"/>
      <c r="RHK892" s="121"/>
      <c r="RHL892" s="121"/>
      <c r="RHM892" s="121"/>
      <c r="RHN892" s="121"/>
      <c r="RHO892" s="121"/>
      <c r="RHP892" s="121"/>
      <c r="RHQ892" s="121"/>
      <c r="RHR892" s="121"/>
      <c r="RHS892" s="121"/>
      <c r="RHT892" s="121"/>
      <c r="RHU892" s="121"/>
      <c r="RHV892" s="121"/>
      <c r="RHW892" s="121"/>
      <c r="RHX892" s="121"/>
      <c r="RHY892" s="121"/>
      <c r="RHZ892" s="121"/>
      <c r="RIA892" s="121"/>
      <c r="RIB892" s="121"/>
      <c r="RIC892" s="121"/>
      <c r="RID892" s="121"/>
      <c r="RIE892" s="121"/>
      <c r="RIF892" s="121"/>
      <c r="RIG892" s="121"/>
      <c r="RIH892" s="121"/>
      <c r="RII892" s="121"/>
      <c r="RIJ892" s="121"/>
      <c r="RIK892" s="121"/>
      <c r="RIL892" s="121"/>
      <c r="RIM892" s="121"/>
      <c r="RIN892" s="121"/>
      <c r="RIO892" s="121"/>
      <c r="RIP892" s="121"/>
      <c r="RIQ892" s="121"/>
      <c r="RIR892" s="121"/>
      <c r="RIS892" s="121"/>
      <c r="RIT892" s="121"/>
      <c r="RIU892" s="121"/>
      <c r="RIV892" s="121"/>
      <c r="RIW892" s="121"/>
      <c r="RIX892" s="121"/>
      <c r="RIY892" s="121"/>
      <c r="RIZ892" s="121"/>
      <c r="RJA892" s="121"/>
      <c r="RJB892" s="121"/>
      <c r="RJC892" s="121"/>
      <c r="RJD892" s="121"/>
      <c r="RJE892" s="121"/>
      <c r="RJF892" s="121"/>
      <c r="RJG892" s="121"/>
      <c r="RJH892" s="121"/>
      <c r="RJI892" s="121"/>
      <c r="RJJ892" s="121"/>
      <c r="RJK892" s="121"/>
      <c r="RJL892" s="121"/>
      <c r="RJM892" s="121"/>
      <c r="RJN892" s="121"/>
      <c r="RJO892" s="121"/>
      <c r="RJP892" s="121"/>
      <c r="RJQ892" s="121"/>
      <c r="RJR892" s="121"/>
      <c r="RJS892" s="121"/>
      <c r="RJT892" s="121"/>
      <c r="RJU892" s="121"/>
      <c r="RJV892" s="121"/>
      <c r="RJW892" s="121"/>
      <c r="RJX892" s="121"/>
      <c r="RJY892" s="121"/>
      <c r="RJZ892" s="121"/>
      <c r="RKA892" s="121"/>
      <c r="RKB892" s="121"/>
      <c r="RKC892" s="121"/>
      <c r="RKD892" s="121"/>
      <c r="RKE892" s="121"/>
      <c r="RKF892" s="121"/>
      <c r="RKG892" s="121"/>
      <c r="RKH892" s="121"/>
      <c r="RKI892" s="121"/>
      <c r="RKJ892" s="121"/>
      <c r="RKK892" s="121"/>
      <c r="RKL892" s="121"/>
      <c r="RKM892" s="121"/>
      <c r="RKN892" s="121"/>
      <c r="RKO892" s="121"/>
      <c r="RKP892" s="121"/>
      <c r="RKQ892" s="121"/>
      <c r="RKR892" s="121"/>
      <c r="RKS892" s="121"/>
      <c r="RKT892" s="121"/>
      <c r="RKU892" s="121"/>
      <c r="RKV892" s="121"/>
      <c r="RKW892" s="121"/>
      <c r="RKX892" s="121"/>
      <c r="RKY892" s="121"/>
      <c r="RKZ892" s="121"/>
      <c r="RLA892" s="121"/>
      <c r="RLB892" s="121"/>
      <c r="RLC892" s="121"/>
      <c r="RLD892" s="121"/>
      <c r="RLE892" s="121"/>
      <c r="RLF892" s="121"/>
      <c r="RLG892" s="121"/>
      <c r="RLH892" s="121"/>
      <c r="RLI892" s="121"/>
      <c r="RLJ892" s="121"/>
      <c r="RLK892" s="121"/>
      <c r="RLL892" s="121"/>
      <c r="RLM892" s="121"/>
      <c r="RLN892" s="121"/>
      <c r="RLO892" s="121"/>
      <c r="RLP892" s="121"/>
      <c r="RLQ892" s="121"/>
      <c r="RLR892" s="121"/>
      <c r="RLS892" s="121"/>
      <c r="RLT892" s="121"/>
      <c r="RLU892" s="121"/>
      <c r="RLV892" s="121"/>
      <c r="RLW892" s="121"/>
      <c r="RLX892" s="121"/>
      <c r="RLY892" s="121"/>
      <c r="RLZ892" s="121"/>
      <c r="RMA892" s="121"/>
      <c r="RMB892" s="121"/>
      <c r="RMC892" s="121"/>
      <c r="RMD892" s="121"/>
      <c r="RME892" s="121"/>
      <c r="RMF892" s="121"/>
      <c r="RMG892" s="121"/>
      <c r="RMH892" s="121"/>
      <c r="RMI892" s="121"/>
      <c r="RMJ892" s="121"/>
      <c r="RMK892" s="121"/>
      <c r="RML892" s="121"/>
      <c r="RMM892" s="121"/>
      <c r="RMN892" s="121"/>
      <c r="RMO892" s="121"/>
      <c r="RMP892" s="121"/>
      <c r="RMQ892" s="121"/>
      <c r="RMR892" s="121"/>
      <c r="RMS892" s="121"/>
      <c r="RMT892" s="121"/>
      <c r="RMU892" s="121"/>
      <c r="RMV892" s="121"/>
      <c r="RMW892" s="121"/>
      <c r="RMX892" s="121"/>
      <c r="RMY892" s="121"/>
      <c r="RMZ892" s="121"/>
      <c r="RNA892" s="121"/>
      <c r="RNB892" s="121"/>
      <c r="RNC892" s="121"/>
      <c r="RND892" s="121"/>
      <c r="RNE892" s="121"/>
      <c r="RNF892" s="121"/>
      <c r="RNG892" s="121"/>
      <c r="RNH892" s="121"/>
      <c r="RNI892" s="121"/>
      <c r="RNJ892" s="121"/>
      <c r="RNK892" s="121"/>
      <c r="RNL892" s="121"/>
      <c r="RNM892" s="121"/>
      <c r="RNN892" s="121"/>
      <c r="RNO892" s="121"/>
      <c r="RNP892" s="121"/>
      <c r="RNQ892" s="121"/>
      <c r="RNR892" s="121"/>
      <c r="RNS892" s="121"/>
      <c r="RNT892" s="121"/>
      <c r="RNU892" s="121"/>
      <c r="RNV892" s="121"/>
      <c r="RNW892" s="121"/>
      <c r="RNX892" s="121"/>
      <c r="RNY892" s="121"/>
      <c r="RNZ892" s="121"/>
      <c r="ROA892" s="121"/>
      <c r="ROB892" s="121"/>
      <c r="ROC892" s="121"/>
      <c r="ROD892" s="121"/>
      <c r="ROE892" s="121"/>
      <c r="ROF892" s="121"/>
      <c r="ROG892" s="121"/>
      <c r="ROH892" s="121"/>
      <c r="ROI892" s="121"/>
      <c r="ROJ892" s="121"/>
      <c r="ROK892" s="121"/>
      <c r="ROL892" s="121"/>
      <c r="ROM892" s="121"/>
      <c r="RON892" s="121"/>
      <c r="ROO892" s="121"/>
      <c r="ROP892" s="121"/>
      <c r="ROQ892" s="121"/>
      <c r="ROR892" s="121"/>
      <c r="ROS892" s="121"/>
      <c r="ROT892" s="121"/>
      <c r="ROU892" s="121"/>
      <c r="ROV892" s="121"/>
      <c r="ROW892" s="121"/>
      <c r="ROX892" s="121"/>
      <c r="ROY892" s="121"/>
      <c r="ROZ892" s="121"/>
      <c r="RPA892" s="121"/>
      <c r="RPB892" s="121"/>
      <c r="RPC892" s="121"/>
      <c r="RPD892" s="121"/>
      <c r="RPE892" s="121"/>
      <c r="RPF892" s="121"/>
      <c r="RPG892" s="121"/>
      <c r="RPH892" s="121"/>
      <c r="RPI892" s="121"/>
      <c r="RPJ892" s="121"/>
      <c r="RPK892" s="121"/>
      <c r="RPL892" s="121"/>
      <c r="RPM892" s="121"/>
      <c r="RPN892" s="121"/>
      <c r="RPO892" s="121"/>
      <c r="RPP892" s="121"/>
      <c r="RPQ892" s="121"/>
      <c r="RPR892" s="121"/>
      <c r="RPS892" s="121"/>
      <c r="RPT892" s="121"/>
      <c r="RPU892" s="121"/>
      <c r="RPV892" s="121"/>
      <c r="RPW892" s="121"/>
      <c r="RPX892" s="121"/>
      <c r="RPY892" s="121"/>
      <c r="RPZ892" s="121"/>
      <c r="RQA892" s="121"/>
      <c r="RQB892" s="121"/>
      <c r="RQC892" s="121"/>
      <c r="RQD892" s="121"/>
      <c r="RQE892" s="121"/>
      <c r="RQF892" s="121"/>
      <c r="RQG892" s="121"/>
      <c r="RQH892" s="121"/>
      <c r="RQI892" s="121"/>
      <c r="RQJ892" s="121"/>
      <c r="RQK892" s="121"/>
      <c r="RQL892" s="121"/>
      <c r="RQM892" s="121"/>
      <c r="RQN892" s="121"/>
      <c r="RQO892" s="121"/>
      <c r="RQP892" s="121"/>
      <c r="RQQ892" s="121"/>
      <c r="RQR892" s="121"/>
      <c r="RQS892" s="121"/>
      <c r="RQT892" s="121"/>
      <c r="RQU892" s="121"/>
      <c r="RQV892" s="121"/>
      <c r="RQW892" s="121"/>
      <c r="RQX892" s="121"/>
      <c r="RQY892" s="121"/>
      <c r="RQZ892" s="121"/>
      <c r="RRA892" s="121"/>
      <c r="RRB892" s="121"/>
      <c r="RRC892" s="121"/>
      <c r="RRD892" s="121"/>
      <c r="RRE892" s="121"/>
      <c r="RRF892" s="121"/>
      <c r="RRG892" s="121"/>
      <c r="RRH892" s="121"/>
      <c r="RRI892" s="121"/>
      <c r="RRJ892" s="121"/>
      <c r="RRK892" s="121"/>
      <c r="RRL892" s="121"/>
      <c r="RRM892" s="121"/>
      <c r="RRN892" s="121"/>
      <c r="RRO892" s="121"/>
      <c r="RRP892" s="121"/>
      <c r="RRQ892" s="121"/>
      <c r="RRR892" s="121"/>
      <c r="RRS892" s="121"/>
      <c r="RRT892" s="121"/>
      <c r="RRU892" s="121"/>
      <c r="RRV892" s="121"/>
      <c r="RRW892" s="121"/>
      <c r="RRX892" s="121"/>
      <c r="RRY892" s="121"/>
      <c r="RRZ892" s="121"/>
      <c r="RSA892" s="121"/>
      <c r="RSB892" s="121"/>
      <c r="RSC892" s="121"/>
      <c r="RSD892" s="121"/>
      <c r="RSE892" s="121"/>
      <c r="RSF892" s="121"/>
      <c r="RSG892" s="121"/>
      <c r="RSH892" s="121"/>
      <c r="RSI892" s="121"/>
      <c r="RSJ892" s="121"/>
      <c r="RSK892" s="121"/>
      <c r="RSL892" s="121"/>
      <c r="RSM892" s="121"/>
      <c r="RSN892" s="121"/>
      <c r="RSO892" s="121"/>
      <c r="RSP892" s="121"/>
      <c r="RSQ892" s="121"/>
      <c r="RSR892" s="121"/>
      <c r="RSS892" s="121"/>
      <c r="RST892" s="121"/>
      <c r="RSU892" s="121"/>
      <c r="RSV892" s="121"/>
      <c r="RSW892" s="121"/>
      <c r="RSX892" s="121"/>
      <c r="RSY892" s="121"/>
      <c r="RSZ892" s="121"/>
      <c r="RTA892" s="121"/>
      <c r="RTB892" s="121"/>
      <c r="RTC892" s="121"/>
      <c r="RTD892" s="121"/>
      <c r="RTE892" s="121"/>
      <c r="RTF892" s="121"/>
      <c r="RTG892" s="121"/>
      <c r="RTH892" s="121"/>
      <c r="RTI892" s="121"/>
      <c r="RTJ892" s="121"/>
      <c r="RTK892" s="121"/>
      <c r="RTL892" s="121"/>
      <c r="RTM892" s="121"/>
      <c r="RTN892" s="121"/>
      <c r="RTO892" s="121"/>
      <c r="RTP892" s="121"/>
      <c r="RTQ892" s="121"/>
      <c r="RTR892" s="121"/>
      <c r="RTS892" s="121"/>
      <c r="RTT892" s="121"/>
      <c r="RTU892" s="121"/>
      <c r="RTV892" s="121"/>
      <c r="RTW892" s="121"/>
      <c r="RTX892" s="121"/>
      <c r="RTY892" s="121"/>
      <c r="RTZ892" s="121"/>
      <c r="RUA892" s="121"/>
      <c r="RUB892" s="121"/>
      <c r="RUC892" s="121"/>
      <c r="RUD892" s="121"/>
      <c r="RUE892" s="121"/>
      <c r="RUF892" s="121"/>
      <c r="RUG892" s="121"/>
      <c r="RUH892" s="121"/>
      <c r="RUI892" s="121"/>
      <c r="RUJ892" s="121"/>
      <c r="RUK892" s="121"/>
      <c r="RUL892" s="121"/>
      <c r="RUM892" s="121"/>
      <c r="RUN892" s="121"/>
      <c r="RUO892" s="121"/>
      <c r="RUP892" s="121"/>
      <c r="RUQ892" s="121"/>
      <c r="RUR892" s="121"/>
      <c r="RUS892" s="121"/>
      <c r="RUT892" s="121"/>
      <c r="RUU892" s="121"/>
      <c r="RUV892" s="121"/>
      <c r="RUW892" s="121"/>
      <c r="RUX892" s="121"/>
      <c r="RUY892" s="121"/>
      <c r="RUZ892" s="121"/>
      <c r="RVA892" s="121"/>
      <c r="RVB892" s="121"/>
      <c r="RVC892" s="121"/>
      <c r="RVD892" s="121"/>
      <c r="RVE892" s="121"/>
      <c r="RVF892" s="121"/>
      <c r="RVG892" s="121"/>
      <c r="RVH892" s="121"/>
      <c r="RVI892" s="121"/>
      <c r="RVJ892" s="121"/>
      <c r="RVK892" s="121"/>
      <c r="RVL892" s="121"/>
      <c r="RVM892" s="121"/>
      <c r="RVN892" s="121"/>
      <c r="RVO892" s="121"/>
      <c r="RVP892" s="121"/>
      <c r="RVQ892" s="121"/>
      <c r="RVR892" s="121"/>
      <c r="RVS892" s="121"/>
      <c r="RVT892" s="121"/>
      <c r="RVU892" s="121"/>
      <c r="RVV892" s="121"/>
      <c r="RVW892" s="121"/>
      <c r="RVX892" s="121"/>
      <c r="RVY892" s="121"/>
      <c r="RVZ892" s="121"/>
      <c r="RWA892" s="121"/>
      <c r="RWB892" s="121"/>
      <c r="RWC892" s="121"/>
      <c r="RWD892" s="121"/>
      <c r="RWE892" s="121"/>
      <c r="RWF892" s="121"/>
      <c r="RWG892" s="121"/>
      <c r="RWH892" s="121"/>
      <c r="RWI892" s="121"/>
      <c r="RWJ892" s="121"/>
      <c r="RWK892" s="121"/>
      <c r="RWL892" s="121"/>
      <c r="RWM892" s="121"/>
      <c r="RWN892" s="121"/>
      <c r="RWO892" s="121"/>
      <c r="RWP892" s="121"/>
      <c r="RWQ892" s="121"/>
      <c r="RWR892" s="121"/>
      <c r="RWS892" s="121"/>
      <c r="RWT892" s="121"/>
      <c r="RWU892" s="121"/>
      <c r="RWV892" s="121"/>
      <c r="RWW892" s="121"/>
      <c r="RWX892" s="121"/>
      <c r="RWY892" s="121"/>
      <c r="RWZ892" s="121"/>
      <c r="RXA892" s="121"/>
      <c r="RXB892" s="121"/>
      <c r="RXC892" s="121"/>
      <c r="RXD892" s="121"/>
      <c r="RXE892" s="121"/>
      <c r="RXF892" s="121"/>
      <c r="RXG892" s="121"/>
      <c r="RXH892" s="121"/>
      <c r="RXI892" s="121"/>
      <c r="RXJ892" s="121"/>
      <c r="RXK892" s="121"/>
      <c r="RXL892" s="121"/>
      <c r="RXM892" s="121"/>
      <c r="RXN892" s="121"/>
      <c r="RXO892" s="121"/>
      <c r="RXP892" s="121"/>
      <c r="RXQ892" s="121"/>
      <c r="RXR892" s="121"/>
      <c r="RXS892" s="121"/>
      <c r="RXT892" s="121"/>
      <c r="RXU892" s="121"/>
      <c r="RXV892" s="121"/>
      <c r="RXW892" s="121"/>
      <c r="RXX892" s="121"/>
      <c r="RXY892" s="121"/>
      <c r="RXZ892" s="121"/>
      <c r="RYA892" s="121"/>
      <c r="RYB892" s="121"/>
      <c r="RYC892" s="121"/>
      <c r="RYD892" s="121"/>
      <c r="RYE892" s="121"/>
      <c r="RYF892" s="121"/>
      <c r="RYG892" s="121"/>
      <c r="RYH892" s="121"/>
      <c r="RYI892" s="121"/>
      <c r="RYJ892" s="121"/>
      <c r="RYK892" s="121"/>
      <c r="RYL892" s="121"/>
      <c r="RYM892" s="121"/>
      <c r="RYN892" s="121"/>
      <c r="RYO892" s="121"/>
      <c r="RYP892" s="121"/>
      <c r="RYQ892" s="121"/>
      <c r="RYR892" s="121"/>
      <c r="RYS892" s="121"/>
      <c r="RYT892" s="121"/>
      <c r="RYU892" s="121"/>
      <c r="RYV892" s="121"/>
      <c r="RYW892" s="121"/>
      <c r="RYX892" s="121"/>
      <c r="RYY892" s="121"/>
      <c r="RYZ892" s="121"/>
      <c r="RZA892" s="121"/>
      <c r="RZB892" s="121"/>
      <c r="RZC892" s="121"/>
      <c r="RZD892" s="121"/>
      <c r="RZE892" s="121"/>
      <c r="RZF892" s="121"/>
      <c r="RZG892" s="121"/>
      <c r="RZH892" s="121"/>
      <c r="RZI892" s="121"/>
      <c r="RZJ892" s="121"/>
      <c r="RZK892" s="121"/>
      <c r="RZL892" s="121"/>
      <c r="RZM892" s="121"/>
      <c r="RZN892" s="121"/>
      <c r="RZO892" s="121"/>
      <c r="RZP892" s="121"/>
      <c r="RZQ892" s="121"/>
      <c r="RZR892" s="121"/>
      <c r="RZS892" s="121"/>
      <c r="RZT892" s="121"/>
      <c r="RZU892" s="121"/>
      <c r="RZV892" s="121"/>
      <c r="RZW892" s="121"/>
      <c r="RZX892" s="121"/>
      <c r="RZY892" s="121"/>
      <c r="RZZ892" s="121"/>
      <c r="SAA892" s="121"/>
      <c r="SAB892" s="121"/>
      <c r="SAC892" s="121"/>
      <c r="SAD892" s="121"/>
      <c r="SAE892" s="121"/>
      <c r="SAF892" s="121"/>
      <c r="SAG892" s="121"/>
      <c r="SAH892" s="121"/>
      <c r="SAI892" s="121"/>
      <c r="SAJ892" s="121"/>
      <c r="SAK892" s="121"/>
      <c r="SAL892" s="121"/>
      <c r="SAM892" s="121"/>
      <c r="SAN892" s="121"/>
      <c r="SAO892" s="121"/>
      <c r="SAP892" s="121"/>
      <c r="SAQ892" s="121"/>
      <c r="SAR892" s="121"/>
      <c r="SAS892" s="121"/>
      <c r="SAT892" s="121"/>
      <c r="SAU892" s="121"/>
      <c r="SAV892" s="121"/>
      <c r="SAW892" s="121"/>
      <c r="SAX892" s="121"/>
      <c r="SAY892" s="121"/>
      <c r="SAZ892" s="121"/>
      <c r="SBA892" s="121"/>
      <c r="SBB892" s="121"/>
      <c r="SBC892" s="121"/>
      <c r="SBD892" s="121"/>
      <c r="SBE892" s="121"/>
      <c r="SBF892" s="121"/>
      <c r="SBG892" s="121"/>
      <c r="SBH892" s="121"/>
      <c r="SBI892" s="121"/>
      <c r="SBJ892" s="121"/>
      <c r="SBK892" s="121"/>
      <c r="SBL892" s="121"/>
      <c r="SBM892" s="121"/>
      <c r="SBN892" s="121"/>
      <c r="SBO892" s="121"/>
      <c r="SBP892" s="121"/>
      <c r="SBQ892" s="121"/>
      <c r="SBR892" s="121"/>
      <c r="SBS892" s="121"/>
      <c r="SBT892" s="121"/>
      <c r="SBU892" s="121"/>
      <c r="SBV892" s="121"/>
      <c r="SBW892" s="121"/>
      <c r="SBX892" s="121"/>
      <c r="SBY892" s="121"/>
      <c r="SBZ892" s="121"/>
      <c r="SCA892" s="121"/>
      <c r="SCB892" s="121"/>
      <c r="SCC892" s="121"/>
      <c r="SCD892" s="121"/>
      <c r="SCE892" s="121"/>
      <c r="SCF892" s="121"/>
      <c r="SCG892" s="121"/>
      <c r="SCH892" s="121"/>
      <c r="SCI892" s="121"/>
      <c r="SCJ892" s="121"/>
      <c r="SCK892" s="121"/>
      <c r="SCL892" s="121"/>
      <c r="SCM892" s="121"/>
      <c r="SCN892" s="121"/>
      <c r="SCO892" s="121"/>
      <c r="SCP892" s="121"/>
      <c r="SCQ892" s="121"/>
      <c r="SCR892" s="121"/>
      <c r="SCS892" s="121"/>
      <c r="SCT892" s="121"/>
      <c r="SCU892" s="121"/>
      <c r="SCV892" s="121"/>
      <c r="SCW892" s="121"/>
      <c r="SCX892" s="121"/>
      <c r="SCY892" s="121"/>
      <c r="SCZ892" s="121"/>
      <c r="SDA892" s="121"/>
      <c r="SDB892" s="121"/>
      <c r="SDC892" s="121"/>
      <c r="SDD892" s="121"/>
      <c r="SDE892" s="121"/>
      <c r="SDF892" s="121"/>
      <c r="SDG892" s="121"/>
      <c r="SDH892" s="121"/>
      <c r="SDI892" s="121"/>
      <c r="SDJ892" s="121"/>
      <c r="SDK892" s="121"/>
      <c r="SDL892" s="121"/>
      <c r="SDM892" s="121"/>
      <c r="SDN892" s="121"/>
      <c r="SDO892" s="121"/>
      <c r="SDP892" s="121"/>
      <c r="SDQ892" s="121"/>
      <c r="SDR892" s="121"/>
      <c r="SDS892" s="121"/>
      <c r="SDT892" s="121"/>
      <c r="SDU892" s="121"/>
      <c r="SDV892" s="121"/>
      <c r="SDW892" s="121"/>
      <c r="SDX892" s="121"/>
      <c r="SDY892" s="121"/>
      <c r="SDZ892" s="121"/>
      <c r="SEA892" s="121"/>
      <c r="SEB892" s="121"/>
      <c r="SEC892" s="121"/>
      <c r="SED892" s="121"/>
      <c r="SEE892" s="121"/>
      <c r="SEF892" s="121"/>
      <c r="SEG892" s="121"/>
      <c r="SEH892" s="121"/>
      <c r="SEI892" s="121"/>
      <c r="SEJ892" s="121"/>
      <c r="SEK892" s="121"/>
      <c r="SEL892" s="121"/>
      <c r="SEM892" s="121"/>
      <c r="SEN892" s="121"/>
      <c r="SEO892" s="121"/>
      <c r="SEP892" s="121"/>
      <c r="SEQ892" s="121"/>
      <c r="SER892" s="121"/>
      <c r="SES892" s="121"/>
      <c r="SET892" s="121"/>
      <c r="SEU892" s="121"/>
      <c r="SEV892" s="121"/>
      <c r="SEW892" s="121"/>
      <c r="SEX892" s="121"/>
      <c r="SEY892" s="121"/>
      <c r="SEZ892" s="121"/>
      <c r="SFA892" s="121"/>
      <c r="SFB892" s="121"/>
      <c r="SFC892" s="121"/>
      <c r="SFD892" s="121"/>
      <c r="SFE892" s="121"/>
      <c r="SFF892" s="121"/>
      <c r="SFG892" s="121"/>
      <c r="SFH892" s="121"/>
      <c r="SFI892" s="121"/>
      <c r="SFJ892" s="121"/>
      <c r="SFK892" s="121"/>
      <c r="SFL892" s="121"/>
      <c r="SFM892" s="121"/>
      <c r="SFN892" s="121"/>
      <c r="SFO892" s="121"/>
      <c r="SFP892" s="121"/>
      <c r="SFQ892" s="121"/>
      <c r="SFR892" s="121"/>
      <c r="SFS892" s="121"/>
      <c r="SFT892" s="121"/>
      <c r="SFU892" s="121"/>
      <c r="SFV892" s="121"/>
      <c r="SFW892" s="121"/>
      <c r="SFX892" s="121"/>
      <c r="SFY892" s="121"/>
      <c r="SFZ892" s="121"/>
      <c r="SGA892" s="121"/>
      <c r="SGB892" s="121"/>
      <c r="SGC892" s="121"/>
      <c r="SGD892" s="121"/>
      <c r="SGE892" s="121"/>
      <c r="SGF892" s="121"/>
      <c r="SGG892" s="121"/>
      <c r="SGH892" s="121"/>
      <c r="SGI892" s="121"/>
      <c r="SGJ892" s="121"/>
      <c r="SGK892" s="121"/>
      <c r="SGL892" s="121"/>
      <c r="SGM892" s="121"/>
      <c r="SGN892" s="121"/>
      <c r="SGO892" s="121"/>
      <c r="SGP892" s="121"/>
      <c r="SGQ892" s="121"/>
      <c r="SGR892" s="121"/>
      <c r="SGS892" s="121"/>
      <c r="SGT892" s="121"/>
      <c r="SGU892" s="121"/>
      <c r="SGV892" s="121"/>
      <c r="SGW892" s="121"/>
      <c r="SGX892" s="121"/>
      <c r="SGY892" s="121"/>
      <c r="SGZ892" s="121"/>
      <c r="SHA892" s="121"/>
      <c r="SHB892" s="121"/>
      <c r="SHC892" s="121"/>
      <c r="SHD892" s="121"/>
      <c r="SHE892" s="121"/>
      <c r="SHF892" s="121"/>
      <c r="SHG892" s="121"/>
      <c r="SHH892" s="121"/>
      <c r="SHI892" s="121"/>
      <c r="SHJ892" s="121"/>
      <c r="SHK892" s="121"/>
      <c r="SHL892" s="121"/>
      <c r="SHM892" s="121"/>
      <c r="SHN892" s="121"/>
      <c r="SHO892" s="121"/>
      <c r="SHP892" s="121"/>
      <c r="SHQ892" s="121"/>
      <c r="SHR892" s="121"/>
      <c r="SHS892" s="121"/>
      <c r="SHT892" s="121"/>
      <c r="SHU892" s="121"/>
      <c r="SHV892" s="121"/>
      <c r="SHW892" s="121"/>
      <c r="SHX892" s="121"/>
      <c r="SHY892" s="121"/>
      <c r="SHZ892" s="121"/>
      <c r="SIA892" s="121"/>
      <c r="SIB892" s="121"/>
      <c r="SIC892" s="121"/>
      <c r="SID892" s="121"/>
      <c r="SIE892" s="121"/>
      <c r="SIF892" s="121"/>
      <c r="SIG892" s="121"/>
      <c r="SIH892" s="121"/>
      <c r="SII892" s="121"/>
      <c r="SIJ892" s="121"/>
      <c r="SIK892" s="121"/>
      <c r="SIL892" s="121"/>
      <c r="SIM892" s="121"/>
      <c r="SIN892" s="121"/>
      <c r="SIO892" s="121"/>
      <c r="SIP892" s="121"/>
      <c r="SIQ892" s="121"/>
      <c r="SIR892" s="121"/>
      <c r="SIS892" s="121"/>
      <c r="SIT892" s="121"/>
      <c r="SIU892" s="121"/>
      <c r="SIV892" s="121"/>
      <c r="SIW892" s="121"/>
      <c r="SIX892" s="121"/>
      <c r="SIY892" s="121"/>
      <c r="SIZ892" s="121"/>
      <c r="SJA892" s="121"/>
      <c r="SJB892" s="121"/>
      <c r="SJC892" s="121"/>
      <c r="SJD892" s="121"/>
      <c r="SJE892" s="121"/>
      <c r="SJF892" s="121"/>
      <c r="SJG892" s="121"/>
      <c r="SJH892" s="121"/>
      <c r="SJI892" s="121"/>
      <c r="SJJ892" s="121"/>
      <c r="SJK892" s="121"/>
      <c r="SJL892" s="121"/>
      <c r="SJM892" s="121"/>
      <c r="SJN892" s="121"/>
      <c r="SJO892" s="121"/>
      <c r="SJP892" s="121"/>
      <c r="SJQ892" s="121"/>
      <c r="SJR892" s="121"/>
      <c r="SJS892" s="121"/>
      <c r="SJT892" s="121"/>
      <c r="SJU892" s="121"/>
      <c r="SJV892" s="121"/>
      <c r="SJW892" s="121"/>
      <c r="SJX892" s="121"/>
      <c r="SJY892" s="121"/>
      <c r="SJZ892" s="121"/>
      <c r="SKA892" s="121"/>
      <c r="SKB892" s="121"/>
      <c r="SKC892" s="121"/>
      <c r="SKD892" s="121"/>
      <c r="SKE892" s="121"/>
      <c r="SKF892" s="121"/>
      <c r="SKG892" s="121"/>
      <c r="SKH892" s="121"/>
      <c r="SKI892" s="121"/>
      <c r="SKJ892" s="121"/>
      <c r="SKK892" s="121"/>
      <c r="SKL892" s="121"/>
      <c r="SKM892" s="121"/>
      <c r="SKN892" s="121"/>
      <c r="SKO892" s="121"/>
      <c r="SKP892" s="121"/>
      <c r="SKQ892" s="121"/>
      <c r="SKR892" s="121"/>
      <c r="SKS892" s="121"/>
      <c r="SKT892" s="121"/>
      <c r="SKU892" s="121"/>
      <c r="SKV892" s="121"/>
      <c r="SKW892" s="121"/>
      <c r="SKX892" s="121"/>
      <c r="SKY892" s="121"/>
      <c r="SKZ892" s="121"/>
      <c r="SLA892" s="121"/>
      <c r="SLB892" s="121"/>
      <c r="SLC892" s="121"/>
      <c r="SLD892" s="121"/>
      <c r="SLE892" s="121"/>
      <c r="SLF892" s="121"/>
      <c r="SLG892" s="121"/>
      <c r="SLH892" s="121"/>
      <c r="SLI892" s="121"/>
      <c r="SLJ892" s="121"/>
      <c r="SLK892" s="121"/>
      <c r="SLL892" s="121"/>
      <c r="SLM892" s="121"/>
      <c r="SLN892" s="121"/>
      <c r="SLO892" s="121"/>
      <c r="SLP892" s="121"/>
      <c r="SLQ892" s="121"/>
      <c r="SLR892" s="121"/>
      <c r="SLS892" s="121"/>
      <c r="SLT892" s="121"/>
      <c r="SLU892" s="121"/>
      <c r="SLV892" s="121"/>
      <c r="SLW892" s="121"/>
      <c r="SLX892" s="121"/>
      <c r="SLY892" s="121"/>
      <c r="SLZ892" s="121"/>
      <c r="SMA892" s="121"/>
      <c r="SMB892" s="121"/>
      <c r="SMC892" s="121"/>
      <c r="SMD892" s="121"/>
      <c r="SME892" s="121"/>
      <c r="SMF892" s="121"/>
      <c r="SMG892" s="121"/>
      <c r="SMH892" s="121"/>
      <c r="SMI892" s="121"/>
      <c r="SMJ892" s="121"/>
      <c r="SMK892" s="121"/>
      <c r="SML892" s="121"/>
      <c r="SMM892" s="121"/>
      <c r="SMN892" s="121"/>
      <c r="SMO892" s="121"/>
      <c r="SMP892" s="121"/>
      <c r="SMQ892" s="121"/>
      <c r="SMR892" s="121"/>
      <c r="SMS892" s="121"/>
      <c r="SMT892" s="121"/>
      <c r="SMU892" s="121"/>
      <c r="SMV892" s="121"/>
      <c r="SMW892" s="121"/>
      <c r="SMX892" s="121"/>
      <c r="SMY892" s="121"/>
      <c r="SMZ892" s="121"/>
      <c r="SNA892" s="121"/>
      <c r="SNB892" s="121"/>
      <c r="SNC892" s="121"/>
      <c r="SND892" s="121"/>
      <c r="SNE892" s="121"/>
      <c r="SNF892" s="121"/>
      <c r="SNG892" s="121"/>
      <c r="SNH892" s="121"/>
      <c r="SNI892" s="121"/>
      <c r="SNJ892" s="121"/>
      <c r="SNK892" s="121"/>
      <c r="SNL892" s="121"/>
      <c r="SNM892" s="121"/>
      <c r="SNN892" s="121"/>
      <c r="SNO892" s="121"/>
      <c r="SNP892" s="121"/>
      <c r="SNQ892" s="121"/>
      <c r="SNR892" s="121"/>
      <c r="SNS892" s="121"/>
      <c r="SNT892" s="121"/>
      <c r="SNU892" s="121"/>
      <c r="SNV892" s="121"/>
      <c r="SNW892" s="121"/>
      <c r="SNX892" s="121"/>
      <c r="SNY892" s="121"/>
      <c r="SNZ892" s="121"/>
      <c r="SOA892" s="121"/>
      <c r="SOB892" s="121"/>
      <c r="SOC892" s="121"/>
      <c r="SOD892" s="121"/>
      <c r="SOE892" s="121"/>
      <c r="SOF892" s="121"/>
      <c r="SOG892" s="121"/>
      <c r="SOH892" s="121"/>
      <c r="SOI892" s="121"/>
      <c r="SOJ892" s="121"/>
      <c r="SOK892" s="121"/>
      <c r="SOL892" s="121"/>
      <c r="SOM892" s="121"/>
      <c r="SON892" s="121"/>
      <c r="SOO892" s="121"/>
      <c r="SOP892" s="121"/>
      <c r="SOQ892" s="121"/>
      <c r="SOR892" s="121"/>
      <c r="SOS892" s="121"/>
      <c r="SOT892" s="121"/>
      <c r="SOU892" s="121"/>
      <c r="SOV892" s="121"/>
      <c r="SOW892" s="121"/>
      <c r="SOX892" s="121"/>
      <c r="SOY892" s="121"/>
      <c r="SOZ892" s="121"/>
      <c r="SPA892" s="121"/>
      <c r="SPB892" s="121"/>
      <c r="SPC892" s="121"/>
      <c r="SPD892" s="121"/>
      <c r="SPE892" s="121"/>
      <c r="SPF892" s="121"/>
      <c r="SPG892" s="121"/>
      <c r="SPH892" s="121"/>
      <c r="SPI892" s="121"/>
      <c r="SPJ892" s="121"/>
      <c r="SPK892" s="121"/>
      <c r="SPL892" s="121"/>
      <c r="SPM892" s="121"/>
      <c r="SPN892" s="121"/>
      <c r="SPO892" s="121"/>
      <c r="SPP892" s="121"/>
      <c r="SPQ892" s="121"/>
      <c r="SPR892" s="121"/>
      <c r="SPS892" s="121"/>
      <c r="SPT892" s="121"/>
      <c r="SPU892" s="121"/>
      <c r="SPV892" s="121"/>
      <c r="SPW892" s="121"/>
      <c r="SPX892" s="121"/>
      <c r="SPY892" s="121"/>
      <c r="SPZ892" s="121"/>
      <c r="SQA892" s="121"/>
      <c r="SQB892" s="121"/>
      <c r="SQC892" s="121"/>
      <c r="SQD892" s="121"/>
      <c r="SQE892" s="121"/>
      <c r="SQF892" s="121"/>
      <c r="SQG892" s="121"/>
      <c r="SQH892" s="121"/>
      <c r="SQI892" s="121"/>
      <c r="SQJ892" s="121"/>
      <c r="SQK892" s="121"/>
      <c r="SQL892" s="121"/>
      <c r="SQM892" s="121"/>
      <c r="SQN892" s="121"/>
      <c r="SQO892" s="121"/>
      <c r="SQP892" s="121"/>
      <c r="SQQ892" s="121"/>
      <c r="SQR892" s="121"/>
      <c r="SQS892" s="121"/>
      <c r="SQT892" s="121"/>
      <c r="SQU892" s="121"/>
      <c r="SQV892" s="121"/>
      <c r="SQW892" s="121"/>
      <c r="SQX892" s="121"/>
      <c r="SQY892" s="121"/>
      <c r="SQZ892" s="121"/>
      <c r="SRA892" s="121"/>
      <c r="SRB892" s="121"/>
      <c r="SRC892" s="121"/>
      <c r="SRD892" s="121"/>
      <c r="SRE892" s="121"/>
      <c r="SRF892" s="121"/>
      <c r="SRG892" s="121"/>
      <c r="SRH892" s="121"/>
      <c r="SRI892" s="121"/>
      <c r="SRJ892" s="121"/>
      <c r="SRK892" s="121"/>
      <c r="SRL892" s="121"/>
      <c r="SRM892" s="121"/>
      <c r="SRN892" s="121"/>
      <c r="SRO892" s="121"/>
      <c r="SRP892" s="121"/>
      <c r="SRQ892" s="121"/>
      <c r="SRR892" s="121"/>
      <c r="SRS892" s="121"/>
      <c r="SRT892" s="121"/>
      <c r="SRU892" s="121"/>
      <c r="SRV892" s="121"/>
      <c r="SRW892" s="121"/>
      <c r="SRX892" s="121"/>
      <c r="SRY892" s="121"/>
      <c r="SRZ892" s="121"/>
      <c r="SSA892" s="121"/>
      <c r="SSB892" s="121"/>
      <c r="SSC892" s="121"/>
      <c r="SSD892" s="121"/>
      <c r="SSE892" s="121"/>
      <c r="SSF892" s="121"/>
      <c r="SSG892" s="121"/>
      <c r="SSH892" s="121"/>
      <c r="SSI892" s="121"/>
      <c r="SSJ892" s="121"/>
      <c r="SSK892" s="121"/>
      <c r="SSL892" s="121"/>
      <c r="SSM892" s="121"/>
      <c r="SSN892" s="121"/>
      <c r="SSO892" s="121"/>
      <c r="SSP892" s="121"/>
      <c r="SSQ892" s="121"/>
      <c r="SSR892" s="121"/>
      <c r="SSS892" s="121"/>
      <c r="SST892" s="121"/>
      <c r="SSU892" s="121"/>
      <c r="SSV892" s="121"/>
      <c r="SSW892" s="121"/>
      <c r="SSX892" s="121"/>
      <c r="SSY892" s="121"/>
      <c r="SSZ892" s="121"/>
      <c r="STA892" s="121"/>
      <c r="STB892" s="121"/>
      <c r="STC892" s="121"/>
      <c r="STD892" s="121"/>
      <c r="STE892" s="121"/>
      <c r="STF892" s="121"/>
      <c r="STG892" s="121"/>
      <c r="STH892" s="121"/>
      <c r="STI892" s="121"/>
      <c r="STJ892" s="121"/>
      <c r="STK892" s="121"/>
      <c r="STL892" s="121"/>
      <c r="STM892" s="121"/>
      <c r="STN892" s="121"/>
      <c r="STO892" s="121"/>
      <c r="STP892" s="121"/>
      <c r="STQ892" s="121"/>
      <c r="STR892" s="121"/>
      <c r="STS892" s="121"/>
      <c r="STT892" s="121"/>
      <c r="STU892" s="121"/>
      <c r="STV892" s="121"/>
      <c r="STW892" s="121"/>
      <c r="STX892" s="121"/>
      <c r="STY892" s="121"/>
      <c r="STZ892" s="121"/>
      <c r="SUA892" s="121"/>
      <c r="SUB892" s="121"/>
      <c r="SUC892" s="121"/>
      <c r="SUD892" s="121"/>
      <c r="SUE892" s="121"/>
      <c r="SUF892" s="121"/>
      <c r="SUG892" s="121"/>
      <c r="SUH892" s="121"/>
      <c r="SUI892" s="121"/>
      <c r="SUJ892" s="121"/>
      <c r="SUK892" s="121"/>
      <c r="SUL892" s="121"/>
      <c r="SUM892" s="121"/>
      <c r="SUN892" s="121"/>
      <c r="SUO892" s="121"/>
      <c r="SUP892" s="121"/>
      <c r="SUQ892" s="121"/>
      <c r="SUR892" s="121"/>
      <c r="SUS892" s="121"/>
      <c r="SUT892" s="121"/>
      <c r="SUU892" s="121"/>
      <c r="SUV892" s="121"/>
      <c r="SUW892" s="121"/>
      <c r="SUX892" s="121"/>
      <c r="SUY892" s="121"/>
      <c r="SUZ892" s="121"/>
      <c r="SVA892" s="121"/>
      <c r="SVB892" s="121"/>
      <c r="SVC892" s="121"/>
      <c r="SVD892" s="121"/>
      <c r="SVE892" s="121"/>
      <c r="SVF892" s="121"/>
      <c r="SVG892" s="121"/>
      <c r="SVH892" s="121"/>
      <c r="SVI892" s="121"/>
      <c r="SVJ892" s="121"/>
      <c r="SVK892" s="121"/>
      <c r="SVL892" s="121"/>
      <c r="SVM892" s="121"/>
      <c r="SVN892" s="121"/>
      <c r="SVO892" s="121"/>
      <c r="SVP892" s="121"/>
      <c r="SVQ892" s="121"/>
      <c r="SVR892" s="121"/>
      <c r="SVS892" s="121"/>
      <c r="SVT892" s="121"/>
      <c r="SVU892" s="121"/>
      <c r="SVV892" s="121"/>
      <c r="SVW892" s="121"/>
      <c r="SVX892" s="121"/>
      <c r="SVY892" s="121"/>
      <c r="SVZ892" s="121"/>
      <c r="SWA892" s="121"/>
      <c r="SWB892" s="121"/>
      <c r="SWC892" s="121"/>
      <c r="SWD892" s="121"/>
      <c r="SWE892" s="121"/>
      <c r="SWF892" s="121"/>
      <c r="SWG892" s="121"/>
      <c r="SWH892" s="121"/>
      <c r="SWI892" s="121"/>
      <c r="SWJ892" s="121"/>
      <c r="SWK892" s="121"/>
      <c r="SWL892" s="121"/>
      <c r="SWM892" s="121"/>
      <c r="SWN892" s="121"/>
      <c r="SWO892" s="121"/>
      <c r="SWP892" s="121"/>
      <c r="SWQ892" s="121"/>
      <c r="SWR892" s="121"/>
      <c r="SWS892" s="121"/>
      <c r="SWT892" s="121"/>
      <c r="SWU892" s="121"/>
      <c r="SWV892" s="121"/>
      <c r="SWW892" s="121"/>
      <c r="SWX892" s="121"/>
      <c r="SWY892" s="121"/>
      <c r="SWZ892" s="121"/>
      <c r="SXA892" s="121"/>
      <c r="SXB892" s="121"/>
      <c r="SXC892" s="121"/>
      <c r="SXD892" s="121"/>
      <c r="SXE892" s="121"/>
      <c r="SXF892" s="121"/>
      <c r="SXG892" s="121"/>
      <c r="SXH892" s="121"/>
      <c r="SXI892" s="121"/>
      <c r="SXJ892" s="121"/>
      <c r="SXK892" s="121"/>
      <c r="SXL892" s="121"/>
      <c r="SXM892" s="121"/>
      <c r="SXN892" s="121"/>
      <c r="SXO892" s="121"/>
      <c r="SXP892" s="121"/>
      <c r="SXQ892" s="121"/>
      <c r="SXR892" s="121"/>
      <c r="SXS892" s="121"/>
      <c r="SXT892" s="121"/>
      <c r="SXU892" s="121"/>
      <c r="SXV892" s="121"/>
      <c r="SXW892" s="121"/>
      <c r="SXX892" s="121"/>
      <c r="SXY892" s="121"/>
      <c r="SXZ892" s="121"/>
      <c r="SYA892" s="121"/>
      <c r="SYB892" s="121"/>
      <c r="SYC892" s="121"/>
      <c r="SYD892" s="121"/>
      <c r="SYE892" s="121"/>
      <c r="SYF892" s="121"/>
      <c r="SYG892" s="121"/>
      <c r="SYH892" s="121"/>
      <c r="SYI892" s="121"/>
      <c r="SYJ892" s="121"/>
      <c r="SYK892" s="121"/>
      <c r="SYL892" s="121"/>
      <c r="SYM892" s="121"/>
      <c r="SYN892" s="121"/>
      <c r="SYO892" s="121"/>
      <c r="SYP892" s="121"/>
      <c r="SYQ892" s="121"/>
      <c r="SYR892" s="121"/>
      <c r="SYS892" s="121"/>
      <c r="SYT892" s="121"/>
      <c r="SYU892" s="121"/>
      <c r="SYV892" s="121"/>
      <c r="SYW892" s="121"/>
      <c r="SYX892" s="121"/>
      <c r="SYY892" s="121"/>
      <c r="SYZ892" s="121"/>
      <c r="SZA892" s="121"/>
      <c r="SZB892" s="121"/>
      <c r="SZC892" s="121"/>
      <c r="SZD892" s="121"/>
      <c r="SZE892" s="121"/>
      <c r="SZF892" s="121"/>
      <c r="SZG892" s="121"/>
      <c r="SZH892" s="121"/>
      <c r="SZI892" s="121"/>
      <c r="SZJ892" s="121"/>
      <c r="SZK892" s="121"/>
      <c r="SZL892" s="121"/>
      <c r="SZM892" s="121"/>
      <c r="SZN892" s="121"/>
      <c r="SZO892" s="121"/>
      <c r="SZP892" s="121"/>
      <c r="SZQ892" s="121"/>
      <c r="SZR892" s="121"/>
      <c r="SZS892" s="121"/>
      <c r="SZT892" s="121"/>
      <c r="SZU892" s="121"/>
      <c r="SZV892" s="121"/>
      <c r="SZW892" s="121"/>
      <c r="SZX892" s="121"/>
      <c r="SZY892" s="121"/>
      <c r="SZZ892" s="121"/>
      <c r="TAA892" s="121"/>
      <c r="TAB892" s="121"/>
      <c r="TAC892" s="121"/>
      <c r="TAD892" s="121"/>
      <c r="TAE892" s="121"/>
      <c r="TAF892" s="121"/>
      <c r="TAG892" s="121"/>
      <c r="TAH892" s="121"/>
      <c r="TAI892" s="121"/>
      <c r="TAJ892" s="121"/>
      <c r="TAK892" s="121"/>
      <c r="TAL892" s="121"/>
      <c r="TAM892" s="121"/>
      <c r="TAN892" s="121"/>
      <c r="TAO892" s="121"/>
      <c r="TAP892" s="121"/>
      <c r="TAQ892" s="121"/>
      <c r="TAR892" s="121"/>
      <c r="TAS892" s="121"/>
      <c r="TAT892" s="121"/>
      <c r="TAU892" s="121"/>
      <c r="TAV892" s="121"/>
      <c r="TAW892" s="121"/>
      <c r="TAX892" s="121"/>
      <c r="TAY892" s="121"/>
      <c r="TAZ892" s="121"/>
      <c r="TBA892" s="121"/>
      <c r="TBB892" s="121"/>
      <c r="TBC892" s="121"/>
      <c r="TBD892" s="121"/>
      <c r="TBE892" s="121"/>
      <c r="TBF892" s="121"/>
      <c r="TBG892" s="121"/>
      <c r="TBH892" s="121"/>
      <c r="TBI892" s="121"/>
      <c r="TBJ892" s="121"/>
      <c r="TBK892" s="121"/>
      <c r="TBL892" s="121"/>
      <c r="TBM892" s="121"/>
      <c r="TBN892" s="121"/>
      <c r="TBO892" s="121"/>
      <c r="TBP892" s="121"/>
      <c r="TBQ892" s="121"/>
      <c r="TBR892" s="121"/>
      <c r="TBS892" s="121"/>
      <c r="TBT892" s="121"/>
      <c r="TBU892" s="121"/>
      <c r="TBV892" s="121"/>
      <c r="TBW892" s="121"/>
      <c r="TBX892" s="121"/>
      <c r="TBY892" s="121"/>
      <c r="TBZ892" s="121"/>
      <c r="TCA892" s="121"/>
      <c r="TCB892" s="121"/>
      <c r="TCC892" s="121"/>
      <c r="TCD892" s="121"/>
      <c r="TCE892" s="121"/>
      <c r="TCF892" s="121"/>
      <c r="TCG892" s="121"/>
      <c r="TCH892" s="121"/>
      <c r="TCI892" s="121"/>
      <c r="TCJ892" s="121"/>
      <c r="TCK892" s="121"/>
      <c r="TCL892" s="121"/>
      <c r="TCM892" s="121"/>
      <c r="TCN892" s="121"/>
      <c r="TCO892" s="121"/>
      <c r="TCP892" s="121"/>
      <c r="TCQ892" s="121"/>
      <c r="TCR892" s="121"/>
      <c r="TCS892" s="121"/>
      <c r="TCT892" s="121"/>
      <c r="TCU892" s="121"/>
      <c r="TCV892" s="121"/>
      <c r="TCW892" s="121"/>
      <c r="TCX892" s="121"/>
      <c r="TCY892" s="121"/>
      <c r="TCZ892" s="121"/>
      <c r="TDA892" s="121"/>
      <c r="TDB892" s="121"/>
      <c r="TDC892" s="121"/>
      <c r="TDD892" s="121"/>
      <c r="TDE892" s="121"/>
      <c r="TDF892" s="121"/>
      <c r="TDG892" s="121"/>
      <c r="TDH892" s="121"/>
      <c r="TDI892" s="121"/>
      <c r="TDJ892" s="121"/>
      <c r="TDK892" s="121"/>
      <c r="TDL892" s="121"/>
      <c r="TDM892" s="121"/>
      <c r="TDN892" s="121"/>
      <c r="TDO892" s="121"/>
      <c r="TDP892" s="121"/>
      <c r="TDQ892" s="121"/>
      <c r="TDR892" s="121"/>
      <c r="TDS892" s="121"/>
      <c r="TDT892" s="121"/>
      <c r="TDU892" s="121"/>
      <c r="TDV892" s="121"/>
      <c r="TDW892" s="121"/>
      <c r="TDX892" s="121"/>
      <c r="TDY892" s="121"/>
      <c r="TDZ892" s="121"/>
      <c r="TEA892" s="121"/>
      <c r="TEB892" s="121"/>
      <c r="TEC892" s="121"/>
      <c r="TED892" s="121"/>
      <c r="TEE892" s="121"/>
      <c r="TEF892" s="121"/>
      <c r="TEG892" s="121"/>
      <c r="TEH892" s="121"/>
      <c r="TEI892" s="121"/>
      <c r="TEJ892" s="121"/>
      <c r="TEK892" s="121"/>
      <c r="TEL892" s="121"/>
      <c r="TEM892" s="121"/>
      <c r="TEN892" s="121"/>
      <c r="TEO892" s="121"/>
      <c r="TEP892" s="121"/>
      <c r="TEQ892" s="121"/>
      <c r="TER892" s="121"/>
      <c r="TES892" s="121"/>
      <c r="TET892" s="121"/>
      <c r="TEU892" s="121"/>
      <c r="TEV892" s="121"/>
      <c r="TEW892" s="121"/>
      <c r="TEX892" s="121"/>
      <c r="TEY892" s="121"/>
      <c r="TEZ892" s="121"/>
      <c r="TFA892" s="121"/>
      <c r="TFB892" s="121"/>
      <c r="TFC892" s="121"/>
      <c r="TFD892" s="121"/>
      <c r="TFE892" s="121"/>
      <c r="TFF892" s="121"/>
      <c r="TFG892" s="121"/>
      <c r="TFH892" s="121"/>
      <c r="TFI892" s="121"/>
      <c r="TFJ892" s="121"/>
      <c r="TFK892" s="121"/>
      <c r="TFL892" s="121"/>
      <c r="TFM892" s="121"/>
      <c r="TFN892" s="121"/>
      <c r="TFO892" s="121"/>
      <c r="TFP892" s="121"/>
      <c r="TFQ892" s="121"/>
      <c r="TFR892" s="121"/>
      <c r="TFS892" s="121"/>
      <c r="TFT892" s="121"/>
      <c r="TFU892" s="121"/>
      <c r="TFV892" s="121"/>
      <c r="TFW892" s="121"/>
      <c r="TFX892" s="121"/>
      <c r="TFY892" s="121"/>
      <c r="TFZ892" s="121"/>
      <c r="TGA892" s="121"/>
      <c r="TGB892" s="121"/>
      <c r="TGC892" s="121"/>
      <c r="TGD892" s="121"/>
      <c r="TGE892" s="121"/>
      <c r="TGF892" s="121"/>
      <c r="TGG892" s="121"/>
      <c r="TGH892" s="121"/>
      <c r="TGI892" s="121"/>
      <c r="TGJ892" s="121"/>
      <c r="TGK892" s="121"/>
      <c r="TGL892" s="121"/>
      <c r="TGM892" s="121"/>
      <c r="TGN892" s="121"/>
      <c r="TGO892" s="121"/>
      <c r="TGP892" s="121"/>
      <c r="TGQ892" s="121"/>
      <c r="TGR892" s="121"/>
      <c r="TGS892" s="121"/>
      <c r="TGT892" s="121"/>
      <c r="TGU892" s="121"/>
      <c r="TGV892" s="121"/>
      <c r="TGW892" s="121"/>
      <c r="TGX892" s="121"/>
      <c r="TGY892" s="121"/>
      <c r="TGZ892" s="121"/>
      <c r="THA892" s="121"/>
      <c r="THB892" s="121"/>
      <c r="THC892" s="121"/>
      <c r="THD892" s="121"/>
      <c r="THE892" s="121"/>
      <c r="THF892" s="121"/>
      <c r="THG892" s="121"/>
      <c r="THH892" s="121"/>
      <c r="THI892" s="121"/>
      <c r="THJ892" s="121"/>
      <c r="THK892" s="121"/>
      <c r="THL892" s="121"/>
      <c r="THM892" s="121"/>
      <c r="THN892" s="121"/>
      <c r="THO892" s="121"/>
      <c r="THP892" s="121"/>
      <c r="THQ892" s="121"/>
      <c r="THR892" s="121"/>
      <c r="THS892" s="121"/>
      <c r="THT892" s="121"/>
      <c r="THU892" s="121"/>
      <c r="THV892" s="121"/>
      <c r="THW892" s="121"/>
      <c r="THX892" s="121"/>
      <c r="THY892" s="121"/>
      <c r="THZ892" s="121"/>
      <c r="TIA892" s="121"/>
      <c r="TIB892" s="121"/>
      <c r="TIC892" s="121"/>
      <c r="TID892" s="121"/>
      <c r="TIE892" s="121"/>
      <c r="TIF892" s="121"/>
      <c r="TIG892" s="121"/>
      <c r="TIH892" s="121"/>
      <c r="TII892" s="121"/>
      <c r="TIJ892" s="121"/>
      <c r="TIK892" s="121"/>
      <c r="TIL892" s="121"/>
      <c r="TIM892" s="121"/>
      <c r="TIN892" s="121"/>
      <c r="TIO892" s="121"/>
      <c r="TIP892" s="121"/>
      <c r="TIQ892" s="121"/>
      <c r="TIR892" s="121"/>
      <c r="TIS892" s="121"/>
      <c r="TIT892" s="121"/>
      <c r="TIU892" s="121"/>
      <c r="TIV892" s="121"/>
      <c r="TIW892" s="121"/>
      <c r="TIX892" s="121"/>
      <c r="TIY892" s="121"/>
      <c r="TIZ892" s="121"/>
      <c r="TJA892" s="121"/>
      <c r="TJB892" s="121"/>
      <c r="TJC892" s="121"/>
      <c r="TJD892" s="121"/>
      <c r="TJE892" s="121"/>
      <c r="TJF892" s="121"/>
      <c r="TJG892" s="121"/>
      <c r="TJH892" s="121"/>
      <c r="TJI892" s="121"/>
      <c r="TJJ892" s="121"/>
      <c r="TJK892" s="121"/>
      <c r="TJL892" s="121"/>
      <c r="TJM892" s="121"/>
      <c r="TJN892" s="121"/>
      <c r="TJO892" s="121"/>
      <c r="TJP892" s="121"/>
      <c r="TJQ892" s="121"/>
      <c r="TJR892" s="121"/>
      <c r="TJS892" s="121"/>
      <c r="TJT892" s="121"/>
      <c r="TJU892" s="121"/>
      <c r="TJV892" s="121"/>
      <c r="TJW892" s="121"/>
      <c r="TJX892" s="121"/>
      <c r="TJY892" s="121"/>
      <c r="TJZ892" s="121"/>
      <c r="TKA892" s="121"/>
      <c r="TKB892" s="121"/>
      <c r="TKC892" s="121"/>
      <c r="TKD892" s="121"/>
      <c r="TKE892" s="121"/>
      <c r="TKF892" s="121"/>
      <c r="TKG892" s="121"/>
      <c r="TKH892" s="121"/>
      <c r="TKI892" s="121"/>
      <c r="TKJ892" s="121"/>
      <c r="TKK892" s="121"/>
      <c r="TKL892" s="121"/>
      <c r="TKM892" s="121"/>
      <c r="TKN892" s="121"/>
      <c r="TKO892" s="121"/>
      <c r="TKP892" s="121"/>
      <c r="TKQ892" s="121"/>
      <c r="TKR892" s="121"/>
      <c r="TKS892" s="121"/>
      <c r="TKT892" s="121"/>
      <c r="TKU892" s="121"/>
      <c r="TKV892" s="121"/>
      <c r="TKW892" s="121"/>
      <c r="TKX892" s="121"/>
      <c r="TKY892" s="121"/>
      <c r="TKZ892" s="121"/>
      <c r="TLA892" s="121"/>
      <c r="TLB892" s="121"/>
      <c r="TLC892" s="121"/>
      <c r="TLD892" s="121"/>
      <c r="TLE892" s="121"/>
      <c r="TLF892" s="121"/>
      <c r="TLG892" s="121"/>
      <c r="TLH892" s="121"/>
      <c r="TLI892" s="121"/>
      <c r="TLJ892" s="121"/>
      <c r="TLK892" s="121"/>
      <c r="TLL892" s="121"/>
      <c r="TLM892" s="121"/>
      <c r="TLN892" s="121"/>
      <c r="TLO892" s="121"/>
      <c r="TLP892" s="121"/>
      <c r="TLQ892" s="121"/>
      <c r="TLR892" s="121"/>
      <c r="TLS892" s="121"/>
      <c r="TLT892" s="121"/>
      <c r="TLU892" s="121"/>
      <c r="TLV892" s="121"/>
      <c r="TLW892" s="121"/>
      <c r="TLX892" s="121"/>
      <c r="TLY892" s="121"/>
      <c r="TLZ892" s="121"/>
      <c r="TMA892" s="121"/>
      <c r="TMB892" s="121"/>
      <c r="TMC892" s="121"/>
      <c r="TMD892" s="121"/>
      <c r="TME892" s="121"/>
      <c r="TMF892" s="121"/>
      <c r="TMG892" s="121"/>
      <c r="TMH892" s="121"/>
      <c r="TMI892" s="121"/>
      <c r="TMJ892" s="121"/>
      <c r="TMK892" s="121"/>
      <c r="TML892" s="121"/>
      <c r="TMM892" s="121"/>
      <c r="TMN892" s="121"/>
      <c r="TMO892" s="121"/>
      <c r="TMP892" s="121"/>
      <c r="TMQ892" s="121"/>
      <c r="TMR892" s="121"/>
      <c r="TMS892" s="121"/>
      <c r="TMT892" s="121"/>
      <c r="TMU892" s="121"/>
      <c r="TMV892" s="121"/>
      <c r="TMW892" s="121"/>
      <c r="TMX892" s="121"/>
      <c r="TMY892" s="121"/>
      <c r="TMZ892" s="121"/>
      <c r="TNA892" s="121"/>
      <c r="TNB892" s="121"/>
      <c r="TNC892" s="121"/>
      <c r="TND892" s="121"/>
      <c r="TNE892" s="121"/>
      <c r="TNF892" s="121"/>
      <c r="TNG892" s="121"/>
      <c r="TNH892" s="121"/>
      <c r="TNI892" s="121"/>
      <c r="TNJ892" s="121"/>
      <c r="TNK892" s="121"/>
      <c r="TNL892" s="121"/>
      <c r="TNM892" s="121"/>
      <c r="TNN892" s="121"/>
      <c r="TNO892" s="121"/>
      <c r="TNP892" s="121"/>
      <c r="TNQ892" s="121"/>
      <c r="TNR892" s="121"/>
      <c r="TNS892" s="121"/>
      <c r="TNT892" s="121"/>
      <c r="TNU892" s="121"/>
      <c r="TNV892" s="121"/>
      <c r="TNW892" s="121"/>
      <c r="TNX892" s="121"/>
      <c r="TNY892" s="121"/>
      <c r="TNZ892" s="121"/>
      <c r="TOA892" s="121"/>
      <c r="TOB892" s="121"/>
      <c r="TOC892" s="121"/>
      <c r="TOD892" s="121"/>
      <c r="TOE892" s="121"/>
      <c r="TOF892" s="121"/>
      <c r="TOG892" s="121"/>
      <c r="TOH892" s="121"/>
      <c r="TOI892" s="121"/>
      <c r="TOJ892" s="121"/>
      <c r="TOK892" s="121"/>
      <c r="TOL892" s="121"/>
      <c r="TOM892" s="121"/>
      <c r="TON892" s="121"/>
      <c r="TOO892" s="121"/>
      <c r="TOP892" s="121"/>
      <c r="TOQ892" s="121"/>
      <c r="TOR892" s="121"/>
      <c r="TOS892" s="121"/>
      <c r="TOT892" s="121"/>
      <c r="TOU892" s="121"/>
      <c r="TOV892" s="121"/>
      <c r="TOW892" s="121"/>
      <c r="TOX892" s="121"/>
      <c r="TOY892" s="121"/>
      <c r="TOZ892" s="121"/>
      <c r="TPA892" s="121"/>
      <c r="TPB892" s="121"/>
      <c r="TPC892" s="121"/>
      <c r="TPD892" s="121"/>
      <c r="TPE892" s="121"/>
      <c r="TPF892" s="121"/>
      <c r="TPG892" s="121"/>
      <c r="TPH892" s="121"/>
      <c r="TPI892" s="121"/>
      <c r="TPJ892" s="121"/>
      <c r="TPK892" s="121"/>
      <c r="TPL892" s="121"/>
      <c r="TPM892" s="121"/>
      <c r="TPN892" s="121"/>
      <c r="TPO892" s="121"/>
      <c r="TPP892" s="121"/>
      <c r="TPQ892" s="121"/>
      <c r="TPR892" s="121"/>
      <c r="TPS892" s="121"/>
      <c r="TPT892" s="121"/>
      <c r="TPU892" s="121"/>
      <c r="TPV892" s="121"/>
      <c r="TPW892" s="121"/>
      <c r="TPX892" s="121"/>
      <c r="TPY892" s="121"/>
      <c r="TPZ892" s="121"/>
      <c r="TQA892" s="121"/>
      <c r="TQB892" s="121"/>
      <c r="TQC892" s="121"/>
      <c r="TQD892" s="121"/>
      <c r="TQE892" s="121"/>
      <c r="TQF892" s="121"/>
      <c r="TQG892" s="121"/>
      <c r="TQH892" s="121"/>
      <c r="TQI892" s="121"/>
      <c r="TQJ892" s="121"/>
      <c r="TQK892" s="121"/>
      <c r="TQL892" s="121"/>
      <c r="TQM892" s="121"/>
      <c r="TQN892" s="121"/>
      <c r="TQO892" s="121"/>
      <c r="TQP892" s="121"/>
      <c r="TQQ892" s="121"/>
      <c r="TQR892" s="121"/>
      <c r="TQS892" s="121"/>
      <c r="TQT892" s="121"/>
      <c r="TQU892" s="121"/>
      <c r="TQV892" s="121"/>
      <c r="TQW892" s="121"/>
      <c r="TQX892" s="121"/>
      <c r="TQY892" s="121"/>
      <c r="TQZ892" s="121"/>
      <c r="TRA892" s="121"/>
      <c r="TRB892" s="121"/>
      <c r="TRC892" s="121"/>
      <c r="TRD892" s="121"/>
      <c r="TRE892" s="121"/>
      <c r="TRF892" s="121"/>
      <c r="TRG892" s="121"/>
      <c r="TRH892" s="121"/>
      <c r="TRI892" s="121"/>
      <c r="TRJ892" s="121"/>
      <c r="TRK892" s="121"/>
      <c r="TRL892" s="121"/>
      <c r="TRM892" s="121"/>
      <c r="TRN892" s="121"/>
      <c r="TRO892" s="121"/>
      <c r="TRP892" s="121"/>
      <c r="TRQ892" s="121"/>
      <c r="TRR892" s="121"/>
      <c r="TRS892" s="121"/>
      <c r="TRT892" s="121"/>
      <c r="TRU892" s="121"/>
      <c r="TRV892" s="121"/>
      <c r="TRW892" s="121"/>
      <c r="TRX892" s="121"/>
      <c r="TRY892" s="121"/>
      <c r="TRZ892" s="121"/>
      <c r="TSA892" s="121"/>
      <c r="TSB892" s="121"/>
      <c r="TSC892" s="121"/>
      <c r="TSD892" s="121"/>
      <c r="TSE892" s="121"/>
      <c r="TSF892" s="121"/>
      <c r="TSG892" s="121"/>
      <c r="TSH892" s="121"/>
      <c r="TSI892" s="121"/>
      <c r="TSJ892" s="121"/>
      <c r="TSK892" s="121"/>
      <c r="TSL892" s="121"/>
      <c r="TSM892" s="121"/>
      <c r="TSN892" s="121"/>
      <c r="TSO892" s="121"/>
      <c r="TSP892" s="121"/>
      <c r="TSQ892" s="121"/>
      <c r="TSR892" s="121"/>
      <c r="TSS892" s="121"/>
      <c r="TST892" s="121"/>
      <c r="TSU892" s="121"/>
      <c r="TSV892" s="121"/>
      <c r="TSW892" s="121"/>
      <c r="TSX892" s="121"/>
      <c r="TSY892" s="121"/>
      <c r="TSZ892" s="121"/>
      <c r="TTA892" s="121"/>
      <c r="TTB892" s="121"/>
      <c r="TTC892" s="121"/>
      <c r="TTD892" s="121"/>
      <c r="TTE892" s="121"/>
      <c r="TTF892" s="121"/>
      <c r="TTG892" s="121"/>
      <c r="TTH892" s="121"/>
      <c r="TTI892" s="121"/>
      <c r="TTJ892" s="121"/>
      <c r="TTK892" s="121"/>
      <c r="TTL892" s="121"/>
      <c r="TTM892" s="121"/>
      <c r="TTN892" s="121"/>
      <c r="TTO892" s="121"/>
      <c r="TTP892" s="121"/>
      <c r="TTQ892" s="121"/>
      <c r="TTR892" s="121"/>
      <c r="TTS892" s="121"/>
      <c r="TTT892" s="121"/>
      <c r="TTU892" s="121"/>
      <c r="TTV892" s="121"/>
      <c r="TTW892" s="121"/>
      <c r="TTX892" s="121"/>
      <c r="TTY892" s="121"/>
      <c r="TTZ892" s="121"/>
      <c r="TUA892" s="121"/>
      <c r="TUB892" s="121"/>
      <c r="TUC892" s="121"/>
      <c r="TUD892" s="121"/>
      <c r="TUE892" s="121"/>
      <c r="TUF892" s="121"/>
      <c r="TUG892" s="121"/>
      <c r="TUH892" s="121"/>
      <c r="TUI892" s="121"/>
      <c r="TUJ892" s="121"/>
      <c r="TUK892" s="121"/>
      <c r="TUL892" s="121"/>
      <c r="TUM892" s="121"/>
      <c r="TUN892" s="121"/>
      <c r="TUO892" s="121"/>
      <c r="TUP892" s="121"/>
      <c r="TUQ892" s="121"/>
      <c r="TUR892" s="121"/>
      <c r="TUS892" s="121"/>
      <c r="TUT892" s="121"/>
      <c r="TUU892" s="121"/>
      <c r="TUV892" s="121"/>
      <c r="TUW892" s="121"/>
      <c r="TUX892" s="121"/>
      <c r="TUY892" s="121"/>
      <c r="TUZ892" s="121"/>
      <c r="TVA892" s="121"/>
      <c r="TVB892" s="121"/>
      <c r="TVC892" s="121"/>
      <c r="TVD892" s="121"/>
      <c r="TVE892" s="121"/>
      <c r="TVF892" s="121"/>
      <c r="TVG892" s="121"/>
      <c r="TVH892" s="121"/>
      <c r="TVI892" s="121"/>
      <c r="TVJ892" s="121"/>
      <c r="TVK892" s="121"/>
      <c r="TVL892" s="121"/>
      <c r="TVM892" s="121"/>
      <c r="TVN892" s="121"/>
      <c r="TVO892" s="121"/>
      <c r="TVP892" s="121"/>
      <c r="TVQ892" s="121"/>
      <c r="TVR892" s="121"/>
      <c r="TVS892" s="121"/>
      <c r="TVT892" s="121"/>
      <c r="TVU892" s="121"/>
      <c r="TVV892" s="121"/>
      <c r="TVW892" s="121"/>
      <c r="TVX892" s="121"/>
      <c r="TVY892" s="121"/>
      <c r="TVZ892" s="121"/>
      <c r="TWA892" s="121"/>
      <c r="TWB892" s="121"/>
      <c r="TWC892" s="121"/>
      <c r="TWD892" s="121"/>
      <c r="TWE892" s="121"/>
      <c r="TWF892" s="121"/>
      <c r="TWG892" s="121"/>
      <c r="TWH892" s="121"/>
      <c r="TWI892" s="121"/>
      <c r="TWJ892" s="121"/>
      <c r="TWK892" s="121"/>
      <c r="TWL892" s="121"/>
      <c r="TWM892" s="121"/>
      <c r="TWN892" s="121"/>
      <c r="TWO892" s="121"/>
      <c r="TWP892" s="121"/>
      <c r="TWQ892" s="121"/>
      <c r="TWR892" s="121"/>
      <c r="TWS892" s="121"/>
      <c r="TWT892" s="121"/>
      <c r="TWU892" s="121"/>
      <c r="TWV892" s="121"/>
      <c r="TWW892" s="121"/>
      <c r="TWX892" s="121"/>
      <c r="TWY892" s="121"/>
      <c r="TWZ892" s="121"/>
      <c r="TXA892" s="121"/>
      <c r="TXB892" s="121"/>
      <c r="TXC892" s="121"/>
      <c r="TXD892" s="121"/>
      <c r="TXE892" s="121"/>
      <c r="TXF892" s="121"/>
      <c r="TXG892" s="121"/>
      <c r="TXH892" s="121"/>
      <c r="TXI892" s="121"/>
      <c r="TXJ892" s="121"/>
      <c r="TXK892" s="121"/>
      <c r="TXL892" s="121"/>
      <c r="TXM892" s="121"/>
      <c r="TXN892" s="121"/>
      <c r="TXO892" s="121"/>
      <c r="TXP892" s="121"/>
      <c r="TXQ892" s="121"/>
      <c r="TXR892" s="121"/>
      <c r="TXS892" s="121"/>
      <c r="TXT892" s="121"/>
      <c r="TXU892" s="121"/>
      <c r="TXV892" s="121"/>
      <c r="TXW892" s="121"/>
      <c r="TXX892" s="121"/>
      <c r="TXY892" s="121"/>
      <c r="TXZ892" s="121"/>
      <c r="TYA892" s="121"/>
      <c r="TYB892" s="121"/>
      <c r="TYC892" s="121"/>
      <c r="TYD892" s="121"/>
      <c r="TYE892" s="121"/>
      <c r="TYF892" s="121"/>
      <c r="TYG892" s="121"/>
      <c r="TYH892" s="121"/>
      <c r="TYI892" s="121"/>
      <c r="TYJ892" s="121"/>
      <c r="TYK892" s="121"/>
      <c r="TYL892" s="121"/>
      <c r="TYM892" s="121"/>
      <c r="TYN892" s="121"/>
      <c r="TYO892" s="121"/>
      <c r="TYP892" s="121"/>
      <c r="TYQ892" s="121"/>
      <c r="TYR892" s="121"/>
      <c r="TYS892" s="121"/>
      <c r="TYT892" s="121"/>
      <c r="TYU892" s="121"/>
      <c r="TYV892" s="121"/>
      <c r="TYW892" s="121"/>
      <c r="TYX892" s="121"/>
      <c r="TYY892" s="121"/>
      <c r="TYZ892" s="121"/>
      <c r="TZA892" s="121"/>
      <c r="TZB892" s="121"/>
      <c r="TZC892" s="121"/>
      <c r="TZD892" s="121"/>
      <c r="TZE892" s="121"/>
      <c r="TZF892" s="121"/>
      <c r="TZG892" s="121"/>
      <c r="TZH892" s="121"/>
      <c r="TZI892" s="121"/>
      <c r="TZJ892" s="121"/>
      <c r="TZK892" s="121"/>
      <c r="TZL892" s="121"/>
      <c r="TZM892" s="121"/>
      <c r="TZN892" s="121"/>
      <c r="TZO892" s="121"/>
      <c r="TZP892" s="121"/>
      <c r="TZQ892" s="121"/>
      <c r="TZR892" s="121"/>
      <c r="TZS892" s="121"/>
      <c r="TZT892" s="121"/>
      <c r="TZU892" s="121"/>
      <c r="TZV892" s="121"/>
      <c r="TZW892" s="121"/>
      <c r="TZX892" s="121"/>
      <c r="TZY892" s="121"/>
      <c r="TZZ892" s="121"/>
      <c r="UAA892" s="121"/>
      <c r="UAB892" s="121"/>
      <c r="UAC892" s="121"/>
      <c r="UAD892" s="121"/>
      <c r="UAE892" s="121"/>
      <c r="UAF892" s="121"/>
      <c r="UAG892" s="121"/>
      <c r="UAH892" s="121"/>
      <c r="UAI892" s="121"/>
      <c r="UAJ892" s="121"/>
      <c r="UAK892" s="121"/>
      <c r="UAL892" s="121"/>
      <c r="UAM892" s="121"/>
      <c r="UAN892" s="121"/>
      <c r="UAO892" s="121"/>
      <c r="UAP892" s="121"/>
      <c r="UAQ892" s="121"/>
      <c r="UAR892" s="121"/>
      <c r="UAS892" s="121"/>
      <c r="UAT892" s="121"/>
      <c r="UAU892" s="121"/>
      <c r="UAV892" s="121"/>
      <c r="UAW892" s="121"/>
      <c r="UAX892" s="121"/>
      <c r="UAY892" s="121"/>
      <c r="UAZ892" s="121"/>
      <c r="UBA892" s="121"/>
      <c r="UBB892" s="121"/>
      <c r="UBC892" s="121"/>
      <c r="UBD892" s="121"/>
      <c r="UBE892" s="121"/>
      <c r="UBF892" s="121"/>
      <c r="UBG892" s="121"/>
      <c r="UBH892" s="121"/>
      <c r="UBI892" s="121"/>
      <c r="UBJ892" s="121"/>
      <c r="UBK892" s="121"/>
      <c r="UBL892" s="121"/>
      <c r="UBM892" s="121"/>
      <c r="UBN892" s="121"/>
      <c r="UBO892" s="121"/>
      <c r="UBP892" s="121"/>
      <c r="UBQ892" s="121"/>
      <c r="UBR892" s="121"/>
      <c r="UBS892" s="121"/>
      <c r="UBT892" s="121"/>
      <c r="UBU892" s="121"/>
      <c r="UBV892" s="121"/>
      <c r="UBW892" s="121"/>
      <c r="UBX892" s="121"/>
      <c r="UBY892" s="121"/>
      <c r="UBZ892" s="121"/>
      <c r="UCA892" s="121"/>
      <c r="UCB892" s="121"/>
      <c r="UCC892" s="121"/>
      <c r="UCD892" s="121"/>
      <c r="UCE892" s="121"/>
      <c r="UCF892" s="121"/>
      <c r="UCG892" s="121"/>
      <c r="UCH892" s="121"/>
      <c r="UCI892" s="121"/>
      <c r="UCJ892" s="121"/>
      <c r="UCK892" s="121"/>
      <c r="UCL892" s="121"/>
      <c r="UCM892" s="121"/>
      <c r="UCN892" s="121"/>
      <c r="UCO892" s="121"/>
      <c r="UCP892" s="121"/>
      <c r="UCQ892" s="121"/>
      <c r="UCR892" s="121"/>
      <c r="UCS892" s="121"/>
      <c r="UCT892" s="121"/>
      <c r="UCU892" s="121"/>
      <c r="UCV892" s="121"/>
      <c r="UCW892" s="121"/>
      <c r="UCX892" s="121"/>
      <c r="UCY892" s="121"/>
      <c r="UCZ892" s="121"/>
      <c r="UDA892" s="121"/>
      <c r="UDB892" s="121"/>
      <c r="UDC892" s="121"/>
      <c r="UDD892" s="121"/>
      <c r="UDE892" s="121"/>
      <c r="UDF892" s="121"/>
      <c r="UDG892" s="121"/>
      <c r="UDH892" s="121"/>
      <c r="UDI892" s="121"/>
      <c r="UDJ892" s="121"/>
      <c r="UDK892" s="121"/>
      <c r="UDL892" s="121"/>
      <c r="UDM892" s="121"/>
      <c r="UDN892" s="121"/>
      <c r="UDO892" s="121"/>
      <c r="UDP892" s="121"/>
      <c r="UDQ892" s="121"/>
      <c r="UDR892" s="121"/>
      <c r="UDS892" s="121"/>
      <c r="UDT892" s="121"/>
      <c r="UDU892" s="121"/>
      <c r="UDV892" s="121"/>
      <c r="UDW892" s="121"/>
      <c r="UDX892" s="121"/>
      <c r="UDY892" s="121"/>
      <c r="UDZ892" s="121"/>
      <c r="UEA892" s="121"/>
      <c r="UEB892" s="121"/>
      <c r="UEC892" s="121"/>
      <c r="UED892" s="121"/>
      <c r="UEE892" s="121"/>
      <c r="UEF892" s="121"/>
      <c r="UEG892" s="121"/>
      <c r="UEH892" s="121"/>
      <c r="UEI892" s="121"/>
      <c r="UEJ892" s="121"/>
      <c r="UEK892" s="121"/>
      <c r="UEL892" s="121"/>
      <c r="UEM892" s="121"/>
      <c r="UEN892" s="121"/>
      <c r="UEO892" s="121"/>
      <c r="UEP892" s="121"/>
      <c r="UEQ892" s="121"/>
      <c r="UER892" s="121"/>
      <c r="UES892" s="121"/>
      <c r="UET892" s="121"/>
      <c r="UEU892" s="121"/>
      <c r="UEV892" s="121"/>
      <c r="UEW892" s="121"/>
      <c r="UEX892" s="121"/>
      <c r="UEY892" s="121"/>
      <c r="UEZ892" s="121"/>
      <c r="UFA892" s="121"/>
      <c r="UFB892" s="121"/>
      <c r="UFC892" s="121"/>
      <c r="UFD892" s="121"/>
      <c r="UFE892" s="121"/>
      <c r="UFF892" s="121"/>
      <c r="UFG892" s="121"/>
      <c r="UFH892" s="121"/>
      <c r="UFI892" s="121"/>
      <c r="UFJ892" s="121"/>
      <c r="UFK892" s="121"/>
      <c r="UFL892" s="121"/>
      <c r="UFM892" s="121"/>
      <c r="UFN892" s="121"/>
      <c r="UFO892" s="121"/>
      <c r="UFP892" s="121"/>
      <c r="UFQ892" s="121"/>
      <c r="UFR892" s="121"/>
      <c r="UFS892" s="121"/>
      <c r="UFT892" s="121"/>
      <c r="UFU892" s="121"/>
      <c r="UFV892" s="121"/>
      <c r="UFW892" s="121"/>
      <c r="UFX892" s="121"/>
      <c r="UFY892" s="121"/>
      <c r="UFZ892" s="121"/>
      <c r="UGA892" s="121"/>
      <c r="UGB892" s="121"/>
      <c r="UGC892" s="121"/>
      <c r="UGD892" s="121"/>
      <c r="UGE892" s="121"/>
      <c r="UGF892" s="121"/>
      <c r="UGG892" s="121"/>
      <c r="UGH892" s="121"/>
      <c r="UGI892" s="121"/>
      <c r="UGJ892" s="121"/>
      <c r="UGK892" s="121"/>
      <c r="UGL892" s="121"/>
      <c r="UGM892" s="121"/>
      <c r="UGN892" s="121"/>
      <c r="UGO892" s="121"/>
      <c r="UGP892" s="121"/>
      <c r="UGQ892" s="121"/>
      <c r="UGR892" s="121"/>
      <c r="UGS892" s="121"/>
      <c r="UGT892" s="121"/>
      <c r="UGU892" s="121"/>
      <c r="UGV892" s="121"/>
      <c r="UGW892" s="121"/>
      <c r="UGX892" s="121"/>
      <c r="UGY892" s="121"/>
      <c r="UGZ892" s="121"/>
      <c r="UHA892" s="121"/>
      <c r="UHB892" s="121"/>
      <c r="UHC892" s="121"/>
      <c r="UHD892" s="121"/>
      <c r="UHE892" s="121"/>
      <c r="UHF892" s="121"/>
      <c r="UHG892" s="121"/>
      <c r="UHH892" s="121"/>
      <c r="UHI892" s="121"/>
      <c r="UHJ892" s="121"/>
      <c r="UHK892" s="121"/>
      <c r="UHL892" s="121"/>
      <c r="UHM892" s="121"/>
      <c r="UHN892" s="121"/>
      <c r="UHO892" s="121"/>
      <c r="UHP892" s="121"/>
      <c r="UHQ892" s="121"/>
      <c r="UHR892" s="121"/>
      <c r="UHS892" s="121"/>
      <c r="UHT892" s="121"/>
      <c r="UHU892" s="121"/>
      <c r="UHV892" s="121"/>
      <c r="UHW892" s="121"/>
      <c r="UHX892" s="121"/>
      <c r="UHY892" s="121"/>
      <c r="UHZ892" s="121"/>
      <c r="UIA892" s="121"/>
      <c r="UIB892" s="121"/>
      <c r="UIC892" s="121"/>
      <c r="UID892" s="121"/>
      <c r="UIE892" s="121"/>
      <c r="UIF892" s="121"/>
      <c r="UIG892" s="121"/>
      <c r="UIH892" s="121"/>
      <c r="UII892" s="121"/>
      <c r="UIJ892" s="121"/>
      <c r="UIK892" s="121"/>
      <c r="UIL892" s="121"/>
      <c r="UIM892" s="121"/>
      <c r="UIN892" s="121"/>
      <c r="UIO892" s="121"/>
      <c r="UIP892" s="121"/>
      <c r="UIQ892" s="121"/>
      <c r="UIR892" s="121"/>
      <c r="UIS892" s="121"/>
      <c r="UIT892" s="121"/>
      <c r="UIU892" s="121"/>
      <c r="UIV892" s="121"/>
      <c r="UIW892" s="121"/>
      <c r="UIX892" s="121"/>
      <c r="UIY892" s="121"/>
      <c r="UIZ892" s="121"/>
      <c r="UJA892" s="121"/>
      <c r="UJB892" s="121"/>
      <c r="UJC892" s="121"/>
      <c r="UJD892" s="121"/>
      <c r="UJE892" s="121"/>
      <c r="UJF892" s="121"/>
      <c r="UJG892" s="121"/>
      <c r="UJH892" s="121"/>
      <c r="UJI892" s="121"/>
      <c r="UJJ892" s="121"/>
      <c r="UJK892" s="121"/>
      <c r="UJL892" s="121"/>
      <c r="UJM892" s="121"/>
      <c r="UJN892" s="121"/>
      <c r="UJO892" s="121"/>
      <c r="UJP892" s="121"/>
      <c r="UJQ892" s="121"/>
      <c r="UJR892" s="121"/>
      <c r="UJS892" s="121"/>
      <c r="UJT892" s="121"/>
      <c r="UJU892" s="121"/>
      <c r="UJV892" s="121"/>
      <c r="UJW892" s="121"/>
      <c r="UJX892" s="121"/>
      <c r="UJY892" s="121"/>
      <c r="UJZ892" s="121"/>
      <c r="UKA892" s="121"/>
      <c r="UKB892" s="121"/>
      <c r="UKC892" s="121"/>
      <c r="UKD892" s="121"/>
      <c r="UKE892" s="121"/>
      <c r="UKF892" s="121"/>
      <c r="UKG892" s="121"/>
      <c r="UKH892" s="121"/>
      <c r="UKI892" s="121"/>
      <c r="UKJ892" s="121"/>
      <c r="UKK892" s="121"/>
      <c r="UKL892" s="121"/>
      <c r="UKM892" s="121"/>
      <c r="UKN892" s="121"/>
      <c r="UKO892" s="121"/>
      <c r="UKP892" s="121"/>
      <c r="UKQ892" s="121"/>
      <c r="UKR892" s="121"/>
      <c r="UKS892" s="121"/>
      <c r="UKT892" s="121"/>
      <c r="UKU892" s="121"/>
      <c r="UKV892" s="121"/>
      <c r="UKW892" s="121"/>
      <c r="UKX892" s="121"/>
      <c r="UKY892" s="121"/>
      <c r="UKZ892" s="121"/>
      <c r="ULA892" s="121"/>
      <c r="ULB892" s="121"/>
      <c r="ULC892" s="121"/>
      <c r="ULD892" s="121"/>
      <c r="ULE892" s="121"/>
      <c r="ULF892" s="121"/>
      <c r="ULG892" s="121"/>
      <c r="ULH892" s="121"/>
      <c r="ULI892" s="121"/>
      <c r="ULJ892" s="121"/>
      <c r="ULK892" s="121"/>
      <c r="ULL892" s="121"/>
      <c r="ULM892" s="121"/>
      <c r="ULN892" s="121"/>
      <c r="ULO892" s="121"/>
      <c r="ULP892" s="121"/>
      <c r="ULQ892" s="121"/>
      <c r="ULR892" s="121"/>
      <c r="ULS892" s="121"/>
      <c r="ULT892" s="121"/>
      <c r="ULU892" s="121"/>
      <c r="ULV892" s="121"/>
      <c r="ULW892" s="121"/>
      <c r="ULX892" s="121"/>
      <c r="ULY892" s="121"/>
      <c r="ULZ892" s="121"/>
      <c r="UMA892" s="121"/>
      <c r="UMB892" s="121"/>
      <c r="UMC892" s="121"/>
      <c r="UMD892" s="121"/>
      <c r="UME892" s="121"/>
      <c r="UMF892" s="121"/>
      <c r="UMG892" s="121"/>
      <c r="UMH892" s="121"/>
      <c r="UMI892" s="121"/>
      <c r="UMJ892" s="121"/>
      <c r="UMK892" s="121"/>
      <c r="UML892" s="121"/>
      <c r="UMM892" s="121"/>
      <c r="UMN892" s="121"/>
      <c r="UMO892" s="121"/>
      <c r="UMP892" s="121"/>
      <c r="UMQ892" s="121"/>
      <c r="UMR892" s="121"/>
      <c r="UMS892" s="121"/>
      <c r="UMT892" s="121"/>
      <c r="UMU892" s="121"/>
      <c r="UMV892" s="121"/>
      <c r="UMW892" s="121"/>
      <c r="UMX892" s="121"/>
      <c r="UMY892" s="121"/>
      <c r="UMZ892" s="121"/>
      <c r="UNA892" s="121"/>
      <c r="UNB892" s="121"/>
      <c r="UNC892" s="121"/>
      <c r="UND892" s="121"/>
      <c r="UNE892" s="121"/>
      <c r="UNF892" s="121"/>
      <c r="UNG892" s="121"/>
      <c r="UNH892" s="121"/>
      <c r="UNI892" s="121"/>
      <c r="UNJ892" s="121"/>
      <c r="UNK892" s="121"/>
      <c r="UNL892" s="121"/>
      <c r="UNM892" s="121"/>
      <c r="UNN892" s="121"/>
      <c r="UNO892" s="121"/>
      <c r="UNP892" s="121"/>
      <c r="UNQ892" s="121"/>
      <c r="UNR892" s="121"/>
      <c r="UNS892" s="121"/>
      <c r="UNT892" s="121"/>
      <c r="UNU892" s="121"/>
      <c r="UNV892" s="121"/>
      <c r="UNW892" s="121"/>
      <c r="UNX892" s="121"/>
      <c r="UNY892" s="121"/>
      <c r="UNZ892" s="121"/>
      <c r="UOA892" s="121"/>
      <c r="UOB892" s="121"/>
      <c r="UOC892" s="121"/>
      <c r="UOD892" s="121"/>
      <c r="UOE892" s="121"/>
      <c r="UOF892" s="121"/>
      <c r="UOG892" s="121"/>
      <c r="UOH892" s="121"/>
      <c r="UOI892" s="121"/>
      <c r="UOJ892" s="121"/>
      <c r="UOK892" s="121"/>
      <c r="UOL892" s="121"/>
      <c r="UOM892" s="121"/>
      <c r="UON892" s="121"/>
      <c r="UOO892" s="121"/>
      <c r="UOP892" s="121"/>
      <c r="UOQ892" s="121"/>
      <c r="UOR892" s="121"/>
      <c r="UOS892" s="121"/>
      <c r="UOT892" s="121"/>
      <c r="UOU892" s="121"/>
      <c r="UOV892" s="121"/>
      <c r="UOW892" s="121"/>
      <c r="UOX892" s="121"/>
      <c r="UOY892" s="121"/>
      <c r="UOZ892" s="121"/>
      <c r="UPA892" s="121"/>
      <c r="UPB892" s="121"/>
      <c r="UPC892" s="121"/>
      <c r="UPD892" s="121"/>
      <c r="UPE892" s="121"/>
      <c r="UPF892" s="121"/>
      <c r="UPG892" s="121"/>
      <c r="UPH892" s="121"/>
      <c r="UPI892" s="121"/>
      <c r="UPJ892" s="121"/>
      <c r="UPK892" s="121"/>
      <c r="UPL892" s="121"/>
      <c r="UPM892" s="121"/>
      <c r="UPN892" s="121"/>
      <c r="UPO892" s="121"/>
      <c r="UPP892" s="121"/>
      <c r="UPQ892" s="121"/>
      <c r="UPR892" s="121"/>
      <c r="UPS892" s="121"/>
      <c r="UPT892" s="121"/>
      <c r="UPU892" s="121"/>
      <c r="UPV892" s="121"/>
      <c r="UPW892" s="121"/>
      <c r="UPX892" s="121"/>
      <c r="UPY892" s="121"/>
      <c r="UPZ892" s="121"/>
      <c r="UQA892" s="121"/>
      <c r="UQB892" s="121"/>
      <c r="UQC892" s="121"/>
      <c r="UQD892" s="121"/>
      <c r="UQE892" s="121"/>
      <c r="UQF892" s="121"/>
      <c r="UQG892" s="121"/>
      <c r="UQH892" s="121"/>
      <c r="UQI892" s="121"/>
      <c r="UQJ892" s="121"/>
      <c r="UQK892" s="121"/>
      <c r="UQL892" s="121"/>
      <c r="UQM892" s="121"/>
      <c r="UQN892" s="121"/>
      <c r="UQO892" s="121"/>
      <c r="UQP892" s="121"/>
      <c r="UQQ892" s="121"/>
      <c r="UQR892" s="121"/>
      <c r="UQS892" s="121"/>
      <c r="UQT892" s="121"/>
      <c r="UQU892" s="121"/>
      <c r="UQV892" s="121"/>
      <c r="UQW892" s="121"/>
      <c r="UQX892" s="121"/>
      <c r="UQY892" s="121"/>
      <c r="UQZ892" s="121"/>
      <c r="URA892" s="121"/>
      <c r="URB892" s="121"/>
      <c r="URC892" s="121"/>
      <c r="URD892" s="121"/>
      <c r="URE892" s="121"/>
      <c r="URF892" s="121"/>
      <c r="URG892" s="121"/>
      <c r="URH892" s="121"/>
      <c r="URI892" s="121"/>
      <c r="URJ892" s="121"/>
      <c r="URK892" s="121"/>
      <c r="URL892" s="121"/>
      <c r="URM892" s="121"/>
      <c r="URN892" s="121"/>
      <c r="URO892" s="121"/>
      <c r="URP892" s="121"/>
      <c r="URQ892" s="121"/>
      <c r="URR892" s="121"/>
      <c r="URS892" s="121"/>
      <c r="URT892" s="121"/>
      <c r="URU892" s="121"/>
      <c r="URV892" s="121"/>
      <c r="URW892" s="121"/>
      <c r="URX892" s="121"/>
      <c r="URY892" s="121"/>
      <c r="URZ892" s="121"/>
      <c r="USA892" s="121"/>
      <c r="USB892" s="121"/>
      <c r="USC892" s="121"/>
      <c r="USD892" s="121"/>
      <c r="USE892" s="121"/>
      <c r="USF892" s="121"/>
      <c r="USG892" s="121"/>
      <c r="USH892" s="121"/>
      <c r="USI892" s="121"/>
      <c r="USJ892" s="121"/>
      <c r="USK892" s="121"/>
      <c r="USL892" s="121"/>
      <c r="USM892" s="121"/>
      <c r="USN892" s="121"/>
      <c r="USO892" s="121"/>
      <c r="USP892" s="121"/>
      <c r="USQ892" s="121"/>
      <c r="USR892" s="121"/>
      <c r="USS892" s="121"/>
      <c r="UST892" s="121"/>
      <c r="USU892" s="121"/>
      <c r="USV892" s="121"/>
      <c r="USW892" s="121"/>
      <c r="USX892" s="121"/>
      <c r="USY892" s="121"/>
      <c r="USZ892" s="121"/>
      <c r="UTA892" s="121"/>
      <c r="UTB892" s="121"/>
      <c r="UTC892" s="121"/>
      <c r="UTD892" s="121"/>
      <c r="UTE892" s="121"/>
      <c r="UTF892" s="121"/>
      <c r="UTG892" s="121"/>
      <c r="UTH892" s="121"/>
      <c r="UTI892" s="121"/>
      <c r="UTJ892" s="121"/>
      <c r="UTK892" s="121"/>
      <c r="UTL892" s="121"/>
      <c r="UTM892" s="121"/>
      <c r="UTN892" s="121"/>
      <c r="UTO892" s="121"/>
      <c r="UTP892" s="121"/>
      <c r="UTQ892" s="121"/>
      <c r="UTR892" s="121"/>
      <c r="UTS892" s="121"/>
      <c r="UTT892" s="121"/>
      <c r="UTU892" s="121"/>
      <c r="UTV892" s="121"/>
      <c r="UTW892" s="121"/>
      <c r="UTX892" s="121"/>
      <c r="UTY892" s="121"/>
      <c r="UTZ892" s="121"/>
      <c r="UUA892" s="121"/>
      <c r="UUB892" s="121"/>
      <c r="UUC892" s="121"/>
      <c r="UUD892" s="121"/>
      <c r="UUE892" s="121"/>
      <c r="UUF892" s="121"/>
      <c r="UUG892" s="121"/>
      <c r="UUH892" s="121"/>
      <c r="UUI892" s="121"/>
      <c r="UUJ892" s="121"/>
      <c r="UUK892" s="121"/>
      <c r="UUL892" s="121"/>
      <c r="UUM892" s="121"/>
      <c r="UUN892" s="121"/>
      <c r="UUO892" s="121"/>
      <c r="UUP892" s="121"/>
      <c r="UUQ892" s="121"/>
      <c r="UUR892" s="121"/>
      <c r="UUS892" s="121"/>
      <c r="UUT892" s="121"/>
      <c r="UUU892" s="121"/>
      <c r="UUV892" s="121"/>
      <c r="UUW892" s="121"/>
      <c r="UUX892" s="121"/>
      <c r="UUY892" s="121"/>
      <c r="UUZ892" s="121"/>
      <c r="UVA892" s="121"/>
      <c r="UVB892" s="121"/>
      <c r="UVC892" s="121"/>
      <c r="UVD892" s="121"/>
      <c r="UVE892" s="121"/>
      <c r="UVF892" s="121"/>
      <c r="UVG892" s="121"/>
      <c r="UVH892" s="121"/>
      <c r="UVI892" s="121"/>
      <c r="UVJ892" s="121"/>
      <c r="UVK892" s="121"/>
      <c r="UVL892" s="121"/>
      <c r="UVM892" s="121"/>
      <c r="UVN892" s="121"/>
      <c r="UVO892" s="121"/>
      <c r="UVP892" s="121"/>
      <c r="UVQ892" s="121"/>
      <c r="UVR892" s="121"/>
      <c r="UVS892" s="121"/>
      <c r="UVT892" s="121"/>
      <c r="UVU892" s="121"/>
      <c r="UVV892" s="121"/>
      <c r="UVW892" s="121"/>
      <c r="UVX892" s="121"/>
      <c r="UVY892" s="121"/>
      <c r="UVZ892" s="121"/>
      <c r="UWA892" s="121"/>
      <c r="UWB892" s="121"/>
      <c r="UWC892" s="121"/>
      <c r="UWD892" s="121"/>
      <c r="UWE892" s="121"/>
      <c r="UWF892" s="121"/>
      <c r="UWG892" s="121"/>
      <c r="UWH892" s="121"/>
      <c r="UWI892" s="121"/>
      <c r="UWJ892" s="121"/>
      <c r="UWK892" s="121"/>
      <c r="UWL892" s="121"/>
      <c r="UWM892" s="121"/>
      <c r="UWN892" s="121"/>
      <c r="UWO892" s="121"/>
      <c r="UWP892" s="121"/>
      <c r="UWQ892" s="121"/>
      <c r="UWR892" s="121"/>
      <c r="UWS892" s="121"/>
      <c r="UWT892" s="121"/>
      <c r="UWU892" s="121"/>
      <c r="UWV892" s="121"/>
      <c r="UWW892" s="121"/>
      <c r="UWX892" s="121"/>
      <c r="UWY892" s="121"/>
      <c r="UWZ892" s="121"/>
      <c r="UXA892" s="121"/>
      <c r="UXB892" s="121"/>
      <c r="UXC892" s="121"/>
      <c r="UXD892" s="121"/>
      <c r="UXE892" s="121"/>
      <c r="UXF892" s="121"/>
      <c r="UXG892" s="121"/>
      <c r="UXH892" s="121"/>
      <c r="UXI892" s="121"/>
      <c r="UXJ892" s="121"/>
      <c r="UXK892" s="121"/>
      <c r="UXL892" s="121"/>
      <c r="UXM892" s="121"/>
      <c r="UXN892" s="121"/>
      <c r="UXO892" s="121"/>
      <c r="UXP892" s="121"/>
      <c r="UXQ892" s="121"/>
      <c r="UXR892" s="121"/>
      <c r="UXS892" s="121"/>
      <c r="UXT892" s="121"/>
      <c r="UXU892" s="121"/>
      <c r="UXV892" s="121"/>
      <c r="UXW892" s="121"/>
      <c r="UXX892" s="121"/>
      <c r="UXY892" s="121"/>
      <c r="UXZ892" s="121"/>
      <c r="UYA892" s="121"/>
      <c r="UYB892" s="121"/>
      <c r="UYC892" s="121"/>
      <c r="UYD892" s="121"/>
      <c r="UYE892" s="121"/>
      <c r="UYF892" s="121"/>
      <c r="UYG892" s="121"/>
      <c r="UYH892" s="121"/>
      <c r="UYI892" s="121"/>
      <c r="UYJ892" s="121"/>
      <c r="UYK892" s="121"/>
      <c r="UYL892" s="121"/>
      <c r="UYM892" s="121"/>
      <c r="UYN892" s="121"/>
      <c r="UYO892" s="121"/>
      <c r="UYP892" s="121"/>
      <c r="UYQ892" s="121"/>
      <c r="UYR892" s="121"/>
      <c r="UYS892" s="121"/>
      <c r="UYT892" s="121"/>
      <c r="UYU892" s="121"/>
      <c r="UYV892" s="121"/>
      <c r="UYW892" s="121"/>
      <c r="UYX892" s="121"/>
      <c r="UYY892" s="121"/>
      <c r="UYZ892" s="121"/>
      <c r="UZA892" s="121"/>
      <c r="UZB892" s="121"/>
      <c r="UZC892" s="121"/>
      <c r="UZD892" s="121"/>
      <c r="UZE892" s="121"/>
      <c r="UZF892" s="121"/>
      <c r="UZG892" s="121"/>
      <c r="UZH892" s="121"/>
      <c r="UZI892" s="121"/>
      <c r="UZJ892" s="121"/>
      <c r="UZK892" s="121"/>
      <c r="UZL892" s="121"/>
      <c r="UZM892" s="121"/>
      <c r="UZN892" s="121"/>
      <c r="UZO892" s="121"/>
      <c r="UZP892" s="121"/>
      <c r="UZQ892" s="121"/>
      <c r="UZR892" s="121"/>
      <c r="UZS892" s="121"/>
      <c r="UZT892" s="121"/>
      <c r="UZU892" s="121"/>
      <c r="UZV892" s="121"/>
      <c r="UZW892" s="121"/>
      <c r="UZX892" s="121"/>
      <c r="UZY892" s="121"/>
      <c r="UZZ892" s="121"/>
      <c r="VAA892" s="121"/>
      <c r="VAB892" s="121"/>
      <c r="VAC892" s="121"/>
      <c r="VAD892" s="121"/>
      <c r="VAE892" s="121"/>
      <c r="VAF892" s="121"/>
      <c r="VAG892" s="121"/>
      <c r="VAH892" s="121"/>
      <c r="VAI892" s="121"/>
      <c r="VAJ892" s="121"/>
      <c r="VAK892" s="121"/>
      <c r="VAL892" s="121"/>
      <c r="VAM892" s="121"/>
      <c r="VAN892" s="121"/>
      <c r="VAO892" s="121"/>
      <c r="VAP892" s="121"/>
      <c r="VAQ892" s="121"/>
      <c r="VAR892" s="121"/>
      <c r="VAS892" s="121"/>
      <c r="VAT892" s="121"/>
      <c r="VAU892" s="121"/>
      <c r="VAV892" s="121"/>
      <c r="VAW892" s="121"/>
      <c r="VAX892" s="121"/>
      <c r="VAY892" s="121"/>
      <c r="VAZ892" s="121"/>
      <c r="VBA892" s="121"/>
      <c r="VBB892" s="121"/>
      <c r="VBC892" s="121"/>
      <c r="VBD892" s="121"/>
      <c r="VBE892" s="121"/>
      <c r="VBF892" s="121"/>
      <c r="VBG892" s="121"/>
      <c r="VBH892" s="121"/>
      <c r="VBI892" s="121"/>
      <c r="VBJ892" s="121"/>
      <c r="VBK892" s="121"/>
      <c r="VBL892" s="121"/>
      <c r="VBM892" s="121"/>
      <c r="VBN892" s="121"/>
      <c r="VBO892" s="121"/>
      <c r="VBP892" s="121"/>
      <c r="VBQ892" s="121"/>
      <c r="VBR892" s="121"/>
      <c r="VBS892" s="121"/>
      <c r="VBT892" s="121"/>
      <c r="VBU892" s="121"/>
      <c r="VBV892" s="121"/>
      <c r="VBW892" s="121"/>
      <c r="VBX892" s="121"/>
      <c r="VBY892" s="121"/>
      <c r="VBZ892" s="121"/>
      <c r="VCA892" s="121"/>
      <c r="VCB892" s="121"/>
      <c r="VCC892" s="121"/>
      <c r="VCD892" s="121"/>
      <c r="VCE892" s="121"/>
      <c r="VCF892" s="121"/>
      <c r="VCG892" s="121"/>
      <c r="VCH892" s="121"/>
      <c r="VCI892" s="121"/>
      <c r="VCJ892" s="121"/>
      <c r="VCK892" s="121"/>
      <c r="VCL892" s="121"/>
      <c r="VCM892" s="121"/>
      <c r="VCN892" s="121"/>
      <c r="VCO892" s="121"/>
      <c r="VCP892" s="121"/>
      <c r="VCQ892" s="121"/>
      <c r="VCR892" s="121"/>
      <c r="VCS892" s="121"/>
      <c r="VCT892" s="121"/>
      <c r="VCU892" s="121"/>
      <c r="VCV892" s="121"/>
      <c r="VCW892" s="121"/>
      <c r="VCX892" s="121"/>
      <c r="VCY892" s="121"/>
      <c r="VCZ892" s="121"/>
      <c r="VDA892" s="121"/>
      <c r="VDB892" s="121"/>
      <c r="VDC892" s="121"/>
      <c r="VDD892" s="121"/>
      <c r="VDE892" s="121"/>
      <c r="VDF892" s="121"/>
      <c r="VDG892" s="121"/>
      <c r="VDH892" s="121"/>
      <c r="VDI892" s="121"/>
      <c r="VDJ892" s="121"/>
      <c r="VDK892" s="121"/>
      <c r="VDL892" s="121"/>
      <c r="VDM892" s="121"/>
      <c r="VDN892" s="121"/>
      <c r="VDO892" s="121"/>
      <c r="VDP892" s="121"/>
      <c r="VDQ892" s="121"/>
      <c r="VDR892" s="121"/>
      <c r="VDS892" s="121"/>
      <c r="VDT892" s="121"/>
      <c r="VDU892" s="121"/>
      <c r="VDV892" s="121"/>
      <c r="VDW892" s="121"/>
      <c r="VDX892" s="121"/>
      <c r="VDY892" s="121"/>
      <c r="VDZ892" s="121"/>
      <c r="VEA892" s="121"/>
      <c r="VEB892" s="121"/>
      <c r="VEC892" s="121"/>
      <c r="VED892" s="121"/>
      <c r="VEE892" s="121"/>
      <c r="VEF892" s="121"/>
      <c r="VEG892" s="121"/>
      <c r="VEH892" s="121"/>
      <c r="VEI892" s="121"/>
      <c r="VEJ892" s="121"/>
      <c r="VEK892" s="121"/>
      <c r="VEL892" s="121"/>
      <c r="VEM892" s="121"/>
      <c r="VEN892" s="121"/>
      <c r="VEO892" s="121"/>
      <c r="VEP892" s="121"/>
      <c r="VEQ892" s="121"/>
      <c r="VER892" s="121"/>
      <c r="VES892" s="121"/>
      <c r="VET892" s="121"/>
      <c r="VEU892" s="121"/>
      <c r="VEV892" s="121"/>
      <c r="VEW892" s="121"/>
      <c r="VEX892" s="121"/>
      <c r="VEY892" s="121"/>
      <c r="VEZ892" s="121"/>
      <c r="VFA892" s="121"/>
      <c r="VFB892" s="121"/>
      <c r="VFC892" s="121"/>
      <c r="VFD892" s="121"/>
      <c r="VFE892" s="121"/>
      <c r="VFF892" s="121"/>
      <c r="VFG892" s="121"/>
      <c r="VFH892" s="121"/>
      <c r="VFI892" s="121"/>
      <c r="VFJ892" s="121"/>
      <c r="VFK892" s="121"/>
      <c r="VFL892" s="121"/>
      <c r="VFM892" s="121"/>
      <c r="VFN892" s="121"/>
      <c r="VFO892" s="121"/>
      <c r="VFP892" s="121"/>
      <c r="VFQ892" s="121"/>
      <c r="VFR892" s="121"/>
      <c r="VFS892" s="121"/>
      <c r="VFT892" s="121"/>
      <c r="VFU892" s="121"/>
      <c r="VFV892" s="121"/>
      <c r="VFW892" s="121"/>
      <c r="VFX892" s="121"/>
      <c r="VFY892" s="121"/>
      <c r="VFZ892" s="121"/>
      <c r="VGA892" s="121"/>
      <c r="VGB892" s="121"/>
      <c r="VGC892" s="121"/>
      <c r="VGD892" s="121"/>
      <c r="VGE892" s="121"/>
      <c r="VGF892" s="121"/>
      <c r="VGG892" s="121"/>
      <c r="VGH892" s="121"/>
      <c r="VGI892" s="121"/>
      <c r="VGJ892" s="121"/>
      <c r="VGK892" s="121"/>
      <c r="VGL892" s="121"/>
      <c r="VGM892" s="121"/>
      <c r="VGN892" s="121"/>
      <c r="VGO892" s="121"/>
      <c r="VGP892" s="121"/>
      <c r="VGQ892" s="121"/>
      <c r="VGR892" s="121"/>
      <c r="VGS892" s="121"/>
      <c r="VGT892" s="121"/>
      <c r="VGU892" s="121"/>
      <c r="VGV892" s="121"/>
      <c r="VGW892" s="121"/>
      <c r="VGX892" s="121"/>
      <c r="VGY892" s="121"/>
      <c r="VGZ892" s="121"/>
      <c r="VHA892" s="121"/>
      <c r="VHB892" s="121"/>
      <c r="VHC892" s="121"/>
      <c r="VHD892" s="121"/>
      <c r="VHE892" s="121"/>
      <c r="VHF892" s="121"/>
      <c r="VHG892" s="121"/>
      <c r="VHH892" s="121"/>
      <c r="VHI892" s="121"/>
      <c r="VHJ892" s="121"/>
      <c r="VHK892" s="121"/>
      <c r="VHL892" s="121"/>
      <c r="VHM892" s="121"/>
      <c r="VHN892" s="121"/>
      <c r="VHO892" s="121"/>
      <c r="VHP892" s="121"/>
      <c r="VHQ892" s="121"/>
      <c r="VHR892" s="121"/>
      <c r="VHS892" s="121"/>
      <c r="VHT892" s="121"/>
      <c r="VHU892" s="121"/>
      <c r="VHV892" s="121"/>
      <c r="VHW892" s="121"/>
      <c r="VHX892" s="121"/>
      <c r="VHY892" s="121"/>
      <c r="VHZ892" s="121"/>
      <c r="VIA892" s="121"/>
      <c r="VIB892" s="121"/>
      <c r="VIC892" s="121"/>
      <c r="VID892" s="121"/>
      <c r="VIE892" s="121"/>
      <c r="VIF892" s="121"/>
      <c r="VIG892" s="121"/>
      <c r="VIH892" s="121"/>
      <c r="VII892" s="121"/>
      <c r="VIJ892" s="121"/>
      <c r="VIK892" s="121"/>
      <c r="VIL892" s="121"/>
      <c r="VIM892" s="121"/>
      <c r="VIN892" s="121"/>
      <c r="VIO892" s="121"/>
      <c r="VIP892" s="121"/>
      <c r="VIQ892" s="121"/>
      <c r="VIR892" s="121"/>
      <c r="VIS892" s="121"/>
      <c r="VIT892" s="121"/>
      <c r="VIU892" s="121"/>
      <c r="VIV892" s="121"/>
      <c r="VIW892" s="121"/>
      <c r="VIX892" s="121"/>
      <c r="VIY892" s="121"/>
      <c r="VIZ892" s="121"/>
      <c r="VJA892" s="121"/>
      <c r="VJB892" s="121"/>
      <c r="VJC892" s="121"/>
      <c r="VJD892" s="121"/>
      <c r="VJE892" s="121"/>
      <c r="VJF892" s="121"/>
      <c r="VJG892" s="121"/>
      <c r="VJH892" s="121"/>
      <c r="VJI892" s="121"/>
      <c r="VJJ892" s="121"/>
      <c r="VJK892" s="121"/>
      <c r="VJL892" s="121"/>
      <c r="VJM892" s="121"/>
      <c r="VJN892" s="121"/>
      <c r="VJO892" s="121"/>
      <c r="VJP892" s="121"/>
      <c r="VJQ892" s="121"/>
      <c r="VJR892" s="121"/>
      <c r="VJS892" s="121"/>
      <c r="VJT892" s="121"/>
      <c r="VJU892" s="121"/>
      <c r="VJV892" s="121"/>
      <c r="VJW892" s="121"/>
      <c r="VJX892" s="121"/>
      <c r="VJY892" s="121"/>
      <c r="VJZ892" s="121"/>
      <c r="VKA892" s="121"/>
      <c r="VKB892" s="121"/>
      <c r="VKC892" s="121"/>
      <c r="VKD892" s="121"/>
      <c r="VKE892" s="121"/>
      <c r="VKF892" s="121"/>
      <c r="VKG892" s="121"/>
      <c r="VKH892" s="121"/>
      <c r="VKI892" s="121"/>
      <c r="VKJ892" s="121"/>
      <c r="VKK892" s="121"/>
      <c r="VKL892" s="121"/>
      <c r="VKM892" s="121"/>
      <c r="VKN892" s="121"/>
      <c r="VKO892" s="121"/>
      <c r="VKP892" s="121"/>
      <c r="VKQ892" s="121"/>
      <c r="VKR892" s="121"/>
      <c r="VKS892" s="121"/>
      <c r="VKT892" s="121"/>
      <c r="VKU892" s="121"/>
      <c r="VKV892" s="121"/>
      <c r="VKW892" s="121"/>
      <c r="VKX892" s="121"/>
      <c r="VKY892" s="121"/>
      <c r="VKZ892" s="121"/>
      <c r="VLA892" s="121"/>
      <c r="VLB892" s="121"/>
      <c r="VLC892" s="121"/>
      <c r="VLD892" s="121"/>
      <c r="VLE892" s="121"/>
      <c r="VLF892" s="121"/>
      <c r="VLG892" s="121"/>
      <c r="VLH892" s="121"/>
      <c r="VLI892" s="121"/>
      <c r="VLJ892" s="121"/>
      <c r="VLK892" s="121"/>
      <c r="VLL892" s="121"/>
      <c r="VLM892" s="121"/>
      <c r="VLN892" s="121"/>
      <c r="VLO892" s="121"/>
      <c r="VLP892" s="121"/>
      <c r="VLQ892" s="121"/>
      <c r="VLR892" s="121"/>
      <c r="VLS892" s="121"/>
      <c r="VLT892" s="121"/>
      <c r="VLU892" s="121"/>
      <c r="VLV892" s="121"/>
      <c r="VLW892" s="121"/>
      <c r="VLX892" s="121"/>
      <c r="VLY892" s="121"/>
      <c r="VLZ892" s="121"/>
      <c r="VMA892" s="121"/>
      <c r="VMB892" s="121"/>
      <c r="VMC892" s="121"/>
      <c r="VMD892" s="121"/>
      <c r="VME892" s="121"/>
      <c r="VMF892" s="121"/>
      <c r="VMG892" s="121"/>
      <c r="VMH892" s="121"/>
      <c r="VMI892" s="121"/>
      <c r="VMJ892" s="121"/>
      <c r="VMK892" s="121"/>
      <c r="VML892" s="121"/>
      <c r="VMM892" s="121"/>
      <c r="VMN892" s="121"/>
      <c r="VMO892" s="121"/>
      <c r="VMP892" s="121"/>
      <c r="VMQ892" s="121"/>
      <c r="VMR892" s="121"/>
      <c r="VMS892" s="121"/>
      <c r="VMT892" s="121"/>
      <c r="VMU892" s="121"/>
      <c r="VMV892" s="121"/>
      <c r="VMW892" s="121"/>
      <c r="VMX892" s="121"/>
      <c r="VMY892" s="121"/>
      <c r="VMZ892" s="121"/>
      <c r="VNA892" s="121"/>
      <c r="VNB892" s="121"/>
      <c r="VNC892" s="121"/>
      <c r="VND892" s="121"/>
      <c r="VNE892" s="121"/>
      <c r="VNF892" s="121"/>
      <c r="VNG892" s="121"/>
      <c r="VNH892" s="121"/>
      <c r="VNI892" s="121"/>
      <c r="VNJ892" s="121"/>
      <c r="VNK892" s="121"/>
      <c r="VNL892" s="121"/>
      <c r="VNM892" s="121"/>
      <c r="VNN892" s="121"/>
      <c r="VNO892" s="121"/>
      <c r="VNP892" s="121"/>
      <c r="VNQ892" s="121"/>
      <c r="VNR892" s="121"/>
      <c r="VNS892" s="121"/>
      <c r="VNT892" s="121"/>
      <c r="VNU892" s="121"/>
      <c r="VNV892" s="121"/>
      <c r="VNW892" s="121"/>
      <c r="VNX892" s="121"/>
      <c r="VNY892" s="121"/>
      <c r="VNZ892" s="121"/>
      <c r="VOA892" s="121"/>
      <c r="VOB892" s="121"/>
      <c r="VOC892" s="121"/>
      <c r="VOD892" s="121"/>
      <c r="VOE892" s="121"/>
      <c r="VOF892" s="121"/>
      <c r="VOG892" s="121"/>
      <c r="VOH892" s="121"/>
      <c r="VOI892" s="121"/>
      <c r="VOJ892" s="121"/>
      <c r="VOK892" s="121"/>
      <c r="VOL892" s="121"/>
      <c r="VOM892" s="121"/>
      <c r="VON892" s="121"/>
      <c r="VOO892" s="121"/>
      <c r="VOP892" s="121"/>
      <c r="VOQ892" s="121"/>
      <c r="VOR892" s="121"/>
      <c r="VOS892" s="121"/>
      <c r="VOT892" s="121"/>
      <c r="VOU892" s="121"/>
      <c r="VOV892" s="121"/>
      <c r="VOW892" s="121"/>
      <c r="VOX892" s="121"/>
      <c r="VOY892" s="121"/>
      <c r="VOZ892" s="121"/>
      <c r="VPA892" s="121"/>
      <c r="VPB892" s="121"/>
      <c r="VPC892" s="121"/>
      <c r="VPD892" s="121"/>
      <c r="VPE892" s="121"/>
      <c r="VPF892" s="121"/>
      <c r="VPG892" s="121"/>
      <c r="VPH892" s="121"/>
      <c r="VPI892" s="121"/>
      <c r="VPJ892" s="121"/>
      <c r="VPK892" s="121"/>
      <c r="VPL892" s="121"/>
      <c r="VPM892" s="121"/>
      <c r="VPN892" s="121"/>
      <c r="VPO892" s="121"/>
      <c r="VPP892" s="121"/>
      <c r="VPQ892" s="121"/>
      <c r="VPR892" s="121"/>
      <c r="VPS892" s="121"/>
      <c r="VPT892" s="121"/>
      <c r="VPU892" s="121"/>
      <c r="VPV892" s="121"/>
      <c r="VPW892" s="121"/>
      <c r="VPX892" s="121"/>
      <c r="VPY892" s="121"/>
      <c r="VPZ892" s="121"/>
      <c r="VQA892" s="121"/>
      <c r="VQB892" s="121"/>
      <c r="VQC892" s="121"/>
      <c r="VQD892" s="121"/>
      <c r="VQE892" s="121"/>
      <c r="VQF892" s="121"/>
      <c r="VQG892" s="121"/>
      <c r="VQH892" s="121"/>
      <c r="VQI892" s="121"/>
      <c r="VQJ892" s="121"/>
      <c r="VQK892" s="121"/>
      <c r="VQL892" s="121"/>
      <c r="VQM892" s="121"/>
      <c r="VQN892" s="121"/>
      <c r="VQO892" s="121"/>
      <c r="VQP892" s="121"/>
      <c r="VQQ892" s="121"/>
      <c r="VQR892" s="121"/>
      <c r="VQS892" s="121"/>
      <c r="VQT892" s="121"/>
      <c r="VQU892" s="121"/>
      <c r="VQV892" s="121"/>
      <c r="VQW892" s="121"/>
      <c r="VQX892" s="121"/>
      <c r="VQY892" s="121"/>
      <c r="VQZ892" s="121"/>
      <c r="VRA892" s="121"/>
      <c r="VRB892" s="121"/>
      <c r="VRC892" s="121"/>
      <c r="VRD892" s="121"/>
      <c r="VRE892" s="121"/>
      <c r="VRF892" s="121"/>
      <c r="VRG892" s="121"/>
      <c r="VRH892" s="121"/>
      <c r="VRI892" s="121"/>
      <c r="VRJ892" s="121"/>
      <c r="VRK892" s="121"/>
      <c r="VRL892" s="121"/>
      <c r="VRM892" s="121"/>
      <c r="VRN892" s="121"/>
      <c r="VRO892" s="121"/>
      <c r="VRP892" s="121"/>
      <c r="VRQ892" s="121"/>
      <c r="VRR892" s="121"/>
      <c r="VRS892" s="121"/>
      <c r="VRT892" s="121"/>
      <c r="VRU892" s="121"/>
      <c r="VRV892" s="121"/>
      <c r="VRW892" s="121"/>
      <c r="VRX892" s="121"/>
      <c r="VRY892" s="121"/>
      <c r="VRZ892" s="121"/>
      <c r="VSA892" s="121"/>
      <c r="VSB892" s="121"/>
      <c r="VSC892" s="121"/>
      <c r="VSD892" s="121"/>
      <c r="VSE892" s="121"/>
      <c r="VSF892" s="121"/>
      <c r="VSG892" s="121"/>
      <c r="VSH892" s="121"/>
      <c r="VSI892" s="121"/>
      <c r="VSJ892" s="121"/>
      <c r="VSK892" s="121"/>
      <c r="VSL892" s="121"/>
      <c r="VSM892" s="121"/>
      <c r="VSN892" s="121"/>
      <c r="VSO892" s="121"/>
      <c r="VSP892" s="121"/>
      <c r="VSQ892" s="121"/>
      <c r="VSR892" s="121"/>
      <c r="VSS892" s="121"/>
      <c r="VST892" s="121"/>
      <c r="VSU892" s="121"/>
      <c r="VSV892" s="121"/>
      <c r="VSW892" s="121"/>
      <c r="VSX892" s="121"/>
      <c r="VSY892" s="121"/>
      <c r="VSZ892" s="121"/>
      <c r="VTA892" s="121"/>
      <c r="VTB892" s="121"/>
      <c r="VTC892" s="121"/>
      <c r="VTD892" s="121"/>
      <c r="VTE892" s="121"/>
      <c r="VTF892" s="121"/>
      <c r="VTG892" s="121"/>
      <c r="VTH892" s="121"/>
      <c r="VTI892" s="121"/>
      <c r="VTJ892" s="121"/>
      <c r="VTK892" s="121"/>
      <c r="VTL892" s="121"/>
      <c r="VTM892" s="121"/>
      <c r="VTN892" s="121"/>
      <c r="VTO892" s="121"/>
      <c r="VTP892" s="121"/>
      <c r="VTQ892" s="121"/>
      <c r="VTR892" s="121"/>
      <c r="VTS892" s="121"/>
      <c r="VTT892" s="121"/>
      <c r="VTU892" s="121"/>
      <c r="VTV892" s="121"/>
      <c r="VTW892" s="121"/>
      <c r="VTX892" s="121"/>
      <c r="VTY892" s="121"/>
      <c r="VTZ892" s="121"/>
      <c r="VUA892" s="121"/>
      <c r="VUB892" s="121"/>
      <c r="VUC892" s="121"/>
      <c r="VUD892" s="121"/>
      <c r="VUE892" s="121"/>
      <c r="VUF892" s="121"/>
      <c r="VUG892" s="121"/>
      <c r="VUH892" s="121"/>
      <c r="VUI892" s="121"/>
      <c r="VUJ892" s="121"/>
      <c r="VUK892" s="121"/>
      <c r="VUL892" s="121"/>
      <c r="VUM892" s="121"/>
      <c r="VUN892" s="121"/>
      <c r="VUO892" s="121"/>
      <c r="VUP892" s="121"/>
      <c r="VUQ892" s="121"/>
      <c r="VUR892" s="121"/>
      <c r="VUS892" s="121"/>
      <c r="VUT892" s="121"/>
      <c r="VUU892" s="121"/>
      <c r="VUV892" s="121"/>
      <c r="VUW892" s="121"/>
      <c r="VUX892" s="121"/>
      <c r="VUY892" s="121"/>
      <c r="VUZ892" s="121"/>
      <c r="VVA892" s="121"/>
      <c r="VVB892" s="121"/>
      <c r="VVC892" s="121"/>
      <c r="VVD892" s="121"/>
      <c r="VVE892" s="121"/>
      <c r="VVF892" s="121"/>
      <c r="VVG892" s="121"/>
      <c r="VVH892" s="121"/>
      <c r="VVI892" s="121"/>
      <c r="VVJ892" s="121"/>
      <c r="VVK892" s="121"/>
      <c r="VVL892" s="121"/>
      <c r="VVM892" s="121"/>
      <c r="VVN892" s="121"/>
      <c r="VVO892" s="121"/>
      <c r="VVP892" s="121"/>
      <c r="VVQ892" s="121"/>
      <c r="VVR892" s="121"/>
      <c r="VVS892" s="121"/>
      <c r="VVT892" s="121"/>
      <c r="VVU892" s="121"/>
      <c r="VVV892" s="121"/>
      <c r="VVW892" s="121"/>
      <c r="VVX892" s="121"/>
      <c r="VVY892" s="121"/>
      <c r="VVZ892" s="121"/>
      <c r="VWA892" s="121"/>
      <c r="VWB892" s="121"/>
      <c r="VWC892" s="121"/>
      <c r="VWD892" s="121"/>
      <c r="VWE892" s="121"/>
      <c r="VWF892" s="121"/>
      <c r="VWG892" s="121"/>
      <c r="VWH892" s="121"/>
      <c r="VWI892" s="121"/>
      <c r="VWJ892" s="121"/>
      <c r="VWK892" s="121"/>
      <c r="VWL892" s="121"/>
      <c r="VWM892" s="121"/>
      <c r="VWN892" s="121"/>
      <c r="VWO892" s="121"/>
      <c r="VWP892" s="121"/>
      <c r="VWQ892" s="121"/>
      <c r="VWR892" s="121"/>
      <c r="VWS892" s="121"/>
      <c r="VWT892" s="121"/>
      <c r="VWU892" s="121"/>
      <c r="VWV892" s="121"/>
      <c r="VWW892" s="121"/>
      <c r="VWX892" s="121"/>
      <c r="VWY892" s="121"/>
      <c r="VWZ892" s="121"/>
      <c r="VXA892" s="121"/>
      <c r="VXB892" s="121"/>
      <c r="VXC892" s="121"/>
      <c r="VXD892" s="121"/>
      <c r="VXE892" s="121"/>
      <c r="VXF892" s="121"/>
      <c r="VXG892" s="121"/>
      <c r="VXH892" s="121"/>
      <c r="VXI892" s="121"/>
      <c r="VXJ892" s="121"/>
      <c r="VXK892" s="121"/>
      <c r="VXL892" s="121"/>
      <c r="VXM892" s="121"/>
      <c r="VXN892" s="121"/>
      <c r="VXO892" s="121"/>
      <c r="VXP892" s="121"/>
      <c r="VXQ892" s="121"/>
      <c r="VXR892" s="121"/>
      <c r="VXS892" s="121"/>
      <c r="VXT892" s="121"/>
      <c r="VXU892" s="121"/>
      <c r="VXV892" s="121"/>
      <c r="VXW892" s="121"/>
      <c r="VXX892" s="121"/>
      <c r="VXY892" s="121"/>
      <c r="VXZ892" s="121"/>
      <c r="VYA892" s="121"/>
      <c r="VYB892" s="121"/>
      <c r="VYC892" s="121"/>
      <c r="VYD892" s="121"/>
      <c r="VYE892" s="121"/>
      <c r="VYF892" s="121"/>
      <c r="VYG892" s="121"/>
      <c r="VYH892" s="121"/>
      <c r="VYI892" s="121"/>
      <c r="VYJ892" s="121"/>
      <c r="VYK892" s="121"/>
      <c r="VYL892" s="121"/>
      <c r="VYM892" s="121"/>
      <c r="VYN892" s="121"/>
      <c r="VYO892" s="121"/>
      <c r="VYP892" s="121"/>
      <c r="VYQ892" s="121"/>
      <c r="VYR892" s="121"/>
      <c r="VYS892" s="121"/>
      <c r="VYT892" s="121"/>
      <c r="VYU892" s="121"/>
      <c r="VYV892" s="121"/>
      <c r="VYW892" s="121"/>
      <c r="VYX892" s="121"/>
      <c r="VYY892" s="121"/>
      <c r="VYZ892" s="121"/>
      <c r="VZA892" s="121"/>
      <c r="VZB892" s="121"/>
      <c r="VZC892" s="121"/>
      <c r="VZD892" s="121"/>
      <c r="VZE892" s="121"/>
      <c r="VZF892" s="121"/>
      <c r="VZG892" s="121"/>
      <c r="VZH892" s="121"/>
      <c r="VZI892" s="121"/>
      <c r="VZJ892" s="121"/>
      <c r="VZK892" s="121"/>
      <c r="VZL892" s="121"/>
      <c r="VZM892" s="121"/>
      <c r="VZN892" s="121"/>
      <c r="VZO892" s="121"/>
      <c r="VZP892" s="121"/>
      <c r="VZQ892" s="121"/>
      <c r="VZR892" s="121"/>
      <c r="VZS892" s="121"/>
      <c r="VZT892" s="121"/>
      <c r="VZU892" s="121"/>
      <c r="VZV892" s="121"/>
      <c r="VZW892" s="121"/>
      <c r="VZX892" s="121"/>
      <c r="VZY892" s="121"/>
      <c r="VZZ892" s="121"/>
      <c r="WAA892" s="121"/>
      <c r="WAB892" s="121"/>
      <c r="WAC892" s="121"/>
      <c r="WAD892" s="121"/>
      <c r="WAE892" s="121"/>
      <c r="WAF892" s="121"/>
      <c r="WAG892" s="121"/>
      <c r="WAH892" s="121"/>
      <c r="WAI892" s="121"/>
      <c r="WAJ892" s="121"/>
      <c r="WAK892" s="121"/>
      <c r="WAL892" s="121"/>
      <c r="WAM892" s="121"/>
      <c r="WAN892" s="121"/>
      <c r="WAO892" s="121"/>
      <c r="WAP892" s="121"/>
      <c r="WAQ892" s="121"/>
      <c r="WAR892" s="121"/>
      <c r="WAS892" s="121"/>
      <c r="WAT892" s="121"/>
      <c r="WAU892" s="121"/>
      <c r="WAV892" s="121"/>
      <c r="WAW892" s="121"/>
      <c r="WAX892" s="121"/>
      <c r="WAY892" s="121"/>
      <c r="WAZ892" s="121"/>
      <c r="WBA892" s="121"/>
      <c r="WBB892" s="121"/>
      <c r="WBC892" s="121"/>
      <c r="WBD892" s="121"/>
      <c r="WBE892" s="121"/>
      <c r="WBF892" s="121"/>
      <c r="WBG892" s="121"/>
      <c r="WBH892" s="121"/>
      <c r="WBI892" s="121"/>
      <c r="WBJ892" s="121"/>
      <c r="WBK892" s="121"/>
      <c r="WBL892" s="121"/>
      <c r="WBM892" s="121"/>
      <c r="WBN892" s="121"/>
      <c r="WBO892" s="121"/>
      <c r="WBP892" s="121"/>
      <c r="WBQ892" s="121"/>
      <c r="WBR892" s="121"/>
      <c r="WBS892" s="121"/>
      <c r="WBT892" s="121"/>
      <c r="WBU892" s="121"/>
      <c r="WBV892" s="121"/>
      <c r="WBW892" s="121"/>
      <c r="WBX892" s="121"/>
      <c r="WBY892" s="121"/>
      <c r="WBZ892" s="121"/>
      <c r="WCA892" s="121"/>
      <c r="WCB892" s="121"/>
      <c r="WCC892" s="121"/>
      <c r="WCD892" s="121"/>
      <c r="WCE892" s="121"/>
      <c r="WCF892" s="121"/>
      <c r="WCG892" s="121"/>
      <c r="WCH892" s="121"/>
      <c r="WCI892" s="121"/>
      <c r="WCJ892" s="121"/>
      <c r="WCK892" s="121"/>
      <c r="WCL892" s="121"/>
      <c r="WCM892" s="121"/>
      <c r="WCN892" s="121"/>
      <c r="WCO892" s="121"/>
      <c r="WCP892" s="121"/>
      <c r="WCQ892" s="121"/>
      <c r="WCR892" s="121"/>
      <c r="WCS892" s="121"/>
      <c r="WCT892" s="121"/>
      <c r="WCU892" s="121"/>
      <c r="WCV892" s="121"/>
      <c r="WCW892" s="121"/>
      <c r="WCX892" s="121"/>
      <c r="WCY892" s="121"/>
      <c r="WCZ892" s="121"/>
      <c r="WDA892" s="121"/>
      <c r="WDB892" s="121"/>
      <c r="WDC892" s="121"/>
      <c r="WDD892" s="121"/>
      <c r="WDE892" s="121"/>
      <c r="WDF892" s="121"/>
      <c r="WDG892" s="121"/>
      <c r="WDH892" s="121"/>
      <c r="WDI892" s="121"/>
      <c r="WDJ892" s="121"/>
      <c r="WDK892" s="121"/>
      <c r="WDL892" s="121"/>
      <c r="WDM892" s="121"/>
      <c r="WDN892" s="121"/>
      <c r="WDO892" s="121"/>
      <c r="WDP892" s="121"/>
      <c r="WDQ892" s="121"/>
      <c r="WDR892" s="121"/>
      <c r="WDS892" s="121"/>
      <c r="WDT892" s="121"/>
      <c r="WDU892" s="121"/>
      <c r="WDV892" s="121"/>
      <c r="WDW892" s="121"/>
      <c r="WDX892" s="121"/>
      <c r="WDY892" s="121"/>
      <c r="WDZ892" s="121"/>
      <c r="WEA892" s="121"/>
      <c r="WEB892" s="121"/>
      <c r="WEC892" s="121"/>
      <c r="WED892" s="121"/>
      <c r="WEE892" s="121"/>
      <c r="WEF892" s="121"/>
      <c r="WEG892" s="121"/>
      <c r="WEH892" s="121"/>
      <c r="WEI892" s="121"/>
      <c r="WEJ892" s="121"/>
      <c r="WEK892" s="121"/>
      <c r="WEL892" s="121"/>
      <c r="WEM892" s="121"/>
      <c r="WEN892" s="121"/>
      <c r="WEO892" s="121"/>
      <c r="WEP892" s="121"/>
      <c r="WEQ892" s="121"/>
      <c r="WER892" s="121"/>
      <c r="WES892" s="121"/>
      <c r="WET892" s="121"/>
      <c r="WEU892" s="121"/>
      <c r="WEV892" s="121"/>
      <c r="WEW892" s="121"/>
      <c r="WEX892" s="121"/>
      <c r="WEY892" s="121"/>
      <c r="WEZ892" s="121"/>
      <c r="WFA892" s="121"/>
      <c r="WFB892" s="121"/>
      <c r="WFC892" s="121"/>
      <c r="WFD892" s="121"/>
      <c r="WFE892" s="121"/>
      <c r="WFF892" s="121"/>
      <c r="WFG892" s="121"/>
      <c r="WFH892" s="121"/>
      <c r="WFI892" s="121"/>
      <c r="WFJ892" s="121"/>
      <c r="WFK892" s="121"/>
      <c r="WFL892" s="121"/>
      <c r="WFM892" s="121"/>
      <c r="WFN892" s="121"/>
      <c r="WFO892" s="121"/>
      <c r="WFP892" s="121"/>
      <c r="WFQ892" s="121"/>
      <c r="WFR892" s="121"/>
      <c r="WFS892" s="121"/>
      <c r="WFT892" s="121"/>
      <c r="WFU892" s="121"/>
      <c r="WFV892" s="121"/>
      <c r="WFW892" s="121"/>
      <c r="WFX892" s="121"/>
      <c r="WFY892" s="121"/>
      <c r="WFZ892" s="121"/>
      <c r="WGA892" s="121"/>
      <c r="WGB892" s="121"/>
      <c r="WGC892" s="121"/>
      <c r="WGD892" s="121"/>
      <c r="WGE892" s="121"/>
      <c r="WGF892" s="121"/>
      <c r="WGG892" s="121"/>
      <c r="WGH892" s="121"/>
      <c r="WGI892" s="121"/>
      <c r="WGJ892" s="121"/>
      <c r="WGK892" s="121"/>
      <c r="WGL892" s="121"/>
      <c r="WGM892" s="121"/>
      <c r="WGN892" s="121"/>
      <c r="WGO892" s="121"/>
      <c r="WGP892" s="121"/>
      <c r="WGQ892" s="121"/>
      <c r="WGR892" s="121"/>
      <c r="WGS892" s="121"/>
      <c r="WGT892" s="121"/>
      <c r="WGU892" s="121"/>
      <c r="WGV892" s="121"/>
      <c r="WGW892" s="121"/>
      <c r="WGX892" s="121"/>
      <c r="WGY892" s="121"/>
      <c r="WGZ892" s="121"/>
      <c r="WHA892" s="121"/>
      <c r="WHB892" s="121"/>
      <c r="WHC892" s="121"/>
      <c r="WHD892" s="121"/>
      <c r="WHE892" s="121"/>
      <c r="WHF892" s="121"/>
      <c r="WHG892" s="121"/>
      <c r="WHH892" s="121"/>
      <c r="WHI892" s="121"/>
      <c r="WHJ892" s="121"/>
      <c r="WHK892" s="121"/>
      <c r="WHL892" s="121"/>
      <c r="WHM892" s="121"/>
      <c r="WHN892" s="121"/>
      <c r="WHO892" s="121"/>
      <c r="WHP892" s="121"/>
      <c r="WHQ892" s="121"/>
      <c r="WHR892" s="121"/>
      <c r="WHS892" s="121"/>
      <c r="WHT892" s="121"/>
      <c r="WHU892" s="121"/>
      <c r="WHV892" s="121"/>
      <c r="WHW892" s="121"/>
      <c r="WHX892" s="121"/>
      <c r="WHY892" s="121"/>
      <c r="WHZ892" s="121"/>
      <c r="WIA892" s="121"/>
      <c r="WIB892" s="121"/>
      <c r="WIC892" s="121"/>
      <c r="WID892" s="121"/>
      <c r="WIE892" s="121"/>
      <c r="WIF892" s="121"/>
      <c r="WIG892" s="121"/>
      <c r="WIH892" s="121"/>
      <c r="WII892" s="121"/>
      <c r="WIJ892" s="121"/>
      <c r="WIK892" s="121"/>
      <c r="WIL892" s="121"/>
      <c r="WIM892" s="121"/>
      <c r="WIN892" s="121"/>
      <c r="WIO892" s="121"/>
      <c r="WIP892" s="121"/>
      <c r="WIQ892" s="121"/>
      <c r="WIR892" s="121"/>
      <c r="WIS892" s="121"/>
      <c r="WIT892" s="121"/>
      <c r="WIU892" s="121"/>
      <c r="WIV892" s="121"/>
      <c r="WIW892" s="121"/>
      <c r="WIX892" s="121"/>
      <c r="WIY892" s="121"/>
      <c r="WIZ892" s="121"/>
      <c r="WJA892" s="121"/>
      <c r="WJB892" s="121"/>
      <c r="WJC892" s="121"/>
      <c r="WJD892" s="121"/>
      <c r="WJE892" s="121"/>
      <c r="WJF892" s="121"/>
      <c r="WJG892" s="121"/>
      <c r="WJH892" s="121"/>
      <c r="WJI892" s="121"/>
      <c r="WJJ892" s="121"/>
      <c r="WJK892" s="121"/>
      <c r="WJL892" s="121"/>
      <c r="WJM892" s="121"/>
      <c r="WJN892" s="121"/>
      <c r="WJO892" s="121"/>
      <c r="WJP892" s="121"/>
      <c r="WJQ892" s="121"/>
      <c r="WJR892" s="121"/>
      <c r="WJS892" s="121"/>
      <c r="WJT892" s="121"/>
      <c r="WJU892" s="121"/>
      <c r="WJV892" s="121"/>
      <c r="WJW892" s="121"/>
      <c r="WJX892" s="121"/>
      <c r="WJY892" s="121"/>
      <c r="WJZ892" s="121"/>
      <c r="WKA892" s="121"/>
      <c r="WKB892" s="121"/>
      <c r="WKC892" s="121"/>
      <c r="WKD892" s="121"/>
      <c r="WKE892" s="121"/>
      <c r="WKF892" s="121"/>
      <c r="WKG892" s="121"/>
      <c r="WKH892" s="121"/>
      <c r="WKI892" s="121"/>
      <c r="WKJ892" s="121"/>
      <c r="WKK892" s="121"/>
      <c r="WKL892" s="121"/>
      <c r="WKM892" s="121"/>
      <c r="WKN892" s="121"/>
      <c r="WKO892" s="121"/>
      <c r="WKP892" s="121"/>
      <c r="WKQ892" s="121"/>
      <c r="WKR892" s="121"/>
      <c r="WKS892" s="121"/>
      <c r="WKT892" s="121"/>
      <c r="WKU892" s="121"/>
      <c r="WKV892" s="121"/>
      <c r="WKW892" s="121"/>
      <c r="WKX892" s="121"/>
      <c r="WKY892" s="121"/>
      <c r="WKZ892" s="121"/>
      <c r="WLA892" s="121"/>
      <c r="WLB892" s="121"/>
      <c r="WLC892" s="121"/>
      <c r="WLD892" s="121"/>
      <c r="WLE892" s="121"/>
      <c r="WLF892" s="121"/>
      <c r="WLG892" s="121"/>
      <c r="WLH892" s="121"/>
      <c r="WLI892" s="121"/>
      <c r="WLJ892" s="121"/>
      <c r="WLK892" s="121"/>
      <c r="WLL892" s="121"/>
      <c r="WLM892" s="121"/>
      <c r="WLN892" s="121"/>
      <c r="WLO892" s="121"/>
      <c r="WLP892" s="121"/>
      <c r="WLQ892" s="121"/>
      <c r="WLR892" s="121"/>
      <c r="WLS892" s="121"/>
      <c r="WLT892" s="121"/>
      <c r="WLU892" s="121"/>
      <c r="WLV892" s="121"/>
      <c r="WLW892" s="121"/>
      <c r="WLX892" s="121"/>
      <c r="WLY892" s="121"/>
      <c r="WLZ892" s="121"/>
      <c r="WMA892" s="121"/>
      <c r="WMB892" s="121"/>
      <c r="WMC892" s="121"/>
      <c r="WMD892" s="121"/>
      <c r="WME892" s="121"/>
      <c r="WMF892" s="121"/>
      <c r="WMG892" s="121"/>
      <c r="WMH892" s="121"/>
      <c r="WMI892" s="121"/>
      <c r="WMJ892" s="121"/>
      <c r="WMK892" s="121"/>
      <c r="WML892" s="121"/>
      <c r="WMM892" s="121"/>
      <c r="WMN892" s="121"/>
      <c r="WMO892" s="121"/>
      <c r="WMP892" s="121"/>
      <c r="WMQ892" s="121"/>
      <c r="WMR892" s="121"/>
      <c r="WMS892" s="121"/>
      <c r="WMT892" s="121"/>
      <c r="WMU892" s="121"/>
      <c r="WMV892" s="121"/>
      <c r="WMW892" s="121"/>
      <c r="WMX892" s="121"/>
      <c r="WMY892" s="121"/>
      <c r="WMZ892" s="121"/>
      <c r="WNA892" s="121"/>
      <c r="WNB892" s="121"/>
      <c r="WNC892" s="121"/>
      <c r="WND892" s="121"/>
      <c r="WNE892" s="121"/>
      <c r="WNF892" s="121"/>
      <c r="WNG892" s="121"/>
      <c r="WNH892" s="121"/>
      <c r="WNI892" s="121"/>
      <c r="WNJ892" s="121"/>
      <c r="WNK892" s="121"/>
      <c r="WNL892" s="121"/>
      <c r="WNM892" s="121"/>
      <c r="WNN892" s="121"/>
      <c r="WNO892" s="121"/>
      <c r="WNP892" s="121"/>
      <c r="WNQ892" s="121"/>
      <c r="WNR892" s="121"/>
      <c r="WNS892" s="121"/>
      <c r="WNT892" s="121"/>
      <c r="WNU892" s="121"/>
      <c r="WNV892" s="121"/>
      <c r="WNW892" s="121"/>
      <c r="WNX892" s="121"/>
      <c r="WNY892" s="121"/>
      <c r="WNZ892" s="121"/>
      <c r="WOA892" s="121"/>
      <c r="WOB892" s="121"/>
      <c r="WOC892" s="121"/>
      <c r="WOD892" s="121"/>
      <c r="WOE892" s="121"/>
      <c r="WOF892" s="121"/>
      <c r="WOG892" s="121"/>
      <c r="WOH892" s="121"/>
      <c r="WOI892" s="121"/>
      <c r="WOJ892" s="121"/>
      <c r="WOK892" s="121"/>
      <c r="WOL892" s="121"/>
      <c r="WOM892" s="121"/>
      <c r="WON892" s="121"/>
      <c r="WOO892" s="121"/>
      <c r="WOP892" s="121"/>
      <c r="WOQ892" s="121"/>
      <c r="WOR892" s="121"/>
      <c r="WOS892" s="121"/>
      <c r="WOT892" s="121"/>
      <c r="WOU892" s="121"/>
      <c r="WOV892" s="121"/>
      <c r="WOW892" s="121"/>
      <c r="WOX892" s="121"/>
      <c r="WOY892" s="121"/>
      <c r="WOZ892" s="121"/>
      <c r="WPA892" s="121"/>
      <c r="WPB892" s="121"/>
      <c r="WPC892" s="121"/>
      <c r="WPD892" s="121"/>
      <c r="WPE892" s="121"/>
      <c r="WPF892" s="121"/>
      <c r="WPG892" s="121"/>
      <c r="WPH892" s="121"/>
      <c r="WPI892" s="121"/>
      <c r="WPJ892" s="121"/>
      <c r="WPK892" s="121"/>
      <c r="WPL892" s="121"/>
      <c r="WPM892" s="121"/>
      <c r="WPN892" s="121"/>
      <c r="WPO892" s="121"/>
      <c r="WPP892" s="121"/>
      <c r="WPQ892" s="121"/>
      <c r="WPR892" s="121"/>
      <c r="WPS892" s="121"/>
      <c r="WPT892" s="121"/>
      <c r="WPU892" s="121"/>
      <c r="WPV892" s="121"/>
      <c r="WPW892" s="121"/>
      <c r="WPX892" s="121"/>
      <c r="WPY892" s="121"/>
      <c r="WPZ892" s="121"/>
      <c r="WQA892" s="121"/>
      <c r="WQB892" s="121"/>
      <c r="WQC892" s="121"/>
      <c r="WQD892" s="121"/>
      <c r="WQE892" s="121"/>
      <c r="WQF892" s="121"/>
      <c r="WQG892" s="121"/>
      <c r="WQH892" s="121"/>
      <c r="WQI892" s="121"/>
      <c r="WQJ892" s="121"/>
      <c r="WQK892" s="121"/>
      <c r="WQL892" s="121"/>
      <c r="WQM892" s="121"/>
      <c r="WQN892" s="121"/>
      <c r="WQO892" s="121"/>
      <c r="WQP892" s="121"/>
      <c r="WQQ892" s="121"/>
      <c r="WQR892" s="121"/>
      <c r="WQS892" s="121"/>
      <c r="WQT892" s="121"/>
      <c r="WQU892" s="121"/>
      <c r="WQV892" s="121"/>
      <c r="WQW892" s="121"/>
      <c r="WQX892" s="121"/>
      <c r="WQY892" s="121"/>
      <c r="WQZ892" s="121"/>
      <c r="WRA892" s="121"/>
      <c r="WRB892" s="121"/>
      <c r="WRC892" s="121"/>
      <c r="WRD892" s="121"/>
      <c r="WRE892" s="121"/>
      <c r="WRF892" s="121"/>
      <c r="WRG892" s="121"/>
      <c r="WRH892" s="121"/>
      <c r="WRI892" s="121"/>
      <c r="WRJ892" s="121"/>
      <c r="WRK892" s="121"/>
      <c r="WRL892" s="121"/>
      <c r="WRM892" s="121"/>
      <c r="WRN892" s="121"/>
      <c r="WRO892" s="121"/>
      <c r="WRP892" s="121"/>
      <c r="WRQ892" s="121"/>
      <c r="WRR892" s="121"/>
      <c r="WRS892" s="121"/>
      <c r="WRT892" s="121"/>
      <c r="WRU892" s="121"/>
      <c r="WRV892" s="121"/>
      <c r="WRW892" s="121"/>
      <c r="WRX892" s="121"/>
      <c r="WRY892" s="121"/>
      <c r="WRZ892" s="121"/>
      <c r="WSA892" s="121"/>
      <c r="WSB892" s="121"/>
      <c r="WSC892" s="121"/>
      <c r="WSD892" s="121"/>
      <c r="WSE892" s="121"/>
      <c r="WSF892" s="121"/>
      <c r="WSG892" s="121"/>
      <c r="WSH892" s="121"/>
      <c r="WSI892" s="121"/>
      <c r="WSJ892" s="121"/>
      <c r="WSK892" s="121"/>
      <c r="WSL892" s="121"/>
      <c r="WSM892" s="121"/>
      <c r="WSN892" s="121"/>
      <c r="WSO892" s="121"/>
      <c r="WSP892" s="121"/>
      <c r="WSQ892" s="121"/>
      <c r="WSR892" s="121"/>
      <c r="WSS892" s="121"/>
      <c r="WST892" s="121"/>
      <c r="WSU892" s="121"/>
      <c r="WSV892" s="121"/>
      <c r="WSW892" s="121"/>
      <c r="WSX892" s="121"/>
      <c r="WSY892" s="121"/>
      <c r="WSZ892" s="121"/>
      <c r="WTA892" s="121"/>
      <c r="WTB892" s="121"/>
      <c r="WTC892" s="121"/>
      <c r="WTD892" s="121"/>
      <c r="WTE892" s="121"/>
      <c r="WTF892" s="121"/>
      <c r="WTG892" s="121"/>
      <c r="WTH892" s="121"/>
      <c r="WTI892" s="121"/>
      <c r="WTJ892" s="121"/>
      <c r="WTK892" s="121"/>
      <c r="WTL892" s="121"/>
      <c r="WTM892" s="121"/>
      <c r="WTN892" s="121"/>
      <c r="WTO892" s="121"/>
      <c r="WTP892" s="121"/>
      <c r="WTQ892" s="121"/>
      <c r="WTR892" s="121"/>
      <c r="WTS892" s="121"/>
      <c r="WTT892" s="121"/>
      <c r="WTU892" s="121"/>
      <c r="WTV892" s="121"/>
      <c r="WTW892" s="121"/>
      <c r="WTX892" s="121"/>
      <c r="WTY892" s="121"/>
      <c r="WTZ892" s="121"/>
      <c r="WUA892" s="121"/>
      <c r="WUB892" s="121"/>
      <c r="WUC892" s="121"/>
      <c r="WUD892" s="121"/>
      <c r="WUE892" s="121"/>
      <c r="WUF892" s="121"/>
      <c r="WUG892" s="121"/>
      <c r="WUH892" s="121"/>
      <c r="WUI892" s="121"/>
      <c r="WUJ892" s="121"/>
      <c r="WUK892" s="121"/>
      <c r="WUL892" s="121"/>
      <c r="WUM892" s="121"/>
      <c r="WUN892" s="121"/>
      <c r="WUO892" s="121"/>
      <c r="WUP892" s="121"/>
      <c r="WUQ892" s="121"/>
      <c r="WUR892" s="121"/>
      <c r="WUS892" s="121"/>
      <c r="WUT892" s="121"/>
      <c r="WUU892" s="121"/>
      <c r="WUV892" s="121"/>
      <c r="WUW892" s="121"/>
      <c r="WUX892" s="121"/>
      <c r="WUY892" s="121"/>
      <c r="WUZ892" s="121"/>
      <c r="WVA892" s="121"/>
      <c r="WVB892" s="121"/>
      <c r="WVC892" s="121"/>
      <c r="WVD892" s="121"/>
      <c r="WVE892" s="121"/>
      <c r="WVF892" s="121"/>
      <c r="WVG892" s="121"/>
      <c r="WVH892" s="121"/>
      <c r="WVI892" s="121"/>
      <c r="WVJ892" s="121"/>
      <c r="WVK892" s="121"/>
      <c r="WVL892" s="121"/>
      <c r="WVM892" s="121"/>
      <c r="WVN892" s="121"/>
      <c r="WVO892" s="121"/>
      <c r="WVP892" s="121"/>
      <c r="WVQ892" s="121"/>
      <c r="WVR892" s="121"/>
      <c r="WVS892" s="121"/>
      <c r="WVT892" s="121"/>
      <c r="WVU892" s="121"/>
      <c r="WVV892" s="121"/>
      <c r="WVW892" s="121"/>
      <c r="WVX892" s="121"/>
      <c r="WVY892" s="121"/>
      <c r="WVZ892" s="121"/>
      <c r="WWA892" s="121"/>
      <c r="WWB892" s="121"/>
      <c r="WWC892" s="121"/>
      <c r="WWD892" s="121"/>
      <c r="WWE892" s="121"/>
      <c r="WWF892" s="121"/>
      <c r="WWG892" s="121"/>
      <c r="WWH892" s="121"/>
      <c r="WWI892" s="121"/>
      <c r="WWJ892" s="121"/>
      <c r="WWK892" s="121"/>
      <c r="WWL892" s="121"/>
      <c r="WWM892" s="121"/>
      <c r="WWN892" s="121"/>
      <c r="WWO892" s="121"/>
      <c r="WWP892" s="121"/>
      <c r="WWQ892" s="121"/>
      <c r="WWR892" s="121"/>
      <c r="WWS892" s="121"/>
      <c r="WWT892" s="121"/>
      <c r="WWU892" s="121"/>
      <c r="WWV892" s="121"/>
      <c r="WWW892" s="121"/>
      <c r="WWX892" s="121"/>
      <c r="WWY892" s="121"/>
      <c r="WWZ892" s="121"/>
      <c r="WXA892" s="121"/>
      <c r="WXB892" s="121"/>
      <c r="WXC892" s="121"/>
      <c r="WXD892" s="121"/>
      <c r="WXE892" s="121"/>
      <c r="WXF892" s="121"/>
      <c r="WXG892" s="121"/>
      <c r="WXH892" s="121"/>
      <c r="WXI892" s="121"/>
      <c r="WXJ892" s="121"/>
      <c r="WXK892" s="121"/>
      <c r="WXL892" s="121"/>
      <c r="WXM892" s="121"/>
      <c r="WXN892" s="121"/>
      <c r="WXO892" s="121"/>
      <c r="WXP892" s="121"/>
      <c r="WXQ892" s="121"/>
      <c r="WXR892" s="121"/>
      <c r="WXS892" s="121"/>
      <c r="WXT892" s="121"/>
      <c r="WXU892" s="121"/>
      <c r="WXV892" s="121"/>
      <c r="WXW892" s="121"/>
      <c r="WXX892" s="121"/>
      <c r="WXY892" s="121"/>
      <c r="WXZ892" s="121"/>
      <c r="WYA892" s="121"/>
      <c r="WYB892" s="121"/>
      <c r="WYC892" s="121"/>
      <c r="WYD892" s="121"/>
      <c r="WYE892" s="121"/>
      <c r="WYF892" s="121"/>
      <c r="WYG892" s="121"/>
      <c r="WYH892" s="121"/>
      <c r="WYI892" s="121"/>
      <c r="WYJ892" s="121"/>
      <c r="WYK892" s="121"/>
      <c r="WYL892" s="121"/>
      <c r="WYM892" s="121"/>
      <c r="WYN892" s="121"/>
      <c r="WYO892" s="121"/>
      <c r="WYP892" s="121"/>
      <c r="WYQ892" s="121"/>
      <c r="WYR892" s="121"/>
      <c r="WYS892" s="121"/>
      <c r="WYT892" s="121"/>
      <c r="WYU892" s="121"/>
      <c r="WYV892" s="121"/>
      <c r="WYW892" s="121"/>
      <c r="WYX892" s="121"/>
      <c r="WYY892" s="121"/>
      <c r="WYZ892" s="121"/>
      <c r="WZA892" s="121"/>
      <c r="WZB892" s="121"/>
      <c r="WZC892" s="121"/>
      <c r="WZD892" s="121"/>
      <c r="WZE892" s="121"/>
      <c r="WZF892" s="121"/>
      <c r="WZG892" s="121"/>
      <c r="WZH892" s="121"/>
      <c r="WZI892" s="121"/>
      <c r="WZJ892" s="121"/>
      <c r="WZK892" s="121"/>
      <c r="WZL892" s="121"/>
      <c r="WZM892" s="121"/>
      <c r="WZN892" s="121"/>
      <c r="WZO892" s="121"/>
      <c r="WZP892" s="121"/>
      <c r="WZQ892" s="121"/>
      <c r="WZR892" s="121"/>
      <c r="WZS892" s="121"/>
      <c r="WZT892" s="121"/>
      <c r="WZU892" s="121"/>
      <c r="WZV892" s="121"/>
      <c r="WZW892" s="121"/>
      <c r="WZX892" s="121"/>
      <c r="WZY892" s="121"/>
      <c r="WZZ892" s="121"/>
      <c r="XAA892" s="121"/>
      <c r="XAB892" s="121"/>
      <c r="XAC892" s="121"/>
      <c r="XAD892" s="121"/>
      <c r="XAE892" s="121"/>
      <c r="XAF892" s="121"/>
      <c r="XAG892" s="121"/>
      <c r="XAH892" s="121"/>
      <c r="XAI892" s="121"/>
      <c r="XAJ892" s="121"/>
      <c r="XAK892" s="121"/>
      <c r="XAL892" s="121"/>
      <c r="XAM892" s="121"/>
      <c r="XAN892" s="121"/>
      <c r="XAO892" s="121"/>
      <c r="XAP892" s="121"/>
      <c r="XAQ892" s="121"/>
      <c r="XAR892" s="121"/>
      <c r="XAS892" s="121"/>
      <c r="XAT892" s="121"/>
      <c r="XAU892" s="121"/>
      <c r="XAV892" s="121"/>
      <c r="XAW892" s="121"/>
      <c r="XAX892" s="121"/>
      <c r="XAY892" s="121"/>
      <c r="XAZ892" s="121"/>
      <c r="XBA892" s="121"/>
      <c r="XBB892" s="121"/>
      <c r="XBC892" s="121"/>
      <c r="XBD892" s="121"/>
      <c r="XBE892" s="121"/>
      <c r="XBF892" s="121"/>
      <c r="XBG892" s="121"/>
      <c r="XBH892" s="121"/>
      <c r="XBI892" s="121"/>
      <c r="XBJ892" s="121"/>
      <c r="XBK892" s="121"/>
      <c r="XBL892" s="121"/>
      <c r="XBM892" s="121"/>
      <c r="XBN892" s="121"/>
      <c r="XBO892" s="121"/>
      <c r="XBP892" s="121"/>
      <c r="XBQ892" s="121"/>
      <c r="XBR892" s="121"/>
      <c r="XBS892" s="121"/>
      <c r="XBT892" s="121"/>
      <c r="XBU892" s="121"/>
      <c r="XBV892" s="121"/>
      <c r="XBW892" s="121"/>
      <c r="XBX892" s="121"/>
      <c r="XBY892" s="121"/>
      <c r="XBZ892" s="121"/>
      <c r="XCA892" s="121"/>
      <c r="XCB892" s="121"/>
      <c r="XCC892" s="121"/>
      <c r="XCD892" s="121"/>
      <c r="XCE892" s="121"/>
      <c r="XCF892" s="121"/>
      <c r="XCG892" s="121"/>
      <c r="XCH892" s="121"/>
      <c r="XCI892" s="121"/>
      <c r="XCJ892" s="121"/>
      <c r="XCK892" s="121"/>
      <c r="XCL892" s="121"/>
      <c r="XCM892" s="121"/>
      <c r="XCN892" s="121"/>
      <c r="XCO892" s="121"/>
      <c r="XCP892" s="121"/>
      <c r="XCQ892" s="121"/>
      <c r="XCR892" s="121"/>
      <c r="XCS892" s="121"/>
      <c r="XCT892" s="121"/>
      <c r="XCU892" s="121"/>
      <c r="XCV892" s="121"/>
      <c r="XCW892" s="121"/>
      <c r="XCX892" s="121"/>
      <c r="XCY892" s="121"/>
      <c r="XCZ892" s="121"/>
      <c r="XDA892" s="121"/>
      <c r="XDB892" s="121"/>
      <c r="XDC892" s="121"/>
      <c r="XDD892" s="121"/>
      <c r="XDE892" s="121"/>
      <c r="XDF892" s="121"/>
      <c r="XDG892" s="121"/>
      <c r="XDH892" s="121"/>
      <c r="XDI892" s="121"/>
      <c r="XDJ892" s="121"/>
      <c r="XDK892" s="121"/>
      <c r="XDL892" s="121"/>
      <c r="XDM892" s="121"/>
      <c r="XDN892" s="121"/>
      <c r="XDO892" s="121"/>
      <c r="XDP892" s="121"/>
      <c r="XDQ892" s="121"/>
      <c r="XDR892" s="121"/>
      <c r="XDS892" s="121"/>
      <c r="XDT892" s="121"/>
      <c r="XDU892" s="121"/>
      <c r="XDV892" s="121"/>
      <c r="XDW892" s="121"/>
      <c r="XDX892" s="121"/>
      <c r="XDY892" s="121"/>
      <c r="XDZ892" s="121"/>
      <c r="XEA892" s="121"/>
      <c r="XEB892" s="121"/>
      <c r="XEC892" s="121"/>
      <c r="XED892" s="121"/>
      <c r="XEE892" s="121"/>
      <c r="XEF892" s="121"/>
      <c r="XEG892" s="121"/>
      <c r="XEH892" s="121"/>
      <c r="XEI892" s="121"/>
      <c r="XEJ892" s="121"/>
      <c r="XEK892" s="121"/>
      <c r="XEL892" s="121"/>
      <c r="XEM892" s="121"/>
      <c r="XEN892" s="121"/>
      <c r="XEO892" s="121"/>
      <c r="XEP892" s="121"/>
      <c r="XEQ892" s="121"/>
      <c r="XER892" s="121"/>
      <c r="XES892" s="121"/>
      <c r="XET892" s="121"/>
      <c r="XEU892" s="121"/>
      <c r="XEV892" s="121"/>
      <c r="XEW892" s="121"/>
      <c r="XEX892" s="121"/>
      <c r="XEY892" s="121"/>
      <c r="XEZ892" s="121"/>
      <c r="XFA892" s="121"/>
      <c r="XFB892" s="121"/>
      <c r="XFC892" s="121"/>
    </row>
    <row r="893" spans="1:16383" s="124" customFormat="1" ht="13">
      <c r="A893" s="97"/>
      <c r="B893" s="34" t="s">
        <v>862</v>
      </c>
      <c r="C893" s="34"/>
      <c r="D893" s="34" t="s">
        <v>914</v>
      </c>
      <c r="E893" s="34" t="s">
        <v>897</v>
      </c>
      <c r="F893" s="34" t="s">
        <v>354</v>
      </c>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123"/>
      <c r="CT893" s="123"/>
      <c r="CU893" s="123"/>
      <c r="CV893" s="123"/>
      <c r="CW893" s="123"/>
      <c r="CX893" s="123"/>
      <c r="CY893" s="123"/>
      <c r="CZ893" s="123"/>
      <c r="DA893" s="123"/>
      <c r="DB893" s="123"/>
      <c r="DC893" s="123"/>
      <c r="DD893" s="123"/>
      <c r="DE893" s="123"/>
      <c r="DF893" s="123"/>
      <c r="DG893" s="123"/>
      <c r="DH893" s="123"/>
      <c r="DI893" s="123"/>
      <c r="DJ893" s="123"/>
      <c r="DK893" s="123"/>
      <c r="DL893" s="123"/>
      <c r="DM893" s="123"/>
      <c r="DN893" s="123"/>
      <c r="DO893" s="123"/>
      <c r="DP893" s="123"/>
      <c r="DQ893" s="123"/>
      <c r="DR893" s="123"/>
      <c r="DS893" s="123"/>
      <c r="DT893" s="123"/>
      <c r="DU893" s="123"/>
      <c r="DV893" s="123"/>
      <c r="DW893" s="123"/>
      <c r="DX893" s="123"/>
      <c r="DY893" s="123"/>
      <c r="DZ893" s="123"/>
      <c r="EA893" s="123"/>
      <c r="EB893" s="123"/>
      <c r="EC893" s="123"/>
      <c r="ED893" s="123"/>
      <c r="EE893" s="123"/>
      <c r="EF893" s="123"/>
      <c r="EG893" s="123"/>
      <c r="EH893" s="123"/>
      <c r="EI893" s="123"/>
      <c r="EJ893" s="123"/>
      <c r="EK893" s="123"/>
      <c r="EL893" s="123"/>
      <c r="EM893" s="123"/>
      <c r="EN893" s="123"/>
      <c r="EO893" s="123"/>
      <c r="EP893" s="123"/>
      <c r="EQ893" s="123"/>
      <c r="ER893" s="123"/>
      <c r="ES893" s="123"/>
      <c r="ET893" s="123"/>
      <c r="EU893" s="123"/>
      <c r="EV893" s="123"/>
      <c r="EW893" s="123"/>
      <c r="EX893" s="123"/>
      <c r="EY893" s="123"/>
      <c r="EZ893" s="123"/>
      <c r="FA893" s="123"/>
      <c r="FB893" s="123"/>
      <c r="FC893" s="123"/>
      <c r="FD893" s="123"/>
      <c r="FE893" s="123"/>
      <c r="FF893" s="123"/>
      <c r="FG893" s="123"/>
      <c r="FH893" s="123"/>
      <c r="FI893" s="123"/>
      <c r="FJ893" s="123"/>
      <c r="FK893" s="123"/>
      <c r="FL893" s="123"/>
      <c r="FM893" s="123"/>
      <c r="FN893" s="123"/>
      <c r="FO893" s="123"/>
      <c r="FP893" s="123"/>
      <c r="FQ893" s="123"/>
      <c r="FR893" s="123"/>
      <c r="FS893" s="123"/>
      <c r="FT893" s="123"/>
      <c r="FU893" s="123"/>
      <c r="FV893" s="123"/>
      <c r="FW893" s="123"/>
      <c r="FX893" s="123"/>
      <c r="FY893" s="123"/>
      <c r="FZ893" s="123"/>
      <c r="GA893" s="123"/>
      <c r="GB893" s="123"/>
      <c r="GC893" s="123"/>
      <c r="GD893" s="123"/>
      <c r="GE893" s="123"/>
      <c r="GF893" s="123"/>
      <c r="GG893" s="123"/>
      <c r="GH893" s="123"/>
      <c r="GI893" s="123"/>
      <c r="GJ893" s="123"/>
      <c r="GK893" s="123"/>
      <c r="GL893" s="123"/>
      <c r="GM893" s="123"/>
      <c r="GN893" s="123"/>
      <c r="GO893" s="123"/>
      <c r="GP893" s="123"/>
      <c r="GQ893" s="123"/>
      <c r="GR893" s="123"/>
      <c r="GS893" s="123"/>
      <c r="GT893" s="123"/>
      <c r="GU893" s="123"/>
      <c r="GV893" s="123"/>
      <c r="GW893" s="123"/>
      <c r="GX893" s="123"/>
      <c r="GY893" s="123"/>
      <c r="GZ893" s="123"/>
      <c r="HA893" s="123"/>
      <c r="HB893" s="123"/>
      <c r="HC893" s="123"/>
      <c r="HD893" s="123"/>
      <c r="HE893" s="123"/>
      <c r="HF893" s="123"/>
      <c r="HG893" s="123"/>
      <c r="HH893" s="123"/>
      <c r="HI893" s="123"/>
      <c r="HJ893" s="123"/>
      <c r="HK893" s="123"/>
      <c r="HL893" s="123"/>
      <c r="HM893" s="123"/>
      <c r="HN893" s="123"/>
      <c r="HO893" s="123"/>
      <c r="HP893" s="123"/>
      <c r="HQ893" s="123"/>
      <c r="HR893" s="123"/>
      <c r="HS893" s="123"/>
      <c r="HT893" s="123"/>
      <c r="HU893" s="123"/>
      <c r="HV893" s="123"/>
      <c r="HW893" s="123"/>
      <c r="HX893" s="123"/>
      <c r="HY893" s="123"/>
      <c r="HZ893" s="123"/>
      <c r="IA893" s="123"/>
      <c r="IB893" s="123"/>
      <c r="IC893" s="123"/>
      <c r="ID893" s="123"/>
      <c r="IE893" s="123"/>
      <c r="IF893" s="123"/>
      <c r="IG893" s="123"/>
      <c r="IH893" s="123"/>
      <c r="II893" s="123"/>
      <c r="IJ893" s="123"/>
      <c r="IK893" s="123"/>
      <c r="IL893" s="123"/>
      <c r="IM893" s="123"/>
      <c r="IN893" s="123"/>
      <c r="IO893" s="123"/>
      <c r="IP893" s="123"/>
      <c r="IQ893" s="123"/>
      <c r="IR893" s="123"/>
      <c r="IS893" s="123"/>
      <c r="IT893" s="123"/>
      <c r="IU893" s="123"/>
      <c r="IV893" s="123"/>
      <c r="IW893" s="123"/>
      <c r="IX893" s="123"/>
      <c r="IY893" s="123"/>
      <c r="IZ893" s="123"/>
      <c r="JA893" s="123"/>
      <c r="JB893" s="123"/>
      <c r="JC893" s="123"/>
      <c r="JD893" s="123"/>
      <c r="JE893" s="123"/>
      <c r="JF893" s="123"/>
      <c r="JG893" s="123"/>
      <c r="JH893" s="123"/>
      <c r="JI893" s="123"/>
      <c r="JJ893" s="123"/>
      <c r="JK893" s="123"/>
      <c r="JL893" s="123"/>
      <c r="JM893" s="123"/>
      <c r="JN893" s="123"/>
      <c r="JO893" s="123"/>
      <c r="JP893" s="123"/>
      <c r="JQ893" s="123"/>
      <c r="JR893" s="123"/>
      <c r="JS893" s="123"/>
      <c r="JT893" s="123"/>
      <c r="JU893" s="123"/>
      <c r="JV893" s="123"/>
      <c r="JW893" s="123"/>
      <c r="JX893" s="123"/>
      <c r="JY893" s="123"/>
      <c r="JZ893" s="123"/>
      <c r="KA893" s="123"/>
      <c r="KB893" s="123"/>
      <c r="KC893" s="123"/>
      <c r="KD893" s="123"/>
      <c r="KE893" s="123"/>
      <c r="KF893" s="123"/>
      <c r="KG893" s="123"/>
      <c r="KH893" s="123"/>
      <c r="KI893" s="123"/>
      <c r="KJ893" s="123"/>
      <c r="KK893" s="123"/>
      <c r="KL893" s="123"/>
      <c r="KM893" s="123"/>
      <c r="KN893" s="123"/>
      <c r="KO893" s="123"/>
      <c r="KP893" s="123"/>
      <c r="KQ893" s="123"/>
      <c r="KR893" s="123"/>
      <c r="KS893" s="123"/>
      <c r="KT893" s="123"/>
      <c r="KU893" s="123"/>
      <c r="KV893" s="123"/>
      <c r="KW893" s="123"/>
      <c r="KX893" s="123"/>
      <c r="KY893" s="123"/>
      <c r="KZ893" s="123"/>
      <c r="LA893" s="123"/>
      <c r="LB893" s="123"/>
      <c r="LC893" s="123"/>
      <c r="LD893" s="123"/>
      <c r="LE893" s="123"/>
      <c r="LF893" s="123"/>
      <c r="LG893" s="123"/>
      <c r="LH893" s="123"/>
      <c r="LI893" s="123"/>
      <c r="LJ893" s="123"/>
      <c r="LK893" s="123"/>
      <c r="LL893" s="123"/>
      <c r="LM893" s="123"/>
      <c r="LN893" s="123"/>
      <c r="LO893" s="123"/>
      <c r="LP893" s="123"/>
      <c r="LQ893" s="123"/>
      <c r="LR893" s="123"/>
      <c r="LS893" s="123"/>
      <c r="LT893" s="123"/>
      <c r="LU893" s="123"/>
      <c r="LV893" s="123"/>
      <c r="LW893" s="123"/>
      <c r="LX893" s="123"/>
      <c r="LY893" s="123"/>
      <c r="LZ893" s="123"/>
      <c r="MA893" s="123"/>
      <c r="MB893" s="123"/>
      <c r="MC893" s="123"/>
      <c r="MD893" s="123"/>
      <c r="ME893" s="123"/>
      <c r="MF893" s="123"/>
      <c r="MG893" s="123"/>
      <c r="MH893" s="123"/>
      <c r="MI893" s="123"/>
      <c r="MJ893" s="123"/>
      <c r="MK893" s="123"/>
      <c r="ML893" s="123"/>
      <c r="MM893" s="123"/>
      <c r="MN893" s="123"/>
      <c r="MO893" s="123"/>
      <c r="MP893" s="123"/>
      <c r="MQ893" s="123"/>
      <c r="MR893" s="123"/>
      <c r="MS893" s="123"/>
      <c r="MT893" s="123"/>
      <c r="MU893" s="123"/>
      <c r="MV893" s="123"/>
      <c r="MW893" s="123"/>
      <c r="MX893" s="123"/>
      <c r="MY893" s="123"/>
      <c r="MZ893" s="123"/>
      <c r="NA893" s="123"/>
      <c r="NB893" s="123"/>
      <c r="NC893" s="123"/>
      <c r="ND893" s="123"/>
      <c r="NE893" s="123"/>
      <c r="NF893" s="123"/>
      <c r="NG893" s="123"/>
      <c r="NH893" s="123"/>
      <c r="NI893" s="123"/>
      <c r="NJ893" s="123"/>
      <c r="NK893" s="123"/>
      <c r="NL893" s="123"/>
      <c r="NM893" s="123"/>
      <c r="NN893" s="123"/>
      <c r="NO893" s="123"/>
      <c r="NP893" s="123"/>
      <c r="NQ893" s="123"/>
      <c r="NR893" s="123"/>
      <c r="NS893" s="123"/>
      <c r="NT893" s="123"/>
      <c r="NU893" s="123"/>
      <c r="NV893" s="123"/>
      <c r="NW893" s="123"/>
      <c r="NX893" s="123"/>
      <c r="NY893" s="123"/>
      <c r="NZ893" s="123"/>
      <c r="OA893" s="123"/>
      <c r="OB893" s="123"/>
      <c r="OC893" s="123"/>
      <c r="OD893" s="123"/>
      <c r="OE893" s="123"/>
      <c r="OF893" s="123"/>
      <c r="OG893" s="123"/>
      <c r="OH893" s="123"/>
      <c r="OI893" s="123"/>
      <c r="OJ893" s="123"/>
      <c r="OK893" s="123"/>
      <c r="OL893" s="123"/>
      <c r="OM893" s="123"/>
      <c r="ON893" s="123"/>
      <c r="OO893" s="123"/>
      <c r="OP893" s="123"/>
      <c r="OQ893" s="123"/>
      <c r="OR893" s="123"/>
      <c r="OS893" s="123"/>
      <c r="OT893" s="123"/>
      <c r="OU893" s="123"/>
      <c r="OV893" s="123"/>
      <c r="OW893" s="123"/>
      <c r="OX893" s="123"/>
      <c r="OY893" s="123"/>
      <c r="OZ893" s="123"/>
      <c r="PA893" s="123"/>
      <c r="PB893" s="123"/>
      <c r="PC893" s="123"/>
      <c r="PD893" s="123"/>
      <c r="PE893" s="123"/>
      <c r="PF893" s="123"/>
      <c r="PG893" s="123"/>
      <c r="PH893" s="123"/>
      <c r="PI893" s="123"/>
      <c r="PJ893" s="123"/>
      <c r="PK893" s="123"/>
      <c r="PL893" s="123"/>
      <c r="PM893" s="123"/>
      <c r="PN893" s="123"/>
      <c r="PO893" s="123"/>
      <c r="PP893" s="123"/>
      <c r="PQ893" s="123"/>
      <c r="PR893" s="123"/>
      <c r="PS893" s="123"/>
      <c r="PT893" s="123"/>
      <c r="PU893" s="123"/>
      <c r="PV893" s="123"/>
      <c r="PW893" s="123"/>
      <c r="PX893" s="123"/>
      <c r="PY893" s="123"/>
      <c r="PZ893" s="123"/>
      <c r="QA893" s="123"/>
      <c r="QB893" s="123"/>
      <c r="QC893" s="123"/>
      <c r="QD893" s="123"/>
      <c r="QE893" s="123"/>
      <c r="QF893" s="123"/>
      <c r="QG893" s="123"/>
      <c r="QH893" s="123"/>
      <c r="QI893" s="123"/>
      <c r="QJ893" s="123"/>
      <c r="QK893" s="123"/>
      <c r="QL893" s="123"/>
      <c r="QM893" s="123"/>
      <c r="QN893" s="123"/>
      <c r="QO893" s="123"/>
      <c r="QP893" s="123"/>
      <c r="QQ893" s="123"/>
      <c r="QR893" s="123"/>
      <c r="QS893" s="123"/>
      <c r="QT893" s="123"/>
      <c r="QU893" s="123"/>
      <c r="QV893" s="123"/>
      <c r="QW893" s="123"/>
      <c r="QX893" s="123"/>
      <c r="QY893" s="123"/>
      <c r="QZ893" s="123"/>
      <c r="RA893" s="123"/>
      <c r="RB893" s="123"/>
      <c r="RC893" s="123"/>
      <c r="RD893" s="123"/>
      <c r="RE893" s="123"/>
      <c r="RF893" s="123"/>
      <c r="RG893" s="123"/>
      <c r="RH893" s="123"/>
      <c r="RI893" s="123"/>
      <c r="RJ893" s="123"/>
      <c r="RK893" s="123"/>
      <c r="RL893" s="123"/>
      <c r="RM893" s="123"/>
      <c r="RN893" s="123"/>
      <c r="RO893" s="123"/>
      <c r="RP893" s="123"/>
      <c r="RQ893" s="123"/>
      <c r="RR893" s="123"/>
      <c r="RS893" s="123"/>
      <c r="RT893" s="123"/>
      <c r="RU893" s="123"/>
      <c r="RV893" s="123"/>
      <c r="RW893" s="123"/>
      <c r="RX893" s="123"/>
      <c r="RY893" s="123"/>
      <c r="RZ893" s="123"/>
      <c r="SA893" s="123"/>
      <c r="SB893" s="123"/>
      <c r="SC893" s="123"/>
      <c r="SD893" s="123"/>
      <c r="SE893" s="123"/>
      <c r="SF893" s="123"/>
      <c r="SG893" s="123"/>
      <c r="SH893" s="123"/>
      <c r="SI893" s="123"/>
      <c r="SJ893" s="123"/>
      <c r="SK893" s="123"/>
      <c r="SL893" s="123"/>
      <c r="SM893" s="123"/>
      <c r="SN893" s="123"/>
      <c r="SO893" s="123"/>
      <c r="SP893" s="123"/>
      <c r="SQ893" s="123"/>
      <c r="SR893" s="123"/>
      <c r="SS893" s="123"/>
      <c r="ST893" s="123"/>
      <c r="SU893" s="123"/>
      <c r="SV893" s="123"/>
      <c r="SW893" s="123"/>
      <c r="SX893" s="123"/>
      <c r="SY893" s="123"/>
      <c r="SZ893" s="123"/>
      <c r="TA893" s="123"/>
      <c r="TB893" s="123"/>
      <c r="TC893" s="123"/>
      <c r="TD893" s="123"/>
      <c r="TE893" s="123"/>
      <c r="TF893" s="123"/>
      <c r="TG893" s="123"/>
      <c r="TH893" s="123"/>
      <c r="TI893" s="123"/>
      <c r="TJ893" s="123"/>
      <c r="TK893" s="123"/>
      <c r="TL893" s="123"/>
      <c r="TM893" s="123"/>
      <c r="TN893" s="123"/>
      <c r="TO893" s="123"/>
      <c r="TP893" s="123"/>
      <c r="TQ893" s="123"/>
      <c r="TR893" s="123"/>
      <c r="TS893" s="123"/>
      <c r="TT893" s="123"/>
      <c r="TU893" s="123"/>
      <c r="TV893" s="123"/>
      <c r="TW893" s="123"/>
      <c r="TX893" s="123"/>
      <c r="TY893" s="123"/>
      <c r="TZ893" s="123"/>
      <c r="UA893" s="123"/>
      <c r="UB893" s="123"/>
      <c r="UC893" s="123"/>
      <c r="UD893" s="123"/>
      <c r="UE893" s="123"/>
      <c r="UF893" s="123"/>
      <c r="UG893" s="123"/>
      <c r="UH893" s="123"/>
      <c r="UI893" s="123"/>
      <c r="UJ893" s="123"/>
      <c r="UK893" s="123"/>
      <c r="UL893" s="123"/>
      <c r="UM893" s="123"/>
      <c r="UN893" s="123"/>
      <c r="UO893" s="123"/>
      <c r="UP893" s="123"/>
      <c r="UQ893" s="123"/>
      <c r="UR893" s="123"/>
      <c r="US893" s="123"/>
      <c r="UT893" s="123"/>
      <c r="UU893" s="123"/>
      <c r="UV893" s="123"/>
      <c r="UW893" s="123"/>
      <c r="UX893" s="123"/>
      <c r="UY893" s="123"/>
      <c r="UZ893" s="123"/>
      <c r="VA893" s="123"/>
      <c r="VB893" s="123"/>
      <c r="VC893" s="123"/>
      <c r="VD893" s="123"/>
      <c r="VE893" s="123"/>
      <c r="VF893" s="123"/>
      <c r="VG893" s="123"/>
      <c r="VH893" s="123"/>
      <c r="VI893" s="123"/>
      <c r="VJ893" s="123"/>
      <c r="VK893" s="123"/>
      <c r="VL893" s="123"/>
      <c r="VM893" s="123"/>
      <c r="VN893" s="123"/>
      <c r="VO893" s="123"/>
      <c r="VP893" s="123"/>
      <c r="VQ893" s="123"/>
      <c r="VR893" s="123"/>
      <c r="VS893" s="123"/>
      <c r="VT893" s="123"/>
      <c r="VU893" s="123"/>
      <c r="VV893" s="123"/>
      <c r="VW893" s="123"/>
      <c r="VX893" s="123"/>
      <c r="VY893" s="123"/>
      <c r="VZ893" s="123"/>
      <c r="WA893" s="123"/>
      <c r="WB893" s="123"/>
      <c r="WC893" s="123"/>
      <c r="WD893" s="123"/>
      <c r="WE893" s="123"/>
      <c r="WF893" s="123"/>
      <c r="WG893" s="123"/>
      <c r="WH893" s="123"/>
      <c r="WI893" s="123"/>
      <c r="WJ893" s="123"/>
      <c r="WK893" s="123"/>
      <c r="WL893" s="123"/>
      <c r="WM893" s="123"/>
      <c r="WN893" s="123"/>
      <c r="WO893" s="123"/>
      <c r="WP893" s="123"/>
      <c r="WQ893" s="123"/>
      <c r="WR893" s="123"/>
      <c r="WS893" s="123"/>
      <c r="WT893" s="123"/>
      <c r="WU893" s="123"/>
      <c r="WV893" s="123"/>
      <c r="WW893" s="123"/>
      <c r="WX893" s="123"/>
      <c r="WY893" s="123"/>
      <c r="WZ893" s="123"/>
      <c r="XA893" s="123"/>
      <c r="XB893" s="123"/>
      <c r="XC893" s="123"/>
      <c r="XD893" s="123"/>
      <c r="XE893" s="123"/>
      <c r="XF893" s="123"/>
      <c r="XG893" s="123"/>
      <c r="XH893" s="123"/>
      <c r="XI893" s="123"/>
      <c r="XJ893" s="123"/>
      <c r="XK893" s="123"/>
      <c r="XL893" s="123"/>
      <c r="XM893" s="123"/>
      <c r="XN893" s="123"/>
      <c r="XO893" s="123"/>
      <c r="XP893" s="123"/>
      <c r="XQ893" s="123"/>
      <c r="XR893" s="123"/>
      <c r="XS893" s="123"/>
      <c r="XT893" s="123"/>
      <c r="XU893" s="123"/>
      <c r="XV893" s="123"/>
      <c r="XW893" s="123"/>
      <c r="XX893" s="123"/>
      <c r="XY893" s="123"/>
      <c r="XZ893" s="123"/>
      <c r="YA893" s="123"/>
      <c r="YB893" s="123"/>
      <c r="YC893" s="123"/>
      <c r="YD893" s="123"/>
      <c r="YE893" s="123"/>
      <c r="YF893" s="123"/>
      <c r="YG893" s="123"/>
      <c r="YH893" s="123"/>
      <c r="YI893" s="123"/>
      <c r="YJ893" s="123"/>
      <c r="YK893" s="123"/>
      <c r="YL893" s="123"/>
      <c r="YM893" s="123"/>
      <c r="YN893" s="123"/>
      <c r="YO893" s="123"/>
      <c r="YP893" s="123"/>
      <c r="YQ893" s="123"/>
      <c r="YR893" s="123"/>
      <c r="YS893" s="123"/>
      <c r="YT893" s="123"/>
      <c r="YU893" s="123"/>
      <c r="YV893" s="123"/>
      <c r="YW893" s="123"/>
      <c r="YX893" s="123"/>
      <c r="YY893" s="123"/>
      <c r="YZ893" s="123"/>
      <c r="ZA893" s="123"/>
      <c r="ZB893" s="123"/>
      <c r="ZC893" s="123"/>
      <c r="ZD893" s="123"/>
      <c r="ZE893" s="123"/>
      <c r="ZF893" s="123"/>
      <c r="ZG893" s="123"/>
      <c r="ZH893" s="123"/>
      <c r="ZI893" s="123"/>
      <c r="ZJ893" s="123"/>
      <c r="ZK893" s="123"/>
      <c r="ZL893" s="123"/>
      <c r="ZM893" s="123"/>
      <c r="ZN893" s="123"/>
      <c r="ZO893" s="123"/>
      <c r="ZP893" s="123"/>
      <c r="ZQ893" s="123"/>
      <c r="ZR893" s="123"/>
      <c r="ZS893" s="123"/>
      <c r="ZT893" s="123"/>
      <c r="ZU893" s="123"/>
      <c r="ZV893" s="123"/>
      <c r="ZW893" s="123"/>
      <c r="ZX893" s="123"/>
      <c r="ZY893" s="123"/>
      <c r="ZZ893" s="123"/>
      <c r="AAA893" s="123"/>
      <c r="AAB893" s="123"/>
      <c r="AAC893" s="123"/>
      <c r="AAD893" s="123"/>
      <c r="AAE893" s="123"/>
      <c r="AAF893" s="123"/>
      <c r="AAG893" s="123"/>
      <c r="AAH893" s="123"/>
      <c r="AAI893" s="123"/>
      <c r="AAJ893" s="123"/>
      <c r="AAK893" s="123"/>
      <c r="AAL893" s="123"/>
      <c r="AAM893" s="123"/>
      <c r="AAN893" s="123"/>
      <c r="AAO893" s="123"/>
      <c r="AAP893" s="123"/>
      <c r="AAQ893" s="123"/>
      <c r="AAR893" s="123"/>
      <c r="AAS893" s="123"/>
      <c r="AAT893" s="123"/>
      <c r="AAU893" s="123"/>
      <c r="AAV893" s="123"/>
      <c r="AAW893" s="123"/>
      <c r="AAX893" s="123"/>
      <c r="AAY893" s="123"/>
      <c r="AAZ893" s="123"/>
      <c r="ABA893" s="123"/>
      <c r="ABB893" s="123"/>
      <c r="ABC893" s="123"/>
      <c r="ABD893" s="123"/>
      <c r="ABE893" s="123"/>
      <c r="ABF893" s="123"/>
      <c r="ABG893" s="123"/>
      <c r="ABH893" s="123"/>
      <c r="ABI893" s="123"/>
      <c r="ABJ893" s="123"/>
      <c r="ABK893" s="123"/>
      <c r="ABL893" s="123"/>
      <c r="ABM893" s="123"/>
      <c r="ABN893" s="123"/>
      <c r="ABO893" s="123"/>
      <c r="ABP893" s="123"/>
      <c r="ABQ893" s="123"/>
      <c r="ABR893" s="123"/>
      <c r="ABS893" s="123"/>
      <c r="ABT893" s="123"/>
      <c r="ABU893" s="123"/>
      <c r="ABV893" s="123"/>
      <c r="ABW893" s="123"/>
      <c r="ABX893" s="123"/>
      <c r="ABY893" s="123"/>
      <c r="ABZ893" s="123"/>
      <c r="ACA893" s="123"/>
      <c r="ACB893" s="123"/>
      <c r="ACC893" s="123"/>
      <c r="ACD893" s="123"/>
      <c r="ACE893" s="123"/>
      <c r="ACF893" s="123"/>
      <c r="ACG893" s="123"/>
      <c r="ACH893" s="123"/>
      <c r="ACI893" s="123"/>
      <c r="ACJ893" s="123"/>
      <c r="ACK893" s="123"/>
      <c r="ACL893" s="123"/>
      <c r="ACM893" s="123"/>
      <c r="ACN893" s="123"/>
      <c r="ACO893" s="123"/>
      <c r="ACP893" s="123"/>
      <c r="ACQ893" s="123"/>
      <c r="ACR893" s="123"/>
      <c r="ACS893" s="123"/>
      <c r="ACT893" s="123"/>
      <c r="ACU893" s="123"/>
      <c r="ACV893" s="123"/>
      <c r="ACW893" s="123"/>
      <c r="ACX893" s="123"/>
      <c r="ACY893" s="123"/>
      <c r="ACZ893" s="123"/>
      <c r="ADA893" s="123"/>
      <c r="ADB893" s="123"/>
      <c r="ADC893" s="123"/>
      <c r="ADD893" s="123"/>
      <c r="ADE893" s="123"/>
      <c r="ADF893" s="123"/>
      <c r="ADG893" s="123"/>
      <c r="ADH893" s="123"/>
      <c r="ADI893" s="123"/>
      <c r="ADJ893" s="123"/>
      <c r="ADK893" s="123"/>
      <c r="ADL893" s="123"/>
      <c r="ADM893" s="123"/>
      <c r="ADN893" s="123"/>
      <c r="ADO893" s="123"/>
      <c r="ADP893" s="123"/>
      <c r="ADQ893" s="123"/>
      <c r="ADR893" s="123"/>
      <c r="ADS893" s="123"/>
      <c r="ADT893" s="123"/>
      <c r="ADU893" s="123"/>
      <c r="ADV893" s="123"/>
      <c r="ADW893" s="123"/>
      <c r="ADX893" s="123"/>
      <c r="ADY893" s="123"/>
      <c r="ADZ893" s="123"/>
      <c r="AEA893" s="123"/>
      <c r="AEB893" s="123"/>
      <c r="AEC893" s="123"/>
      <c r="AED893" s="123"/>
      <c r="AEE893" s="123"/>
      <c r="AEF893" s="123"/>
      <c r="AEG893" s="123"/>
      <c r="AEH893" s="123"/>
      <c r="AEI893" s="123"/>
      <c r="AEJ893" s="123"/>
      <c r="AEK893" s="123"/>
      <c r="AEL893" s="123"/>
      <c r="AEM893" s="123"/>
      <c r="AEN893" s="123"/>
      <c r="AEO893" s="123"/>
      <c r="AEP893" s="123"/>
      <c r="AEQ893" s="123"/>
      <c r="AER893" s="123"/>
      <c r="AES893" s="123"/>
      <c r="AET893" s="123"/>
      <c r="AEU893" s="123"/>
      <c r="AEV893" s="123"/>
      <c r="AEW893" s="123"/>
      <c r="AEX893" s="123"/>
      <c r="AEY893" s="123"/>
      <c r="AEZ893" s="123"/>
      <c r="AFA893" s="123"/>
      <c r="AFB893" s="123"/>
      <c r="AFC893" s="123"/>
      <c r="AFD893" s="123"/>
      <c r="AFE893" s="123"/>
      <c r="AFF893" s="123"/>
      <c r="AFG893" s="123"/>
      <c r="AFH893" s="123"/>
      <c r="AFI893" s="123"/>
      <c r="AFJ893" s="123"/>
      <c r="AFK893" s="123"/>
      <c r="AFL893" s="123"/>
      <c r="AFM893" s="123"/>
      <c r="AFN893" s="123"/>
      <c r="AFO893" s="123"/>
      <c r="AFP893" s="123"/>
      <c r="AFQ893" s="123"/>
      <c r="AFR893" s="123"/>
      <c r="AFS893" s="123"/>
      <c r="AFT893" s="123"/>
      <c r="AFU893" s="123"/>
      <c r="AFV893" s="123"/>
      <c r="AFW893" s="123"/>
      <c r="AFX893" s="123"/>
      <c r="AFY893" s="123"/>
      <c r="AFZ893" s="123"/>
      <c r="AGA893" s="123"/>
      <c r="AGB893" s="123"/>
      <c r="AGC893" s="123"/>
      <c r="AGD893" s="123"/>
      <c r="AGE893" s="123"/>
      <c r="AGF893" s="123"/>
      <c r="AGG893" s="123"/>
      <c r="AGH893" s="123"/>
      <c r="AGI893" s="123"/>
      <c r="AGJ893" s="123"/>
      <c r="AGK893" s="123"/>
      <c r="AGL893" s="123"/>
      <c r="AGM893" s="123"/>
      <c r="AGN893" s="123"/>
      <c r="AGO893" s="123"/>
      <c r="AGP893" s="123"/>
      <c r="AGQ893" s="123"/>
      <c r="AGR893" s="123"/>
      <c r="AGS893" s="123"/>
      <c r="AGT893" s="123"/>
      <c r="AGU893" s="123"/>
      <c r="AGV893" s="123"/>
      <c r="AGW893" s="123"/>
      <c r="AGX893" s="123"/>
      <c r="AGY893" s="123"/>
      <c r="AGZ893" s="123"/>
      <c r="AHA893" s="123"/>
      <c r="AHB893" s="123"/>
      <c r="AHC893" s="123"/>
      <c r="AHD893" s="123"/>
      <c r="AHE893" s="123"/>
      <c r="AHF893" s="123"/>
      <c r="AHG893" s="123"/>
      <c r="AHH893" s="123"/>
      <c r="AHI893" s="123"/>
      <c r="AHJ893" s="123"/>
      <c r="AHK893" s="123"/>
      <c r="AHL893" s="123"/>
      <c r="AHM893" s="123"/>
      <c r="AHN893" s="123"/>
      <c r="AHO893" s="123"/>
      <c r="AHP893" s="123"/>
      <c r="AHQ893" s="123"/>
      <c r="AHR893" s="123"/>
      <c r="AHS893" s="123"/>
      <c r="AHT893" s="123"/>
      <c r="AHU893" s="123"/>
      <c r="AHV893" s="123"/>
      <c r="AHW893" s="123"/>
      <c r="AHX893" s="123"/>
      <c r="AHY893" s="123"/>
      <c r="AHZ893" s="123"/>
      <c r="AIA893" s="123"/>
      <c r="AIB893" s="123"/>
      <c r="AIC893" s="123"/>
      <c r="AID893" s="123"/>
      <c r="AIE893" s="123"/>
      <c r="AIF893" s="123"/>
      <c r="AIG893" s="123"/>
      <c r="AIH893" s="123"/>
      <c r="AII893" s="123"/>
      <c r="AIJ893" s="123"/>
      <c r="AIK893" s="123"/>
      <c r="AIL893" s="123"/>
      <c r="AIM893" s="123"/>
      <c r="AIN893" s="123"/>
      <c r="AIO893" s="123"/>
      <c r="AIP893" s="123"/>
      <c r="AIQ893" s="123"/>
      <c r="AIR893" s="123"/>
      <c r="AIS893" s="123"/>
      <c r="AIT893" s="123"/>
      <c r="AIU893" s="123"/>
      <c r="AIV893" s="123"/>
      <c r="AIW893" s="123"/>
      <c r="AIX893" s="123"/>
      <c r="AIY893" s="123"/>
      <c r="AIZ893" s="123"/>
      <c r="AJA893" s="123"/>
      <c r="AJB893" s="123"/>
      <c r="AJC893" s="123"/>
      <c r="AJD893" s="123"/>
      <c r="AJE893" s="123"/>
      <c r="AJF893" s="123"/>
      <c r="AJG893" s="123"/>
      <c r="AJH893" s="123"/>
      <c r="AJI893" s="123"/>
      <c r="AJJ893" s="123"/>
      <c r="AJK893" s="123"/>
      <c r="AJL893" s="123"/>
      <c r="AJM893" s="123"/>
      <c r="AJN893" s="123"/>
      <c r="AJO893" s="123"/>
      <c r="AJP893" s="123"/>
      <c r="AJQ893" s="123"/>
      <c r="AJR893" s="123"/>
      <c r="AJS893" s="123"/>
      <c r="AJT893" s="123"/>
      <c r="AJU893" s="123"/>
      <c r="AJV893" s="123"/>
      <c r="AJW893" s="123"/>
      <c r="AJX893" s="123"/>
      <c r="AJY893" s="123"/>
      <c r="AJZ893" s="123"/>
      <c r="AKA893" s="123"/>
      <c r="AKB893" s="123"/>
      <c r="AKC893" s="123"/>
      <c r="AKD893" s="123"/>
      <c r="AKE893" s="123"/>
      <c r="AKF893" s="123"/>
      <c r="AKG893" s="123"/>
      <c r="AKH893" s="123"/>
      <c r="AKI893" s="123"/>
      <c r="AKJ893" s="123"/>
      <c r="AKK893" s="123"/>
      <c r="AKL893" s="123"/>
      <c r="AKM893" s="123"/>
      <c r="AKN893" s="123"/>
      <c r="AKO893" s="123"/>
      <c r="AKP893" s="123"/>
      <c r="AKQ893" s="123"/>
      <c r="AKR893" s="123"/>
      <c r="AKS893" s="123"/>
      <c r="AKT893" s="123"/>
      <c r="AKU893" s="123"/>
      <c r="AKV893" s="123"/>
      <c r="AKW893" s="123"/>
      <c r="AKX893" s="123"/>
      <c r="AKY893" s="123"/>
      <c r="AKZ893" s="123"/>
      <c r="ALA893" s="123"/>
      <c r="ALB893" s="123"/>
      <c r="ALC893" s="123"/>
      <c r="ALD893" s="123"/>
      <c r="ALE893" s="123"/>
      <c r="ALF893" s="123"/>
      <c r="ALG893" s="123"/>
      <c r="ALH893" s="123"/>
      <c r="ALI893" s="123"/>
      <c r="ALJ893" s="123"/>
      <c r="ALK893" s="123"/>
      <c r="ALL893" s="123"/>
      <c r="ALM893" s="123"/>
      <c r="ALN893" s="123"/>
      <c r="ALO893" s="123"/>
      <c r="ALP893" s="123"/>
      <c r="ALQ893" s="123"/>
      <c r="ALR893" s="123"/>
      <c r="ALS893" s="123"/>
      <c r="ALT893" s="123"/>
      <c r="ALU893" s="123"/>
      <c r="ALV893" s="123"/>
      <c r="ALW893" s="123"/>
      <c r="ALX893" s="123"/>
      <c r="ALY893" s="123"/>
      <c r="ALZ893" s="123"/>
      <c r="AMA893" s="123"/>
      <c r="AMB893" s="123"/>
      <c r="AMC893" s="123"/>
      <c r="AMD893" s="123"/>
      <c r="AME893" s="123"/>
      <c r="AMF893" s="123"/>
      <c r="AMG893" s="123"/>
      <c r="AMH893" s="123"/>
      <c r="AMI893" s="123"/>
      <c r="AMJ893" s="123"/>
      <c r="AMK893" s="123"/>
      <c r="AML893" s="123"/>
      <c r="AMM893" s="123"/>
      <c r="AMN893" s="123"/>
      <c r="AMO893" s="123"/>
      <c r="AMP893" s="123"/>
      <c r="AMQ893" s="123"/>
      <c r="AMR893" s="123"/>
      <c r="AMS893" s="123"/>
      <c r="AMT893" s="123"/>
      <c r="AMU893" s="123"/>
      <c r="AMV893" s="123"/>
      <c r="AMW893" s="123"/>
      <c r="AMX893" s="123"/>
      <c r="AMY893" s="123"/>
      <c r="AMZ893" s="123"/>
      <c r="ANA893" s="123"/>
      <c r="ANB893" s="123"/>
      <c r="ANC893" s="123"/>
      <c r="AND893" s="123"/>
      <c r="ANE893" s="123"/>
      <c r="ANF893" s="123"/>
      <c r="ANG893" s="123"/>
      <c r="ANH893" s="123"/>
      <c r="ANI893" s="123"/>
      <c r="ANJ893" s="123"/>
      <c r="ANK893" s="123"/>
      <c r="ANL893" s="123"/>
      <c r="ANM893" s="123"/>
      <c r="ANN893" s="123"/>
      <c r="ANO893" s="123"/>
      <c r="ANP893" s="123"/>
      <c r="ANQ893" s="123"/>
      <c r="ANR893" s="123"/>
      <c r="ANS893" s="123"/>
      <c r="ANT893" s="123"/>
      <c r="ANU893" s="123"/>
      <c r="ANV893" s="123"/>
      <c r="ANW893" s="123"/>
      <c r="ANX893" s="123"/>
      <c r="ANY893" s="123"/>
      <c r="ANZ893" s="123"/>
      <c r="AOA893" s="123"/>
      <c r="AOB893" s="123"/>
      <c r="AOC893" s="123"/>
      <c r="AOD893" s="123"/>
      <c r="AOE893" s="123"/>
      <c r="AOF893" s="123"/>
      <c r="AOG893" s="123"/>
      <c r="AOH893" s="123"/>
      <c r="AOI893" s="123"/>
      <c r="AOJ893" s="123"/>
      <c r="AOK893" s="123"/>
      <c r="AOL893" s="123"/>
      <c r="AOM893" s="123"/>
      <c r="AON893" s="123"/>
      <c r="AOO893" s="123"/>
      <c r="AOP893" s="123"/>
      <c r="AOQ893" s="123"/>
      <c r="AOR893" s="123"/>
      <c r="AOS893" s="123"/>
      <c r="AOT893" s="123"/>
      <c r="AOU893" s="123"/>
      <c r="AOV893" s="123"/>
      <c r="AOW893" s="123"/>
      <c r="AOX893" s="123"/>
      <c r="AOY893" s="123"/>
      <c r="AOZ893" s="123"/>
      <c r="APA893" s="123"/>
      <c r="APB893" s="123"/>
      <c r="APC893" s="123"/>
      <c r="APD893" s="123"/>
      <c r="APE893" s="123"/>
      <c r="APF893" s="123"/>
      <c r="APG893" s="123"/>
      <c r="APH893" s="123"/>
      <c r="API893" s="123"/>
      <c r="APJ893" s="123"/>
      <c r="APK893" s="123"/>
      <c r="APL893" s="123"/>
      <c r="APM893" s="123"/>
      <c r="APN893" s="123"/>
      <c r="APO893" s="123"/>
      <c r="APP893" s="123"/>
      <c r="APQ893" s="123"/>
      <c r="APR893" s="123"/>
      <c r="APS893" s="123"/>
      <c r="APT893" s="123"/>
      <c r="APU893" s="123"/>
      <c r="APV893" s="123"/>
      <c r="APW893" s="123"/>
      <c r="APX893" s="123"/>
      <c r="APY893" s="123"/>
      <c r="APZ893" s="123"/>
      <c r="AQA893" s="123"/>
      <c r="AQB893" s="123"/>
      <c r="AQC893" s="123"/>
      <c r="AQD893" s="123"/>
      <c r="AQE893" s="123"/>
      <c r="AQF893" s="123"/>
      <c r="AQG893" s="123"/>
      <c r="AQH893" s="123"/>
      <c r="AQI893" s="123"/>
      <c r="AQJ893" s="123"/>
      <c r="AQK893" s="123"/>
      <c r="AQL893" s="123"/>
      <c r="AQM893" s="123"/>
      <c r="AQN893" s="123"/>
      <c r="AQO893" s="123"/>
      <c r="AQP893" s="123"/>
      <c r="AQQ893" s="123"/>
      <c r="AQR893" s="123"/>
      <c r="AQS893" s="123"/>
      <c r="AQT893" s="123"/>
      <c r="AQU893" s="123"/>
      <c r="AQV893" s="123"/>
      <c r="AQW893" s="123"/>
      <c r="AQX893" s="123"/>
      <c r="AQY893" s="123"/>
      <c r="AQZ893" s="123"/>
      <c r="ARA893" s="123"/>
      <c r="ARB893" s="123"/>
      <c r="ARC893" s="123"/>
      <c r="ARD893" s="123"/>
      <c r="ARE893" s="123"/>
      <c r="ARF893" s="123"/>
      <c r="ARG893" s="123"/>
      <c r="ARH893" s="123"/>
      <c r="ARI893" s="123"/>
      <c r="ARJ893" s="123"/>
      <c r="ARK893" s="123"/>
      <c r="ARL893" s="123"/>
      <c r="ARM893" s="123"/>
      <c r="ARN893" s="123"/>
      <c r="ARO893" s="123"/>
      <c r="ARP893" s="123"/>
      <c r="ARQ893" s="123"/>
      <c r="ARR893" s="123"/>
      <c r="ARS893" s="123"/>
      <c r="ART893" s="123"/>
      <c r="ARU893" s="123"/>
      <c r="ARV893" s="123"/>
      <c r="ARW893" s="123"/>
      <c r="ARX893" s="123"/>
      <c r="ARY893" s="123"/>
      <c r="ARZ893" s="123"/>
      <c r="ASA893" s="123"/>
      <c r="ASB893" s="123"/>
      <c r="ASC893" s="123"/>
      <c r="ASD893" s="123"/>
      <c r="ASE893" s="123"/>
      <c r="ASF893" s="123"/>
      <c r="ASG893" s="123"/>
      <c r="ASH893" s="123"/>
      <c r="ASI893" s="123"/>
      <c r="ASJ893" s="123"/>
      <c r="ASK893" s="123"/>
      <c r="ASL893" s="123"/>
      <c r="ASM893" s="123"/>
      <c r="ASN893" s="123"/>
      <c r="ASO893" s="123"/>
      <c r="ASP893" s="123"/>
      <c r="ASQ893" s="123"/>
      <c r="ASR893" s="123"/>
      <c r="ASS893" s="123"/>
      <c r="AST893" s="123"/>
      <c r="ASU893" s="123"/>
      <c r="ASV893" s="123"/>
      <c r="ASW893" s="123"/>
      <c r="ASX893" s="123"/>
      <c r="ASY893" s="123"/>
      <c r="ASZ893" s="123"/>
      <c r="ATA893" s="123"/>
      <c r="ATB893" s="123"/>
      <c r="ATC893" s="123"/>
      <c r="ATD893" s="123"/>
      <c r="ATE893" s="123"/>
      <c r="ATF893" s="123"/>
      <c r="ATG893" s="123"/>
      <c r="ATH893" s="123"/>
      <c r="ATI893" s="123"/>
      <c r="ATJ893" s="123"/>
      <c r="ATK893" s="123"/>
      <c r="ATL893" s="123"/>
      <c r="ATM893" s="123"/>
      <c r="ATN893" s="123"/>
      <c r="ATO893" s="123"/>
      <c r="ATP893" s="123"/>
      <c r="ATQ893" s="123"/>
      <c r="ATR893" s="123"/>
      <c r="ATS893" s="123"/>
      <c r="ATT893" s="123"/>
      <c r="ATU893" s="123"/>
      <c r="ATV893" s="123"/>
      <c r="ATW893" s="123"/>
      <c r="ATX893" s="123"/>
      <c r="ATY893" s="123"/>
      <c r="ATZ893" s="123"/>
      <c r="AUA893" s="123"/>
      <c r="AUB893" s="123"/>
      <c r="AUC893" s="123"/>
      <c r="AUD893" s="123"/>
      <c r="AUE893" s="123"/>
      <c r="AUF893" s="123"/>
      <c r="AUG893" s="123"/>
      <c r="AUH893" s="123"/>
      <c r="AUI893" s="123"/>
      <c r="AUJ893" s="123"/>
      <c r="AUK893" s="123"/>
      <c r="AUL893" s="123"/>
      <c r="AUM893" s="123"/>
      <c r="AUN893" s="123"/>
      <c r="AUO893" s="123"/>
      <c r="AUP893" s="123"/>
      <c r="AUQ893" s="123"/>
      <c r="AUR893" s="123"/>
      <c r="AUS893" s="123"/>
      <c r="AUT893" s="123"/>
      <c r="AUU893" s="123"/>
      <c r="AUV893" s="123"/>
      <c r="AUW893" s="123"/>
      <c r="AUX893" s="123"/>
      <c r="AUY893" s="123"/>
      <c r="AUZ893" s="123"/>
      <c r="AVA893" s="123"/>
      <c r="AVB893" s="123"/>
      <c r="AVC893" s="123"/>
      <c r="AVD893" s="123"/>
      <c r="AVE893" s="123"/>
      <c r="AVF893" s="123"/>
      <c r="AVG893" s="123"/>
      <c r="AVH893" s="123"/>
      <c r="AVI893" s="123"/>
      <c r="AVJ893" s="123"/>
      <c r="AVK893" s="123"/>
      <c r="AVL893" s="123"/>
      <c r="AVM893" s="123"/>
      <c r="AVN893" s="123"/>
      <c r="AVO893" s="123"/>
      <c r="AVP893" s="123"/>
      <c r="AVQ893" s="123"/>
      <c r="AVR893" s="123"/>
      <c r="AVS893" s="123"/>
      <c r="AVT893" s="123"/>
      <c r="AVU893" s="123"/>
      <c r="AVV893" s="123"/>
      <c r="AVW893" s="123"/>
      <c r="AVX893" s="123"/>
      <c r="AVY893" s="123"/>
      <c r="AVZ893" s="123"/>
      <c r="AWA893" s="123"/>
      <c r="AWB893" s="123"/>
      <c r="AWC893" s="123"/>
      <c r="AWD893" s="123"/>
      <c r="AWE893" s="123"/>
      <c r="AWF893" s="123"/>
      <c r="AWG893" s="123"/>
      <c r="AWH893" s="123"/>
      <c r="AWI893" s="123"/>
      <c r="AWJ893" s="123"/>
      <c r="AWK893" s="123"/>
      <c r="AWL893" s="123"/>
      <c r="AWM893" s="123"/>
      <c r="AWN893" s="123"/>
      <c r="AWO893" s="123"/>
      <c r="AWP893" s="123"/>
      <c r="AWQ893" s="123"/>
      <c r="AWR893" s="123"/>
      <c r="AWS893" s="123"/>
      <c r="AWT893" s="123"/>
      <c r="AWU893" s="123"/>
      <c r="AWV893" s="123"/>
      <c r="AWW893" s="123"/>
      <c r="AWX893" s="123"/>
      <c r="AWY893" s="123"/>
      <c r="AWZ893" s="123"/>
      <c r="AXA893" s="123"/>
      <c r="AXB893" s="123"/>
      <c r="AXC893" s="123"/>
      <c r="AXD893" s="123"/>
      <c r="AXE893" s="123"/>
      <c r="AXF893" s="123"/>
      <c r="AXG893" s="123"/>
      <c r="AXH893" s="123"/>
      <c r="AXI893" s="123"/>
      <c r="AXJ893" s="123"/>
      <c r="AXK893" s="123"/>
      <c r="AXL893" s="123"/>
      <c r="AXM893" s="123"/>
      <c r="AXN893" s="123"/>
      <c r="AXO893" s="123"/>
      <c r="AXP893" s="123"/>
      <c r="AXQ893" s="123"/>
      <c r="AXR893" s="123"/>
      <c r="AXS893" s="123"/>
      <c r="AXT893" s="123"/>
      <c r="AXU893" s="123"/>
      <c r="AXV893" s="123"/>
      <c r="AXW893" s="123"/>
      <c r="AXX893" s="123"/>
      <c r="AXY893" s="123"/>
      <c r="AXZ893" s="123"/>
      <c r="AYA893" s="123"/>
      <c r="AYB893" s="123"/>
      <c r="AYC893" s="123"/>
      <c r="AYD893" s="123"/>
      <c r="AYE893" s="123"/>
      <c r="AYF893" s="123"/>
      <c r="AYG893" s="123"/>
      <c r="AYH893" s="123"/>
      <c r="AYI893" s="123"/>
      <c r="AYJ893" s="123"/>
      <c r="AYK893" s="123"/>
      <c r="AYL893" s="123"/>
      <c r="AYM893" s="123"/>
      <c r="AYN893" s="123"/>
      <c r="AYO893" s="123"/>
      <c r="AYP893" s="123"/>
      <c r="AYQ893" s="123"/>
      <c r="AYR893" s="123"/>
      <c r="AYS893" s="123"/>
      <c r="AYT893" s="123"/>
      <c r="AYU893" s="123"/>
      <c r="AYV893" s="123"/>
      <c r="AYW893" s="123"/>
      <c r="AYX893" s="123"/>
      <c r="AYY893" s="123"/>
      <c r="AYZ893" s="123"/>
      <c r="AZA893" s="123"/>
      <c r="AZB893" s="123"/>
      <c r="AZC893" s="123"/>
      <c r="AZD893" s="123"/>
      <c r="AZE893" s="123"/>
      <c r="AZF893" s="123"/>
      <c r="AZG893" s="123"/>
      <c r="AZH893" s="123"/>
      <c r="AZI893" s="123"/>
      <c r="AZJ893" s="123"/>
      <c r="AZK893" s="123"/>
      <c r="AZL893" s="123"/>
      <c r="AZM893" s="123"/>
      <c r="AZN893" s="123"/>
      <c r="AZO893" s="123"/>
      <c r="AZP893" s="123"/>
      <c r="AZQ893" s="123"/>
      <c r="AZR893" s="123"/>
      <c r="AZS893" s="123"/>
      <c r="AZT893" s="123"/>
      <c r="AZU893" s="123"/>
      <c r="AZV893" s="123"/>
      <c r="AZW893" s="123"/>
      <c r="AZX893" s="123"/>
      <c r="AZY893" s="123"/>
      <c r="AZZ893" s="123"/>
      <c r="BAA893" s="123"/>
      <c r="BAB893" s="123"/>
      <c r="BAC893" s="123"/>
      <c r="BAD893" s="123"/>
      <c r="BAE893" s="123"/>
      <c r="BAF893" s="123"/>
      <c r="BAG893" s="123"/>
      <c r="BAH893" s="123"/>
      <c r="BAI893" s="123"/>
      <c r="BAJ893" s="123"/>
      <c r="BAK893" s="123"/>
      <c r="BAL893" s="123"/>
      <c r="BAM893" s="123"/>
      <c r="BAN893" s="123"/>
      <c r="BAO893" s="123"/>
      <c r="BAP893" s="123"/>
      <c r="BAQ893" s="123"/>
      <c r="BAR893" s="123"/>
      <c r="BAS893" s="123"/>
      <c r="BAT893" s="123"/>
      <c r="BAU893" s="123"/>
      <c r="BAV893" s="123"/>
      <c r="BAW893" s="123"/>
      <c r="BAX893" s="123"/>
      <c r="BAY893" s="123"/>
      <c r="BAZ893" s="123"/>
      <c r="BBA893" s="123"/>
      <c r="BBB893" s="123"/>
      <c r="BBC893" s="123"/>
      <c r="BBD893" s="123"/>
      <c r="BBE893" s="123"/>
      <c r="BBF893" s="123"/>
      <c r="BBG893" s="123"/>
      <c r="BBH893" s="123"/>
      <c r="BBI893" s="123"/>
      <c r="BBJ893" s="123"/>
      <c r="BBK893" s="123"/>
      <c r="BBL893" s="123"/>
      <c r="BBM893" s="123"/>
      <c r="BBN893" s="123"/>
      <c r="BBO893" s="123"/>
      <c r="BBP893" s="123"/>
      <c r="BBQ893" s="123"/>
      <c r="BBR893" s="123"/>
      <c r="BBS893" s="123"/>
      <c r="BBT893" s="123"/>
      <c r="BBU893" s="123"/>
      <c r="BBV893" s="123"/>
      <c r="BBW893" s="123"/>
      <c r="BBX893" s="123"/>
      <c r="BBY893" s="123"/>
      <c r="BBZ893" s="123"/>
      <c r="BCA893" s="123"/>
      <c r="BCB893" s="123"/>
      <c r="BCC893" s="123"/>
      <c r="BCD893" s="123"/>
      <c r="BCE893" s="123"/>
      <c r="BCF893" s="123"/>
      <c r="BCG893" s="123"/>
      <c r="BCH893" s="123"/>
      <c r="BCI893" s="123"/>
      <c r="BCJ893" s="123"/>
      <c r="BCK893" s="123"/>
      <c r="BCL893" s="123"/>
      <c r="BCM893" s="123"/>
      <c r="BCN893" s="123"/>
      <c r="BCO893" s="123"/>
      <c r="BCP893" s="123"/>
      <c r="BCQ893" s="123"/>
      <c r="BCR893" s="123"/>
      <c r="BCS893" s="123"/>
      <c r="BCT893" s="123"/>
      <c r="BCU893" s="123"/>
      <c r="BCV893" s="123"/>
      <c r="BCW893" s="123"/>
      <c r="BCX893" s="123"/>
      <c r="BCY893" s="123"/>
      <c r="BCZ893" s="123"/>
      <c r="BDA893" s="123"/>
      <c r="BDB893" s="123"/>
      <c r="BDC893" s="123"/>
      <c r="BDD893" s="123"/>
      <c r="BDE893" s="123"/>
      <c r="BDF893" s="123"/>
      <c r="BDG893" s="123"/>
      <c r="BDH893" s="123"/>
      <c r="BDI893" s="123"/>
      <c r="BDJ893" s="123"/>
      <c r="BDK893" s="123"/>
      <c r="BDL893" s="123"/>
      <c r="BDM893" s="123"/>
      <c r="BDN893" s="123"/>
      <c r="BDO893" s="123"/>
      <c r="BDP893" s="123"/>
      <c r="BDQ893" s="123"/>
      <c r="BDR893" s="123"/>
      <c r="BDS893" s="123"/>
      <c r="BDT893" s="123"/>
      <c r="BDU893" s="123"/>
      <c r="BDV893" s="123"/>
      <c r="BDW893" s="123"/>
      <c r="BDX893" s="123"/>
      <c r="BDY893" s="123"/>
      <c r="BDZ893" s="123"/>
      <c r="BEA893" s="123"/>
      <c r="BEB893" s="123"/>
      <c r="BEC893" s="123"/>
      <c r="BED893" s="123"/>
      <c r="BEE893" s="123"/>
      <c r="BEF893" s="123"/>
      <c r="BEG893" s="123"/>
      <c r="BEH893" s="123"/>
      <c r="BEI893" s="123"/>
      <c r="BEJ893" s="123"/>
      <c r="BEK893" s="123"/>
      <c r="BEL893" s="123"/>
      <c r="BEM893" s="123"/>
      <c r="BEN893" s="123"/>
      <c r="BEO893" s="123"/>
      <c r="BEP893" s="123"/>
      <c r="BEQ893" s="123"/>
      <c r="BER893" s="123"/>
      <c r="BES893" s="123"/>
      <c r="BET893" s="123"/>
      <c r="BEU893" s="123"/>
      <c r="BEV893" s="123"/>
      <c r="BEW893" s="123"/>
      <c r="BEX893" s="123"/>
      <c r="BEY893" s="123"/>
      <c r="BEZ893" s="123"/>
      <c r="BFA893" s="123"/>
      <c r="BFB893" s="123"/>
      <c r="BFC893" s="123"/>
      <c r="BFD893" s="123"/>
      <c r="BFE893" s="123"/>
      <c r="BFF893" s="123"/>
      <c r="BFG893" s="123"/>
      <c r="BFH893" s="123"/>
      <c r="BFI893" s="123"/>
      <c r="BFJ893" s="123"/>
      <c r="BFK893" s="123"/>
      <c r="BFL893" s="123"/>
      <c r="BFM893" s="123"/>
      <c r="BFN893" s="123"/>
      <c r="BFO893" s="123"/>
      <c r="BFP893" s="123"/>
      <c r="BFQ893" s="123"/>
      <c r="BFR893" s="123"/>
      <c r="BFS893" s="123"/>
      <c r="BFT893" s="123"/>
      <c r="BFU893" s="123"/>
      <c r="BFV893" s="123"/>
      <c r="BFW893" s="123"/>
      <c r="BFX893" s="123"/>
      <c r="BFY893" s="123"/>
      <c r="BFZ893" s="123"/>
      <c r="BGA893" s="123"/>
      <c r="BGB893" s="123"/>
      <c r="BGC893" s="123"/>
      <c r="BGD893" s="123"/>
      <c r="BGE893" s="123"/>
      <c r="BGF893" s="123"/>
      <c r="BGG893" s="123"/>
      <c r="BGH893" s="123"/>
      <c r="BGI893" s="123"/>
      <c r="BGJ893" s="123"/>
      <c r="BGK893" s="123"/>
      <c r="BGL893" s="123"/>
      <c r="BGM893" s="123"/>
      <c r="BGN893" s="123"/>
      <c r="BGO893" s="123"/>
      <c r="BGP893" s="123"/>
      <c r="BGQ893" s="123"/>
      <c r="BGR893" s="123"/>
      <c r="BGS893" s="123"/>
      <c r="BGT893" s="123"/>
      <c r="BGU893" s="123"/>
      <c r="BGV893" s="123"/>
      <c r="BGW893" s="123"/>
      <c r="BGX893" s="123"/>
      <c r="BGY893" s="123"/>
      <c r="BGZ893" s="123"/>
      <c r="BHA893" s="123"/>
      <c r="BHB893" s="123"/>
      <c r="BHC893" s="123"/>
      <c r="BHD893" s="123"/>
      <c r="BHE893" s="123"/>
      <c r="BHF893" s="123"/>
      <c r="BHG893" s="123"/>
      <c r="BHH893" s="123"/>
      <c r="BHI893" s="123"/>
      <c r="BHJ893" s="123"/>
      <c r="BHK893" s="123"/>
      <c r="BHL893" s="123"/>
      <c r="BHM893" s="123"/>
      <c r="BHN893" s="123"/>
      <c r="BHO893" s="123"/>
      <c r="BHP893" s="123"/>
      <c r="BHQ893" s="123"/>
      <c r="BHR893" s="123"/>
      <c r="BHS893" s="123"/>
      <c r="BHT893" s="123"/>
      <c r="BHU893" s="123"/>
      <c r="BHV893" s="123"/>
      <c r="BHW893" s="123"/>
      <c r="BHX893" s="123"/>
      <c r="BHY893" s="123"/>
      <c r="BHZ893" s="123"/>
      <c r="BIA893" s="123"/>
      <c r="BIB893" s="123"/>
      <c r="BIC893" s="123"/>
      <c r="BID893" s="123"/>
      <c r="BIE893" s="123"/>
      <c r="BIF893" s="123"/>
      <c r="BIG893" s="123"/>
      <c r="BIH893" s="123"/>
      <c r="BII893" s="123"/>
      <c r="BIJ893" s="123"/>
      <c r="BIK893" s="123"/>
      <c r="BIL893" s="123"/>
      <c r="BIM893" s="123"/>
      <c r="BIN893" s="123"/>
      <c r="BIO893" s="123"/>
      <c r="BIP893" s="123"/>
      <c r="BIQ893" s="123"/>
      <c r="BIR893" s="123"/>
      <c r="BIS893" s="123"/>
      <c r="BIT893" s="123"/>
      <c r="BIU893" s="123"/>
      <c r="BIV893" s="123"/>
      <c r="BIW893" s="123"/>
      <c r="BIX893" s="123"/>
      <c r="BIY893" s="123"/>
      <c r="BIZ893" s="123"/>
      <c r="BJA893" s="123"/>
      <c r="BJB893" s="123"/>
      <c r="BJC893" s="123"/>
      <c r="BJD893" s="123"/>
      <c r="BJE893" s="123"/>
      <c r="BJF893" s="123"/>
      <c r="BJG893" s="123"/>
      <c r="BJH893" s="123"/>
      <c r="BJI893" s="123"/>
      <c r="BJJ893" s="123"/>
      <c r="BJK893" s="123"/>
      <c r="BJL893" s="123"/>
      <c r="BJM893" s="123"/>
      <c r="BJN893" s="123"/>
      <c r="BJO893" s="123"/>
      <c r="BJP893" s="123"/>
      <c r="BJQ893" s="123"/>
      <c r="BJR893" s="123"/>
      <c r="BJS893" s="123"/>
      <c r="BJT893" s="123"/>
      <c r="BJU893" s="123"/>
      <c r="BJV893" s="123"/>
      <c r="BJW893" s="123"/>
      <c r="BJX893" s="123"/>
      <c r="BJY893" s="123"/>
      <c r="BJZ893" s="123"/>
      <c r="BKA893" s="123"/>
      <c r="BKB893" s="123"/>
      <c r="BKC893" s="123"/>
      <c r="BKD893" s="123"/>
      <c r="BKE893" s="123"/>
      <c r="BKF893" s="123"/>
      <c r="BKG893" s="123"/>
      <c r="BKH893" s="123"/>
      <c r="BKI893" s="123"/>
      <c r="BKJ893" s="123"/>
      <c r="BKK893" s="123"/>
      <c r="BKL893" s="123"/>
      <c r="BKM893" s="123"/>
      <c r="BKN893" s="123"/>
      <c r="BKO893" s="123"/>
      <c r="BKP893" s="123"/>
      <c r="BKQ893" s="123"/>
      <c r="BKR893" s="123"/>
      <c r="BKS893" s="123"/>
      <c r="BKT893" s="123"/>
      <c r="BKU893" s="123"/>
      <c r="BKV893" s="123"/>
      <c r="BKW893" s="123"/>
      <c r="BKX893" s="123"/>
      <c r="BKY893" s="123"/>
      <c r="BKZ893" s="123"/>
      <c r="BLA893" s="123"/>
      <c r="BLB893" s="123"/>
      <c r="BLC893" s="123"/>
      <c r="BLD893" s="123"/>
      <c r="BLE893" s="123"/>
      <c r="BLF893" s="123"/>
      <c r="BLG893" s="123"/>
      <c r="BLH893" s="123"/>
      <c r="BLI893" s="123"/>
      <c r="BLJ893" s="123"/>
      <c r="BLK893" s="123"/>
      <c r="BLL893" s="123"/>
      <c r="BLM893" s="123"/>
      <c r="BLN893" s="123"/>
      <c r="BLO893" s="123"/>
      <c r="BLP893" s="123"/>
      <c r="BLQ893" s="123"/>
      <c r="BLR893" s="123"/>
      <c r="BLS893" s="123"/>
      <c r="BLT893" s="123"/>
      <c r="BLU893" s="123"/>
      <c r="BLV893" s="123"/>
      <c r="BLW893" s="123"/>
      <c r="BLX893" s="123"/>
      <c r="BLY893" s="123"/>
      <c r="BLZ893" s="123"/>
      <c r="BMA893" s="123"/>
      <c r="BMB893" s="123"/>
      <c r="BMC893" s="123"/>
      <c r="BMD893" s="123"/>
      <c r="BME893" s="123"/>
      <c r="BMF893" s="123"/>
      <c r="BMG893" s="123"/>
      <c r="BMH893" s="123"/>
      <c r="BMI893" s="123"/>
      <c r="BMJ893" s="123"/>
      <c r="BMK893" s="123"/>
      <c r="BML893" s="123"/>
      <c r="BMM893" s="123"/>
      <c r="BMN893" s="123"/>
      <c r="BMO893" s="123"/>
      <c r="BMP893" s="123"/>
      <c r="BMQ893" s="123"/>
      <c r="BMR893" s="123"/>
      <c r="BMS893" s="123"/>
      <c r="BMT893" s="123"/>
      <c r="BMU893" s="123"/>
      <c r="BMV893" s="123"/>
      <c r="BMW893" s="123"/>
      <c r="BMX893" s="123"/>
      <c r="BMY893" s="123"/>
      <c r="BMZ893" s="123"/>
      <c r="BNA893" s="123"/>
      <c r="BNB893" s="123"/>
      <c r="BNC893" s="123"/>
      <c r="BND893" s="123"/>
      <c r="BNE893" s="123"/>
      <c r="BNF893" s="123"/>
      <c r="BNG893" s="123"/>
      <c r="BNH893" s="123"/>
      <c r="BNI893" s="123"/>
      <c r="BNJ893" s="123"/>
      <c r="BNK893" s="123"/>
      <c r="BNL893" s="123"/>
      <c r="BNM893" s="123"/>
      <c r="BNN893" s="123"/>
      <c r="BNO893" s="123"/>
      <c r="BNP893" s="123"/>
      <c r="BNQ893" s="123"/>
      <c r="BNR893" s="123"/>
      <c r="BNS893" s="123"/>
      <c r="BNT893" s="123"/>
      <c r="BNU893" s="123"/>
      <c r="BNV893" s="123"/>
      <c r="BNW893" s="123"/>
      <c r="BNX893" s="123"/>
      <c r="BNY893" s="123"/>
      <c r="BNZ893" s="123"/>
      <c r="BOA893" s="123"/>
      <c r="BOB893" s="123"/>
      <c r="BOC893" s="123"/>
      <c r="BOD893" s="123"/>
      <c r="BOE893" s="123"/>
      <c r="BOF893" s="123"/>
      <c r="BOG893" s="123"/>
      <c r="BOH893" s="123"/>
      <c r="BOI893" s="123"/>
      <c r="BOJ893" s="123"/>
      <c r="BOK893" s="123"/>
      <c r="BOL893" s="123"/>
      <c r="BOM893" s="123"/>
      <c r="BON893" s="123"/>
      <c r="BOO893" s="123"/>
      <c r="BOP893" s="123"/>
      <c r="BOQ893" s="123"/>
      <c r="BOR893" s="123"/>
      <c r="BOS893" s="123"/>
      <c r="BOT893" s="123"/>
      <c r="BOU893" s="123"/>
      <c r="BOV893" s="123"/>
      <c r="BOW893" s="123"/>
      <c r="BOX893" s="123"/>
      <c r="BOY893" s="123"/>
      <c r="BOZ893" s="123"/>
      <c r="BPA893" s="123"/>
      <c r="BPB893" s="123"/>
      <c r="BPC893" s="123"/>
      <c r="BPD893" s="123"/>
      <c r="BPE893" s="123"/>
      <c r="BPF893" s="123"/>
      <c r="BPG893" s="123"/>
      <c r="BPH893" s="123"/>
      <c r="BPI893" s="123"/>
      <c r="BPJ893" s="123"/>
      <c r="BPK893" s="123"/>
      <c r="BPL893" s="123"/>
      <c r="BPM893" s="123"/>
      <c r="BPN893" s="123"/>
      <c r="BPO893" s="123"/>
      <c r="BPP893" s="123"/>
      <c r="BPQ893" s="123"/>
      <c r="BPR893" s="123"/>
      <c r="BPS893" s="123"/>
      <c r="BPT893" s="123"/>
      <c r="BPU893" s="123"/>
      <c r="BPV893" s="123"/>
      <c r="BPW893" s="123"/>
      <c r="BPX893" s="123"/>
      <c r="BPY893" s="123"/>
      <c r="BPZ893" s="123"/>
      <c r="BQA893" s="123"/>
      <c r="BQB893" s="123"/>
      <c r="BQC893" s="123"/>
      <c r="BQD893" s="123"/>
      <c r="BQE893" s="123"/>
      <c r="BQF893" s="123"/>
      <c r="BQG893" s="123"/>
      <c r="BQH893" s="123"/>
      <c r="BQI893" s="123"/>
      <c r="BQJ893" s="123"/>
      <c r="BQK893" s="123"/>
      <c r="BQL893" s="123"/>
      <c r="BQM893" s="123"/>
      <c r="BQN893" s="123"/>
      <c r="BQO893" s="123"/>
      <c r="BQP893" s="123"/>
      <c r="BQQ893" s="123"/>
      <c r="BQR893" s="123"/>
      <c r="BQS893" s="123"/>
      <c r="BQT893" s="123"/>
      <c r="BQU893" s="123"/>
      <c r="BQV893" s="123"/>
      <c r="BQW893" s="123"/>
      <c r="BQX893" s="123"/>
      <c r="BQY893" s="123"/>
      <c r="BQZ893" s="123"/>
      <c r="BRA893" s="123"/>
      <c r="BRB893" s="123"/>
      <c r="BRC893" s="123"/>
      <c r="BRD893" s="123"/>
      <c r="BRE893" s="123"/>
      <c r="BRF893" s="123"/>
      <c r="BRG893" s="123"/>
      <c r="BRH893" s="123"/>
      <c r="BRI893" s="123"/>
      <c r="BRJ893" s="123"/>
      <c r="BRK893" s="123"/>
      <c r="BRL893" s="123"/>
      <c r="BRM893" s="123"/>
      <c r="BRN893" s="123"/>
      <c r="BRO893" s="123"/>
      <c r="BRP893" s="123"/>
      <c r="BRQ893" s="123"/>
      <c r="BRR893" s="123"/>
      <c r="BRS893" s="123"/>
      <c r="BRT893" s="123"/>
      <c r="BRU893" s="123"/>
      <c r="BRV893" s="123"/>
      <c r="BRW893" s="123"/>
      <c r="BRX893" s="123"/>
      <c r="BRY893" s="123"/>
      <c r="BRZ893" s="123"/>
      <c r="BSA893" s="123"/>
      <c r="BSB893" s="123"/>
      <c r="BSC893" s="123"/>
      <c r="BSD893" s="123"/>
      <c r="BSE893" s="123"/>
      <c r="BSF893" s="123"/>
      <c r="BSG893" s="123"/>
      <c r="BSH893" s="123"/>
      <c r="BSI893" s="123"/>
      <c r="BSJ893" s="123"/>
      <c r="BSK893" s="123"/>
      <c r="BSL893" s="123"/>
      <c r="BSM893" s="123"/>
      <c r="BSN893" s="123"/>
      <c r="BSO893" s="123"/>
      <c r="BSP893" s="123"/>
      <c r="BSQ893" s="123"/>
      <c r="BSR893" s="123"/>
      <c r="BSS893" s="123"/>
      <c r="BST893" s="123"/>
      <c r="BSU893" s="123"/>
      <c r="BSV893" s="123"/>
      <c r="BSW893" s="123"/>
      <c r="BSX893" s="123"/>
      <c r="BSY893" s="123"/>
      <c r="BSZ893" s="123"/>
      <c r="BTA893" s="123"/>
      <c r="BTB893" s="123"/>
      <c r="BTC893" s="123"/>
      <c r="BTD893" s="123"/>
      <c r="BTE893" s="123"/>
      <c r="BTF893" s="123"/>
      <c r="BTG893" s="123"/>
      <c r="BTH893" s="123"/>
      <c r="BTI893" s="123"/>
      <c r="BTJ893" s="123"/>
      <c r="BTK893" s="123"/>
      <c r="BTL893" s="123"/>
      <c r="BTM893" s="123"/>
      <c r="BTN893" s="123"/>
      <c r="BTO893" s="123"/>
      <c r="BTP893" s="123"/>
      <c r="BTQ893" s="123"/>
      <c r="BTR893" s="123"/>
      <c r="BTS893" s="123"/>
      <c r="BTT893" s="123"/>
      <c r="BTU893" s="123"/>
      <c r="BTV893" s="123"/>
      <c r="BTW893" s="123"/>
      <c r="BTX893" s="123"/>
      <c r="BTY893" s="123"/>
      <c r="BTZ893" s="123"/>
      <c r="BUA893" s="123"/>
      <c r="BUB893" s="123"/>
      <c r="BUC893" s="123"/>
      <c r="BUD893" s="123"/>
      <c r="BUE893" s="123"/>
      <c r="BUF893" s="123"/>
      <c r="BUG893" s="123"/>
      <c r="BUH893" s="123"/>
      <c r="BUI893" s="123"/>
      <c r="BUJ893" s="123"/>
      <c r="BUK893" s="123"/>
      <c r="BUL893" s="123"/>
      <c r="BUM893" s="123"/>
      <c r="BUN893" s="123"/>
      <c r="BUO893" s="123"/>
      <c r="BUP893" s="123"/>
      <c r="BUQ893" s="123"/>
      <c r="BUR893" s="123"/>
      <c r="BUS893" s="123"/>
      <c r="BUT893" s="123"/>
      <c r="BUU893" s="123"/>
      <c r="BUV893" s="123"/>
      <c r="BUW893" s="123"/>
      <c r="BUX893" s="123"/>
      <c r="BUY893" s="123"/>
      <c r="BUZ893" s="123"/>
      <c r="BVA893" s="123"/>
      <c r="BVB893" s="123"/>
      <c r="BVC893" s="123"/>
      <c r="BVD893" s="123"/>
      <c r="BVE893" s="123"/>
      <c r="BVF893" s="123"/>
      <c r="BVG893" s="123"/>
      <c r="BVH893" s="123"/>
      <c r="BVI893" s="123"/>
      <c r="BVJ893" s="123"/>
      <c r="BVK893" s="123"/>
      <c r="BVL893" s="123"/>
      <c r="BVM893" s="123"/>
      <c r="BVN893" s="123"/>
      <c r="BVO893" s="123"/>
      <c r="BVP893" s="123"/>
      <c r="BVQ893" s="123"/>
      <c r="BVR893" s="123"/>
      <c r="BVS893" s="123"/>
      <c r="BVT893" s="123"/>
      <c r="BVU893" s="123"/>
      <c r="BVV893" s="123"/>
      <c r="BVW893" s="123"/>
      <c r="BVX893" s="123"/>
      <c r="BVY893" s="123"/>
      <c r="BVZ893" s="123"/>
      <c r="BWA893" s="123"/>
      <c r="BWB893" s="123"/>
      <c r="BWC893" s="123"/>
      <c r="BWD893" s="123"/>
      <c r="BWE893" s="123"/>
      <c r="BWF893" s="123"/>
      <c r="BWG893" s="123"/>
      <c r="BWH893" s="123"/>
      <c r="BWI893" s="123"/>
      <c r="BWJ893" s="123"/>
      <c r="BWK893" s="123"/>
      <c r="BWL893" s="123"/>
      <c r="BWM893" s="123"/>
      <c r="BWN893" s="123"/>
      <c r="BWO893" s="123"/>
      <c r="BWP893" s="123"/>
      <c r="BWQ893" s="123"/>
      <c r="BWR893" s="123"/>
      <c r="BWS893" s="123"/>
      <c r="BWT893" s="123"/>
      <c r="BWU893" s="123"/>
      <c r="BWV893" s="123"/>
      <c r="BWW893" s="123"/>
      <c r="BWX893" s="123"/>
      <c r="BWY893" s="123"/>
      <c r="BWZ893" s="123"/>
      <c r="BXA893" s="123"/>
      <c r="BXB893" s="123"/>
      <c r="BXC893" s="123"/>
      <c r="BXD893" s="123"/>
      <c r="BXE893" s="123"/>
      <c r="BXF893" s="123"/>
      <c r="BXG893" s="123"/>
      <c r="BXH893" s="123"/>
      <c r="BXI893" s="123"/>
      <c r="BXJ893" s="123"/>
      <c r="BXK893" s="123"/>
      <c r="BXL893" s="123"/>
      <c r="BXM893" s="123"/>
      <c r="BXN893" s="123"/>
      <c r="BXO893" s="123"/>
      <c r="BXP893" s="123"/>
      <c r="BXQ893" s="123"/>
      <c r="BXR893" s="123"/>
      <c r="BXS893" s="123"/>
      <c r="BXT893" s="123"/>
      <c r="BXU893" s="123"/>
      <c r="BXV893" s="123"/>
      <c r="BXW893" s="123"/>
      <c r="BXX893" s="123"/>
      <c r="BXY893" s="123"/>
      <c r="BXZ893" s="123"/>
      <c r="BYA893" s="123"/>
      <c r="BYB893" s="123"/>
      <c r="BYC893" s="123"/>
      <c r="BYD893" s="123"/>
      <c r="BYE893" s="123"/>
      <c r="BYF893" s="123"/>
      <c r="BYG893" s="123"/>
      <c r="BYH893" s="123"/>
      <c r="BYI893" s="123"/>
      <c r="BYJ893" s="123"/>
      <c r="BYK893" s="123"/>
      <c r="BYL893" s="123"/>
      <c r="BYM893" s="123"/>
      <c r="BYN893" s="123"/>
      <c r="BYO893" s="123"/>
      <c r="BYP893" s="123"/>
      <c r="BYQ893" s="123"/>
      <c r="BYR893" s="123"/>
      <c r="BYS893" s="123"/>
      <c r="BYT893" s="123"/>
      <c r="BYU893" s="123"/>
      <c r="BYV893" s="123"/>
      <c r="BYW893" s="123"/>
      <c r="BYX893" s="123"/>
      <c r="BYY893" s="123"/>
      <c r="BYZ893" s="123"/>
      <c r="BZA893" s="123"/>
      <c r="BZB893" s="123"/>
      <c r="BZC893" s="123"/>
      <c r="BZD893" s="123"/>
      <c r="BZE893" s="123"/>
      <c r="BZF893" s="123"/>
      <c r="BZG893" s="123"/>
      <c r="BZH893" s="123"/>
      <c r="BZI893" s="123"/>
      <c r="BZJ893" s="123"/>
      <c r="BZK893" s="123"/>
      <c r="BZL893" s="123"/>
      <c r="BZM893" s="123"/>
      <c r="BZN893" s="123"/>
      <c r="BZO893" s="123"/>
      <c r="BZP893" s="123"/>
      <c r="BZQ893" s="123"/>
      <c r="BZR893" s="123"/>
      <c r="BZS893" s="123"/>
      <c r="BZT893" s="123"/>
      <c r="BZU893" s="123"/>
      <c r="BZV893" s="123"/>
      <c r="BZW893" s="123"/>
      <c r="BZX893" s="123"/>
      <c r="BZY893" s="123"/>
      <c r="BZZ893" s="123"/>
      <c r="CAA893" s="123"/>
      <c r="CAB893" s="123"/>
      <c r="CAC893" s="123"/>
      <c r="CAD893" s="123"/>
      <c r="CAE893" s="123"/>
      <c r="CAF893" s="123"/>
      <c r="CAG893" s="123"/>
      <c r="CAH893" s="123"/>
      <c r="CAI893" s="123"/>
      <c r="CAJ893" s="123"/>
      <c r="CAK893" s="123"/>
      <c r="CAL893" s="123"/>
      <c r="CAM893" s="123"/>
      <c r="CAN893" s="123"/>
      <c r="CAO893" s="123"/>
      <c r="CAP893" s="123"/>
      <c r="CAQ893" s="123"/>
      <c r="CAR893" s="123"/>
      <c r="CAS893" s="123"/>
      <c r="CAT893" s="123"/>
      <c r="CAU893" s="123"/>
      <c r="CAV893" s="123"/>
      <c r="CAW893" s="123"/>
      <c r="CAX893" s="123"/>
      <c r="CAY893" s="123"/>
      <c r="CAZ893" s="123"/>
      <c r="CBA893" s="123"/>
      <c r="CBB893" s="123"/>
      <c r="CBC893" s="123"/>
      <c r="CBD893" s="123"/>
      <c r="CBE893" s="123"/>
      <c r="CBF893" s="123"/>
      <c r="CBG893" s="123"/>
      <c r="CBH893" s="123"/>
      <c r="CBI893" s="123"/>
      <c r="CBJ893" s="123"/>
      <c r="CBK893" s="123"/>
      <c r="CBL893" s="123"/>
      <c r="CBM893" s="123"/>
      <c r="CBN893" s="123"/>
      <c r="CBO893" s="123"/>
      <c r="CBP893" s="123"/>
      <c r="CBQ893" s="123"/>
      <c r="CBR893" s="123"/>
      <c r="CBS893" s="123"/>
      <c r="CBT893" s="123"/>
      <c r="CBU893" s="123"/>
      <c r="CBV893" s="123"/>
      <c r="CBW893" s="123"/>
      <c r="CBX893" s="123"/>
      <c r="CBY893" s="123"/>
      <c r="CBZ893" s="123"/>
      <c r="CCA893" s="123"/>
      <c r="CCB893" s="123"/>
      <c r="CCC893" s="123"/>
      <c r="CCD893" s="123"/>
      <c r="CCE893" s="123"/>
      <c r="CCF893" s="123"/>
      <c r="CCG893" s="123"/>
      <c r="CCH893" s="123"/>
      <c r="CCI893" s="123"/>
      <c r="CCJ893" s="123"/>
      <c r="CCK893" s="123"/>
      <c r="CCL893" s="123"/>
      <c r="CCM893" s="123"/>
      <c r="CCN893" s="123"/>
      <c r="CCO893" s="123"/>
      <c r="CCP893" s="123"/>
      <c r="CCQ893" s="123"/>
      <c r="CCR893" s="123"/>
      <c r="CCS893" s="123"/>
      <c r="CCT893" s="123"/>
      <c r="CCU893" s="123"/>
      <c r="CCV893" s="123"/>
      <c r="CCW893" s="123"/>
      <c r="CCX893" s="123"/>
      <c r="CCY893" s="123"/>
      <c r="CCZ893" s="123"/>
      <c r="CDA893" s="123"/>
      <c r="CDB893" s="123"/>
      <c r="CDC893" s="123"/>
      <c r="CDD893" s="123"/>
      <c r="CDE893" s="123"/>
      <c r="CDF893" s="123"/>
      <c r="CDG893" s="123"/>
      <c r="CDH893" s="123"/>
      <c r="CDI893" s="123"/>
      <c r="CDJ893" s="123"/>
      <c r="CDK893" s="123"/>
      <c r="CDL893" s="123"/>
      <c r="CDM893" s="123"/>
      <c r="CDN893" s="123"/>
      <c r="CDO893" s="123"/>
      <c r="CDP893" s="123"/>
      <c r="CDQ893" s="123"/>
      <c r="CDR893" s="123"/>
      <c r="CDS893" s="123"/>
      <c r="CDT893" s="123"/>
      <c r="CDU893" s="123"/>
      <c r="CDV893" s="123"/>
      <c r="CDW893" s="123"/>
      <c r="CDX893" s="123"/>
      <c r="CDY893" s="123"/>
      <c r="CDZ893" s="123"/>
      <c r="CEA893" s="123"/>
      <c r="CEB893" s="123"/>
      <c r="CEC893" s="123"/>
      <c r="CED893" s="123"/>
      <c r="CEE893" s="123"/>
      <c r="CEF893" s="123"/>
      <c r="CEG893" s="123"/>
      <c r="CEH893" s="123"/>
      <c r="CEI893" s="123"/>
      <c r="CEJ893" s="123"/>
      <c r="CEK893" s="123"/>
      <c r="CEL893" s="123"/>
      <c r="CEM893" s="123"/>
      <c r="CEN893" s="123"/>
      <c r="CEO893" s="123"/>
      <c r="CEP893" s="123"/>
      <c r="CEQ893" s="123"/>
      <c r="CER893" s="123"/>
      <c r="CES893" s="123"/>
      <c r="CET893" s="123"/>
      <c r="CEU893" s="123"/>
      <c r="CEV893" s="123"/>
      <c r="CEW893" s="123"/>
      <c r="CEX893" s="123"/>
      <c r="CEY893" s="123"/>
      <c r="CEZ893" s="123"/>
      <c r="CFA893" s="123"/>
      <c r="CFB893" s="123"/>
      <c r="CFC893" s="123"/>
      <c r="CFD893" s="123"/>
      <c r="CFE893" s="123"/>
      <c r="CFF893" s="123"/>
      <c r="CFG893" s="123"/>
      <c r="CFH893" s="123"/>
      <c r="CFI893" s="123"/>
      <c r="CFJ893" s="123"/>
      <c r="CFK893" s="123"/>
      <c r="CFL893" s="123"/>
      <c r="CFM893" s="123"/>
      <c r="CFN893" s="123"/>
      <c r="CFO893" s="123"/>
      <c r="CFP893" s="123"/>
      <c r="CFQ893" s="123"/>
      <c r="CFR893" s="123"/>
      <c r="CFS893" s="123"/>
      <c r="CFT893" s="123"/>
      <c r="CFU893" s="123"/>
      <c r="CFV893" s="123"/>
      <c r="CFW893" s="123"/>
      <c r="CFX893" s="123"/>
      <c r="CFY893" s="123"/>
      <c r="CFZ893" s="123"/>
      <c r="CGA893" s="123"/>
      <c r="CGB893" s="123"/>
      <c r="CGC893" s="123"/>
      <c r="CGD893" s="123"/>
      <c r="CGE893" s="123"/>
      <c r="CGF893" s="123"/>
      <c r="CGG893" s="123"/>
      <c r="CGH893" s="123"/>
      <c r="CGI893" s="123"/>
      <c r="CGJ893" s="123"/>
      <c r="CGK893" s="123"/>
      <c r="CGL893" s="123"/>
      <c r="CGM893" s="123"/>
      <c r="CGN893" s="123"/>
      <c r="CGO893" s="123"/>
      <c r="CGP893" s="123"/>
      <c r="CGQ893" s="123"/>
      <c r="CGR893" s="123"/>
      <c r="CGS893" s="123"/>
      <c r="CGT893" s="123"/>
      <c r="CGU893" s="123"/>
      <c r="CGV893" s="123"/>
      <c r="CGW893" s="123"/>
      <c r="CGX893" s="123"/>
      <c r="CGY893" s="123"/>
      <c r="CGZ893" s="123"/>
      <c r="CHA893" s="123"/>
      <c r="CHB893" s="123"/>
      <c r="CHC893" s="123"/>
      <c r="CHD893" s="123"/>
      <c r="CHE893" s="123"/>
      <c r="CHF893" s="123"/>
      <c r="CHG893" s="123"/>
      <c r="CHH893" s="123"/>
      <c r="CHI893" s="123"/>
      <c r="CHJ893" s="123"/>
      <c r="CHK893" s="123"/>
      <c r="CHL893" s="123"/>
      <c r="CHM893" s="123"/>
      <c r="CHN893" s="123"/>
      <c r="CHO893" s="123"/>
      <c r="CHP893" s="123"/>
      <c r="CHQ893" s="123"/>
      <c r="CHR893" s="123"/>
      <c r="CHS893" s="123"/>
      <c r="CHT893" s="123"/>
      <c r="CHU893" s="123"/>
      <c r="CHV893" s="123"/>
      <c r="CHW893" s="123"/>
      <c r="CHX893" s="123"/>
      <c r="CHY893" s="123"/>
      <c r="CHZ893" s="123"/>
      <c r="CIA893" s="123"/>
      <c r="CIB893" s="123"/>
      <c r="CIC893" s="123"/>
      <c r="CID893" s="123"/>
      <c r="CIE893" s="123"/>
      <c r="CIF893" s="123"/>
      <c r="CIG893" s="123"/>
      <c r="CIH893" s="123"/>
      <c r="CII893" s="123"/>
      <c r="CIJ893" s="123"/>
      <c r="CIK893" s="123"/>
      <c r="CIL893" s="123"/>
      <c r="CIM893" s="123"/>
      <c r="CIN893" s="123"/>
      <c r="CIO893" s="123"/>
      <c r="CIP893" s="123"/>
      <c r="CIQ893" s="123"/>
      <c r="CIR893" s="123"/>
      <c r="CIS893" s="123"/>
      <c r="CIT893" s="123"/>
      <c r="CIU893" s="123"/>
      <c r="CIV893" s="123"/>
      <c r="CIW893" s="123"/>
      <c r="CIX893" s="123"/>
      <c r="CIY893" s="123"/>
      <c r="CIZ893" s="123"/>
      <c r="CJA893" s="123"/>
      <c r="CJB893" s="123"/>
      <c r="CJC893" s="123"/>
      <c r="CJD893" s="123"/>
      <c r="CJE893" s="123"/>
      <c r="CJF893" s="123"/>
      <c r="CJG893" s="123"/>
      <c r="CJH893" s="123"/>
      <c r="CJI893" s="123"/>
      <c r="CJJ893" s="123"/>
      <c r="CJK893" s="123"/>
      <c r="CJL893" s="123"/>
      <c r="CJM893" s="123"/>
      <c r="CJN893" s="123"/>
      <c r="CJO893" s="123"/>
      <c r="CJP893" s="123"/>
      <c r="CJQ893" s="123"/>
      <c r="CJR893" s="123"/>
      <c r="CJS893" s="123"/>
      <c r="CJT893" s="123"/>
      <c r="CJU893" s="123"/>
      <c r="CJV893" s="123"/>
      <c r="CJW893" s="123"/>
      <c r="CJX893" s="123"/>
      <c r="CJY893" s="123"/>
      <c r="CJZ893" s="123"/>
      <c r="CKA893" s="123"/>
      <c r="CKB893" s="123"/>
      <c r="CKC893" s="123"/>
      <c r="CKD893" s="123"/>
      <c r="CKE893" s="123"/>
      <c r="CKF893" s="123"/>
      <c r="CKG893" s="123"/>
      <c r="CKH893" s="123"/>
      <c r="CKI893" s="123"/>
      <c r="CKJ893" s="123"/>
      <c r="CKK893" s="123"/>
      <c r="CKL893" s="123"/>
      <c r="CKM893" s="123"/>
      <c r="CKN893" s="123"/>
      <c r="CKO893" s="123"/>
      <c r="CKP893" s="123"/>
      <c r="CKQ893" s="123"/>
      <c r="CKR893" s="123"/>
      <c r="CKS893" s="123"/>
      <c r="CKT893" s="123"/>
      <c r="CKU893" s="123"/>
      <c r="CKV893" s="123"/>
      <c r="CKW893" s="123"/>
      <c r="CKX893" s="123"/>
      <c r="CKY893" s="123"/>
      <c r="CKZ893" s="123"/>
      <c r="CLA893" s="123"/>
      <c r="CLB893" s="123"/>
      <c r="CLC893" s="123"/>
      <c r="CLD893" s="123"/>
      <c r="CLE893" s="123"/>
      <c r="CLF893" s="123"/>
      <c r="CLG893" s="123"/>
      <c r="CLH893" s="123"/>
      <c r="CLI893" s="123"/>
      <c r="CLJ893" s="123"/>
      <c r="CLK893" s="123"/>
      <c r="CLL893" s="123"/>
      <c r="CLM893" s="123"/>
      <c r="CLN893" s="123"/>
      <c r="CLO893" s="123"/>
      <c r="CLP893" s="123"/>
      <c r="CLQ893" s="123"/>
      <c r="CLR893" s="123"/>
      <c r="CLS893" s="123"/>
      <c r="CLT893" s="123"/>
      <c r="CLU893" s="123"/>
      <c r="CLV893" s="123"/>
      <c r="CLW893" s="123"/>
      <c r="CLX893" s="123"/>
      <c r="CLY893" s="123"/>
      <c r="CLZ893" s="123"/>
      <c r="CMA893" s="123"/>
      <c r="CMB893" s="123"/>
      <c r="CMC893" s="123"/>
      <c r="CMD893" s="123"/>
      <c r="CME893" s="123"/>
      <c r="CMF893" s="123"/>
      <c r="CMG893" s="123"/>
      <c r="CMH893" s="123"/>
      <c r="CMI893" s="123"/>
      <c r="CMJ893" s="123"/>
      <c r="CMK893" s="123"/>
      <c r="CML893" s="123"/>
      <c r="CMM893" s="123"/>
      <c r="CMN893" s="123"/>
      <c r="CMO893" s="123"/>
      <c r="CMP893" s="123"/>
      <c r="CMQ893" s="123"/>
      <c r="CMR893" s="123"/>
      <c r="CMS893" s="123"/>
      <c r="CMT893" s="123"/>
      <c r="CMU893" s="123"/>
      <c r="CMV893" s="123"/>
      <c r="CMW893" s="123"/>
      <c r="CMX893" s="123"/>
      <c r="CMY893" s="123"/>
      <c r="CMZ893" s="123"/>
      <c r="CNA893" s="123"/>
      <c r="CNB893" s="123"/>
      <c r="CNC893" s="123"/>
      <c r="CND893" s="123"/>
      <c r="CNE893" s="123"/>
      <c r="CNF893" s="123"/>
      <c r="CNG893" s="123"/>
      <c r="CNH893" s="123"/>
      <c r="CNI893" s="123"/>
      <c r="CNJ893" s="123"/>
      <c r="CNK893" s="123"/>
      <c r="CNL893" s="123"/>
      <c r="CNM893" s="123"/>
      <c r="CNN893" s="123"/>
      <c r="CNO893" s="123"/>
      <c r="CNP893" s="123"/>
      <c r="CNQ893" s="123"/>
      <c r="CNR893" s="123"/>
      <c r="CNS893" s="123"/>
      <c r="CNT893" s="123"/>
      <c r="CNU893" s="123"/>
      <c r="CNV893" s="123"/>
      <c r="CNW893" s="123"/>
      <c r="CNX893" s="123"/>
      <c r="CNY893" s="123"/>
      <c r="CNZ893" s="123"/>
      <c r="COA893" s="123"/>
      <c r="COB893" s="123"/>
      <c r="COC893" s="123"/>
      <c r="COD893" s="123"/>
      <c r="COE893" s="123"/>
      <c r="COF893" s="123"/>
      <c r="COG893" s="123"/>
      <c r="COH893" s="123"/>
      <c r="COI893" s="123"/>
      <c r="COJ893" s="123"/>
      <c r="COK893" s="123"/>
      <c r="COL893" s="123"/>
      <c r="COM893" s="123"/>
      <c r="CON893" s="123"/>
      <c r="COO893" s="123"/>
      <c r="COP893" s="123"/>
      <c r="COQ893" s="123"/>
      <c r="COR893" s="123"/>
      <c r="COS893" s="123"/>
      <c r="COT893" s="123"/>
      <c r="COU893" s="123"/>
      <c r="COV893" s="123"/>
      <c r="COW893" s="123"/>
      <c r="COX893" s="123"/>
      <c r="COY893" s="123"/>
      <c r="COZ893" s="123"/>
      <c r="CPA893" s="123"/>
      <c r="CPB893" s="123"/>
      <c r="CPC893" s="123"/>
      <c r="CPD893" s="123"/>
      <c r="CPE893" s="123"/>
      <c r="CPF893" s="123"/>
      <c r="CPG893" s="123"/>
      <c r="CPH893" s="123"/>
      <c r="CPI893" s="123"/>
      <c r="CPJ893" s="123"/>
      <c r="CPK893" s="123"/>
      <c r="CPL893" s="123"/>
      <c r="CPM893" s="123"/>
      <c r="CPN893" s="123"/>
      <c r="CPO893" s="123"/>
      <c r="CPP893" s="123"/>
      <c r="CPQ893" s="123"/>
      <c r="CPR893" s="123"/>
      <c r="CPS893" s="123"/>
      <c r="CPT893" s="123"/>
      <c r="CPU893" s="123"/>
      <c r="CPV893" s="123"/>
      <c r="CPW893" s="123"/>
      <c r="CPX893" s="123"/>
      <c r="CPY893" s="123"/>
      <c r="CPZ893" s="123"/>
      <c r="CQA893" s="123"/>
      <c r="CQB893" s="123"/>
      <c r="CQC893" s="123"/>
      <c r="CQD893" s="123"/>
      <c r="CQE893" s="123"/>
      <c r="CQF893" s="123"/>
      <c r="CQG893" s="123"/>
      <c r="CQH893" s="123"/>
      <c r="CQI893" s="123"/>
      <c r="CQJ893" s="123"/>
      <c r="CQK893" s="123"/>
      <c r="CQL893" s="123"/>
      <c r="CQM893" s="123"/>
      <c r="CQN893" s="123"/>
      <c r="CQO893" s="123"/>
      <c r="CQP893" s="123"/>
      <c r="CQQ893" s="123"/>
      <c r="CQR893" s="123"/>
      <c r="CQS893" s="123"/>
      <c r="CQT893" s="123"/>
      <c r="CQU893" s="123"/>
      <c r="CQV893" s="123"/>
      <c r="CQW893" s="123"/>
      <c r="CQX893" s="123"/>
      <c r="CQY893" s="123"/>
      <c r="CQZ893" s="123"/>
      <c r="CRA893" s="123"/>
      <c r="CRB893" s="123"/>
      <c r="CRC893" s="123"/>
      <c r="CRD893" s="123"/>
      <c r="CRE893" s="123"/>
      <c r="CRF893" s="123"/>
      <c r="CRG893" s="123"/>
      <c r="CRH893" s="123"/>
      <c r="CRI893" s="123"/>
      <c r="CRJ893" s="123"/>
      <c r="CRK893" s="123"/>
      <c r="CRL893" s="123"/>
      <c r="CRM893" s="123"/>
      <c r="CRN893" s="123"/>
      <c r="CRO893" s="123"/>
      <c r="CRP893" s="123"/>
      <c r="CRQ893" s="123"/>
      <c r="CRR893" s="123"/>
      <c r="CRS893" s="123"/>
      <c r="CRT893" s="123"/>
      <c r="CRU893" s="123"/>
      <c r="CRV893" s="123"/>
      <c r="CRW893" s="123"/>
      <c r="CRX893" s="123"/>
      <c r="CRY893" s="123"/>
      <c r="CRZ893" s="123"/>
      <c r="CSA893" s="123"/>
      <c r="CSB893" s="123"/>
      <c r="CSC893" s="123"/>
      <c r="CSD893" s="123"/>
      <c r="CSE893" s="123"/>
      <c r="CSF893" s="123"/>
      <c r="CSG893" s="123"/>
      <c r="CSH893" s="123"/>
      <c r="CSI893" s="123"/>
      <c r="CSJ893" s="123"/>
      <c r="CSK893" s="123"/>
      <c r="CSL893" s="123"/>
      <c r="CSM893" s="123"/>
      <c r="CSN893" s="123"/>
      <c r="CSO893" s="123"/>
      <c r="CSP893" s="123"/>
      <c r="CSQ893" s="123"/>
      <c r="CSR893" s="123"/>
      <c r="CSS893" s="123"/>
      <c r="CST893" s="123"/>
      <c r="CSU893" s="123"/>
      <c r="CSV893" s="123"/>
      <c r="CSW893" s="123"/>
      <c r="CSX893" s="123"/>
      <c r="CSY893" s="123"/>
      <c r="CSZ893" s="123"/>
      <c r="CTA893" s="123"/>
      <c r="CTB893" s="123"/>
      <c r="CTC893" s="123"/>
      <c r="CTD893" s="123"/>
      <c r="CTE893" s="123"/>
      <c r="CTF893" s="123"/>
      <c r="CTG893" s="123"/>
      <c r="CTH893" s="123"/>
      <c r="CTI893" s="123"/>
      <c r="CTJ893" s="123"/>
      <c r="CTK893" s="123"/>
      <c r="CTL893" s="123"/>
      <c r="CTM893" s="123"/>
      <c r="CTN893" s="123"/>
      <c r="CTO893" s="123"/>
      <c r="CTP893" s="123"/>
      <c r="CTQ893" s="123"/>
      <c r="CTR893" s="123"/>
      <c r="CTS893" s="123"/>
      <c r="CTT893" s="123"/>
      <c r="CTU893" s="123"/>
      <c r="CTV893" s="123"/>
      <c r="CTW893" s="123"/>
      <c r="CTX893" s="123"/>
      <c r="CTY893" s="123"/>
      <c r="CTZ893" s="123"/>
      <c r="CUA893" s="123"/>
      <c r="CUB893" s="123"/>
      <c r="CUC893" s="123"/>
      <c r="CUD893" s="123"/>
      <c r="CUE893" s="123"/>
      <c r="CUF893" s="123"/>
      <c r="CUG893" s="123"/>
      <c r="CUH893" s="123"/>
      <c r="CUI893" s="123"/>
      <c r="CUJ893" s="123"/>
      <c r="CUK893" s="123"/>
      <c r="CUL893" s="123"/>
      <c r="CUM893" s="123"/>
      <c r="CUN893" s="123"/>
      <c r="CUO893" s="123"/>
      <c r="CUP893" s="123"/>
      <c r="CUQ893" s="123"/>
      <c r="CUR893" s="123"/>
      <c r="CUS893" s="123"/>
      <c r="CUT893" s="123"/>
      <c r="CUU893" s="123"/>
      <c r="CUV893" s="123"/>
      <c r="CUW893" s="123"/>
      <c r="CUX893" s="123"/>
      <c r="CUY893" s="123"/>
      <c r="CUZ893" s="123"/>
      <c r="CVA893" s="123"/>
      <c r="CVB893" s="123"/>
      <c r="CVC893" s="123"/>
      <c r="CVD893" s="123"/>
      <c r="CVE893" s="123"/>
      <c r="CVF893" s="123"/>
      <c r="CVG893" s="123"/>
      <c r="CVH893" s="123"/>
      <c r="CVI893" s="123"/>
      <c r="CVJ893" s="123"/>
      <c r="CVK893" s="123"/>
      <c r="CVL893" s="123"/>
      <c r="CVM893" s="123"/>
      <c r="CVN893" s="123"/>
      <c r="CVO893" s="123"/>
      <c r="CVP893" s="123"/>
      <c r="CVQ893" s="123"/>
      <c r="CVR893" s="123"/>
      <c r="CVS893" s="123"/>
      <c r="CVT893" s="123"/>
      <c r="CVU893" s="123"/>
      <c r="CVV893" s="123"/>
      <c r="CVW893" s="123"/>
      <c r="CVX893" s="123"/>
      <c r="CVY893" s="123"/>
      <c r="CVZ893" s="123"/>
      <c r="CWA893" s="123"/>
      <c r="CWB893" s="123"/>
      <c r="CWC893" s="123"/>
      <c r="CWD893" s="123"/>
      <c r="CWE893" s="123"/>
      <c r="CWF893" s="123"/>
      <c r="CWG893" s="123"/>
      <c r="CWH893" s="123"/>
      <c r="CWI893" s="123"/>
      <c r="CWJ893" s="123"/>
      <c r="CWK893" s="123"/>
      <c r="CWL893" s="123"/>
      <c r="CWM893" s="123"/>
      <c r="CWN893" s="123"/>
      <c r="CWO893" s="123"/>
      <c r="CWP893" s="123"/>
      <c r="CWQ893" s="123"/>
      <c r="CWR893" s="123"/>
      <c r="CWS893" s="123"/>
      <c r="CWT893" s="123"/>
      <c r="CWU893" s="123"/>
      <c r="CWV893" s="123"/>
      <c r="CWW893" s="123"/>
      <c r="CWX893" s="123"/>
      <c r="CWY893" s="123"/>
      <c r="CWZ893" s="123"/>
      <c r="CXA893" s="123"/>
      <c r="CXB893" s="123"/>
      <c r="CXC893" s="123"/>
      <c r="CXD893" s="123"/>
      <c r="CXE893" s="123"/>
      <c r="CXF893" s="123"/>
      <c r="CXG893" s="123"/>
      <c r="CXH893" s="123"/>
      <c r="CXI893" s="123"/>
      <c r="CXJ893" s="123"/>
      <c r="CXK893" s="123"/>
      <c r="CXL893" s="123"/>
      <c r="CXM893" s="123"/>
      <c r="CXN893" s="123"/>
      <c r="CXO893" s="123"/>
      <c r="CXP893" s="123"/>
      <c r="CXQ893" s="123"/>
      <c r="CXR893" s="123"/>
      <c r="CXS893" s="123"/>
      <c r="CXT893" s="123"/>
      <c r="CXU893" s="123"/>
      <c r="CXV893" s="123"/>
      <c r="CXW893" s="123"/>
      <c r="CXX893" s="123"/>
      <c r="CXY893" s="123"/>
      <c r="CXZ893" s="123"/>
      <c r="CYA893" s="123"/>
      <c r="CYB893" s="123"/>
      <c r="CYC893" s="123"/>
      <c r="CYD893" s="123"/>
      <c r="CYE893" s="123"/>
      <c r="CYF893" s="123"/>
      <c r="CYG893" s="123"/>
      <c r="CYH893" s="123"/>
      <c r="CYI893" s="123"/>
      <c r="CYJ893" s="123"/>
      <c r="CYK893" s="123"/>
      <c r="CYL893" s="123"/>
      <c r="CYM893" s="123"/>
      <c r="CYN893" s="123"/>
      <c r="CYO893" s="123"/>
      <c r="CYP893" s="123"/>
      <c r="CYQ893" s="123"/>
      <c r="CYR893" s="123"/>
      <c r="CYS893" s="123"/>
      <c r="CYT893" s="123"/>
      <c r="CYU893" s="123"/>
      <c r="CYV893" s="123"/>
      <c r="CYW893" s="123"/>
      <c r="CYX893" s="123"/>
      <c r="CYY893" s="123"/>
      <c r="CYZ893" s="123"/>
      <c r="CZA893" s="123"/>
      <c r="CZB893" s="123"/>
      <c r="CZC893" s="123"/>
      <c r="CZD893" s="123"/>
      <c r="CZE893" s="123"/>
      <c r="CZF893" s="123"/>
      <c r="CZG893" s="123"/>
      <c r="CZH893" s="123"/>
      <c r="CZI893" s="123"/>
      <c r="CZJ893" s="123"/>
      <c r="CZK893" s="123"/>
      <c r="CZL893" s="123"/>
      <c r="CZM893" s="123"/>
      <c r="CZN893" s="123"/>
      <c r="CZO893" s="123"/>
      <c r="CZP893" s="123"/>
      <c r="CZQ893" s="123"/>
      <c r="CZR893" s="123"/>
      <c r="CZS893" s="123"/>
      <c r="CZT893" s="123"/>
      <c r="CZU893" s="123"/>
      <c r="CZV893" s="123"/>
      <c r="CZW893" s="123"/>
      <c r="CZX893" s="123"/>
      <c r="CZY893" s="123"/>
      <c r="CZZ893" s="123"/>
      <c r="DAA893" s="123"/>
      <c r="DAB893" s="123"/>
      <c r="DAC893" s="123"/>
      <c r="DAD893" s="123"/>
      <c r="DAE893" s="123"/>
      <c r="DAF893" s="123"/>
      <c r="DAG893" s="123"/>
      <c r="DAH893" s="123"/>
      <c r="DAI893" s="123"/>
      <c r="DAJ893" s="123"/>
      <c r="DAK893" s="123"/>
      <c r="DAL893" s="123"/>
      <c r="DAM893" s="123"/>
      <c r="DAN893" s="123"/>
      <c r="DAO893" s="123"/>
      <c r="DAP893" s="123"/>
      <c r="DAQ893" s="123"/>
      <c r="DAR893" s="123"/>
      <c r="DAS893" s="123"/>
      <c r="DAT893" s="123"/>
      <c r="DAU893" s="123"/>
      <c r="DAV893" s="123"/>
      <c r="DAW893" s="123"/>
      <c r="DAX893" s="123"/>
      <c r="DAY893" s="123"/>
      <c r="DAZ893" s="123"/>
      <c r="DBA893" s="123"/>
      <c r="DBB893" s="123"/>
      <c r="DBC893" s="123"/>
      <c r="DBD893" s="123"/>
      <c r="DBE893" s="123"/>
      <c r="DBF893" s="123"/>
      <c r="DBG893" s="123"/>
      <c r="DBH893" s="123"/>
      <c r="DBI893" s="123"/>
      <c r="DBJ893" s="123"/>
      <c r="DBK893" s="123"/>
      <c r="DBL893" s="123"/>
      <c r="DBM893" s="123"/>
      <c r="DBN893" s="123"/>
      <c r="DBO893" s="123"/>
      <c r="DBP893" s="123"/>
      <c r="DBQ893" s="123"/>
      <c r="DBR893" s="123"/>
      <c r="DBS893" s="123"/>
      <c r="DBT893" s="123"/>
      <c r="DBU893" s="123"/>
      <c r="DBV893" s="123"/>
      <c r="DBW893" s="123"/>
      <c r="DBX893" s="123"/>
      <c r="DBY893" s="123"/>
      <c r="DBZ893" s="123"/>
      <c r="DCA893" s="123"/>
      <c r="DCB893" s="123"/>
      <c r="DCC893" s="123"/>
      <c r="DCD893" s="123"/>
      <c r="DCE893" s="123"/>
      <c r="DCF893" s="123"/>
      <c r="DCG893" s="123"/>
      <c r="DCH893" s="123"/>
      <c r="DCI893" s="123"/>
      <c r="DCJ893" s="123"/>
      <c r="DCK893" s="123"/>
      <c r="DCL893" s="123"/>
      <c r="DCM893" s="123"/>
      <c r="DCN893" s="123"/>
      <c r="DCO893" s="123"/>
      <c r="DCP893" s="123"/>
      <c r="DCQ893" s="123"/>
      <c r="DCR893" s="123"/>
      <c r="DCS893" s="123"/>
      <c r="DCT893" s="123"/>
      <c r="DCU893" s="123"/>
      <c r="DCV893" s="123"/>
      <c r="DCW893" s="123"/>
      <c r="DCX893" s="123"/>
      <c r="DCY893" s="123"/>
      <c r="DCZ893" s="123"/>
      <c r="DDA893" s="123"/>
      <c r="DDB893" s="123"/>
      <c r="DDC893" s="123"/>
      <c r="DDD893" s="123"/>
      <c r="DDE893" s="123"/>
      <c r="DDF893" s="123"/>
      <c r="DDG893" s="123"/>
      <c r="DDH893" s="123"/>
      <c r="DDI893" s="123"/>
      <c r="DDJ893" s="123"/>
      <c r="DDK893" s="123"/>
      <c r="DDL893" s="123"/>
      <c r="DDM893" s="123"/>
      <c r="DDN893" s="123"/>
      <c r="DDO893" s="123"/>
      <c r="DDP893" s="123"/>
      <c r="DDQ893" s="123"/>
      <c r="DDR893" s="123"/>
      <c r="DDS893" s="123"/>
      <c r="DDT893" s="123"/>
      <c r="DDU893" s="123"/>
      <c r="DDV893" s="123"/>
      <c r="DDW893" s="123"/>
      <c r="DDX893" s="123"/>
      <c r="DDY893" s="123"/>
      <c r="DDZ893" s="123"/>
      <c r="DEA893" s="123"/>
      <c r="DEB893" s="123"/>
      <c r="DEC893" s="123"/>
      <c r="DED893" s="123"/>
      <c r="DEE893" s="123"/>
      <c r="DEF893" s="123"/>
      <c r="DEG893" s="123"/>
      <c r="DEH893" s="123"/>
      <c r="DEI893" s="123"/>
      <c r="DEJ893" s="123"/>
      <c r="DEK893" s="123"/>
      <c r="DEL893" s="123"/>
      <c r="DEM893" s="123"/>
      <c r="DEN893" s="123"/>
      <c r="DEO893" s="123"/>
      <c r="DEP893" s="123"/>
      <c r="DEQ893" s="123"/>
      <c r="DER893" s="123"/>
      <c r="DES893" s="123"/>
      <c r="DET893" s="123"/>
      <c r="DEU893" s="123"/>
      <c r="DEV893" s="123"/>
      <c r="DEW893" s="123"/>
      <c r="DEX893" s="123"/>
      <c r="DEY893" s="123"/>
      <c r="DEZ893" s="123"/>
      <c r="DFA893" s="123"/>
      <c r="DFB893" s="123"/>
      <c r="DFC893" s="123"/>
      <c r="DFD893" s="123"/>
      <c r="DFE893" s="123"/>
      <c r="DFF893" s="123"/>
      <c r="DFG893" s="123"/>
      <c r="DFH893" s="123"/>
      <c r="DFI893" s="123"/>
      <c r="DFJ893" s="123"/>
      <c r="DFK893" s="123"/>
      <c r="DFL893" s="123"/>
      <c r="DFM893" s="123"/>
      <c r="DFN893" s="123"/>
      <c r="DFO893" s="123"/>
      <c r="DFP893" s="123"/>
      <c r="DFQ893" s="123"/>
      <c r="DFR893" s="123"/>
      <c r="DFS893" s="123"/>
      <c r="DFT893" s="123"/>
      <c r="DFU893" s="123"/>
      <c r="DFV893" s="123"/>
      <c r="DFW893" s="123"/>
      <c r="DFX893" s="123"/>
      <c r="DFY893" s="123"/>
      <c r="DFZ893" s="123"/>
      <c r="DGA893" s="123"/>
      <c r="DGB893" s="123"/>
      <c r="DGC893" s="123"/>
      <c r="DGD893" s="123"/>
      <c r="DGE893" s="123"/>
      <c r="DGF893" s="123"/>
      <c r="DGG893" s="123"/>
      <c r="DGH893" s="123"/>
      <c r="DGI893" s="123"/>
      <c r="DGJ893" s="123"/>
      <c r="DGK893" s="123"/>
      <c r="DGL893" s="123"/>
      <c r="DGM893" s="123"/>
      <c r="DGN893" s="123"/>
      <c r="DGO893" s="123"/>
      <c r="DGP893" s="123"/>
      <c r="DGQ893" s="123"/>
      <c r="DGR893" s="123"/>
      <c r="DGS893" s="123"/>
      <c r="DGT893" s="123"/>
      <c r="DGU893" s="123"/>
      <c r="DGV893" s="123"/>
      <c r="DGW893" s="123"/>
      <c r="DGX893" s="123"/>
      <c r="DGY893" s="123"/>
      <c r="DGZ893" s="123"/>
      <c r="DHA893" s="123"/>
      <c r="DHB893" s="123"/>
      <c r="DHC893" s="123"/>
      <c r="DHD893" s="123"/>
      <c r="DHE893" s="123"/>
      <c r="DHF893" s="123"/>
      <c r="DHG893" s="123"/>
      <c r="DHH893" s="123"/>
      <c r="DHI893" s="123"/>
      <c r="DHJ893" s="123"/>
      <c r="DHK893" s="123"/>
      <c r="DHL893" s="123"/>
      <c r="DHM893" s="123"/>
      <c r="DHN893" s="123"/>
      <c r="DHO893" s="123"/>
      <c r="DHP893" s="123"/>
      <c r="DHQ893" s="123"/>
      <c r="DHR893" s="123"/>
      <c r="DHS893" s="123"/>
      <c r="DHT893" s="123"/>
      <c r="DHU893" s="123"/>
      <c r="DHV893" s="123"/>
      <c r="DHW893" s="123"/>
      <c r="DHX893" s="123"/>
      <c r="DHY893" s="123"/>
      <c r="DHZ893" s="123"/>
      <c r="DIA893" s="123"/>
      <c r="DIB893" s="123"/>
      <c r="DIC893" s="123"/>
      <c r="DID893" s="123"/>
      <c r="DIE893" s="123"/>
      <c r="DIF893" s="123"/>
      <c r="DIG893" s="123"/>
      <c r="DIH893" s="123"/>
      <c r="DII893" s="123"/>
      <c r="DIJ893" s="123"/>
      <c r="DIK893" s="123"/>
      <c r="DIL893" s="123"/>
      <c r="DIM893" s="123"/>
      <c r="DIN893" s="123"/>
      <c r="DIO893" s="123"/>
      <c r="DIP893" s="123"/>
      <c r="DIQ893" s="123"/>
      <c r="DIR893" s="123"/>
      <c r="DIS893" s="123"/>
      <c r="DIT893" s="123"/>
      <c r="DIU893" s="123"/>
      <c r="DIV893" s="123"/>
      <c r="DIW893" s="123"/>
      <c r="DIX893" s="123"/>
      <c r="DIY893" s="123"/>
      <c r="DIZ893" s="123"/>
      <c r="DJA893" s="123"/>
      <c r="DJB893" s="123"/>
      <c r="DJC893" s="123"/>
      <c r="DJD893" s="123"/>
      <c r="DJE893" s="123"/>
      <c r="DJF893" s="123"/>
      <c r="DJG893" s="123"/>
      <c r="DJH893" s="123"/>
      <c r="DJI893" s="123"/>
      <c r="DJJ893" s="123"/>
      <c r="DJK893" s="123"/>
      <c r="DJL893" s="123"/>
      <c r="DJM893" s="123"/>
      <c r="DJN893" s="123"/>
      <c r="DJO893" s="123"/>
      <c r="DJP893" s="123"/>
      <c r="DJQ893" s="123"/>
      <c r="DJR893" s="123"/>
      <c r="DJS893" s="123"/>
      <c r="DJT893" s="123"/>
      <c r="DJU893" s="123"/>
      <c r="DJV893" s="123"/>
      <c r="DJW893" s="123"/>
      <c r="DJX893" s="123"/>
      <c r="DJY893" s="123"/>
      <c r="DJZ893" s="123"/>
      <c r="DKA893" s="123"/>
      <c r="DKB893" s="123"/>
      <c r="DKC893" s="123"/>
      <c r="DKD893" s="123"/>
      <c r="DKE893" s="123"/>
      <c r="DKF893" s="123"/>
      <c r="DKG893" s="123"/>
      <c r="DKH893" s="123"/>
      <c r="DKI893" s="123"/>
      <c r="DKJ893" s="123"/>
      <c r="DKK893" s="123"/>
      <c r="DKL893" s="123"/>
      <c r="DKM893" s="123"/>
      <c r="DKN893" s="123"/>
      <c r="DKO893" s="123"/>
      <c r="DKP893" s="123"/>
      <c r="DKQ893" s="123"/>
      <c r="DKR893" s="123"/>
      <c r="DKS893" s="123"/>
      <c r="DKT893" s="123"/>
      <c r="DKU893" s="123"/>
      <c r="DKV893" s="123"/>
      <c r="DKW893" s="123"/>
      <c r="DKX893" s="123"/>
      <c r="DKY893" s="123"/>
      <c r="DKZ893" s="123"/>
      <c r="DLA893" s="123"/>
      <c r="DLB893" s="123"/>
      <c r="DLC893" s="123"/>
      <c r="DLD893" s="123"/>
      <c r="DLE893" s="123"/>
      <c r="DLF893" s="123"/>
      <c r="DLG893" s="123"/>
      <c r="DLH893" s="123"/>
      <c r="DLI893" s="123"/>
      <c r="DLJ893" s="123"/>
      <c r="DLK893" s="123"/>
      <c r="DLL893" s="123"/>
      <c r="DLM893" s="123"/>
      <c r="DLN893" s="123"/>
      <c r="DLO893" s="123"/>
      <c r="DLP893" s="123"/>
      <c r="DLQ893" s="123"/>
      <c r="DLR893" s="123"/>
      <c r="DLS893" s="123"/>
      <c r="DLT893" s="123"/>
      <c r="DLU893" s="123"/>
      <c r="DLV893" s="123"/>
      <c r="DLW893" s="123"/>
      <c r="DLX893" s="123"/>
      <c r="DLY893" s="123"/>
      <c r="DLZ893" s="123"/>
      <c r="DMA893" s="123"/>
      <c r="DMB893" s="123"/>
      <c r="DMC893" s="123"/>
      <c r="DMD893" s="123"/>
      <c r="DME893" s="123"/>
      <c r="DMF893" s="123"/>
      <c r="DMG893" s="123"/>
      <c r="DMH893" s="123"/>
      <c r="DMI893" s="123"/>
      <c r="DMJ893" s="123"/>
      <c r="DMK893" s="123"/>
      <c r="DML893" s="123"/>
      <c r="DMM893" s="123"/>
      <c r="DMN893" s="123"/>
      <c r="DMO893" s="123"/>
      <c r="DMP893" s="123"/>
      <c r="DMQ893" s="123"/>
      <c r="DMR893" s="123"/>
      <c r="DMS893" s="123"/>
      <c r="DMT893" s="123"/>
      <c r="DMU893" s="123"/>
      <c r="DMV893" s="123"/>
      <c r="DMW893" s="123"/>
      <c r="DMX893" s="123"/>
      <c r="DMY893" s="123"/>
      <c r="DMZ893" s="123"/>
      <c r="DNA893" s="123"/>
      <c r="DNB893" s="123"/>
      <c r="DNC893" s="123"/>
      <c r="DND893" s="123"/>
      <c r="DNE893" s="123"/>
      <c r="DNF893" s="123"/>
      <c r="DNG893" s="123"/>
      <c r="DNH893" s="123"/>
      <c r="DNI893" s="123"/>
      <c r="DNJ893" s="123"/>
      <c r="DNK893" s="123"/>
      <c r="DNL893" s="123"/>
      <c r="DNM893" s="123"/>
      <c r="DNN893" s="123"/>
      <c r="DNO893" s="123"/>
      <c r="DNP893" s="123"/>
      <c r="DNQ893" s="123"/>
      <c r="DNR893" s="123"/>
      <c r="DNS893" s="123"/>
      <c r="DNT893" s="123"/>
      <c r="DNU893" s="123"/>
      <c r="DNV893" s="123"/>
      <c r="DNW893" s="123"/>
      <c r="DNX893" s="123"/>
      <c r="DNY893" s="123"/>
      <c r="DNZ893" s="123"/>
      <c r="DOA893" s="123"/>
      <c r="DOB893" s="123"/>
      <c r="DOC893" s="123"/>
      <c r="DOD893" s="123"/>
      <c r="DOE893" s="123"/>
      <c r="DOF893" s="123"/>
      <c r="DOG893" s="123"/>
      <c r="DOH893" s="123"/>
      <c r="DOI893" s="123"/>
      <c r="DOJ893" s="123"/>
      <c r="DOK893" s="123"/>
      <c r="DOL893" s="123"/>
      <c r="DOM893" s="123"/>
      <c r="DON893" s="123"/>
      <c r="DOO893" s="123"/>
      <c r="DOP893" s="123"/>
      <c r="DOQ893" s="123"/>
      <c r="DOR893" s="123"/>
      <c r="DOS893" s="123"/>
      <c r="DOT893" s="123"/>
      <c r="DOU893" s="123"/>
      <c r="DOV893" s="123"/>
      <c r="DOW893" s="123"/>
      <c r="DOX893" s="123"/>
      <c r="DOY893" s="123"/>
      <c r="DOZ893" s="123"/>
      <c r="DPA893" s="123"/>
      <c r="DPB893" s="123"/>
      <c r="DPC893" s="123"/>
      <c r="DPD893" s="123"/>
      <c r="DPE893" s="123"/>
      <c r="DPF893" s="123"/>
      <c r="DPG893" s="123"/>
      <c r="DPH893" s="123"/>
      <c r="DPI893" s="123"/>
      <c r="DPJ893" s="123"/>
      <c r="DPK893" s="123"/>
      <c r="DPL893" s="123"/>
      <c r="DPM893" s="123"/>
      <c r="DPN893" s="123"/>
      <c r="DPO893" s="123"/>
      <c r="DPP893" s="123"/>
      <c r="DPQ893" s="123"/>
      <c r="DPR893" s="123"/>
      <c r="DPS893" s="123"/>
      <c r="DPT893" s="123"/>
      <c r="DPU893" s="123"/>
      <c r="DPV893" s="123"/>
      <c r="DPW893" s="123"/>
      <c r="DPX893" s="123"/>
      <c r="DPY893" s="123"/>
      <c r="DPZ893" s="123"/>
      <c r="DQA893" s="123"/>
      <c r="DQB893" s="123"/>
      <c r="DQC893" s="123"/>
      <c r="DQD893" s="123"/>
      <c r="DQE893" s="123"/>
      <c r="DQF893" s="123"/>
      <c r="DQG893" s="123"/>
      <c r="DQH893" s="123"/>
      <c r="DQI893" s="123"/>
      <c r="DQJ893" s="123"/>
      <c r="DQK893" s="123"/>
      <c r="DQL893" s="123"/>
      <c r="DQM893" s="123"/>
      <c r="DQN893" s="123"/>
      <c r="DQO893" s="123"/>
      <c r="DQP893" s="123"/>
      <c r="DQQ893" s="123"/>
      <c r="DQR893" s="123"/>
      <c r="DQS893" s="123"/>
      <c r="DQT893" s="123"/>
      <c r="DQU893" s="123"/>
      <c r="DQV893" s="123"/>
      <c r="DQW893" s="123"/>
      <c r="DQX893" s="123"/>
      <c r="DQY893" s="123"/>
      <c r="DQZ893" s="123"/>
      <c r="DRA893" s="123"/>
      <c r="DRB893" s="123"/>
      <c r="DRC893" s="123"/>
      <c r="DRD893" s="123"/>
      <c r="DRE893" s="123"/>
      <c r="DRF893" s="123"/>
      <c r="DRG893" s="123"/>
      <c r="DRH893" s="123"/>
      <c r="DRI893" s="123"/>
      <c r="DRJ893" s="123"/>
      <c r="DRK893" s="123"/>
      <c r="DRL893" s="123"/>
      <c r="DRM893" s="123"/>
      <c r="DRN893" s="123"/>
      <c r="DRO893" s="123"/>
      <c r="DRP893" s="123"/>
      <c r="DRQ893" s="123"/>
      <c r="DRR893" s="123"/>
      <c r="DRS893" s="123"/>
      <c r="DRT893" s="123"/>
      <c r="DRU893" s="123"/>
      <c r="DRV893" s="123"/>
      <c r="DRW893" s="123"/>
      <c r="DRX893" s="123"/>
      <c r="DRY893" s="123"/>
      <c r="DRZ893" s="123"/>
      <c r="DSA893" s="123"/>
      <c r="DSB893" s="123"/>
      <c r="DSC893" s="123"/>
      <c r="DSD893" s="123"/>
      <c r="DSE893" s="123"/>
      <c r="DSF893" s="123"/>
      <c r="DSG893" s="123"/>
      <c r="DSH893" s="123"/>
      <c r="DSI893" s="123"/>
      <c r="DSJ893" s="123"/>
      <c r="DSK893" s="123"/>
      <c r="DSL893" s="123"/>
      <c r="DSM893" s="123"/>
      <c r="DSN893" s="123"/>
      <c r="DSO893" s="123"/>
      <c r="DSP893" s="123"/>
      <c r="DSQ893" s="123"/>
      <c r="DSR893" s="123"/>
      <c r="DSS893" s="123"/>
      <c r="DST893" s="123"/>
      <c r="DSU893" s="123"/>
      <c r="DSV893" s="123"/>
      <c r="DSW893" s="123"/>
      <c r="DSX893" s="123"/>
      <c r="DSY893" s="123"/>
      <c r="DSZ893" s="123"/>
      <c r="DTA893" s="123"/>
      <c r="DTB893" s="123"/>
      <c r="DTC893" s="123"/>
      <c r="DTD893" s="123"/>
      <c r="DTE893" s="123"/>
      <c r="DTF893" s="123"/>
      <c r="DTG893" s="123"/>
      <c r="DTH893" s="123"/>
      <c r="DTI893" s="123"/>
      <c r="DTJ893" s="123"/>
      <c r="DTK893" s="123"/>
      <c r="DTL893" s="123"/>
      <c r="DTM893" s="123"/>
      <c r="DTN893" s="123"/>
      <c r="DTO893" s="123"/>
      <c r="DTP893" s="123"/>
      <c r="DTQ893" s="123"/>
      <c r="DTR893" s="123"/>
      <c r="DTS893" s="123"/>
      <c r="DTT893" s="123"/>
      <c r="DTU893" s="123"/>
      <c r="DTV893" s="123"/>
      <c r="DTW893" s="123"/>
      <c r="DTX893" s="123"/>
      <c r="DTY893" s="123"/>
      <c r="DTZ893" s="123"/>
      <c r="DUA893" s="123"/>
      <c r="DUB893" s="123"/>
      <c r="DUC893" s="123"/>
      <c r="DUD893" s="123"/>
      <c r="DUE893" s="123"/>
      <c r="DUF893" s="123"/>
      <c r="DUG893" s="123"/>
      <c r="DUH893" s="123"/>
      <c r="DUI893" s="123"/>
      <c r="DUJ893" s="123"/>
      <c r="DUK893" s="123"/>
      <c r="DUL893" s="123"/>
      <c r="DUM893" s="123"/>
      <c r="DUN893" s="123"/>
      <c r="DUO893" s="123"/>
      <c r="DUP893" s="123"/>
      <c r="DUQ893" s="123"/>
      <c r="DUR893" s="123"/>
      <c r="DUS893" s="123"/>
      <c r="DUT893" s="123"/>
      <c r="DUU893" s="123"/>
      <c r="DUV893" s="123"/>
      <c r="DUW893" s="123"/>
      <c r="DUX893" s="123"/>
      <c r="DUY893" s="123"/>
      <c r="DUZ893" s="123"/>
      <c r="DVA893" s="123"/>
      <c r="DVB893" s="123"/>
      <c r="DVC893" s="123"/>
      <c r="DVD893" s="123"/>
      <c r="DVE893" s="123"/>
      <c r="DVF893" s="123"/>
      <c r="DVG893" s="123"/>
      <c r="DVH893" s="123"/>
      <c r="DVI893" s="123"/>
      <c r="DVJ893" s="123"/>
      <c r="DVK893" s="123"/>
      <c r="DVL893" s="123"/>
      <c r="DVM893" s="123"/>
      <c r="DVN893" s="123"/>
      <c r="DVO893" s="123"/>
      <c r="DVP893" s="123"/>
      <c r="DVQ893" s="123"/>
      <c r="DVR893" s="123"/>
      <c r="DVS893" s="123"/>
      <c r="DVT893" s="123"/>
      <c r="DVU893" s="123"/>
      <c r="DVV893" s="123"/>
      <c r="DVW893" s="123"/>
      <c r="DVX893" s="123"/>
      <c r="DVY893" s="123"/>
      <c r="DVZ893" s="123"/>
      <c r="DWA893" s="123"/>
      <c r="DWB893" s="123"/>
      <c r="DWC893" s="123"/>
      <c r="DWD893" s="123"/>
      <c r="DWE893" s="123"/>
      <c r="DWF893" s="123"/>
      <c r="DWG893" s="123"/>
      <c r="DWH893" s="123"/>
      <c r="DWI893" s="123"/>
      <c r="DWJ893" s="123"/>
      <c r="DWK893" s="123"/>
      <c r="DWL893" s="123"/>
      <c r="DWM893" s="123"/>
      <c r="DWN893" s="123"/>
      <c r="DWO893" s="123"/>
      <c r="DWP893" s="123"/>
      <c r="DWQ893" s="123"/>
      <c r="DWR893" s="123"/>
      <c r="DWS893" s="123"/>
      <c r="DWT893" s="123"/>
      <c r="DWU893" s="123"/>
      <c r="DWV893" s="123"/>
      <c r="DWW893" s="123"/>
      <c r="DWX893" s="123"/>
      <c r="DWY893" s="123"/>
      <c r="DWZ893" s="123"/>
      <c r="DXA893" s="123"/>
      <c r="DXB893" s="123"/>
      <c r="DXC893" s="123"/>
      <c r="DXD893" s="123"/>
      <c r="DXE893" s="123"/>
      <c r="DXF893" s="123"/>
      <c r="DXG893" s="123"/>
      <c r="DXH893" s="123"/>
      <c r="DXI893" s="123"/>
      <c r="DXJ893" s="123"/>
      <c r="DXK893" s="123"/>
      <c r="DXL893" s="123"/>
      <c r="DXM893" s="123"/>
      <c r="DXN893" s="123"/>
      <c r="DXO893" s="123"/>
      <c r="DXP893" s="123"/>
      <c r="DXQ893" s="123"/>
      <c r="DXR893" s="123"/>
      <c r="DXS893" s="123"/>
      <c r="DXT893" s="123"/>
      <c r="DXU893" s="123"/>
      <c r="DXV893" s="123"/>
      <c r="DXW893" s="123"/>
      <c r="DXX893" s="123"/>
      <c r="DXY893" s="123"/>
      <c r="DXZ893" s="123"/>
      <c r="DYA893" s="123"/>
      <c r="DYB893" s="123"/>
      <c r="DYC893" s="123"/>
      <c r="DYD893" s="123"/>
      <c r="DYE893" s="123"/>
      <c r="DYF893" s="123"/>
      <c r="DYG893" s="123"/>
      <c r="DYH893" s="123"/>
      <c r="DYI893" s="123"/>
      <c r="DYJ893" s="123"/>
      <c r="DYK893" s="123"/>
      <c r="DYL893" s="123"/>
      <c r="DYM893" s="123"/>
      <c r="DYN893" s="123"/>
      <c r="DYO893" s="123"/>
      <c r="DYP893" s="123"/>
      <c r="DYQ893" s="123"/>
      <c r="DYR893" s="123"/>
      <c r="DYS893" s="123"/>
      <c r="DYT893" s="123"/>
      <c r="DYU893" s="123"/>
      <c r="DYV893" s="123"/>
      <c r="DYW893" s="123"/>
      <c r="DYX893" s="123"/>
      <c r="DYY893" s="123"/>
      <c r="DYZ893" s="123"/>
      <c r="DZA893" s="123"/>
      <c r="DZB893" s="123"/>
      <c r="DZC893" s="123"/>
      <c r="DZD893" s="123"/>
      <c r="DZE893" s="123"/>
      <c r="DZF893" s="123"/>
      <c r="DZG893" s="123"/>
      <c r="DZH893" s="123"/>
      <c r="DZI893" s="123"/>
      <c r="DZJ893" s="123"/>
      <c r="DZK893" s="123"/>
      <c r="DZL893" s="123"/>
      <c r="DZM893" s="123"/>
      <c r="DZN893" s="123"/>
      <c r="DZO893" s="123"/>
      <c r="DZP893" s="123"/>
      <c r="DZQ893" s="123"/>
      <c r="DZR893" s="123"/>
      <c r="DZS893" s="123"/>
      <c r="DZT893" s="123"/>
      <c r="DZU893" s="123"/>
      <c r="DZV893" s="123"/>
      <c r="DZW893" s="123"/>
      <c r="DZX893" s="123"/>
      <c r="DZY893" s="123"/>
      <c r="DZZ893" s="123"/>
      <c r="EAA893" s="123"/>
      <c r="EAB893" s="123"/>
      <c r="EAC893" s="123"/>
      <c r="EAD893" s="123"/>
      <c r="EAE893" s="123"/>
      <c r="EAF893" s="123"/>
      <c r="EAG893" s="123"/>
      <c r="EAH893" s="123"/>
      <c r="EAI893" s="123"/>
      <c r="EAJ893" s="123"/>
      <c r="EAK893" s="123"/>
      <c r="EAL893" s="123"/>
      <c r="EAM893" s="123"/>
      <c r="EAN893" s="123"/>
      <c r="EAO893" s="123"/>
      <c r="EAP893" s="123"/>
      <c r="EAQ893" s="123"/>
      <c r="EAR893" s="123"/>
      <c r="EAS893" s="123"/>
      <c r="EAT893" s="123"/>
      <c r="EAU893" s="123"/>
      <c r="EAV893" s="123"/>
      <c r="EAW893" s="123"/>
      <c r="EAX893" s="123"/>
      <c r="EAY893" s="123"/>
      <c r="EAZ893" s="123"/>
      <c r="EBA893" s="123"/>
      <c r="EBB893" s="123"/>
      <c r="EBC893" s="123"/>
      <c r="EBD893" s="123"/>
      <c r="EBE893" s="123"/>
      <c r="EBF893" s="123"/>
      <c r="EBG893" s="123"/>
      <c r="EBH893" s="123"/>
      <c r="EBI893" s="123"/>
      <c r="EBJ893" s="123"/>
      <c r="EBK893" s="123"/>
      <c r="EBL893" s="123"/>
      <c r="EBM893" s="123"/>
      <c r="EBN893" s="123"/>
      <c r="EBO893" s="123"/>
      <c r="EBP893" s="123"/>
      <c r="EBQ893" s="123"/>
      <c r="EBR893" s="123"/>
      <c r="EBS893" s="123"/>
      <c r="EBT893" s="123"/>
      <c r="EBU893" s="123"/>
      <c r="EBV893" s="123"/>
      <c r="EBW893" s="123"/>
      <c r="EBX893" s="123"/>
      <c r="EBY893" s="123"/>
      <c r="EBZ893" s="123"/>
      <c r="ECA893" s="123"/>
      <c r="ECB893" s="123"/>
      <c r="ECC893" s="123"/>
      <c r="ECD893" s="123"/>
      <c r="ECE893" s="123"/>
      <c r="ECF893" s="123"/>
      <c r="ECG893" s="123"/>
      <c r="ECH893" s="123"/>
      <c r="ECI893" s="123"/>
      <c r="ECJ893" s="123"/>
      <c r="ECK893" s="123"/>
      <c r="ECL893" s="123"/>
      <c r="ECM893" s="123"/>
      <c r="ECN893" s="123"/>
      <c r="ECO893" s="123"/>
      <c r="ECP893" s="123"/>
      <c r="ECQ893" s="123"/>
      <c r="ECR893" s="123"/>
      <c r="ECS893" s="123"/>
      <c r="ECT893" s="123"/>
      <c r="ECU893" s="123"/>
      <c r="ECV893" s="123"/>
      <c r="ECW893" s="123"/>
      <c r="ECX893" s="123"/>
      <c r="ECY893" s="123"/>
      <c r="ECZ893" s="123"/>
      <c r="EDA893" s="123"/>
      <c r="EDB893" s="123"/>
      <c r="EDC893" s="123"/>
      <c r="EDD893" s="123"/>
      <c r="EDE893" s="123"/>
      <c r="EDF893" s="123"/>
      <c r="EDG893" s="123"/>
      <c r="EDH893" s="123"/>
      <c r="EDI893" s="123"/>
      <c r="EDJ893" s="123"/>
      <c r="EDK893" s="123"/>
      <c r="EDL893" s="123"/>
      <c r="EDM893" s="123"/>
      <c r="EDN893" s="123"/>
      <c r="EDO893" s="123"/>
      <c r="EDP893" s="123"/>
      <c r="EDQ893" s="123"/>
      <c r="EDR893" s="123"/>
      <c r="EDS893" s="123"/>
      <c r="EDT893" s="123"/>
      <c r="EDU893" s="123"/>
      <c r="EDV893" s="123"/>
      <c r="EDW893" s="123"/>
      <c r="EDX893" s="123"/>
      <c r="EDY893" s="123"/>
      <c r="EDZ893" s="123"/>
      <c r="EEA893" s="123"/>
      <c r="EEB893" s="123"/>
      <c r="EEC893" s="123"/>
      <c r="EED893" s="123"/>
      <c r="EEE893" s="123"/>
      <c r="EEF893" s="123"/>
      <c r="EEG893" s="123"/>
      <c r="EEH893" s="123"/>
      <c r="EEI893" s="123"/>
      <c r="EEJ893" s="123"/>
      <c r="EEK893" s="123"/>
      <c r="EEL893" s="123"/>
      <c r="EEM893" s="123"/>
      <c r="EEN893" s="123"/>
      <c r="EEO893" s="123"/>
      <c r="EEP893" s="123"/>
      <c r="EEQ893" s="123"/>
      <c r="EER893" s="123"/>
      <c r="EES893" s="123"/>
      <c r="EET893" s="123"/>
      <c r="EEU893" s="123"/>
      <c r="EEV893" s="123"/>
      <c r="EEW893" s="123"/>
      <c r="EEX893" s="123"/>
      <c r="EEY893" s="123"/>
      <c r="EEZ893" s="123"/>
      <c r="EFA893" s="123"/>
      <c r="EFB893" s="123"/>
      <c r="EFC893" s="123"/>
      <c r="EFD893" s="123"/>
      <c r="EFE893" s="123"/>
      <c r="EFF893" s="123"/>
      <c r="EFG893" s="123"/>
      <c r="EFH893" s="123"/>
      <c r="EFI893" s="123"/>
      <c r="EFJ893" s="123"/>
      <c r="EFK893" s="123"/>
      <c r="EFL893" s="123"/>
      <c r="EFM893" s="123"/>
      <c r="EFN893" s="123"/>
      <c r="EFO893" s="123"/>
      <c r="EFP893" s="123"/>
      <c r="EFQ893" s="123"/>
      <c r="EFR893" s="123"/>
      <c r="EFS893" s="123"/>
      <c r="EFT893" s="123"/>
      <c r="EFU893" s="123"/>
      <c r="EFV893" s="123"/>
      <c r="EFW893" s="123"/>
      <c r="EFX893" s="123"/>
      <c r="EFY893" s="123"/>
      <c r="EFZ893" s="123"/>
      <c r="EGA893" s="123"/>
      <c r="EGB893" s="123"/>
      <c r="EGC893" s="123"/>
      <c r="EGD893" s="123"/>
      <c r="EGE893" s="123"/>
      <c r="EGF893" s="123"/>
      <c r="EGG893" s="123"/>
      <c r="EGH893" s="123"/>
      <c r="EGI893" s="123"/>
      <c r="EGJ893" s="123"/>
      <c r="EGK893" s="123"/>
      <c r="EGL893" s="123"/>
      <c r="EGM893" s="123"/>
      <c r="EGN893" s="123"/>
      <c r="EGO893" s="123"/>
      <c r="EGP893" s="123"/>
      <c r="EGQ893" s="123"/>
      <c r="EGR893" s="123"/>
      <c r="EGS893" s="123"/>
      <c r="EGT893" s="123"/>
      <c r="EGU893" s="123"/>
      <c r="EGV893" s="123"/>
      <c r="EGW893" s="123"/>
      <c r="EGX893" s="123"/>
      <c r="EGY893" s="123"/>
      <c r="EGZ893" s="123"/>
      <c r="EHA893" s="123"/>
      <c r="EHB893" s="123"/>
      <c r="EHC893" s="123"/>
      <c r="EHD893" s="123"/>
      <c r="EHE893" s="123"/>
      <c r="EHF893" s="123"/>
      <c r="EHG893" s="123"/>
      <c r="EHH893" s="123"/>
      <c r="EHI893" s="123"/>
      <c r="EHJ893" s="123"/>
      <c r="EHK893" s="123"/>
      <c r="EHL893" s="123"/>
      <c r="EHM893" s="123"/>
      <c r="EHN893" s="123"/>
      <c r="EHO893" s="123"/>
      <c r="EHP893" s="123"/>
      <c r="EHQ893" s="123"/>
      <c r="EHR893" s="123"/>
      <c r="EHS893" s="123"/>
      <c r="EHT893" s="123"/>
      <c r="EHU893" s="123"/>
      <c r="EHV893" s="123"/>
      <c r="EHW893" s="123"/>
      <c r="EHX893" s="123"/>
      <c r="EHY893" s="123"/>
      <c r="EHZ893" s="123"/>
      <c r="EIA893" s="123"/>
      <c r="EIB893" s="123"/>
      <c r="EIC893" s="123"/>
      <c r="EID893" s="123"/>
      <c r="EIE893" s="123"/>
      <c r="EIF893" s="123"/>
      <c r="EIG893" s="123"/>
      <c r="EIH893" s="123"/>
      <c r="EII893" s="123"/>
      <c r="EIJ893" s="123"/>
      <c r="EIK893" s="123"/>
      <c r="EIL893" s="123"/>
      <c r="EIM893" s="123"/>
      <c r="EIN893" s="123"/>
      <c r="EIO893" s="123"/>
      <c r="EIP893" s="123"/>
      <c r="EIQ893" s="123"/>
      <c r="EIR893" s="123"/>
      <c r="EIS893" s="123"/>
      <c r="EIT893" s="123"/>
      <c r="EIU893" s="123"/>
      <c r="EIV893" s="123"/>
      <c r="EIW893" s="123"/>
      <c r="EIX893" s="123"/>
      <c r="EIY893" s="123"/>
      <c r="EIZ893" s="123"/>
      <c r="EJA893" s="123"/>
      <c r="EJB893" s="123"/>
      <c r="EJC893" s="123"/>
      <c r="EJD893" s="123"/>
      <c r="EJE893" s="123"/>
      <c r="EJF893" s="123"/>
      <c r="EJG893" s="123"/>
      <c r="EJH893" s="123"/>
      <c r="EJI893" s="123"/>
      <c r="EJJ893" s="123"/>
      <c r="EJK893" s="123"/>
      <c r="EJL893" s="123"/>
      <c r="EJM893" s="123"/>
      <c r="EJN893" s="123"/>
      <c r="EJO893" s="123"/>
      <c r="EJP893" s="123"/>
      <c r="EJQ893" s="123"/>
      <c r="EJR893" s="123"/>
      <c r="EJS893" s="123"/>
      <c r="EJT893" s="123"/>
      <c r="EJU893" s="123"/>
      <c r="EJV893" s="123"/>
      <c r="EJW893" s="123"/>
      <c r="EJX893" s="123"/>
      <c r="EJY893" s="123"/>
      <c r="EJZ893" s="123"/>
      <c r="EKA893" s="123"/>
      <c r="EKB893" s="123"/>
      <c r="EKC893" s="123"/>
      <c r="EKD893" s="123"/>
      <c r="EKE893" s="123"/>
      <c r="EKF893" s="123"/>
      <c r="EKG893" s="123"/>
      <c r="EKH893" s="123"/>
      <c r="EKI893" s="123"/>
      <c r="EKJ893" s="123"/>
      <c r="EKK893" s="123"/>
      <c r="EKL893" s="123"/>
      <c r="EKM893" s="123"/>
      <c r="EKN893" s="123"/>
      <c r="EKO893" s="123"/>
      <c r="EKP893" s="123"/>
      <c r="EKQ893" s="123"/>
      <c r="EKR893" s="123"/>
      <c r="EKS893" s="123"/>
      <c r="EKT893" s="123"/>
      <c r="EKU893" s="123"/>
      <c r="EKV893" s="123"/>
      <c r="EKW893" s="123"/>
      <c r="EKX893" s="123"/>
      <c r="EKY893" s="123"/>
      <c r="EKZ893" s="123"/>
      <c r="ELA893" s="123"/>
      <c r="ELB893" s="123"/>
      <c r="ELC893" s="123"/>
      <c r="ELD893" s="123"/>
      <c r="ELE893" s="123"/>
      <c r="ELF893" s="123"/>
      <c r="ELG893" s="123"/>
      <c r="ELH893" s="123"/>
      <c r="ELI893" s="123"/>
      <c r="ELJ893" s="123"/>
      <c r="ELK893" s="123"/>
      <c r="ELL893" s="123"/>
      <c r="ELM893" s="123"/>
      <c r="ELN893" s="123"/>
      <c r="ELO893" s="123"/>
      <c r="ELP893" s="123"/>
      <c r="ELQ893" s="123"/>
      <c r="ELR893" s="123"/>
      <c r="ELS893" s="123"/>
      <c r="ELT893" s="123"/>
      <c r="ELU893" s="123"/>
      <c r="ELV893" s="123"/>
      <c r="ELW893" s="123"/>
      <c r="ELX893" s="123"/>
      <c r="ELY893" s="123"/>
      <c r="ELZ893" s="123"/>
      <c r="EMA893" s="123"/>
      <c r="EMB893" s="123"/>
      <c r="EMC893" s="123"/>
      <c r="EMD893" s="123"/>
      <c r="EME893" s="123"/>
      <c r="EMF893" s="123"/>
      <c r="EMG893" s="123"/>
      <c r="EMH893" s="123"/>
      <c r="EMI893" s="123"/>
      <c r="EMJ893" s="123"/>
      <c r="EMK893" s="123"/>
      <c r="EML893" s="123"/>
      <c r="EMM893" s="123"/>
      <c r="EMN893" s="123"/>
      <c r="EMO893" s="123"/>
      <c r="EMP893" s="123"/>
      <c r="EMQ893" s="123"/>
      <c r="EMR893" s="123"/>
      <c r="EMS893" s="123"/>
      <c r="EMT893" s="123"/>
      <c r="EMU893" s="123"/>
      <c r="EMV893" s="123"/>
      <c r="EMW893" s="123"/>
      <c r="EMX893" s="123"/>
      <c r="EMY893" s="123"/>
      <c r="EMZ893" s="123"/>
      <c r="ENA893" s="123"/>
      <c r="ENB893" s="123"/>
      <c r="ENC893" s="123"/>
      <c r="END893" s="123"/>
      <c r="ENE893" s="123"/>
      <c r="ENF893" s="123"/>
      <c r="ENG893" s="123"/>
      <c r="ENH893" s="123"/>
      <c r="ENI893" s="123"/>
      <c r="ENJ893" s="123"/>
      <c r="ENK893" s="123"/>
      <c r="ENL893" s="123"/>
      <c r="ENM893" s="123"/>
      <c r="ENN893" s="123"/>
      <c r="ENO893" s="123"/>
      <c r="ENP893" s="123"/>
      <c r="ENQ893" s="123"/>
      <c r="ENR893" s="123"/>
      <c r="ENS893" s="123"/>
      <c r="ENT893" s="123"/>
      <c r="ENU893" s="123"/>
      <c r="ENV893" s="123"/>
      <c r="ENW893" s="123"/>
      <c r="ENX893" s="123"/>
      <c r="ENY893" s="123"/>
      <c r="ENZ893" s="123"/>
      <c r="EOA893" s="123"/>
      <c r="EOB893" s="123"/>
      <c r="EOC893" s="123"/>
      <c r="EOD893" s="123"/>
      <c r="EOE893" s="123"/>
      <c r="EOF893" s="123"/>
      <c r="EOG893" s="123"/>
      <c r="EOH893" s="123"/>
      <c r="EOI893" s="123"/>
      <c r="EOJ893" s="123"/>
      <c r="EOK893" s="123"/>
      <c r="EOL893" s="123"/>
      <c r="EOM893" s="123"/>
      <c r="EON893" s="123"/>
      <c r="EOO893" s="123"/>
      <c r="EOP893" s="123"/>
      <c r="EOQ893" s="123"/>
      <c r="EOR893" s="123"/>
      <c r="EOS893" s="123"/>
      <c r="EOT893" s="123"/>
      <c r="EOU893" s="123"/>
      <c r="EOV893" s="123"/>
      <c r="EOW893" s="123"/>
      <c r="EOX893" s="123"/>
      <c r="EOY893" s="123"/>
      <c r="EOZ893" s="123"/>
      <c r="EPA893" s="123"/>
      <c r="EPB893" s="123"/>
      <c r="EPC893" s="123"/>
      <c r="EPD893" s="123"/>
      <c r="EPE893" s="123"/>
      <c r="EPF893" s="123"/>
      <c r="EPG893" s="123"/>
      <c r="EPH893" s="123"/>
      <c r="EPI893" s="123"/>
      <c r="EPJ893" s="123"/>
      <c r="EPK893" s="123"/>
      <c r="EPL893" s="123"/>
      <c r="EPM893" s="123"/>
      <c r="EPN893" s="123"/>
      <c r="EPO893" s="123"/>
      <c r="EPP893" s="123"/>
      <c r="EPQ893" s="123"/>
      <c r="EPR893" s="123"/>
      <c r="EPS893" s="123"/>
      <c r="EPT893" s="123"/>
      <c r="EPU893" s="123"/>
      <c r="EPV893" s="123"/>
      <c r="EPW893" s="123"/>
      <c r="EPX893" s="123"/>
      <c r="EPY893" s="123"/>
      <c r="EPZ893" s="123"/>
      <c r="EQA893" s="123"/>
      <c r="EQB893" s="123"/>
      <c r="EQC893" s="123"/>
      <c r="EQD893" s="123"/>
      <c r="EQE893" s="123"/>
      <c r="EQF893" s="123"/>
      <c r="EQG893" s="123"/>
      <c r="EQH893" s="123"/>
      <c r="EQI893" s="123"/>
      <c r="EQJ893" s="123"/>
      <c r="EQK893" s="123"/>
      <c r="EQL893" s="123"/>
      <c r="EQM893" s="123"/>
      <c r="EQN893" s="123"/>
      <c r="EQO893" s="123"/>
      <c r="EQP893" s="123"/>
      <c r="EQQ893" s="123"/>
      <c r="EQR893" s="123"/>
      <c r="EQS893" s="123"/>
      <c r="EQT893" s="123"/>
      <c r="EQU893" s="123"/>
      <c r="EQV893" s="123"/>
      <c r="EQW893" s="123"/>
      <c r="EQX893" s="123"/>
      <c r="EQY893" s="123"/>
      <c r="EQZ893" s="123"/>
      <c r="ERA893" s="123"/>
      <c r="ERB893" s="123"/>
      <c r="ERC893" s="123"/>
      <c r="ERD893" s="123"/>
      <c r="ERE893" s="123"/>
      <c r="ERF893" s="123"/>
      <c r="ERG893" s="123"/>
      <c r="ERH893" s="123"/>
      <c r="ERI893" s="123"/>
      <c r="ERJ893" s="123"/>
      <c r="ERK893" s="123"/>
      <c r="ERL893" s="123"/>
      <c r="ERM893" s="123"/>
      <c r="ERN893" s="123"/>
      <c r="ERO893" s="123"/>
      <c r="ERP893" s="123"/>
      <c r="ERQ893" s="123"/>
      <c r="ERR893" s="123"/>
      <c r="ERS893" s="123"/>
      <c r="ERT893" s="123"/>
      <c r="ERU893" s="123"/>
      <c r="ERV893" s="123"/>
      <c r="ERW893" s="123"/>
      <c r="ERX893" s="123"/>
      <c r="ERY893" s="123"/>
      <c r="ERZ893" s="123"/>
      <c r="ESA893" s="123"/>
      <c r="ESB893" s="123"/>
      <c r="ESC893" s="123"/>
      <c r="ESD893" s="123"/>
      <c r="ESE893" s="123"/>
      <c r="ESF893" s="123"/>
      <c r="ESG893" s="123"/>
      <c r="ESH893" s="123"/>
      <c r="ESI893" s="123"/>
      <c r="ESJ893" s="123"/>
      <c r="ESK893" s="123"/>
      <c r="ESL893" s="123"/>
      <c r="ESM893" s="123"/>
      <c r="ESN893" s="123"/>
      <c r="ESO893" s="123"/>
      <c r="ESP893" s="123"/>
      <c r="ESQ893" s="123"/>
      <c r="ESR893" s="123"/>
      <c r="ESS893" s="123"/>
      <c r="EST893" s="123"/>
      <c r="ESU893" s="123"/>
      <c r="ESV893" s="123"/>
      <c r="ESW893" s="123"/>
      <c r="ESX893" s="123"/>
      <c r="ESY893" s="123"/>
      <c r="ESZ893" s="123"/>
      <c r="ETA893" s="123"/>
      <c r="ETB893" s="123"/>
      <c r="ETC893" s="123"/>
      <c r="ETD893" s="123"/>
      <c r="ETE893" s="123"/>
      <c r="ETF893" s="123"/>
      <c r="ETG893" s="123"/>
      <c r="ETH893" s="123"/>
      <c r="ETI893" s="123"/>
      <c r="ETJ893" s="123"/>
      <c r="ETK893" s="123"/>
      <c r="ETL893" s="123"/>
      <c r="ETM893" s="123"/>
      <c r="ETN893" s="123"/>
      <c r="ETO893" s="123"/>
      <c r="ETP893" s="123"/>
      <c r="ETQ893" s="123"/>
      <c r="ETR893" s="123"/>
      <c r="ETS893" s="123"/>
      <c r="ETT893" s="123"/>
      <c r="ETU893" s="123"/>
      <c r="ETV893" s="123"/>
      <c r="ETW893" s="123"/>
      <c r="ETX893" s="123"/>
      <c r="ETY893" s="123"/>
      <c r="ETZ893" s="123"/>
      <c r="EUA893" s="123"/>
      <c r="EUB893" s="123"/>
      <c r="EUC893" s="123"/>
      <c r="EUD893" s="123"/>
      <c r="EUE893" s="123"/>
      <c r="EUF893" s="123"/>
      <c r="EUG893" s="123"/>
      <c r="EUH893" s="123"/>
      <c r="EUI893" s="123"/>
      <c r="EUJ893" s="123"/>
      <c r="EUK893" s="123"/>
      <c r="EUL893" s="123"/>
      <c r="EUM893" s="123"/>
      <c r="EUN893" s="123"/>
      <c r="EUO893" s="123"/>
      <c r="EUP893" s="123"/>
      <c r="EUQ893" s="123"/>
      <c r="EUR893" s="123"/>
      <c r="EUS893" s="123"/>
      <c r="EUT893" s="123"/>
      <c r="EUU893" s="123"/>
      <c r="EUV893" s="123"/>
      <c r="EUW893" s="123"/>
      <c r="EUX893" s="123"/>
      <c r="EUY893" s="123"/>
      <c r="EUZ893" s="123"/>
      <c r="EVA893" s="123"/>
      <c r="EVB893" s="123"/>
      <c r="EVC893" s="123"/>
      <c r="EVD893" s="123"/>
      <c r="EVE893" s="123"/>
      <c r="EVF893" s="123"/>
      <c r="EVG893" s="123"/>
      <c r="EVH893" s="123"/>
      <c r="EVI893" s="123"/>
      <c r="EVJ893" s="123"/>
      <c r="EVK893" s="123"/>
      <c r="EVL893" s="123"/>
      <c r="EVM893" s="123"/>
      <c r="EVN893" s="123"/>
      <c r="EVO893" s="123"/>
      <c r="EVP893" s="123"/>
      <c r="EVQ893" s="123"/>
      <c r="EVR893" s="123"/>
      <c r="EVS893" s="123"/>
      <c r="EVT893" s="123"/>
      <c r="EVU893" s="123"/>
      <c r="EVV893" s="123"/>
      <c r="EVW893" s="123"/>
      <c r="EVX893" s="123"/>
      <c r="EVY893" s="123"/>
      <c r="EVZ893" s="123"/>
      <c r="EWA893" s="123"/>
      <c r="EWB893" s="123"/>
      <c r="EWC893" s="123"/>
      <c r="EWD893" s="123"/>
      <c r="EWE893" s="123"/>
      <c r="EWF893" s="123"/>
      <c r="EWG893" s="123"/>
      <c r="EWH893" s="123"/>
      <c r="EWI893" s="123"/>
      <c r="EWJ893" s="123"/>
      <c r="EWK893" s="123"/>
      <c r="EWL893" s="123"/>
      <c r="EWM893" s="123"/>
      <c r="EWN893" s="123"/>
      <c r="EWO893" s="123"/>
      <c r="EWP893" s="123"/>
      <c r="EWQ893" s="123"/>
      <c r="EWR893" s="123"/>
      <c r="EWS893" s="123"/>
      <c r="EWT893" s="123"/>
      <c r="EWU893" s="123"/>
      <c r="EWV893" s="123"/>
      <c r="EWW893" s="123"/>
      <c r="EWX893" s="123"/>
      <c r="EWY893" s="123"/>
      <c r="EWZ893" s="123"/>
      <c r="EXA893" s="123"/>
      <c r="EXB893" s="123"/>
      <c r="EXC893" s="123"/>
      <c r="EXD893" s="123"/>
      <c r="EXE893" s="123"/>
      <c r="EXF893" s="123"/>
      <c r="EXG893" s="123"/>
      <c r="EXH893" s="123"/>
      <c r="EXI893" s="123"/>
      <c r="EXJ893" s="123"/>
      <c r="EXK893" s="123"/>
      <c r="EXL893" s="123"/>
      <c r="EXM893" s="123"/>
      <c r="EXN893" s="123"/>
      <c r="EXO893" s="123"/>
      <c r="EXP893" s="123"/>
      <c r="EXQ893" s="123"/>
      <c r="EXR893" s="123"/>
      <c r="EXS893" s="123"/>
      <c r="EXT893" s="123"/>
      <c r="EXU893" s="123"/>
      <c r="EXV893" s="123"/>
      <c r="EXW893" s="123"/>
      <c r="EXX893" s="123"/>
      <c r="EXY893" s="123"/>
      <c r="EXZ893" s="123"/>
      <c r="EYA893" s="123"/>
      <c r="EYB893" s="123"/>
      <c r="EYC893" s="123"/>
      <c r="EYD893" s="123"/>
      <c r="EYE893" s="123"/>
      <c r="EYF893" s="123"/>
      <c r="EYG893" s="123"/>
      <c r="EYH893" s="123"/>
      <c r="EYI893" s="123"/>
      <c r="EYJ893" s="123"/>
      <c r="EYK893" s="123"/>
      <c r="EYL893" s="123"/>
      <c r="EYM893" s="123"/>
      <c r="EYN893" s="123"/>
      <c r="EYO893" s="123"/>
      <c r="EYP893" s="123"/>
      <c r="EYQ893" s="123"/>
      <c r="EYR893" s="123"/>
      <c r="EYS893" s="123"/>
      <c r="EYT893" s="123"/>
      <c r="EYU893" s="123"/>
      <c r="EYV893" s="123"/>
      <c r="EYW893" s="123"/>
      <c r="EYX893" s="123"/>
      <c r="EYY893" s="123"/>
      <c r="EYZ893" s="123"/>
      <c r="EZA893" s="123"/>
      <c r="EZB893" s="123"/>
      <c r="EZC893" s="123"/>
      <c r="EZD893" s="123"/>
      <c r="EZE893" s="123"/>
      <c r="EZF893" s="123"/>
      <c r="EZG893" s="123"/>
      <c r="EZH893" s="123"/>
      <c r="EZI893" s="123"/>
      <c r="EZJ893" s="123"/>
      <c r="EZK893" s="123"/>
      <c r="EZL893" s="123"/>
      <c r="EZM893" s="123"/>
      <c r="EZN893" s="123"/>
      <c r="EZO893" s="123"/>
      <c r="EZP893" s="123"/>
      <c r="EZQ893" s="123"/>
      <c r="EZR893" s="123"/>
      <c r="EZS893" s="123"/>
      <c r="EZT893" s="123"/>
      <c r="EZU893" s="123"/>
      <c r="EZV893" s="123"/>
      <c r="EZW893" s="123"/>
      <c r="EZX893" s="123"/>
      <c r="EZY893" s="123"/>
      <c r="EZZ893" s="123"/>
      <c r="FAA893" s="123"/>
      <c r="FAB893" s="123"/>
      <c r="FAC893" s="123"/>
      <c r="FAD893" s="123"/>
      <c r="FAE893" s="123"/>
      <c r="FAF893" s="123"/>
      <c r="FAG893" s="123"/>
      <c r="FAH893" s="123"/>
      <c r="FAI893" s="123"/>
      <c r="FAJ893" s="123"/>
      <c r="FAK893" s="123"/>
      <c r="FAL893" s="123"/>
      <c r="FAM893" s="123"/>
      <c r="FAN893" s="123"/>
      <c r="FAO893" s="123"/>
      <c r="FAP893" s="123"/>
      <c r="FAQ893" s="123"/>
      <c r="FAR893" s="123"/>
      <c r="FAS893" s="123"/>
      <c r="FAT893" s="123"/>
      <c r="FAU893" s="123"/>
      <c r="FAV893" s="123"/>
      <c r="FAW893" s="123"/>
      <c r="FAX893" s="123"/>
      <c r="FAY893" s="123"/>
      <c r="FAZ893" s="123"/>
      <c r="FBA893" s="123"/>
      <c r="FBB893" s="123"/>
      <c r="FBC893" s="123"/>
      <c r="FBD893" s="123"/>
      <c r="FBE893" s="123"/>
      <c r="FBF893" s="123"/>
      <c r="FBG893" s="123"/>
      <c r="FBH893" s="123"/>
      <c r="FBI893" s="123"/>
      <c r="FBJ893" s="123"/>
      <c r="FBK893" s="123"/>
      <c r="FBL893" s="123"/>
      <c r="FBM893" s="123"/>
      <c r="FBN893" s="123"/>
      <c r="FBO893" s="123"/>
      <c r="FBP893" s="123"/>
      <c r="FBQ893" s="123"/>
      <c r="FBR893" s="123"/>
      <c r="FBS893" s="123"/>
      <c r="FBT893" s="123"/>
      <c r="FBU893" s="123"/>
      <c r="FBV893" s="123"/>
      <c r="FBW893" s="123"/>
      <c r="FBX893" s="123"/>
      <c r="FBY893" s="123"/>
      <c r="FBZ893" s="123"/>
      <c r="FCA893" s="123"/>
      <c r="FCB893" s="123"/>
      <c r="FCC893" s="123"/>
      <c r="FCD893" s="123"/>
      <c r="FCE893" s="123"/>
      <c r="FCF893" s="123"/>
      <c r="FCG893" s="123"/>
      <c r="FCH893" s="123"/>
      <c r="FCI893" s="123"/>
      <c r="FCJ893" s="123"/>
      <c r="FCK893" s="123"/>
      <c r="FCL893" s="123"/>
      <c r="FCM893" s="123"/>
      <c r="FCN893" s="123"/>
      <c r="FCO893" s="123"/>
      <c r="FCP893" s="123"/>
      <c r="FCQ893" s="123"/>
      <c r="FCR893" s="123"/>
      <c r="FCS893" s="123"/>
      <c r="FCT893" s="123"/>
      <c r="FCU893" s="123"/>
      <c r="FCV893" s="123"/>
      <c r="FCW893" s="123"/>
      <c r="FCX893" s="123"/>
      <c r="FCY893" s="123"/>
      <c r="FCZ893" s="123"/>
      <c r="FDA893" s="123"/>
      <c r="FDB893" s="123"/>
      <c r="FDC893" s="123"/>
      <c r="FDD893" s="123"/>
      <c r="FDE893" s="123"/>
      <c r="FDF893" s="123"/>
      <c r="FDG893" s="123"/>
      <c r="FDH893" s="123"/>
      <c r="FDI893" s="123"/>
      <c r="FDJ893" s="123"/>
      <c r="FDK893" s="123"/>
      <c r="FDL893" s="123"/>
      <c r="FDM893" s="123"/>
      <c r="FDN893" s="123"/>
      <c r="FDO893" s="123"/>
      <c r="FDP893" s="123"/>
      <c r="FDQ893" s="123"/>
      <c r="FDR893" s="123"/>
      <c r="FDS893" s="123"/>
      <c r="FDT893" s="123"/>
      <c r="FDU893" s="123"/>
      <c r="FDV893" s="123"/>
      <c r="FDW893" s="123"/>
      <c r="FDX893" s="123"/>
      <c r="FDY893" s="123"/>
      <c r="FDZ893" s="123"/>
      <c r="FEA893" s="123"/>
      <c r="FEB893" s="123"/>
      <c r="FEC893" s="123"/>
      <c r="FED893" s="123"/>
      <c r="FEE893" s="123"/>
      <c r="FEF893" s="123"/>
      <c r="FEG893" s="123"/>
      <c r="FEH893" s="123"/>
      <c r="FEI893" s="123"/>
      <c r="FEJ893" s="123"/>
      <c r="FEK893" s="123"/>
      <c r="FEL893" s="123"/>
      <c r="FEM893" s="123"/>
      <c r="FEN893" s="123"/>
      <c r="FEO893" s="123"/>
      <c r="FEP893" s="123"/>
      <c r="FEQ893" s="123"/>
      <c r="FER893" s="123"/>
      <c r="FES893" s="123"/>
      <c r="FET893" s="123"/>
      <c r="FEU893" s="123"/>
      <c r="FEV893" s="123"/>
      <c r="FEW893" s="123"/>
      <c r="FEX893" s="123"/>
      <c r="FEY893" s="123"/>
      <c r="FEZ893" s="123"/>
      <c r="FFA893" s="123"/>
      <c r="FFB893" s="123"/>
      <c r="FFC893" s="123"/>
      <c r="FFD893" s="123"/>
      <c r="FFE893" s="123"/>
      <c r="FFF893" s="123"/>
      <c r="FFG893" s="123"/>
      <c r="FFH893" s="123"/>
      <c r="FFI893" s="123"/>
      <c r="FFJ893" s="123"/>
      <c r="FFK893" s="123"/>
      <c r="FFL893" s="123"/>
      <c r="FFM893" s="123"/>
      <c r="FFN893" s="123"/>
      <c r="FFO893" s="123"/>
      <c r="FFP893" s="123"/>
      <c r="FFQ893" s="123"/>
      <c r="FFR893" s="123"/>
      <c r="FFS893" s="123"/>
      <c r="FFT893" s="123"/>
      <c r="FFU893" s="123"/>
      <c r="FFV893" s="123"/>
      <c r="FFW893" s="123"/>
      <c r="FFX893" s="123"/>
      <c r="FFY893" s="123"/>
      <c r="FFZ893" s="123"/>
      <c r="FGA893" s="123"/>
      <c r="FGB893" s="123"/>
      <c r="FGC893" s="123"/>
      <c r="FGD893" s="123"/>
      <c r="FGE893" s="123"/>
      <c r="FGF893" s="123"/>
      <c r="FGG893" s="123"/>
      <c r="FGH893" s="123"/>
      <c r="FGI893" s="123"/>
      <c r="FGJ893" s="123"/>
      <c r="FGK893" s="123"/>
      <c r="FGL893" s="123"/>
      <c r="FGM893" s="123"/>
      <c r="FGN893" s="123"/>
      <c r="FGO893" s="123"/>
      <c r="FGP893" s="123"/>
      <c r="FGQ893" s="123"/>
      <c r="FGR893" s="123"/>
      <c r="FGS893" s="123"/>
      <c r="FGT893" s="123"/>
      <c r="FGU893" s="123"/>
      <c r="FGV893" s="123"/>
      <c r="FGW893" s="123"/>
      <c r="FGX893" s="123"/>
      <c r="FGY893" s="123"/>
      <c r="FGZ893" s="123"/>
      <c r="FHA893" s="123"/>
      <c r="FHB893" s="123"/>
      <c r="FHC893" s="123"/>
      <c r="FHD893" s="123"/>
      <c r="FHE893" s="123"/>
      <c r="FHF893" s="123"/>
      <c r="FHG893" s="123"/>
      <c r="FHH893" s="123"/>
      <c r="FHI893" s="123"/>
      <c r="FHJ893" s="123"/>
      <c r="FHK893" s="123"/>
      <c r="FHL893" s="123"/>
      <c r="FHM893" s="123"/>
      <c r="FHN893" s="123"/>
      <c r="FHO893" s="123"/>
      <c r="FHP893" s="123"/>
      <c r="FHQ893" s="123"/>
      <c r="FHR893" s="123"/>
      <c r="FHS893" s="123"/>
      <c r="FHT893" s="123"/>
      <c r="FHU893" s="123"/>
      <c r="FHV893" s="123"/>
      <c r="FHW893" s="123"/>
      <c r="FHX893" s="123"/>
      <c r="FHY893" s="123"/>
      <c r="FHZ893" s="123"/>
      <c r="FIA893" s="123"/>
      <c r="FIB893" s="123"/>
      <c r="FIC893" s="123"/>
      <c r="FID893" s="123"/>
      <c r="FIE893" s="123"/>
      <c r="FIF893" s="123"/>
      <c r="FIG893" s="123"/>
      <c r="FIH893" s="123"/>
      <c r="FII893" s="123"/>
      <c r="FIJ893" s="123"/>
      <c r="FIK893" s="123"/>
      <c r="FIL893" s="123"/>
      <c r="FIM893" s="123"/>
      <c r="FIN893" s="123"/>
      <c r="FIO893" s="123"/>
      <c r="FIP893" s="123"/>
      <c r="FIQ893" s="123"/>
      <c r="FIR893" s="123"/>
      <c r="FIS893" s="123"/>
      <c r="FIT893" s="123"/>
      <c r="FIU893" s="123"/>
      <c r="FIV893" s="123"/>
      <c r="FIW893" s="123"/>
      <c r="FIX893" s="123"/>
      <c r="FIY893" s="123"/>
      <c r="FIZ893" s="123"/>
      <c r="FJA893" s="123"/>
      <c r="FJB893" s="123"/>
      <c r="FJC893" s="123"/>
      <c r="FJD893" s="123"/>
      <c r="FJE893" s="123"/>
      <c r="FJF893" s="123"/>
      <c r="FJG893" s="123"/>
      <c r="FJH893" s="123"/>
      <c r="FJI893" s="123"/>
      <c r="FJJ893" s="123"/>
      <c r="FJK893" s="123"/>
      <c r="FJL893" s="123"/>
      <c r="FJM893" s="123"/>
      <c r="FJN893" s="123"/>
      <c r="FJO893" s="123"/>
      <c r="FJP893" s="123"/>
      <c r="FJQ893" s="123"/>
      <c r="FJR893" s="123"/>
      <c r="FJS893" s="123"/>
      <c r="FJT893" s="123"/>
      <c r="FJU893" s="123"/>
      <c r="FJV893" s="123"/>
      <c r="FJW893" s="123"/>
      <c r="FJX893" s="123"/>
      <c r="FJY893" s="123"/>
      <c r="FJZ893" s="123"/>
      <c r="FKA893" s="123"/>
      <c r="FKB893" s="123"/>
      <c r="FKC893" s="123"/>
      <c r="FKD893" s="123"/>
      <c r="FKE893" s="123"/>
      <c r="FKF893" s="123"/>
      <c r="FKG893" s="123"/>
      <c r="FKH893" s="123"/>
      <c r="FKI893" s="123"/>
      <c r="FKJ893" s="123"/>
      <c r="FKK893" s="123"/>
      <c r="FKL893" s="123"/>
      <c r="FKM893" s="123"/>
      <c r="FKN893" s="123"/>
      <c r="FKO893" s="123"/>
      <c r="FKP893" s="123"/>
      <c r="FKQ893" s="123"/>
      <c r="FKR893" s="123"/>
      <c r="FKS893" s="123"/>
      <c r="FKT893" s="123"/>
      <c r="FKU893" s="123"/>
      <c r="FKV893" s="123"/>
      <c r="FKW893" s="123"/>
      <c r="FKX893" s="123"/>
      <c r="FKY893" s="123"/>
      <c r="FKZ893" s="123"/>
      <c r="FLA893" s="123"/>
      <c r="FLB893" s="123"/>
      <c r="FLC893" s="123"/>
      <c r="FLD893" s="123"/>
      <c r="FLE893" s="123"/>
      <c r="FLF893" s="123"/>
      <c r="FLG893" s="123"/>
      <c r="FLH893" s="123"/>
      <c r="FLI893" s="123"/>
      <c r="FLJ893" s="123"/>
      <c r="FLK893" s="123"/>
      <c r="FLL893" s="123"/>
      <c r="FLM893" s="123"/>
      <c r="FLN893" s="123"/>
      <c r="FLO893" s="123"/>
      <c r="FLP893" s="123"/>
      <c r="FLQ893" s="123"/>
      <c r="FLR893" s="123"/>
      <c r="FLS893" s="123"/>
      <c r="FLT893" s="123"/>
      <c r="FLU893" s="123"/>
      <c r="FLV893" s="123"/>
      <c r="FLW893" s="123"/>
      <c r="FLX893" s="123"/>
      <c r="FLY893" s="123"/>
      <c r="FLZ893" s="123"/>
      <c r="FMA893" s="123"/>
      <c r="FMB893" s="123"/>
      <c r="FMC893" s="123"/>
      <c r="FMD893" s="123"/>
      <c r="FME893" s="123"/>
      <c r="FMF893" s="123"/>
      <c r="FMG893" s="123"/>
      <c r="FMH893" s="123"/>
      <c r="FMI893" s="123"/>
      <c r="FMJ893" s="123"/>
      <c r="FMK893" s="123"/>
      <c r="FML893" s="123"/>
      <c r="FMM893" s="123"/>
      <c r="FMN893" s="123"/>
      <c r="FMO893" s="123"/>
      <c r="FMP893" s="123"/>
      <c r="FMQ893" s="123"/>
      <c r="FMR893" s="123"/>
      <c r="FMS893" s="123"/>
      <c r="FMT893" s="123"/>
      <c r="FMU893" s="123"/>
      <c r="FMV893" s="123"/>
      <c r="FMW893" s="123"/>
      <c r="FMX893" s="123"/>
      <c r="FMY893" s="123"/>
      <c r="FMZ893" s="123"/>
      <c r="FNA893" s="123"/>
      <c r="FNB893" s="123"/>
      <c r="FNC893" s="123"/>
      <c r="FND893" s="123"/>
      <c r="FNE893" s="123"/>
      <c r="FNF893" s="123"/>
      <c r="FNG893" s="123"/>
      <c r="FNH893" s="123"/>
      <c r="FNI893" s="123"/>
      <c r="FNJ893" s="123"/>
      <c r="FNK893" s="123"/>
      <c r="FNL893" s="123"/>
      <c r="FNM893" s="123"/>
      <c r="FNN893" s="123"/>
      <c r="FNO893" s="123"/>
      <c r="FNP893" s="123"/>
      <c r="FNQ893" s="123"/>
      <c r="FNR893" s="123"/>
      <c r="FNS893" s="123"/>
      <c r="FNT893" s="123"/>
      <c r="FNU893" s="123"/>
      <c r="FNV893" s="123"/>
      <c r="FNW893" s="123"/>
      <c r="FNX893" s="123"/>
      <c r="FNY893" s="123"/>
      <c r="FNZ893" s="123"/>
      <c r="FOA893" s="123"/>
      <c r="FOB893" s="123"/>
      <c r="FOC893" s="123"/>
      <c r="FOD893" s="123"/>
      <c r="FOE893" s="123"/>
      <c r="FOF893" s="123"/>
      <c r="FOG893" s="123"/>
      <c r="FOH893" s="123"/>
      <c r="FOI893" s="123"/>
      <c r="FOJ893" s="123"/>
      <c r="FOK893" s="123"/>
      <c r="FOL893" s="123"/>
      <c r="FOM893" s="123"/>
      <c r="FON893" s="123"/>
      <c r="FOO893" s="123"/>
      <c r="FOP893" s="123"/>
      <c r="FOQ893" s="123"/>
      <c r="FOR893" s="123"/>
      <c r="FOS893" s="123"/>
      <c r="FOT893" s="123"/>
      <c r="FOU893" s="123"/>
      <c r="FOV893" s="123"/>
      <c r="FOW893" s="123"/>
      <c r="FOX893" s="123"/>
      <c r="FOY893" s="123"/>
      <c r="FOZ893" s="123"/>
      <c r="FPA893" s="123"/>
      <c r="FPB893" s="123"/>
      <c r="FPC893" s="123"/>
      <c r="FPD893" s="123"/>
      <c r="FPE893" s="123"/>
      <c r="FPF893" s="123"/>
      <c r="FPG893" s="123"/>
      <c r="FPH893" s="123"/>
      <c r="FPI893" s="123"/>
      <c r="FPJ893" s="123"/>
      <c r="FPK893" s="123"/>
      <c r="FPL893" s="123"/>
      <c r="FPM893" s="123"/>
      <c r="FPN893" s="123"/>
      <c r="FPO893" s="123"/>
      <c r="FPP893" s="123"/>
      <c r="FPQ893" s="123"/>
      <c r="FPR893" s="123"/>
      <c r="FPS893" s="123"/>
      <c r="FPT893" s="123"/>
      <c r="FPU893" s="123"/>
      <c r="FPV893" s="123"/>
      <c r="FPW893" s="123"/>
      <c r="FPX893" s="123"/>
      <c r="FPY893" s="123"/>
      <c r="FPZ893" s="123"/>
      <c r="FQA893" s="123"/>
      <c r="FQB893" s="123"/>
      <c r="FQC893" s="123"/>
      <c r="FQD893" s="123"/>
      <c r="FQE893" s="123"/>
      <c r="FQF893" s="123"/>
      <c r="FQG893" s="123"/>
      <c r="FQH893" s="123"/>
      <c r="FQI893" s="123"/>
      <c r="FQJ893" s="123"/>
      <c r="FQK893" s="123"/>
      <c r="FQL893" s="123"/>
      <c r="FQM893" s="123"/>
      <c r="FQN893" s="123"/>
      <c r="FQO893" s="123"/>
      <c r="FQP893" s="123"/>
      <c r="FQQ893" s="123"/>
      <c r="FQR893" s="123"/>
      <c r="FQS893" s="123"/>
      <c r="FQT893" s="123"/>
      <c r="FQU893" s="123"/>
      <c r="FQV893" s="123"/>
      <c r="FQW893" s="123"/>
      <c r="FQX893" s="123"/>
      <c r="FQY893" s="123"/>
      <c r="FQZ893" s="123"/>
      <c r="FRA893" s="123"/>
      <c r="FRB893" s="123"/>
      <c r="FRC893" s="123"/>
      <c r="FRD893" s="123"/>
      <c r="FRE893" s="123"/>
      <c r="FRF893" s="123"/>
      <c r="FRG893" s="123"/>
      <c r="FRH893" s="123"/>
      <c r="FRI893" s="123"/>
      <c r="FRJ893" s="123"/>
      <c r="FRK893" s="123"/>
      <c r="FRL893" s="123"/>
      <c r="FRM893" s="123"/>
      <c r="FRN893" s="123"/>
      <c r="FRO893" s="123"/>
      <c r="FRP893" s="123"/>
      <c r="FRQ893" s="123"/>
      <c r="FRR893" s="123"/>
      <c r="FRS893" s="123"/>
      <c r="FRT893" s="123"/>
      <c r="FRU893" s="123"/>
      <c r="FRV893" s="123"/>
      <c r="FRW893" s="123"/>
      <c r="FRX893" s="123"/>
      <c r="FRY893" s="123"/>
      <c r="FRZ893" s="123"/>
      <c r="FSA893" s="123"/>
      <c r="FSB893" s="123"/>
      <c r="FSC893" s="123"/>
      <c r="FSD893" s="123"/>
      <c r="FSE893" s="123"/>
      <c r="FSF893" s="123"/>
      <c r="FSG893" s="123"/>
      <c r="FSH893" s="123"/>
      <c r="FSI893" s="123"/>
      <c r="FSJ893" s="123"/>
      <c r="FSK893" s="123"/>
      <c r="FSL893" s="123"/>
      <c r="FSM893" s="123"/>
      <c r="FSN893" s="123"/>
      <c r="FSO893" s="123"/>
      <c r="FSP893" s="123"/>
      <c r="FSQ893" s="123"/>
      <c r="FSR893" s="123"/>
      <c r="FSS893" s="123"/>
      <c r="FST893" s="123"/>
      <c r="FSU893" s="123"/>
      <c r="FSV893" s="123"/>
      <c r="FSW893" s="123"/>
      <c r="FSX893" s="123"/>
      <c r="FSY893" s="123"/>
      <c r="FSZ893" s="123"/>
      <c r="FTA893" s="123"/>
      <c r="FTB893" s="123"/>
      <c r="FTC893" s="123"/>
      <c r="FTD893" s="123"/>
      <c r="FTE893" s="123"/>
      <c r="FTF893" s="123"/>
      <c r="FTG893" s="123"/>
      <c r="FTH893" s="123"/>
      <c r="FTI893" s="123"/>
      <c r="FTJ893" s="123"/>
      <c r="FTK893" s="123"/>
      <c r="FTL893" s="123"/>
      <c r="FTM893" s="123"/>
      <c r="FTN893" s="123"/>
      <c r="FTO893" s="123"/>
      <c r="FTP893" s="123"/>
      <c r="FTQ893" s="123"/>
      <c r="FTR893" s="123"/>
      <c r="FTS893" s="123"/>
      <c r="FTT893" s="123"/>
      <c r="FTU893" s="123"/>
      <c r="FTV893" s="123"/>
      <c r="FTW893" s="123"/>
      <c r="FTX893" s="123"/>
      <c r="FTY893" s="123"/>
      <c r="FTZ893" s="123"/>
      <c r="FUA893" s="123"/>
      <c r="FUB893" s="123"/>
      <c r="FUC893" s="123"/>
      <c r="FUD893" s="123"/>
      <c r="FUE893" s="123"/>
      <c r="FUF893" s="123"/>
      <c r="FUG893" s="123"/>
      <c r="FUH893" s="123"/>
      <c r="FUI893" s="123"/>
      <c r="FUJ893" s="123"/>
      <c r="FUK893" s="123"/>
      <c r="FUL893" s="123"/>
      <c r="FUM893" s="123"/>
      <c r="FUN893" s="123"/>
      <c r="FUO893" s="123"/>
      <c r="FUP893" s="123"/>
      <c r="FUQ893" s="123"/>
      <c r="FUR893" s="123"/>
      <c r="FUS893" s="123"/>
      <c r="FUT893" s="123"/>
      <c r="FUU893" s="123"/>
      <c r="FUV893" s="123"/>
      <c r="FUW893" s="123"/>
      <c r="FUX893" s="123"/>
      <c r="FUY893" s="123"/>
      <c r="FUZ893" s="123"/>
      <c r="FVA893" s="123"/>
      <c r="FVB893" s="123"/>
      <c r="FVC893" s="123"/>
      <c r="FVD893" s="123"/>
      <c r="FVE893" s="123"/>
      <c r="FVF893" s="123"/>
      <c r="FVG893" s="123"/>
      <c r="FVH893" s="123"/>
      <c r="FVI893" s="123"/>
      <c r="FVJ893" s="123"/>
      <c r="FVK893" s="123"/>
      <c r="FVL893" s="123"/>
      <c r="FVM893" s="123"/>
      <c r="FVN893" s="123"/>
      <c r="FVO893" s="123"/>
      <c r="FVP893" s="123"/>
      <c r="FVQ893" s="123"/>
      <c r="FVR893" s="123"/>
      <c r="FVS893" s="123"/>
      <c r="FVT893" s="123"/>
      <c r="FVU893" s="123"/>
      <c r="FVV893" s="123"/>
      <c r="FVW893" s="123"/>
      <c r="FVX893" s="123"/>
      <c r="FVY893" s="123"/>
      <c r="FVZ893" s="123"/>
      <c r="FWA893" s="123"/>
      <c r="FWB893" s="123"/>
      <c r="FWC893" s="123"/>
      <c r="FWD893" s="123"/>
      <c r="FWE893" s="123"/>
      <c r="FWF893" s="123"/>
      <c r="FWG893" s="123"/>
      <c r="FWH893" s="123"/>
      <c r="FWI893" s="123"/>
      <c r="FWJ893" s="123"/>
      <c r="FWK893" s="123"/>
      <c r="FWL893" s="123"/>
      <c r="FWM893" s="123"/>
      <c r="FWN893" s="123"/>
      <c r="FWO893" s="123"/>
      <c r="FWP893" s="123"/>
      <c r="FWQ893" s="123"/>
      <c r="FWR893" s="123"/>
      <c r="FWS893" s="123"/>
      <c r="FWT893" s="123"/>
      <c r="FWU893" s="123"/>
      <c r="FWV893" s="123"/>
      <c r="FWW893" s="123"/>
      <c r="FWX893" s="123"/>
      <c r="FWY893" s="123"/>
      <c r="FWZ893" s="123"/>
      <c r="FXA893" s="123"/>
      <c r="FXB893" s="123"/>
      <c r="FXC893" s="123"/>
      <c r="FXD893" s="123"/>
      <c r="FXE893" s="123"/>
      <c r="FXF893" s="123"/>
      <c r="FXG893" s="123"/>
      <c r="FXH893" s="123"/>
      <c r="FXI893" s="123"/>
      <c r="FXJ893" s="123"/>
      <c r="FXK893" s="123"/>
      <c r="FXL893" s="123"/>
      <c r="FXM893" s="123"/>
      <c r="FXN893" s="123"/>
      <c r="FXO893" s="123"/>
      <c r="FXP893" s="123"/>
      <c r="FXQ893" s="123"/>
      <c r="FXR893" s="123"/>
      <c r="FXS893" s="123"/>
      <c r="FXT893" s="123"/>
      <c r="FXU893" s="123"/>
      <c r="FXV893" s="123"/>
      <c r="FXW893" s="123"/>
      <c r="FXX893" s="123"/>
      <c r="FXY893" s="123"/>
      <c r="FXZ893" s="123"/>
      <c r="FYA893" s="123"/>
      <c r="FYB893" s="123"/>
      <c r="FYC893" s="123"/>
      <c r="FYD893" s="123"/>
      <c r="FYE893" s="123"/>
      <c r="FYF893" s="123"/>
      <c r="FYG893" s="123"/>
      <c r="FYH893" s="123"/>
      <c r="FYI893" s="123"/>
      <c r="FYJ893" s="123"/>
      <c r="FYK893" s="123"/>
      <c r="FYL893" s="123"/>
      <c r="FYM893" s="123"/>
      <c r="FYN893" s="123"/>
      <c r="FYO893" s="123"/>
      <c r="FYP893" s="123"/>
      <c r="FYQ893" s="123"/>
      <c r="FYR893" s="123"/>
      <c r="FYS893" s="123"/>
      <c r="FYT893" s="123"/>
      <c r="FYU893" s="123"/>
      <c r="FYV893" s="123"/>
      <c r="FYW893" s="123"/>
      <c r="FYX893" s="123"/>
      <c r="FYY893" s="123"/>
      <c r="FYZ893" s="123"/>
      <c r="FZA893" s="123"/>
      <c r="FZB893" s="123"/>
      <c r="FZC893" s="123"/>
      <c r="FZD893" s="123"/>
      <c r="FZE893" s="123"/>
      <c r="FZF893" s="123"/>
      <c r="FZG893" s="123"/>
      <c r="FZH893" s="123"/>
      <c r="FZI893" s="123"/>
      <c r="FZJ893" s="123"/>
      <c r="FZK893" s="123"/>
      <c r="FZL893" s="123"/>
      <c r="FZM893" s="123"/>
      <c r="FZN893" s="123"/>
      <c r="FZO893" s="123"/>
      <c r="FZP893" s="123"/>
      <c r="FZQ893" s="123"/>
      <c r="FZR893" s="123"/>
      <c r="FZS893" s="123"/>
      <c r="FZT893" s="123"/>
      <c r="FZU893" s="123"/>
      <c r="FZV893" s="123"/>
      <c r="FZW893" s="123"/>
      <c r="FZX893" s="123"/>
      <c r="FZY893" s="123"/>
      <c r="FZZ893" s="123"/>
      <c r="GAA893" s="123"/>
      <c r="GAB893" s="123"/>
      <c r="GAC893" s="123"/>
      <c r="GAD893" s="123"/>
      <c r="GAE893" s="123"/>
      <c r="GAF893" s="123"/>
      <c r="GAG893" s="123"/>
      <c r="GAH893" s="123"/>
      <c r="GAI893" s="123"/>
      <c r="GAJ893" s="123"/>
      <c r="GAK893" s="123"/>
      <c r="GAL893" s="123"/>
      <c r="GAM893" s="123"/>
      <c r="GAN893" s="123"/>
      <c r="GAO893" s="123"/>
      <c r="GAP893" s="123"/>
      <c r="GAQ893" s="123"/>
      <c r="GAR893" s="123"/>
      <c r="GAS893" s="123"/>
      <c r="GAT893" s="123"/>
      <c r="GAU893" s="123"/>
      <c r="GAV893" s="123"/>
      <c r="GAW893" s="123"/>
      <c r="GAX893" s="123"/>
      <c r="GAY893" s="123"/>
      <c r="GAZ893" s="123"/>
      <c r="GBA893" s="123"/>
      <c r="GBB893" s="123"/>
      <c r="GBC893" s="123"/>
      <c r="GBD893" s="123"/>
      <c r="GBE893" s="123"/>
      <c r="GBF893" s="123"/>
      <c r="GBG893" s="123"/>
      <c r="GBH893" s="123"/>
      <c r="GBI893" s="123"/>
      <c r="GBJ893" s="123"/>
      <c r="GBK893" s="123"/>
      <c r="GBL893" s="123"/>
      <c r="GBM893" s="123"/>
      <c r="GBN893" s="123"/>
      <c r="GBO893" s="123"/>
      <c r="GBP893" s="123"/>
      <c r="GBQ893" s="123"/>
      <c r="GBR893" s="123"/>
      <c r="GBS893" s="123"/>
      <c r="GBT893" s="123"/>
      <c r="GBU893" s="123"/>
      <c r="GBV893" s="123"/>
      <c r="GBW893" s="123"/>
      <c r="GBX893" s="123"/>
      <c r="GBY893" s="123"/>
      <c r="GBZ893" s="123"/>
      <c r="GCA893" s="123"/>
      <c r="GCB893" s="123"/>
      <c r="GCC893" s="123"/>
      <c r="GCD893" s="123"/>
      <c r="GCE893" s="123"/>
      <c r="GCF893" s="123"/>
      <c r="GCG893" s="123"/>
      <c r="GCH893" s="123"/>
      <c r="GCI893" s="123"/>
      <c r="GCJ893" s="123"/>
      <c r="GCK893" s="123"/>
      <c r="GCL893" s="123"/>
      <c r="GCM893" s="123"/>
      <c r="GCN893" s="123"/>
      <c r="GCO893" s="123"/>
      <c r="GCP893" s="123"/>
      <c r="GCQ893" s="123"/>
      <c r="GCR893" s="123"/>
      <c r="GCS893" s="123"/>
      <c r="GCT893" s="123"/>
      <c r="GCU893" s="123"/>
      <c r="GCV893" s="123"/>
      <c r="GCW893" s="123"/>
      <c r="GCX893" s="123"/>
      <c r="GCY893" s="123"/>
      <c r="GCZ893" s="123"/>
      <c r="GDA893" s="123"/>
      <c r="GDB893" s="123"/>
      <c r="GDC893" s="123"/>
      <c r="GDD893" s="123"/>
      <c r="GDE893" s="123"/>
      <c r="GDF893" s="123"/>
      <c r="GDG893" s="123"/>
      <c r="GDH893" s="123"/>
      <c r="GDI893" s="123"/>
      <c r="GDJ893" s="123"/>
      <c r="GDK893" s="123"/>
      <c r="GDL893" s="123"/>
      <c r="GDM893" s="123"/>
      <c r="GDN893" s="123"/>
      <c r="GDO893" s="123"/>
      <c r="GDP893" s="123"/>
      <c r="GDQ893" s="123"/>
      <c r="GDR893" s="123"/>
      <c r="GDS893" s="123"/>
      <c r="GDT893" s="123"/>
      <c r="GDU893" s="123"/>
      <c r="GDV893" s="123"/>
      <c r="GDW893" s="123"/>
      <c r="GDX893" s="123"/>
      <c r="GDY893" s="123"/>
      <c r="GDZ893" s="123"/>
      <c r="GEA893" s="123"/>
      <c r="GEB893" s="123"/>
      <c r="GEC893" s="123"/>
      <c r="GED893" s="123"/>
      <c r="GEE893" s="123"/>
      <c r="GEF893" s="123"/>
      <c r="GEG893" s="123"/>
      <c r="GEH893" s="123"/>
      <c r="GEI893" s="123"/>
      <c r="GEJ893" s="123"/>
      <c r="GEK893" s="123"/>
      <c r="GEL893" s="123"/>
      <c r="GEM893" s="123"/>
      <c r="GEN893" s="123"/>
      <c r="GEO893" s="123"/>
      <c r="GEP893" s="123"/>
      <c r="GEQ893" s="123"/>
      <c r="GER893" s="123"/>
      <c r="GES893" s="123"/>
      <c r="GET893" s="123"/>
      <c r="GEU893" s="123"/>
      <c r="GEV893" s="123"/>
      <c r="GEW893" s="123"/>
      <c r="GEX893" s="123"/>
      <c r="GEY893" s="123"/>
      <c r="GEZ893" s="123"/>
      <c r="GFA893" s="123"/>
      <c r="GFB893" s="123"/>
      <c r="GFC893" s="123"/>
      <c r="GFD893" s="123"/>
      <c r="GFE893" s="123"/>
      <c r="GFF893" s="123"/>
      <c r="GFG893" s="123"/>
      <c r="GFH893" s="123"/>
      <c r="GFI893" s="123"/>
      <c r="GFJ893" s="123"/>
      <c r="GFK893" s="123"/>
      <c r="GFL893" s="123"/>
      <c r="GFM893" s="123"/>
      <c r="GFN893" s="123"/>
      <c r="GFO893" s="123"/>
      <c r="GFP893" s="123"/>
      <c r="GFQ893" s="123"/>
      <c r="GFR893" s="123"/>
      <c r="GFS893" s="123"/>
      <c r="GFT893" s="123"/>
      <c r="GFU893" s="123"/>
      <c r="GFV893" s="123"/>
      <c r="GFW893" s="123"/>
      <c r="GFX893" s="123"/>
      <c r="GFY893" s="123"/>
      <c r="GFZ893" s="123"/>
      <c r="GGA893" s="123"/>
      <c r="GGB893" s="123"/>
      <c r="GGC893" s="123"/>
      <c r="GGD893" s="123"/>
      <c r="GGE893" s="123"/>
      <c r="GGF893" s="123"/>
      <c r="GGG893" s="123"/>
      <c r="GGH893" s="123"/>
      <c r="GGI893" s="123"/>
      <c r="GGJ893" s="123"/>
      <c r="GGK893" s="123"/>
      <c r="GGL893" s="123"/>
      <c r="GGM893" s="123"/>
      <c r="GGN893" s="123"/>
      <c r="GGO893" s="123"/>
      <c r="GGP893" s="123"/>
      <c r="GGQ893" s="123"/>
      <c r="GGR893" s="123"/>
      <c r="GGS893" s="123"/>
      <c r="GGT893" s="123"/>
      <c r="GGU893" s="123"/>
      <c r="GGV893" s="123"/>
      <c r="GGW893" s="123"/>
      <c r="GGX893" s="123"/>
      <c r="GGY893" s="123"/>
      <c r="GGZ893" s="123"/>
      <c r="GHA893" s="123"/>
      <c r="GHB893" s="123"/>
      <c r="GHC893" s="123"/>
      <c r="GHD893" s="123"/>
      <c r="GHE893" s="123"/>
      <c r="GHF893" s="123"/>
      <c r="GHG893" s="123"/>
      <c r="GHH893" s="123"/>
      <c r="GHI893" s="123"/>
      <c r="GHJ893" s="123"/>
      <c r="GHK893" s="123"/>
      <c r="GHL893" s="123"/>
      <c r="GHM893" s="123"/>
      <c r="GHN893" s="123"/>
      <c r="GHO893" s="123"/>
      <c r="GHP893" s="123"/>
      <c r="GHQ893" s="123"/>
      <c r="GHR893" s="123"/>
      <c r="GHS893" s="123"/>
      <c r="GHT893" s="123"/>
      <c r="GHU893" s="123"/>
      <c r="GHV893" s="123"/>
      <c r="GHW893" s="123"/>
      <c r="GHX893" s="123"/>
      <c r="GHY893" s="123"/>
      <c r="GHZ893" s="123"/>
      <c r="GIA893" s="123"/>
      <c r="GIB893" s="123"/>
      <c r="GIC893" s="123"/>
      <c r="GID893" s="123"/>
      <c r="GIE893" s="123"/>
      <c r="GIF893" s="123"/>
      <c r="GIG893" s="123"/>
      <c r="GIH893" s="123"/>
      <c r="GII893" s="123"/>
      <c r="GIJ893" s="123"/>
      <c r="GIK893" s="123"/>
      <c r="GIL893" s="123"/>
      <c r="GIM893" s="123"/>
      <c r="GIN893" s="123"/>
      <c r="GIO893" s="123"/>
      <c r="GIP893" s="123"/>
      <c r="GIQ893" s="123"/>
      <c r="GIR893" s="123"/>
      <c r="GIS893" s="123"/>
      <c r="GIT893" s="123"/>
      <c r="GIU893" s="123"/>
      <c r="GIV893" s="123"/>
      <c r="GIW893" s="123"/>
      <c r="GIX893" s="123"/>
      <c r="GIY893" s="123"/>
      <c r="GIZ893" s="123"/>
      <c r="GJA893" s="123"/>
      <c r="GJB893" s="123"/>
      <c r="GJC893" s="123"/>
      <c r="GJD893" s="123"/>
      <c r="GJE893" s="123"/>
      <c r="GJF893" s="123"/>
      <c r="GJG893" s="123"/>
      <c r="GJH893" s="123"/>
      <c r="GJI893" s="123"/>
      <c r="GJJ893" s="123"/>
      <c r="GJK893" s="123"/>
      <c r="GJL893" s="123"/>
      <c r="GJM893" s="123"/>
      <c r="GJN893" s="123"/>
      <c r="GJO893" s="123"/>
      <c r="GJP893" s="123"/>
      <c r="GJQ893" s="123"/>
      <c r="GJR893" s="123"/>
      <c r="GJS893" s="123"/>
      <c r="GJT893" s="123"/>
      <c r="GJU893" s="123"/>
      <c r="GJV893" s="123"/>
      <c r="GJW893" s="123"/>
      <c r="GJX893" s="123"/>
      <c r="GJY893" s="123"/>
      <c r="GJZ893" s="123"/>
      <c r="GKA893" s="123"/>
      <c r="GKB893" s="123"/>
      <c r="GKC893" s="123"/>
      <c r="GKD893" s="123"/>
      <c r="GKE893" s="123"/>
      <c r="GKF893" s="123"/>
      <c r="GKG893" s="123"/>
      <c r="GKH893" s="123"/>
      <c r="GKI893" s="123"/>
      <c r="GKJ893" s="123"/>
      <c r="GKK893" s="123"/>
      <c r="GKL893" s="123"/>
      <c r="GKM893" s="123"/>
      <c r="GKN893" s="123"/>
      <c r="GKO893" s="123"/>
      <c r="GKP893" s="123"/>
      <c r="GKQ893" s="123"/>
      <c r="GKR893" s="123"/>
      <c r="GKS893" s="123"/>
      <c r="GKT893" s="123"/>
      <c r="GKU893" s="123"/>
      <c r="GKV893" s="123"/>
      <c r="GKW893" s="123"/>
      <c r="GKX893" s="123"/>
      <c r="GKY893" s="123"/>
      <c r="GKZ893" s="123"/>
      <c r="GLA893" s="123"/>
      <c r="GLB893" s="123"/>
      <c r="GLC893" s="123"/>
      <c r="GLD893" s="123"/>
      <c r="GLE893" s="123"/>
      <c r="GLF893" s="123"/>
      <c r="GLG893" s="123"/>
      <c r="GLH893" s="123"/>
      <c r="GLI893" s="123"/>
      <c r="GLJ893" s="123"/>
      <c r="GLK893" s="123"/>
      <c r="GLL893" s="123"/>
      <c r="GLM893" s="123"/>
      <c r="GLN893" s="123"/>
      <c r="GLO893" s="123"/>
      <c r="GLP893" s="123"/>
      <c r="GLQ893" s="123"/>
      <c r="GLR893" s="123"/>
      <c r="GLS893" s="123"/>
      <c r="GLT893" s="123"/>
      <c r="GLU893" s="123"/>
      <c r="GLV893" s="123"/>
      <c r="GLW893" s="123"/>
      <c r="GLX893" s="123"/>
      <c r="GLY893" s="123"/>
      <c r="GLZ893" s="123"/>
      <c r="GMA893" s="123"/>
      <c r="GMB893" s="123"/>
      <c r="GMC893" s="123"/>
      <c r="GMD893" s="123"/>
      <c r="GME893" s="123"/>
      <c r="GMF893" s="123"/>
      <c r="GMG893" s="123"/>
      <c r="GMH893" s="123"/>
      <c r="GMI893" s="123"/>
      <c r="GMJ893" s="123"/>
      <c r="GMK893" s="123"/>
      <c r="GML893" s="123"/>
      <c r="GMM893" s="123"/>
      <c r="GMN893" s="123"/>
      <c r="GMO893" s="123"/>
      <c r="GMP893" s="123"/>
      <c r="GMQ893" s="123"/>
      <c r="GMR893" s="123"/>
      <c r="GMS893" s="123"/>
      <c r="GMT893" s="123"/>
      <c r="GMU893" s="123"/>
      <c r="GMV893" s="123"/>
      <c r="GMW893" s="123"/>
      <c r="GMX893" s="123"/>
      <c r="GMY893" s="123"/>
      <c r="GMZ893" s="123"/>
      <c r="GNA893" s="123"/>
      <c r="GNB893" s="123"/>
      <c r="GNC893" s="123"/>
      <c r="GND893" s="123"/>
      <c r="GNE893" s="123"/>
      <c r="GNF893" s="123"/>
      <c r="GNG893" s="123"/>
      <c r="GNH893" s="123"/>
      <c r="GNI893" s="123"/>
      <c r="GNJ893" s="123"/>
      <c r="GNK893" s="123"/>
      <c r="GNL893" s="123"/>
      <c r="GNM893" s="123"/>
      <c r="GNN893" s="123"/>
      <c r="GNO893" s="123"/>
      <c r="GNP893" s="123"/>
      <c r="GNQ893" s="123"/>
      <c r="GNR893" s="123"/>
      <c r="GNS893" s="123"/>
      <c r="GNT893" s="123"/>
      <c r="GNU893" s="123"/>
      <c r="GNV893" s="123"/>
      <c r="GNW893" s="123"/>
      <c r="GNX893" s="123"/>
      <c r="GNY893" s="123"/>
      <c r="GNZ893" s="123"/>
      <c r="GOA893" s="123"/>
      <c r="GOB893" s="123"/>
      <c r="GOC893" s="123"/>
      <c r="GOD893" s="123"/>
      <c r="GOE893" s="123"/>
      <c r="GOF893" s="123"/>
      <c r="GOG893" s="123"/>
      <c r="GOH893" s="123"/>
      <c r="GOI893" s="123"/>
      <c r="GOJ893" s="123"/>
      <c r="GOK893" s="123"/>
      <c r="GOL893" s="123"/>
      <c r="GOM893" s="123"/>
      <c r="GON893" s="123"/>
      <c r="GOO893" s="123"/>
      <c r="GOP893" s="123"/>
      <c r="GOQ893" s="123"/>
      <c r="GOR893" s="123"/>
      <c r="GOS893" s="123"/>
      <c r="GOT893" s="123"/>
      <c r="GOU893" s="123"/>
      <c r="GOV893" s="123"/>
      <c r="GOW893" s="123"/>
      <c r="GOX893" s="123"/>
      <c r="GOY893" s="123"/>
      <c r="GOZ893" s="123"/>
      <c r="GPA893" s="123"/>
      <c r="GPB893" s="123"/>
      <c r="GPC893" s="123"/>
      <c r="GPD893" s="123"/>
      <c r="GPE893" s="123"/>
      <c r="GPF893" s="123"/>
      <c r="GPG893" s="123"/>
      <c r="GPH893" s="123"/>
      <c r="GPI893" s="123"/>
      <c r="GPJ893" s="123"/>
      <c r="GPK893" s="123"/>
      <c r="GPL893" s="123"/>
      <c r="GPM893" s="123"/>
      <c r="GPN893" s="123"/>
      <c r="GPO893" s="123"/>
      <c r="GPP893" s="123"/>
      <c r="GPQ893" s="123"/>
      <c r="GPR893" s="123"/>
      <c r="GPS893" s="123"/>
      <c r="GPT893" s="123"/>
      <c r="GPU893" s="123"/>
      <c r="GPV893" s="123"/>
      <c r="GPW893" s="123"/>
      <c r="GPX893" s="123"/>
      <c r="GPY893" s="123"/>
      <c r="GPZ893" s="123"/>
      <c r="GQA893" s="123"/>
      <c r="GQB893" s="123"/>
      <c r="GQC893" s="123"/>
      <c r="GQD893" s="123"/>
      <c r="GQE893" s="123"/>
      <c r="GQF893" s="123"/>
      <c r="GQG893" s="123"/>
      <c r="GQH893" s="123"/>
      <c r="GQI893" s="123"/>
      <c r="GQJ893" s="123"/>
      <c r="GQK893" s="123"/>
      <c r="GQL893" s="123"/>
      <c r="GQM893" s="123"/>
      <c r="GQN893" s="123"/>
      <c r="GQO893" s="123"/>
      <c r="GQP893" s="123"/>
      <c r="GQQ893" s="123"/>
      <c r="GQR893" s="123"/>
      <c r="GQS893" s="123"/>
      <c r="GQT893" s="123"/>
      <c r="GQU893" s="123"/>
      <c r="GQV893" s="123"/>
      <c r="GQW893" s="123"/>
      <c r="GQX893" s="123"/>
      <c r="GQY893" s="123"/>
      <c r="GQZ893" s="123"/>
      <c r="GRA893" s="123"/>
      <c r="GRB893" s="123"/>
      <c r="GRC893" s="123"/>
      <c r="GRD893" s="123"/>
      <c r="GRE893" s="123"/>
      <c r="GRF893" s="123"/>
      <c r="GRG893" s="123"/>
      <c r="GRH893" s="123"/>
      <c r="GRI893" s="123"/>
      <c r="GRJ893" s="123"/>
      <c r="GRK893" s="123"/>
      <c r="GRL893" s="123"/>
      <c r="GRM893" s="123"/>
      <c r="GRN893" s="123"/>
      <c r="GRO893" s="123"/>
      <c r="GRP893" s="123"/>
      <c r="GRQ893" s="123"/>
      <c r="GRR893" s="123"/>
      <c r="GRS893" s="123"/>
      <c r="GRT893" s="123"/>
      <c r="GRU893" s="123"/>
      <c r="GRV893" s="123"/>
      <c r="GRW893" s="123"/>
      <c r="GRX893" s="123"/>
      <c r="GRY893" s="123"/>
      <c r="GRZ893" s="123"/>
      <c r="GSA893" s="123"/>
      <c r="GSB893" s="123"/>
      <c r="GSC893" s="123"/>
      <c r="GSD893" s="123"/>
      <c r="GSE893" s="123"/>
      <c r="GSF893" s="123"/>
      <c r="GSG893" s="123"/>
      <c r="GSH893" s="123"/>
      <c r="GSI893" s="123"/>
      <c r="GSJ893" s="123"/>
      <c r="GSK893" s="123"/>
      <c r="GSL893" s="123"/>
      <c r="GSM893" s="123"/>
      <c r="GSN893" s="123"/>
      <c r="GSO893" s="123"/>
      <c r="GSP893" s="123"/>
      <c r="GSQ893" s="123"/>
      <c r="GSR893" s="123"/>
      <c r="GSS893" s="123"/>
      <c r="GST893" s="123"/>
      <c r="GSU893" s="123"/>
      <c r="GSV893" s="123"/>
      <c r="GSW893" s="123"/>
      <c r="GSX893" s="123"/>
      <c r="GSY893" s="123"/>
      <c r="GSZ893" s="123"/>
      <c r="GTA893" s="123"/>
      <c r="GTB893" s="123"/>
      <c r="GTC893" s="123"/>
      <c r="GTD893" s="123"/>
      <c r="GTE893" s="123"/>
      <c r="GTF893" s="123"/>
      <c r="GTG893" s="123"/>
      <c r="GTH893" s="123"/>
      <c r="GTI893" s="123"/>
      <c r="GTJ893" s="123"/>
      <c r="GTK893" s="123"/>
      <c r="GTL893" s="123"/>
      <c r="GTM893" s="123"/>
      <c r="GTN893" s="123"/>
      <c r="GTO893" s="123"/>
      <c r="GTP893" s="123"/>
      <c r="GTQ893" s="123"/>
      <c r="GTR893" s="123"/>
      <c r="GTS893" s="123"/>
      <c r="GTT893" s="123"/>
      <c r="GTU893" s="123"/>
      <c r="GTV893" s="123"/>
      <c r="GTW893" s="123"/>
      <c r="GTX893" s="123"/>
      <c r="GTY893" s="123"/>
      <c r="GTZ893" s="123"/>
      <c r="GUA893" s="123"/>
      <c r="GUB893" s="123"/>
      <c r="GUC893" s="123"/>
      <c r="GUD893" s="123"/>
      <c r="GUE893" s="123"/>
      <c r="GUF893" s="123"/>
      <c r="GUG893" s="123"/>
      <c r="GUH893" s="123"/>
      <c r="GUI893" s="123"/>
      <c r="GUJ893" s="123"/>
      <c r="GUK893" s="123"/>
      <c r="GUL893" s="123"/>
      <c r="GUM893" s="123"/>
      <c r="GUN893" s="123"/>
      <c r="GUO893" s="123"/>
      <c r="GUP893" s="123"/>
      <c r="GUQ893" s="123"/>
      <c r="GUR893" s="123"/>
      <c r="GUS893" s="123"/>
      <c r="GUT893" s="123"/>
      <c r="GUU893" s="123"/>
      <c r="GUV893" s="123"/>
      <c r="GUW893" s="123"/>
      <c r="GUX893" s="123"/>
      <c r="GUY893" s="123"/>
      <c r="GUZ893" s="123"/>
      <c r="GVA893" s="123"/>
      <c r="GVB893" s="123"/>
      <c r="GVC893" s="123"/>
      <c r="GVD893" s="123"/>
      <c r="GVE893" s="123"/>
      <c r="GVF893" s="123"/>
      <c r="GVG893" s="123"/>
      <c r="GVH893" s="123"/>
      <c r="GVI893" s="123"/>
      <c r="GVJ893" s="123"/>
      <c r="GVK893" s="123"/>
      <c r="GVL893" s="123"/>
      <c r="GVM893" s="123"/>
      <c r="GVN893" s="123"/>
      <c r="GVO893" s="123"/>
      <c r="GVP893" s="123"/>
      <c r="GVQ893" s="123"/>
      <c r="GVR893" s="123"/>
      <c r="GVS893" s="123"/>
      <c r="GVT893" s="123"/>
      <c r="GVU893" s="123"/>
      <c r="GVV893" s="123"/>
      <c r="GVW893" s="123"/>
      <c r="GVX893" s="123"/>
      <c r="GVY893" s="123"/>
      <c r="GVZ893" s="123"/>
      <c r="GWA893" s="123"/>
      <c r="GWB893" s="123"/>
      <c r="GWC893" s="123"/>
      <c r="GWD893" s="123"/>
      <c r="GWE893" s="123"/>
      <c r="GWF893" s="123"/>
      <c r="GWG893" s="123"/>
      <c r="GWH893" s="123"/>
      <c r="GWI893" s="123"/>
      <c r="GWJ893" s="123"/>
      <c r="GWK893" s="123"/>
      <c r="GWL893" s="123"/>
      <c r="GWM893" s="123"/>
      <c r="GWN893" s="123"/>
      <c r="GWO893" s="123"/>
      <c r="GWP893" s="123"/>
      <c r="GWQ893" s="123"/>
      <c r="GWR893" s="123"/>
      <c r="GWS893" s="123"/>
      <c r="GWT893" s="123"/>
      <c r="GWU893" s="123"/>
      <c r="GWV893" s="123"/>
      <c r="GWW893" s="123"/>
      <c r="GWX893" s="123"/>
      <c r="GWY893" s="123"/>
      <c r="GWZ893" s="123"/>
      <c r="GXA893" s="123"/>
      <c r="GXB893" s="123"/>
      <c r="GXC893" s="123"/>
      <c r="GXD893" s="123"/>
      <c r="GXE893" s="123"/>
      <c r="GXF893" s="123"/>
      <c r="GXG893" s="123"/>
      <c r="GXH893" s="123"/>
      <c r="GXI893" s="123"/>
      <c r="GXJ893" s="123"/>
      <c r="GXK893" s="123"/>
      <c r="GXL893" s="123"/>
      <c r="GXM893" s="123"/>
      <c r="GXN893" s="123"/>
      <c r="GXO893" s="123"/>
      <c r="GXP893" s="123"/>
      <c r="GXQ893" s="123"/>
      <c r="GXR893" s="123"/>
      <c r="GXS893" s="123"/>
      <c r="GXT893" s="123"/>
      <c r="GXU893" s="123"/>
      <c r="GXV893" s="123"/>
      <c r="GXW893" s="123"/>
      <c r="GXX893" s="123"/>
      <c r="GXY893" s="123"/>
      <c r="GXZ893" s="123"/>
      <c r="GYA893" s="123"/>
      <c r="GYB893" s="123"/>
      <c r="GYC893" s="123"/>
      <c r="GYD893" s="123"/>
      <c r="GYE893" s="123"/>
      <c r="GYF893" s="123"/>
      <c r="GYG893" s="123"/>
      <c r="GYH893" s="123"/>
      <c r="GYI893" s="123"/>
      <c r="GYJ893" s="123"/>
      <c r="GYK893" s="123"/>
      <c r="GYL893" s="123"/>
      <c r="GYM893" s="123"/>
      <c r="GYN893" s="123"/>
      <c r="GYO893" s="123"/>
      <c r="GYP893" s="123"/>
      <c r="GYQ893" s="123"/>
      <c r="GYR893" s="123"/>
      <c r="GYS893" s="123"/>
      <c r="GYT893" s="123"/>
      <c r="GYU893" s="123"/>
      <c r="GYV893" s="123"/>
      <c r="GYW893" s="123"/>
      <c r="GYX893" s="123"/>
      <c r="GYY893" s="123"/>
      <c r="GYZ893" s="123"/>
      <c r="GZA893" s="123"/>
      <c r="GZB893" s="123"/>
      <c r="GZC893" s="123"/>
      <c r="GZD893" s="123"/>
      <c r="GZE893" s="123"/>
      <c r="GZF893" s="123"/>
      <c r="GZG893" s="123"/>
      <c r="GZH893" s="123"/>
      <c r="GZI893" s="123"/>
      <c r="GZJ893" s="123"/>
      <c r="GZK893" s="123"/>
      <c r="GZL893" s="123"/>
      <c r="GZM893" s="123"/>
      <c r="GZN893" s="123"/>
      <c r="GZO893" s="123"/>
      <c r="GZP893" s="123"/>
      <c r="GZQ893" s="123"/>
      <c r="GZR893" s="123"/>
      <c r="GZS893" s="123"/>
      <c r="GZT893" s="123"/>
      <c r="GZU893" s="123"/>
      <c r="GZV893" s="123"/>
      <c r="GZW893" s="123"/>
      <c r="GZX893" s="123"/>
      <c r="GZY893" s="123"/>
      <c r="GZZ893" s="123"/>
      <c r="HAA893" s="123"/>
      <c r="HAB893" s="123"/>
      <c r="HAC893" s="123"/>
      <c r="HAD893" s="123"/>
      <c r="HAE893" s="123"/>
      <c r="HAF893" s="123"/>
      <c r="HAG893" s="123"/>
      <c r="HAH893" s="123"/>
      <c r="HAI893" s="123"/>
      <c r="HAJ893" s="123"/>
      <c r="HAK893" s="123"/>
      <c r="HAL893" s="123"/>
      <c r="HAM893" s="123"/>
      <c r="HAN893" s="123"/>
      <c r="HAO893" s="123"/>
      <c r="HAP893" s="123"/>
      <c r="HAQ893" s="123"/>
      <c r="HAR893" s="123"/>
      <c r="HAS893" s="123"/>
      <c r="HAT893" s="123"/>
      <c r="HAU893" s="123"/>
      <c r="HAV893" s="123"/>
      <c r="HAW893" s="123"/>
      <c r="HAX893" s="123"/>
      <c r="HAY893" s="123"/>
      <c r="HAZ893" s="123"/>
      <c r="HBA893" s="123"/>
      <c r="HBB893" s="123"/>
      <c r="HBC893" s="123"/>
      <c r="HBD893" s="123"/>
      <c r="HBE893" s="123"/>
      <c r="HBF893" s="123"/>
      <c r="HBG893" s="123"/>
      <c r="HBH893" s="123"/>
      <c r="HBI893" s="123"/>
      <c r="HBJ893" s="123"/>
      <c r="HBK893" s="123"/>
      <c r="HBL893" s="123"/>
      <c r="HBM893" s="123"/>
      <c r="HBN893" s="123"/>
      <c r="HBO893" s="123"/>
      <c r="HBP893" s="123"/>
      <c r="HBQ893" s="123"/>
      <c r="HBR893" s="123"/>
      <c r="HBS893" s="123"/>
      <c r="HBT893" s="123"/>
      <c r="HBU893" s="123"/>
      <c r="HBV893" s="123"/>
      <c r="HBW893" s="123"/>
      <c r="HBX893" s="123"/>
      <c r="HBY893" s="123"/>
      <c r="HBZ893" s="123"/>
      <c r="HCA893" s="123"/>
      <c r="HCB893" s="123"/>
      <c r="HCC893" s="123"/>
      <c r="HCD893" s="123"/>
      <c r="HCE893" s="123"/>
      <c r="HCF893" s="123"/>
      <c r="HCG893" s="123"/>
      <c r="HCH893" s="123"/>
      <c r="HCI893" s="123"/>
      <c r="HCJ893" s="123"/>
      <c r="HCK893" s="123"/>
      <c r="HCL893" s="123"/>
      <c r="HCM893" s="123"/>
      <c r="HCN893" s="123"/>
      <c r="HCO893" s="123"/>
      <c r="HCP893" s="123"/>
      <c r="HCQ893" s="123"/>
      <c r="HCR893" s="123"/>
      <c r="HCS893" s="123"/>
      <c r="HCT893" s="123"/>
      <c r="HCU893" s="123"/>
      <c r="HCV893" s="123"/>
      <c r="HCW893" s="123"/>
      <c r="HCX893" s="123"/>
      <c r="HCY893" s="123"/>
      <c r="HCZ893" s="123"/>
      <c r="HDA893" s="123"/>
      <c r="HDB893" s="123"/>
      <c r="HDC893" s="123"/>
      <c r="HDD893" s="123"/>
      <c r="HDE893" s="123"/>
      <c r="HDF893" s="123"/>
      <c r="HDG893" s="123"/>
      <c r="HDH893" s="123"/>
      <c r="HDI893" s="123"/>
      <c r="HDJ893" s="123"/>
      <c r="HDK893" s="123"/>
      <c r="HDL893" s="123"/>
      <c r="HDM893" s="123"/>
      <c r="HDN893" s="123"/>
      <c r="HDO893" s="123"/>
      <c r="HDP893" s="123"/>
      <c r="HDQ893" s="123"/>
      <c r="HDR893" s="123"/>
      <c r="HDS893" s="123"/>
      <c r="HDT893" s="123"/>
      <c r="HDU893" s="123"/>
      <c r="HDV893" s="123"/>
      <c r="HDW893" s="123"/>
      <c r="HDX893" s="123"/>
      <c r="HDY893" s="123"/>
      <c r="HDZ893" s="123"/>
      <c r="HEA893" s="123"/>
      <c r="HEB893" s="123"/>
      <c r="HEC893" s="123"/>
      <c r="HED893" s="123"/>
      <c r="HEE893" s="123"/>
      <c r="HEF893" s="123"/>
      <c r="HEG893" s="123"/>
      <c r="HEH893" s="123"/>
      <c r="HEI893" s="123"/>
      <c r="HEJ893" s="123"/>
      <c r="HEK893" s="123"/>
      <c r="HEL893" s="123"/>
      <c r="HEM893" s="123"/>
      <c r="HEN893" s="123"/>
      <c r="HEO893" s="123"/>
      <c r="HEP893" s="123"/>
      <c r="HEQ893" s="123"/>
      <c r="HER893" s="123"/>
      <c r="HES893" s="123"/>
      <c r="HET893" s="123"/>
      <c r="HEU893" s="123"/>
      <c r="HEV893" s="123"/>
      <c r="HEW893" s="123"/>
      <c r="HEX893" s="123"/>
      <c r="HEY893" s="123"/>
      <c r="HEZ893" s="123"/>
      <c r="HFA893" s="123"/>
      <c r="HFB893" s="123"/>
      <c r="HFC893" s="123"/>
      <c r="HFD893" s="123"/>
      <c r="HFE893" s="123"/>
      <c r="HFF893" s="123"/>
      <c r="HFG893" s="123"/>
      <c r="HFH893" s="123"/>
      <c r="HFI893" s="123"/>
      <c r="HFJ893" s="123"/>
      <c r="HFK893" s="123"/>
      <c r="HFL893" s="123"/>
      <c r="HFM893" s="123"/>
      <c r="HFN893" s="123"/>
      <c r="HFO893" s="123"/>
      <c r="HFP893" s="123"/>
      <c r="HFQ893" s="123"/>
      <c r="HFR893" s="123"/>
      <c r="HFS893" s="123"/>
      <c r="HFT893" s="123"/>
      <c r="HFU893" s="123"/>
      <c r="HFV893" s="123"/>
      <c r="HFW893" s="123"/>
      <c r="HFX893" s="123"/>
      <c r="HFY893" s="123"/>
      <c r="HFZ893" s="123"/>
      <c r="HGA893" s="123"/>
      <c r="HGB893" s="123"/>
      <c r="HGC893" s="123"/>
      <c r="HGD893" s="123"/>
      <c r="HGE893" s="123"/>
      <c r="HGF893" s="123"/>
      <c r="HGG893" s="123"/>
      <c r="HGH893" s="123"/>
      <c r="HGI893" s="123"/>
      <c r="HGJ893" s="123"/>
      <c r="HGK893" s="123"/>
      <c r="HGL893" s="123"/>
      <c r="HGM893" s="123"/>
      <c r="HGN893" s="123"/>
      <c r="HGO893" s="123"/>
      <c r="HGP893" s="123"/>
      <c r="HGQ893" s="123"/>
      <c r="HGR893" s="123"/>
      <c r="HGS893" s="123"/>
      <c r="HGT893" s="123"/>
      <c r="HGU893" s="123"/>
      <c r="HGV893" s="123"/>
      <c r="HGW893" s="123"/>
      <c r="HGX893" s="123"/>
      <c r="HGY893" s="123"/>
      <c r="HGZ893" s="123"/>
      <c r="HHA893" s="123"/>
      <c r="HHB893" s="123"/>
      <c r="HHC893" s="123"/>
      <c r="HHD893" s="123"/>
      <c r="HHE893" s="123"/>
      <c r="HHF893" s="123"/>
      <c r="HHG893" s="123"/>
      <c r="HHH893" s="123"/>
      <c r="HHI893" s="123"/>
      <c r="HHJ893" s="123"/>
      <c r="HHK893" s="123"/>
      <c r="HHL893" s="123"/>
      <c r="HHM893" s="123"/>
      <c r="HHN893" s="123"/>
      <c r="HHO893" s="123"/>
      <c r="HHP893" s="123"/>
      <c r="HHQ893" s="123"/>
      <c r="HHR893" s="123"/>
      <c r="HHS893" s="123"/>
      <c r="HHT893" s="123"/>
      <c r="HHU893" s="123"/>
      <c r="HHV893" s="123"/>
      <c r="HHW893" s="123"/>
      <c r="HHX893" s="123"/>
      <c r="HHY893" s="123"/>
      <c r="HHZ893" s="123"/>
      <c r="HIA893" s="123"/>
      <c r="HIB893" s="123"/>
      <c r="HIC893" s="123"/>
      <c r="HID893" s="123"/>
      <c r="HIE893" s="123"/>
      <c r="HIF893" s="123"/>
      <c r="HIG893" s="123"/>
      <c r="HIH893" s="123"/>
      <c r="HII893" s="123"/>
      <c r="HIJ893" s="123"/>
      <c r="HIK893" s="123"/>
      <c r="HIL893" s="123"/>
      <c r="HIM893" s="123"/>
      <c r="HIN893" s="123"/>
      <c r="HIO893" s="123"/>
      <c r="HIP893" s="123"/>
      <c r="HIQ893" s="123"/>
      <c r="HIR893" s="123"/>
      <c r="HIS893" s="123"/>
      <c r="HIT893" s="123"/>
      <c r="HIU893" s="123"/>
      <c r="HIV893" s="123"/>
      <c r="HIW893" s="123"/>
      <c r="HIX893" s="123"/>
      <c r="HIY893" s="123"/>
      <c r="HIZ893" s="123"/>
      <c r="HJA893" s="123"/>
      <c r="HJB893" s="123"/>
      <c r="HJC893" s="123"/>
      <c r="HJD893" s="123"/>
      <c r="HJE893" s="123"/>
      <c r="HJF893" s="123"/>
      <c r="HJG893" s="123"/>
      <c r="HJH893" s="123"/>
      <c r="HJI893" s="123"/>
      <c r="HJJ893" s="123"/>
      <c r="HJK893" s="123"/>
      <c r="HJL893" s="123"/>
      <c r="HJM893" s="123"/>
      <c r="HJN893" s="123"/>
      <c r="HJO893" s="123"/>
      <c r="HJP893" s="123"/>
      <c r="HJQ893" s="123"/>
      <c r="HJR893" s="123"/>
      <c r="HJS893" s="123"/>
      <c r="HJT893" s="123"/>
      <c r="HJU893" s="123"/>
      <c r="HJV893" s="123"/>
      <c r="HJW893" s="123"/>
      <c r="HJX893" s="123"/>
      <c r="HJY893" s="123"/>
      <c r="HJZ893" s="123"/>
      <c r="HKA893" s="123"/>
      <c r="HKB893" s="123"/>
      <c r="HKC893" s="123"/>
      <c r="HKD893" s="123"/>
      <c r="HKE893" s="123"/>
      <c r="HKF893" s="123"/>
      <c r="HKG893" s="123"/>
      <c r="HKH893" s="123"/>
      <c r="HKI893" s="123"/>
      <c r="HKJ893" s="123"/>
      <c r="HKK893" s="123"/>
      <c r="HKL893" s="123"/>
      <c r="HKM893" s="123"/>
      <c r="HKN893" s="123"/>
      <c r="HKO893" s="123"/>
      <c r="HKP893" s="123"/>
      <c r="HKQ893" s="123"/>
      <c r="HKR893" s="123"/>
      <c r="HKS893" s="123"/>
      <c r="HKT893" s="123"/>
      <c r="HKU893" s="123"/>
      <c r="HKV893" s="123"/>
      <c r="HKW893" s="123"/>
      <c r="HKX893" s="123"/>
      <c r="HKY893" s="123"/>
      <c r="HKZ893" s="123"/>
      <c r="HLA893" s="123"/>
      <c r="HLB893" s="123"/>
      <c r="HLC893" s="123"/>
      <c r="HLD893" s="123"/>
      <c r="HLE893" s="123"/>
      <c r="HLF893" s="123"/>
      <c r="HLG893" s="123"/>
      <c r="HLH893" s="123"/>
      <c r="HLI893" s="123"/>
      <c r="HLJ893" s="123"/>
      <c r="HLK893" s="123"/>
      <c r="HLL893" s="123"/>
      <c r="HLM893" s="123"/>
      <c r="HLN893" s="123"/>
      <c r="HLO893" s="123"/>
      <c r="HLP893" s="123"/>
      <c r="HLQ893" s="123"/>
      <c r="HLR893" s="123"/>
      <c r="HLS893" s="123"/>
      <c r="HLT893" s="123"/>
      <c r="HLU893" s="123"/>
      <c r="HLV893" s="123"/>
      <c r="HLW893" s="123"/>
      <c r="HLX893" s="123"/>
      <c r="HLY893" s="123"/>
      <c r="HLZ893" s="123"/>
      <c r="HMA893" s="123"/>
      <c r="HMB893" s="123"/>
      <c r="HMC893" s="123"/>
      <c r="HMD893" s="123"/>
      <c r="HME893" s="123"/>
      <c r="HMF893" s="123"/>
      <c r="HMG893" s="123"/>
      <c r="HMH893" s="123"/>
      <c r="HMI893" s="123"/>
      <c r="HMJ893" s="123"/>
      <c r="HMK893" s="123"/>
      <c r="HML893" s="123"/>
      <c r="HMM893" s="123"/>
      <c r="HMN893" s="123"/>
      <c r="HMO893" s="123"/>
      <c r="HMP893" s="123"/>
      <c r="HMQ893" s="123"/>
      <c r="HMR893" s="123"/>
      <c r="HMS893" s="123"/>
      <c r="HMT893" s="123"/>
      <c r="HMU893" s="123"/>
      <c r="HMV893" s="123"/>
      <c r="HMW893" s="123"/>
      <c r="HMX893" s="123"/>
      <c r="HMY893" s="123"/>
      <c r="HMZ893" s="123"/>
      <c r="HNA893" s="123"/>
      <c r="HNB893" s="123"/>
      <c r="HNC893" s="123"/>
      <c r="HND893" s="123"/>
      <c r="HNE893" s="123"/>
      <c r="HNF893" s="123"/>
      <c r="HNG893" s="123"/>
      <c r="HNH893" s="123"/>
      <c r="HNI893" s="123"/>
      <c r="HNJ893" s="123"/>
      <c r="HNK893" s="123"/>
      <c r="HNL893" s="123"/>
      <c r="HNM893" s="123"/>
      <c r="HNN893" s="123"/>
      <c r="HNO893" s="123"/>
      <c r="HNP893" s="123"/>
      <c r="HNQ893" s="123"/>
      <c r="HNR893" s="123"/>
      <c r="HNS893" s="123"/>
      <c r="HNT893" s="123"/>
      <c r="HNU893" s="123"/>
      <c r="HNV893" s="123"/>
      <c r="HNW893" s="123"/>
      <c r="HNX893" s="123"/>
      <c r="HNY893" s="123"/>
      <c r="HNZ893" s="123"/>
      <c r="HOA893" s="123"/>
      <c r="HOB893" s="123"/>
      <c r="HOC893" s="123"/>
      <c r="HOD893" s="123"/>
      <c r="HOE893" s="123"/>
      <c r="HOF893" s="123"/>
      <c r="HOG893" s="123"/>
      <c r="HOH893" s="123"/>
      <c r="HOI893" s="123"/>
      <c r="HOJ893" s="123"/>
      <c r="HOK893" s="123"/>
      <c r="HOL893" s="123"/>
      <c r="HOM893" s="123"/>
      <c r="HON893" s="123"/>
      <c r="HOO893" s="123"/>
      <c r="HOP893" s="123"/>
      <c r="HOQ893" s="123"/>
      <c r="HOR893" s="123"/>
      <c r="HOS893" s="123"/>
      <c r="HOT893" s="123"/>
      <c r="HOU893" s="123"/>
      <c r="HOV893" s="123"/>
      <c r="HOW893" s="123"/>
      <c r="HOX893" s="123"/>
      <c r="HOY893" s="123"/>
      <c r="HOZ893" s="123"/>
      <c r="HPA893" s="123"/>
      <c r="HPB893" s="123"/>
      <c r="HPC893" s="123"/>
      <c r="HPD893" s="123"/>
      <c r="HPE893" s="123"/>
      <c r="HPF893" s="123"/>
      <c r="HPG893" s="123"/>
      <c r="HPH893" s="123"/>
      <c r="HPI893" s="123"/>
      <c r="HPJ893" s="123"/>
      <c r="HPK893" s="123"/>
      <c r="HPL893" s="123"/>
      <c r="HPM893" s="123"/>
      <c r="HPN893" s="123"/>
      <c r="HPO893" s="123"/>
      <c r="HPP893" s="123"/>
      <c r="HPQ893" s="123"/>
      <c r="HPR893" s="123"/>
      <c r="HPS893" s="123"/>
      <c r="HPT893" s="123"/>
      <c r="HPU893" s="123"/>
      <c r="HPV893" s="123"/>
      <c r="HPW893" s="123"/>
      <c r="HPX893" s="123"/>
      <c r="HPY893" s="123"/>
      <c r="HPZ893" s="123"/>
      <c r="HQA893" s="123"/>
      <c r="HQB893" s="123"/>
      <c r="HQC893" s="123"/>
      <c r="HQD893" s="123"/>
      <c r="HQE893" s="123"/>
      <c r="HQF893" s="123"/>
      <c r="HQG893" s="123"/>
      <c r="HQH893" s="123"/>
      <c r="HQI893" s="123"/>
      <c r="HQJ893" s="123"/>
      <c r="HQK893" s="123"/>
      <c r="HQL893" s="123"/>
      <c r="HQM893" s="123"/>
      <c r="HQN893" s="123"/>
      <c r="HQO893" s="123"/>
      <c r="HQP893" s="123"/>
      <c r="HQQ893" s="123"/>
      <c r="HQR893" s="123"/>
      <c r="HQS893" s="123"/>
      <c r="HQT893" s="123"/>
      <c r="HQU893" s="123"/>
      <c r="HQV893" s="123"/>
      <c r="HQW893" s="123"/>
      <c r="HQX893" s="123"/>
      <c r="HQY893" s="123"/>
      <c r="HQZ893" s="123"/>
      <c r="HRA893" s="123"/>
      <c r="HRB893" s="123"/>
      <c r="HRC893" s="123"/>
      <c r="HRD893" s="123"/>
      <c r="HRE893" s="123"/>
      <c r="HRF893" s="123"/>
      <c r="HRG893" s="123"/>
      <c r="HRH893" s="123"/>
      <c r="HRI893" s="123"/>
      <c r="HRJ893" s="123"/>
      <c r="HRK893" s="123"/>
      <c r="HRL893" s="123"/>
      <c r="HRM893" s="123"/>
      <c r="HRN893" s="123"/>
      <c r="HRO893" s="123"/>
      <c r="HRP893" s="123"/>
      <c r="HRQ893" s="123"/>
      <c r="HRR893" s="123"/>
      <c r="HRS893" s="123"/>
      <c r="HRT893" s="123"/>
      <c r="HRU893" s="123"/>
      <c r="HRV893" s="123"/>
      <c r="HRW893" s="123"/>
      <c r="HRX893" s="123"/>
      <c r="HRY893" s="123"/>
      <c r="HRZ893" s="123"/>
      <c r="HSA893" s="123"/>
      <c r="HSB893" s="123"/>
      <c r="HSC893" s="123"/>
      <c r="HSD893" s="123"/>
      <c r="HSE893" s="123"/>
      <c r="HSF893" s="123"/>
      <c r="HSG893" s="123"/>
      <c r="HSH893" s="123"/>
      <c r="HSI893" s="123"/>
      <c r="HSJ893" s="123"/>
      <c r="HSK893" s="123"/>
      <c r="HSL893" s="123"/>
      <c r="HSM893" s="123"/>
      <c r="HSN893" s="123"/>
      <c r="HSO893" s="123"/>
      <c r="HSP893" s="123"/>
      <c r="HSQ893" s="123"/>
      <c r="HSR893" s="123"/>
      <c r="HSS893" s="123"/>
      <c r="HST893" s="123"/>
      <c r="HSU893" s="123"/>
      <c r="HSV893" s="123"/>
      <c r="HSW893" s="123"/>
      <c r="HSX893" s="123"/>
      <c r="HSY893" s="123"/>
      <c r="HSZ893" s="123"/>
      <c r="HTA893" s="123"/>
      <c r="HTB893" s="123"/>
      <c r="HTC893" s="123"/>
      <c r="HTD893" s="123"/>
      <c r="HTE893" s="123"/>
      <c r="HTF893" s="123"/>
      <c r="HTG893" s="123"/>
      <c r="HTH893" s="123"/>
      <c r="HTI893" s="123"/>
      <c r="HTJ893" s="123"/>
      <c r="HTK893" s="123"/>
      <c r="HTL893" s="123"/>
      <c r="HTM893" s="123"/>
      <c r="HTN893" s="123"/>
      <c r="HTO893" s="123"/>
      <c r="HTP893" s="123"/>
      <c r="HTQ893" s="123"/>
      <c r="HTR893" s="123"/>
      <c r="HTS893" s="123"/>
      <c r="HTT893" s="123"/>
      <c r="HTU893" s="123"/>
      <c r="HTV893" s="123"/>
      <c r="HTW893" s="123"/>
      <c r="HTX893" s="123"/>
      <c r="HTY893" s="123"/>
      <c r="HTZ893" s="123"/>
      <c r="HUA893" s="123"/>
      <c r="HUB893" s="123"/>
      <c r="HUC893" s="123"/>
      <c r="HUD893" s="123"/>
      <c r="HUE893" s="123"/>
      <c r="HUF893" s="123"/>
      <c r="HUG893" s="123"/>
      <c r="HUH893" s="123"/>
      <c r="HUI893" s="123"/>
      <c r="HUJ893" s="123"/>
      <c r="HUK893" s="123"/>
      <c r="HUL893" s="123"/>
      <c r="HUM893" s="123"/>
      <c r="HUN893" s="123"/>
      <c r="HUO893" s="123"/>
      <c r="HUP893" s="123"/>
      <c r="HUQ893" s="123"/>
      <c r="HUR893" s="123"/>
      <c r="HUS893" s="123"/>
      <c r="HUT893" s="123"/>
      <c r="HUU893" s="123"/>
      <c r="HUV893" s="123"/>
      <c r="HUW893" s="123"/>
      <c r="HUX893" s="123"/>
      <c r="HUY893" s="123"/>
      <c r="HUZ893" s="123"/>
      <c r="HVA893" s="123"/>
      <c r="HVB893" s="123"/>
      <c r="HVC893" s="123"/>
      <c r="HVD893" s="123"/>
      <c r="HVE893" s="123"/>
      <c r="HVF893" s="123"/>
      <c r="HVG893" s="123"/>
      <c r="HVH893" s="123"/>
      <c r="HVI893" s="123"/>
      <c r="HVJ893" s="123"/>
      <c r="HVK893" s="123"/>
      <c r="HVL893" s="123"/>
      <c r="HVM893" s="123"/>
      <c r="HVN893" s="123"/>
      <c r="HVO893" s="123"/>
      <c r="HVP893" s="123"/>
      <c r="HVQ893" s="123"/>
      <c r="HVR893" s="123"/>
      <c r="HVS893" s="123"/>
      <c r="HVT893" s="123"/>
      <c r="HVU893" s="123"/>
      <c r="HVV893" s="123"/>
      <c r="HVW893" s="123"/>
      <c r="HVX893" s="123"/>
      <c r="HVY893" s="123"/>
      <c r="HVZ893" s="123"/>
      <c r="HWA893" s="123"/>
      <c r="HWB893" s="123"/>
      <c r="HWC893" s="123"/>
      <c r="HWD893" s="123"/>
      <c r="HWE893" s="123"/>
      <c r="HWF893" s="123"/>
      <c r="HWG893" s="123"/>
      <c r="HWH893" s="123"/>
      <c r="HWI893" s="123"/>
      <c r="HWJ893" s="123"/>
      <c r="HWK893" s="123"/>
      <c r="HWL893" s="123"/>
      <c r="HWM893" s="123"/>
      <c r="HWN893" s="123"/>
      <c r="HWO893" s="123"/>
      <c r="HWP893" s="123"/>
      <c r="HWQ893" s="123"/>
      <c r="HWR893" s="123"/>
      <c r="HWS893" s="123"/>
      <c r="HWT893" s="123"/>
      <c r="HWU893" s="123"/>
      <c r="HWV893" s="123"/>
      <c r="HWW893" s="123"/>
      <c r="HWX893" s="123"/>
      <c r="HWY893" s="123"/>
      <c r="HWZ893" s="123"/>
      <c r="HXA893" s="123"/>
      <c r="HXB893" s="123"/>
      <c r="HXC893" s="123"/>
      <c r="HXD893" s="123"/>
      <c r="HXE893" s="123"/>
      <c r="HXF893" s="123"/>
      <c r="HXG893" s="123"/>
      <c r="HXH893" s="123"/>
      <c r="HXI893" s="123"/>
      <c r="HXJ893" s="123"/>
      <c r="HXK893" s="123"/>
      <c r="HXL893" s="123"/>
      <c r="HXM893" s="123"/>
      <c r="HXN893" s="123"/>
      <c r="HXO893" s="123"/>
      <c r="HXP893" s="123"/>
      <c r="HXQ893" s="123"/>
      <c r="HXR893" s="123"/>
      <c r="HXS893" s="123"/>
      <c r="HXT893" s="123"/>
      <c r="HXU893" s="123"/>
      <c r="HXV893" s="123"/>
      <c r="HXW893" s="123"/>
      <c r="HXX893" s="123"/>
      <c r="HXY893" s="123"/>
      <c r="HXZ893" s="123"/>
      <c r="HYA893" s="123"/>
      <c r="HYB893" s="123"/>
      <c r="HYC893" s="123"/>
      <c r="HYD893" s="123"/>
      <c r="HYE893" s="123"/>
      <c r="HYF893" s="123"/>
      <c r="HYG893" s="123"/>
      <c r="HYH893" s="123"/>
      <c r="HYI893" s="123"/>
      <c r="HYJ893" s="123"/>
      <c r="HYK893" s="123"/>
      <c r="HYL893" s="123"/>
      <c r="HYM893" s="123"/>
      <c r="HYN893" s="123"/>
      <c r="HYO893" s="123"/>
      <c r="HYP893" s="123"/>
      <c r="HYQ893" s="123"/>
      <c r="HYR893" s="123"/>
      <c r="HYS893" s="123"/>
      <c r="HYT893" s="123"/>
      <c r="HYU893" s="123"/>
      <c r="HYV893" s="123"/>
      <c r="HYW893" s="123"/>
      <c r="HYX893" s="123"/>
      <c r="HYY893" s="123"/>
      <c r="HYZ893" s="123"/>
      <c r="HZA893" s="123"/>
      <c r="HZB893" s="123"/>
      <c r="HZC893" s="123"/>
      <c r="HZD893" s="123"/>
      <c r="HZE893" s="123"/>
      <c r="HZF893" s="123"/>
      <c r="HZG893" s="123"/>
      <c r="HZH893" s="123"/>
      <c r="HZI893" s="123"/>
      <c r="HZJ893" s="123"/>
      <c r="HZK893" s="123"/>
      <c r="HZL893" s="123"/>
      <c r="HZM893" s="123"/>
      <c r="HZN893" s="123"/>
      <c r="HZO893" s="123"/>
      <c r="HZP893" s="123"/>
      <c r="HZQ893" s="123"/>
      <c r="HZR893" s="123"/>
      <c r="HZS893" s="123"/>
      <c r="HZT893" s="123"/>
      <c r="HZU893" s="123"/>
      <c r="HZV893" s="123"/>
      <c r="HZW893" s="123"/>
      <c r="HZX893" s="123"/>
      <c r="HZY893" s="123"/>
      <c r="HZZ893" s="123"/>
      <c r="IAA893" s="123"/>
      <c r="IAB893" s="123"/>
      <c r="IAC893" s="123"/>
      <c r="IAD893" s="123"/>
      <c r="IAE893" s="123"/>
      <c r="IAF893" s="123"/>
      <c r="IAG893" s="123"/>
      <c r="IAH893" s="123"/>
      <c r="IAI893" s="123"/>
      <c r="IAJ893" s="123"/>
      <c r="IAK893" s="123"/>
      <c r="IAL893" s="123"/>
      <c r="IAM893" s="123"/>
      <c r="IAN893" s="123"/>
      <c r="IAO893" s="123"/>
      <c r="IAP893" s="123"/>
      <c r="IAQ893" s="123"/>
      <c r="IAR893" s="123"/>
      <c r="IAS893" s="123"/>
      <c r="IAT893" s="123"/>
      <c r="IAU893" s="123"/>
      <c r="IAV893" s="123"/>
      <c r="IAW893" s="123"/>
      <c r="IAX893" s="123"/>
      <c r="IAY893" s="123"/>
      <c r="IAZ893" s="123"/>
      <c r="IBA893" s="123"/>
      <c r="IBB893" s="123"/>
      <c r="IBC893" s="123"/>
      <c r="IBD893" s="123"/>
      <c r="IBE893" s="123"/>
      <c r="IBF893" s="123"/>
      <c r="IBG893" s="123"/>
      <c r="IBH893" s="123"/>
      <c r="IBI893" s="123"/>
      <c r="IBJ893" s="123"/>
      <c r="IBK893" s="123"/>
      <c r="IBL893" s="123"/>
      <c r="IBM893" s="123"/>
      <c r="IBN893" s="123"/>
      <c r="IBO893" s="123"/>
      <c r="IBP893" s="123"/>
      <c r="IBQ893" s="123"/>
      <c r="IBR893" s="123"/>
      <c r="IBS893" s="123"/>
      <c r="IBT893" s="123"/>
      <c r="IBU893" s="123"/>
      <c r="IBV893" s="123"/>
      <c r="IBW893" s="123"/>
      <c r="IBX893" s="123"/>
      <c r="IBY893" s="123"/>
      <c r="IBZ893" s="123"/>
      <c r="ICA893" s="123"/>
      <c r="ICB893" s="123"/>
      <c r="ICC893" s="123"/>
      <c r="ICD893" s="123"/>
      <c r="ICE893" s="123"/>
      <c r="ICF893" s="123"/>
      <c r="ICG893" s="123"/>
      <c r="ICH893" s="123"/>
      <c r="ICI893" s="123"/>
      <c r="ICJ893" s="123"/>
      <c r="ICK893" s="123"/>
      <c r="ICL893" s="123"/>
      <c r="ICM893" s="123"/>
      <c r="ICN893" s="123"/>
      <c r="ICO893" s="123"/>
      <c r="ICP893" s="123"/>
      <c r="ICQ893" s="123"/>
      <c r="ICR893" s="123"/>
      <c r="ICS893" s="123"/>
      <c r="ICT893" s="123"/>
      <c r="ICU893" s="123"/>
      <c r="ICV893" s="123"/>
      <c r="ICW893" s="123"/>
      <c r="ICX893" s="123"/>
      <c r="ICY893" s="123"/>
      <c r="ICZ893" s="123"/>
      <c r="IDA893" s="123"/>
      <c r="IDB893" s="123"/>
      <c r="IDC893" s="123"/>
      <c r="IDD893" s="123"/>
      <c r="IDE893" s="123"/>
      <c r="IDF893" s="123"/>
      <c r="IDG893" s="123"/>
      <c r="IDH893" s="123"/>
      <c r="IDI893" s="123"/>
      <c r="IDJ893" s="123"/>
      <c r="IDK893" s="123"/>
      <c r="IDL893" s="123"/>
      <c r="IDM893" s="123"/>
      <c r="IDN893" s="123"/>
      <c r="IDO893" s="123"/>
      <c r="IDP893" s="123"/>
      <c r="IDQ893" s="123"/>
      <c r="IDR893" s="123"/>
      <c r="IDS893" s="123"/>
      <c r="IDT893" s="123"/>
      <c r="IDU893" s="123"/>
      <c r="IDV893" s="123"/>
      <c r="IDW893" s="123"/>
      <c r="IDX893" s="123"/>
      <c r="IDY893" s="123"/>
      <c r="IDZ893" s="123"/>
      <c r="IEA893" s="123"/>
      <c r="IEB893" s="123"/>
      <c r="IEC893" s="123"/>
      <c r="IED893" s="123"/>
      <c r="IEE893" s="123"/>
      <c r="IEF893" s="123"/>
      <c r="IEG893" s="123"/>
      <c r="IEH893" s="123"/>
      <c r="IEI893" s="123"/>
      <c r="IEJ893" s="123"/>
      <c r="IEK893" s="123"/>
      <c r="IEL893" s="123"/>
      <c r="IEM893" s="123"/>
      <c r="IEN893" s="123"/>
      <c r="IEO893" s="123"/>
      <c r="IEP893" s="123"/>
      <c r="IEQ893" s="123"/>
      <c r="IER893" s="123"/>
      <c r="IES893" s="123"/>
      <c r="IET893" s="123"/>
      <c r="IEU893" s="123"/>
      <c r="IEV893" s="123"/>
      <c r="IEW893" s="123"/>
      <c r="IEX893" s="123"/>
      <c r="IEY893" s="123"/>
      <c r="IEZ893" s="123"/>
      <c r="IFA893" s="123"/>
      <c r="IFB893" s="123"/>
      <c r="IFC893" s="123"/>
      <c r="IFD893" s="123"/>
      <c r="IFE893" s="123"/>
      <c r="IFF893" s="123"/>
      <c r="IFG893" s="123"/>
      <c r="IFH893" s="123"/>
      <c r="IFI893" s="123"/>
      <c r="IFJ893" s="123"/>
      <c r="IFK893" s="123"/>
      <c r="IFL893" s="123"/>
      <c r="IFM893" s="123"/>
      <c r="IFN893" s="123"/>
      <c r="IFO893" s="123"/>
      <c r="IFP893" s="123"/>
      <c r="IFQ893" s="123"/>
      <c r="IFR893" s="123"/>
      <c r="IFS893" s="123"/>
      <c r="IFT893" s="123"/>
      <c r="IFU893" s="123"/>
      <c r="IFV893" s="123"/>
      <c r="IFW893" s="123"/>
      <c r="IFX893" s="123"/>
      <c r="IFY893" s="123"/>
      <c r="IFZ893" s="123"/>
      <c r="IGA893" s="123"/>
      <c r="IGB893" s="123"/>
      <c r="IGC893" s="123"/>
      <c r="IGD893" s="123"/>
      <c r="IGE893" s="123"/>
      <c r="IGF893" s="123"/>
      <c r="IGG893" s="123"/>
      <c r="IGH893" s="123"/>
      <c r="IGI893" s="123"/>
      <c r="IGJ893" s="123"/>
      <c r="IGK893" s="123"/>
      <c r="IGL893" s="123"/>
      <c r="IGM893" s="123"/>
      <c r="IGN893" s="123"/>
      <c r="IGO893" s="123"/>
      <c r="IGP893" s="123"/>
      <c r="IGQ893" s="123"/>
      <c r="IGR893" s="123"/>
      <c r="IGS893" s="123"/>
      <c r="IGT893" s="123"/>
      <c r="IGU893" s="123"/>
      <c r="IGV893" s="123"/>
      <c r="IGW893" s="123"/>
      <c r="IGX893" s="123"/>
      <c r="IGY893" s="123"/>
      <c r="IGZ893" s="123"/>
      <c r="IHA893" s="123"/>
      <c r="IHB893" s="123"/>
      <c r="IHC893" s="123"/>
      <c r="IHD893" s="123"/>
      <c r="IHE893" s="123"/>
      <c r="IHF893" s="123"/>
      <c r="IHG893" s="123"/>
      <c r="IHH893" s="123"/>
      <c r="IHI893" s="123"/>
      <c r="IHJ893" s="123"/>
      <c r="IHK893" s="123"/>
      <c r="IHL893" s="123"/>
      <c r="IHM893" s="123"/>
      <c r="IHN893" s="123"/>
      <c r="IHO893" s="123"/>
      <c r="IHP893" s="123"/>
      <c r="IHQ893" s="123"/>
      <c r="IHR893" s="123"/>
      <c r="IHS893" s="123"/>
      <c r="IHT893" s="123"/>
      <c r="IHU893" s="123"/>
      <c r="IHV893" s="123"/>
      <c r="IHW893" s="123"/>
      <c r="IHX893" s="123"/>
      <c r="IHY893" s="123"/>
      <c r="IHZ893" s="123"/>
      <c r="IIA893" s="123"/>
      <c r="IIB893" s="123"/>
      <c r="IIC893" s="123"/>
      <c r="IID893" s="123"/>
      <c r="IIE893" s="123"/>
      <c r="IIF893" s="123"/>
      <c r="IIG893" s="123"/>
      <c r="IIH893" s="123"/>
      <c r="III893" s="123"/>
      <c r="IIJ893" s="123"/>
      <c r="IIK893" s="123"/>
      <c r="IIL893" s="123"/>
      <c r="IIM893" s="123"/>
      <c r="IIN893" s="123"/>
      <c r="IIO893" s="123"/>
      <c r="IIP893" s="123"/>
      <c r="IIQ893" s="123"/>
      <c r="IIR893" s="123"/>
      <c r="IIS893" s="123"/>
      <c r="IIT893" s="123"/>
      <c r="IIU893" s="123"/>
      <c r="IIV893" s="123"/>
      <c r="IIW893" s="123"/>
      <c r="IIX893" s="123"/>
      <c r="IIY893" s="123"/>
      <c r="IIZ893" s="123"/>
      <c r="IJA893" s="123"/>
      <c r="IJB893" s="123"/>
      <c r="IJC893" s="123"/>
      <c r="IJD893" s="123"/>
      <c r="IJE893" s="123"/>
      <c r="IJF893" s="123"/>
      <c r="IJG893" s="123"/>
      <c r="IJH893" s="123"/>
      <c r="IJI893" s="123"/>
      <c r="IJJ893" s="123"/>
      <c r="IJK893" s="123"/>
      <c r="IJL893" s="123"/>
      <c r="IJM893" s="123"/>
      <c r="IJN893" s="123"/>
      <c r="IJO893" s="123"/>
      <c r="IJP893" s="123"/>
      <c r="IJQ893" s="123"/>
      <c r="IJR893" s="123"/>
      <c r="IJS893" s="123"/>
      <c r="IJT893" s="123"/>
      <c r="IJU893" s="123"/>
      <c r="IJV893" s="123"/>
      <c r="IJW893" s="123"/>
      <c r="IJX893" s="123"/>
      <c r="IJY893" s="123"/>
      <c r="IJZ893" s="123"/>
      <c r="IKA893" s="123"/>
      <c r="IKB893" s="123"/>
      <c r="IKC893" s="123"/>
      <c r="IKD893" s="123"/>
      <c r="IKE893" s="123"/>
      <c r="IKF893" s="123"/>
      <c r="IKG893" s="123"/>
      <c r="IKH893" s="123"/>
      <c r="IKI893" s="123"/>
      <c r="IKJ893" s="123"/>
      <c r="IKK893" s="123"/>
      <c r="IKL893" s="123"/>
      <c r="IKM893" s="123"/>
      <c r="IKN893" s="123"/>
      <c r="IKO893" s="123"/>
      <c r="IKP893" s="123"/>
      <c r="IKQ893" s="123"/>
      <c r="IKR893" s="123"/>
      <c r="IKS893" s="123"/>
      <c r="IKT893" s="123"/>
      <c r="IKU893" s="123"/>
      <c r="IKV893" s="123"/>
      <c r="IKW893" s="123"/>
      <c r="IKX893" s="123"/>
      <c r="IKY893" s="123"/>
      <c r="IKZ893" s="123"/>
      <c r="ILA893" s="123"/>
      <c r="ILB893" s="123"/>
      <c r="ILC893" s="123"/>
      <c r="ILD893" s="123"/>
      <c r="ILE893" s="123"/>
      <c r="ILF893" s="123"/>
      <c r="ILG893" s="123"/>
      <c r="ILH893" s="123"/>
      <c r="ILI893" s="123"/>
      <c r="ILJ893" s="123"/>
      <c r="ILK893" s="123"/>
      <c r="ILL893" s="123"/>
      <c r="ILM893" s="123"/>
      <c r="ILN893" s="123"/>
      <c r="ILO893" s="123"/>
      <c r="ILP893" s="123"/>
      <c r="ILQ893" s="123"/>
      <c r="ILR893" s="123"/>
      <c r="ILS893" s="123"/>
      <c r="ILT893" s="123"/>
      <c r="ILU893" s="123"/>
      <c r="ILV893" s="123"/>
      <c r="ILW893" s="123"/>
      <c r="ILX893" s="123"/>
      <c r="ILY893" s="123"/>
      <c r="ILZ893" s="123"/>
      <c r="IMA893" s="123"/>
      <c r="IMB893" s="123"/>
      <c r="IMC893" s="123"/>
      <c r="IMD893" s="123"/>
      <c r="IME893" s="123"/>
      <c r="IMF893" s="123"/>
      <c r="IMG893" s="123"/>
      <c r="IMH893" s="123"/>
      <c r="IMI893" s="123"/>
      <c r="IMJ893" s="123"/>
      <c r="IMK893" s="123"/>
      <c r="IML893" s="123"/>
      <c r="IMM893" s="123"/>
      <c r="IMN893" s="123"/>
      <c r="IMO893" s="123"/>
      <c r="IMP893" s="123"/>
      <c r="IMQ893" s="123"/>
      <c r="IMR893" s="123"/>
      <c r="IMS893" s="123"/>
      <c r="IMT893" s="123"/>
      <c r="IMU893" s="123"/>
      <c r="IMV893" s="123"/>
      <c r="IMW893" s="123"/>
      <c r="IMX893" s="123"/>
      <c r="IMY893" s="123"/>
      <c r="IMZ893" s="123"/>
      <c r="INA893" s="123"/>
      <c r="INB893" s="123"/>
      <c r="INC893" s="123"/>
      <c r="IND893" s="123"/>
      <c r="INE893" s="123"/>
      <c r="INF893" s="123"/>
      <c r="ING893" s="123"/>
      <c r="INH893" s="123"/>
      <c r="INI893" s="123"/>
      <c r="INJ893" s="123"/>
      <c r="INK893" s="123"/>
      <c r="INL893" s="123"/>
      <c r="INM893" s="123"/>
      <c r="INN893" s="123"/>
      <c r="INO893" s="123"/>
      <c r="INP893" s="123"/>
      <c r="INQ893" s="123"/>
      <c r="INR893" s="123"/>
      <c r="INS893" s="123"/>
      <c r="INT893" s="123"/>
      <c r="INU893" s="123"/>
      <c r="INV893" s="123"/>
      <c r="INW893" s="123"/>
      <c r="INX893" s="123"/>
      <c r="INY893" s="123"/>
      <c r="INZ893" s="123"/>
      <c r="IOA893" s="123"/>
      <c r="IOB893" s="123"/>
      <c r="IOC893" s="123"/>
      <c r="IOD893" s="123"/>
      <c r="IOE893" s="123"/>
      <c r="IOF893" s="123"/>
      <c r="IOG893" s="123"/>
      <c r="IOH893" s="123"/>
      <c r="IOI893" s="123"/>
      <c r="IOJ893" s="123"/>
      <c r="IOK893" s="123"/>
      <c r="IOL893" s="123"/>
      <c r="IOM893" s="123"/>
      <c r="ION893" s="123"/>
      <c r="IOO893" s="123"/>
      <c r="IOP893" s="123"/>
      <c r="IOQ893" s="123"/>
      <c r="IOR893" s="123"/>
      <c r="IOS893" s="123"/>
      <c r="IOT893" s="123"/>
      <c r="IOU893" s="123"/>
      <c r="IOV893" s="123"/>
      <c r="IOW893" s="123"/>
      <c r="IOX893" s="123"/>
      <c r="IOY893" s="123"/>
      <c r="IOZ893" s="123"/>
      <c r="IPA893" s="123"/>
      <c r="IPB893" s="123"/>
      <c r="IPC893" s="123"/>
      <c r="IPD893" s="123"/>
      <c r="IPE893" s="123"/>
      <c r="IPF893" s="123"/>
      <c r="IPG893" s="123"/>
      <c r="IPH893" s="123"/>
      <c r="IPI893" s="123"/>
      <c r="IPJ893" s="123"/>
      <c r="IPK893" s="123"/>
      <c r="IPL893" s="123"/>
      <c r="IPM893" s="123"/>
      <c r="IPN893" s="123"/>
      <c r="IPO893" s="123"/>
      <c r="IPP893" s="123"/>
      <c r="IPQ893" s="123"/>
      <c r="IPR893" s="123"/>
      <c r="IPS893" s="123"/>
      <c r="IPT893" s="123"/>
      <c r="IPU893" s="123"/>
      <c r="IPV893" s="123"/>
      <c r="IPW893" s="123"/>
      <c r="IPX893" s="123"/>
      <c r="IPY893" s="123"/>
      <c r="IPZ893" s="123"/>
      <c r="IQA893" s="123"/>
      <c r="IQB893" s="123"/>
      <c r="IQC893" s="123"/>
      <c r="IQD893" s="123"/>
      <c r="IQE893" s="123"/>
      <c r="IQF893" s="123"/>
      <c r="IQG893" s="123"/>
      <c r="IQH893" s="123"/>
      <c r="IQI893" s="123"/>
      <c r="IQJ893" s="123"/>
      <c r="IQK893" s="123"/>
      <c r="IQL893" s="123"/>
      <c r="IQM893" s="123"/>
      <c r="IQN893" s="123"/>
      <c r="IQO893" s="123"/>
      <c r="IQP893" s="123"/>
      <c r="IQQ893" s="123"/>
      <c r="IQR893" s="123"/>
      <c r="IQS893" s="123"/>
      <c r="IQT893" s="123"/>
      <c r="IQU893" s="123"/>
      <c r="IQV893" s="123"/>
      <c r="IQW893" s="123"/>
      <c r="IQX893" s="123"/>
      <c r="IQY893" s="123"/>
      <c r="IQZ893" s="123"/>
      <c r="IRA893" s="123"/>
      <c r="IRB893" s="123"/>
      <c r="IRC893" s="123"/>
      <c r="IRD893" s="123"/>
      <c r="IRE893" s="123"/>
      <c r="IRF893" s="123"/>
      <c r="IRG893" s="123"/>
      <c r="IRH893" s="123"/>
      <c r="IRI893" s="123"/>
      <c r="IRJ893" s="123"/>
      <c r="IRK893" s="123"/>
      <c r="IRL893" s="123"/>
      <c r="IRM893" s="123"/>
      <c r="IRN893" s="123"/>
      <c r="IRO893" s="123"/>
      <c r="IRP893" s="123"/>
      <c r="IRQ893" s="123"/>
      <c r="IRR893" s="123"/>
      <c r="IRS893" s="123"/>
      <c r="IRT893" s="123"/>
      <c r="IRU893" s="123"/>
      <c r="IRV893" s="123"/>
      <c r="IRW893" s="123"/>
      <c r="IRX893" s="123"/>
      <c r="IRY893" s="123"/>
      <c r="IRZ893" s="123"/>
      <c r="ISA893" s="123"/>
      <c r="ISB893" s="123"/>
      <c r="ISC893" s="123"/>
      <c r="ISD893" s="123"/>
      <c r="ISE893" s="123"/>
      <c r="ISF893" s="123"/>
      <c r="ISG893" s="123"/>
      <c r="ISH893" s="123"/>
      <c r="ISI893" s="123"/>
      <c r="ISJ893" s="123"/>
      <c r="ISK893" s="123"/>
      <c r="ISL893" s="123"/>
      <c r="ISM893" s="123"/>
      <c r="ISN893" s="123"/>
      <c r="ISO893" s="123"/>
      <c r="ISP893" s="123"/>
      <c r="ISQ893" s="123"/>
      <c r="ISR893" s="123"/>
      <c r="ISS893" s="123"/>
      <c r="IST893" s="123"/>
      <c r="ISU893" s="123"/>
      <c r="ISV893" s="123"/>
      <c r="ISW893" s="123"/>
      <c r="ISX893" s="123"/>
      <c r="ISY893" s="123"/>
      <c r="ISZ893" s="123"/>
      <c r="ITA893" s="123"/>
      <c r="ITB893" s="123"/>
      <c r="ITC893" s="123"/>
      <c r="ITD893" s="123"/>
      <c r="ITE893" s="123"/>
      <c r="ITF893" s="123"/>
      <c r="ITG893" s="123"/>
      <c r="ITH893" s="123"/>
      <c r="ITI893" s="123"/>
      <c r="ITJ893" s="123"/>
      <c r="ITK893" s="123"/>
      <c r="ITL893" s="123"/>
      <c r="ITM893" s="123"/>
      <c r="ITN893" s="123"/>
      <c r="ITO893" s="123"/>
      <c r="ITP893" s="123"/>
      <c r="ITQ893" s="123"/>
      <c r="ITR893" s="123"/>
      <c r="ITS893" s="123"/>
      <c r="ITT893" s="123"/>
      <c r="ITU893" s="123"/>
      <c r="ITV893" s="123"/>
      <c r="ITW893" s="123"/>
      <c r="ITX893" s="123"/>
      <c r="ITY893" s="123"/>
      <c r="ITZ893" s="123"/>
      <c r="IUA893" s="123"/>
      <c r="IUB893" s="123"/>
      <c r="IUC893" s="123"/>
      <c r="IUD893" s="123"/>
      <c r="IUE893" s="123"/>
      <c r="IUF893" s="123"/>
      <c r="IUG893" s="123"/>
      <c r="IUH893" s="123"/>
      <c r="IUI893" s="123"/>
      <c r="IUJ893" s="123"/>
      <c r="IUK893" s="123"/>
      <c r="IUL893" s="123"/>
      <c r="IUM893" s="123"/>
      <c r="IUN893" s="123"/>
      <c r="IUO893" s="123"/>
      <c r="IUP893" s="123"/>
      <c r="IUQ893" s="123"/>
      <c r="IUR893" s="123"/>
      <c r="IUS893" s="123"/>
      <c r="IUT893" s="123"/>
      <c r="IUU893" s="123"/>
      <c r="IUV893" s="123"/>
      <c r="IUW893" s="123"/>
      <c r="IUX893" s="123"/>
      <c r="IUY893" s="123"/>
      <c r="IUZ893" s="123"/>
      <c r="IVA893" s="123"/>
      <c r="IVB893" s="123"/>
      <c r="IVC893" s="123"/>
      <c r="IVD893" s="123"/>
      <c r="IVE893" s="123"/>
      <c r="IVF893" s="123"/>
      <c r="IVG893" s="123"/>
      <c r="IVH893" s="123"/>
      <c r="IVI893" s="123"/>
      <c r="IVJ893" s="123"/>
      <c r="IVK893" s="123"/>
      <c r="IVL893" s="123"/>
      <c r="IVM893" s="123"/>
      <c r="IVN893" s="123"/>
      <c r="IVO893" s="123"/>
      <c r="IVP893" s="123"/>
      <c r="IVQ893" s="123"/>
      <c r="IVR893" s="123"/>
      <c r="IVS893" s="123"/>
      <c r="IVT893" s="123"/>
      <c r="IVU893" s="123"/>
      <c r="IVV893" s="123"/>
      <c r="IVW893" s="123"/>
      <c r="IVX893" s="123"/>
      <c r="IVY893" s="123"/>
      <c r="IVZ893" s="123"/>
      <c r="IWA893" s="123"/>
      <c r="IWB893" s="123"/>
      <c r="IWC893" s="123"/>
      <c r="IWD893" s="123"/>
      <c r="IWE893" s="123"/>
      <c r="IWF893" s="123"/>
      <c r="IWG893" s="123"/>
      <c r="IWH893" s="123"/>
      <c r="IWI893" s="123"/>
      <c r="IWJ893" s="123"/>
      <c r="IWK893" s="123"/>
      <c r="IWL893" s="123"/>
      <c r="IWM893" s="123"/>
      <c r="IWN893" s="123"/>
      <c r="IWO893" s="123"/>
      <c r="IWP893" s="123"/>
      <c r="IWQ893" s="123"/>
      <c r="IWR893" s="123"/>
      <c r="IWS893" s="123"/>
      <c r="IWT893" s="123"/>
      <c r="IWU893" s="123"/>
      <c r="IWV893" s="123"/>
      <c r="IWW893" s="123"/>
      <c r="IWX893" s="123"/>
      <c r="IWY893" s="123"/>
      <c r="IWZ893" s="123"/>
      <c r="IXA893" s="123"/>
      <c r="IXB893" s="123"/>
      <c r="IXC893" s="123"/>
      <c r="IXD893" s="123"/>
      <c r="IXE893" s="123"/>
      <c r="IXF893" s="123"/>
      <c r="IXG893" s="123"/>
      <c r="IXH893" s="123"/>
      <c r="IXI893" s="123"/>
      <c r="IXJ893" s="123"/>
      <c r="IXK893" s="123"/>
      <c r="IXL893" s="123"/>
      <c r="IXM893" s="123"/>
      <c r="IXN893" s="123"/>
      <c r="IXO893" s="123"/>
      <c r="IXP893" s="123"/>
      <c r="IXQ893" s="123"/>
      <c r="IXR893" s="123"/>
      <c r="IXS893" s="123"/>
      <c r="IXT893" s="123"/>
      <c r="IXU893" s="123"/>
      <c r="IXV893" s="123"/>
      <c r="IXW893" s="123"/>
      <c r="IXX893" s="123"/>
      <c r="IXY893" s="123"/>
      <c r="IXZ893" s="123"/>
      <c r="IYA893" s="123"/>
      <c r="IYB893" s="123"/>
      <c r="IYC893" s="123"/>
      <c r="IYD893" s="123"/>
      <c r="IYE893" s="123"/>
      <c r="IYF893" s="123"/>
      <c r="IYG893" s="123"/>
      <c r="IYH893" s="123"/>
      <c r="IYI893" s="123"/>
      <c r="IYJ893" s="123"/>
      <c r="IYK893" s="123"/>
      <c r="IYL893" s="123"/>
      <c r="IYM893" s="123"/>
      <c r="IYN893" s="123"/>
      <c r="IYO893" s="123"/>
      <c r="IYP893" s="123"/>
      <c r="IYQ893" s="123"/>
      <c r="IYR893" s="123"/>
      <c r="IYS893" s="123"/>
      <c r="IYT893" s="123"/>
      <c r="IYU893" s="123"/>
      <c r="IYV893" s="123"/>
      <c r="IYW893" s="123"/>
      <c r="IYX893" s="123"/>
      <c r="IYY893" s="123"/>
      <c r="IYZ893" s="123"/>
      <c r="IZA893" s="123"/>
      <c r="IZB893" s="123"/>
      <c r="IZC893" s="123"/>
      <c r="IZD893" s="123"/>
      <c r="IZE893" s="123"/>
      <c r="IZF893" s="123"/>
      <c r="IZG893" s="123"/>
      <c r="IZH893" s="123"/>
      <c r="IZI893" s="123"/>
      <c r="IZJ893" s="123"/>
      <c r="IZK893" s="123"/>
      <c r="IZL893" s="123"/>
      <c r="IZM893" s="123"/>
      <c r="IZN893" s="123"/>
      <c r="IZO893" s="123"/>
      <c r="IZP893" s="123"/>
      <c r="IZQ893" s="123"/>
      <c r="IZR893" s="123"/>
      <c r="IZS893" s="123"/>
      <c r="IZT893" s="123"/>
      <c r="IZU893" s="123"/>
      <c r="IZV893" s="123"/>
      <c r="IZW893" s="123"/>
      <c r="IZX893" s="123"/>
      <c r="IZY893" s="123"/>
      <c r="IZZ893" s="123"/>
      <c r="JAA893" s="123"/>
      <c r="JAB893" s="123"/>
      <c r="JAC893" s="123"/>
      <c r="JAD893" s="123"/>
      <c r="JAE893" s="123"/>
      <c r="JAF893" s="123"/>
      <c r="JAG893" s="123"/>
      <c r="JAH893" s="123"/>
      <c r="JAI893" s="123"/>
      <c r="JAJ893" s="123"/>
      <c r="JAK893" s="123"/>
      <c r="JAL893" s="123"/>
      <c r="JAM893" s="123"/>
      <c r="JAN893" s="123"/>
      <c r="JAO893" s="123"/>
      <c r="JAP893" s="123"/>
      <c r="JAQ893" s="123"/>
      <c r="JAR893" s="123"/>
      <c r="JAS893" s="123"/>
      <c r="JAT893" s="123"/>
      <c r="JAU893" s="123"/>
      <c r="JAV893" s="123"/>
      <c r="JAW893" s="123"/>
      <c r="JAX893" s="123"/>
      <c r="JAY893" s="123"/>
      <c r="JAZ893" s="123"/>
      <c r="JBA893" s="123"/>
      <c r="JBB893" s="123"/>
      <c r="JBC893" s="123"/>
      <c r="JBD893" s="123"/>
      <c r="JBE893" s="123"/>
      <c r="JBF893" s="123"/>
      <c r="JBG893" s="123"/>
      <c r="JBH893" s="123"/>
      <c r="JBI893" s="123"/>
      <c r="JBJ893" s="123"/>
      <c r="JBK893" s="123"/>
      <c r="JBL893" s="123"/>
      <c r="JBM893" s="123"/>
      <c r="JBN893" s="123"/>
      <c r="JBO893" s="123"/>
      <c r="JBP893" s="123"/>
      <c r="JBQ893" s="123"/>
      <c r="JBR893" s="123"/>
      <c r="JBS893" s="123"/>
      <c r="JBT893" s="123"/>
      <c r="JBU893" s="123"/>
      <c r="JBV893" s="123"/>
      <c r="JBW893" s="123"/>
      <c r="JBX893" s="123"/>
      <c r="JBY893" s="123"/>
      <c r="JBZ893" s="123"/>
      <c r="JCA893" s="123"/>
      <c r="JCB893" s="123"/>
      <c r="JCC893" s="123"/>
      <c r="JCD893" s="123"/>
      <c r="JCE893" s="123"/>
      <c r="JCF893" s="123"/>
      <c r="JCG893" s="123"/>
      <c r="JCH893" s="123"/>
      <c r="JCI893" s="123"/>
      <c r="JCJ893" s="123"/>
      <c r="JCK893" s="123"/>
      <c r="JCL893" s="123"/>
      <c r="JCM893" s="123"/>
      <c r="JCN893" s="123"/>
      <c r="JCO893" s="123"/>
      <c r="JCP893" s="123"/>
      <c r="JCQ893" s="123"/>
      <c r="JCR893" s="123"/>
      <c r="JCS893" s="123"/>
      <c r="JCT893" s="123"/>
      <c r="JCU893" s="123"/>
      <c r="JCV893" s="123"/>
      <c r="JCW893" s="123"/>
      <c r="JCX893" s="123"/>
      <c r="JCY893" s="123"/>
      <c r="JCZ893" s="123"/>
      <c r="JDA893" s="123"/>
      <c r="JDB893" s="123"/>
      <c r="JDC893" s="123"/>
      <c r="JDD893" s="123"/>
      <c r="JDE893" s="123"/>
      <c r="JDF893" s="123"/>
      <c r="JDG893" s="123"/>
      <c r="JDH893" s="123"/>
      <c r="JDI893" s="123"/>
      <c r="JDJ893" s="123"/>
      <c r="JDK893" s="123"/>
      <c r="JDL893" s="123"/>
      <c r="JDM893" s="123"/>
      <c r="JDN893" s="123"/>
      <c r="JDO893" s="123"/>
      <c r="JDP893" s="123"/>
      <c r="JDQ893" s="123"/>
      <c r="JDR893" s="123"/>
      <c r="JDS893" s="123"/>
      <c r="JDT893" s="123"/>
      <c r="JDU893" s="123"/>
      <c r="JDV893" s="123"/>
      <c r="JDW893" s="123"/>
      <c r="JDX893" s="123"/>
      <c r="JDY893" s="123"/>
      <c r="JDZ893" s="123"/>
      <c r="JEA893" s="123"/>
      <c r="JEB893" s="123"/>
      <c r="JEC893" s="123"/>
      <c r="JED893" s="123"/>
      <c r="JEE893" s="123"/>
      <c r="JEF893" s="123"/>
      <c r="JEG893" s="123"/>
      <c r="JEH893" s="123"/>
      <c r="JEI893" s="123"/>
      <c r="JEJ893" s="123"/>
      <c r="JEK893" s="123"/>
      <c r="JEL893" s="123"/>
      <c r="JEM893" s="123"/>
      <c r="JEN893" s="123"/>
      <c r="JEO893" s="123"/>
      <c r="JEP893" s="123"/>
      <c r="JEQ893" s="123"/>
      <c r="JER893" s="123"/>
      <c r="JES893" s="123"/>
      <c r="JET893" s="123"/>
      <c r="JEU893" s="123"/>
      <c r="JEV893" s="123"/>
      <c r="JEW893" s="123"/>
      <c r="JEX893" s="123"/>
      <c r="JEY893" s="123"/>
      <c r="JEZ893" s="123"/>
      <c r="JFA893" s="123"/>
      <c r="JFB893" s="123"/>
      <c r="JFC893" s="123"/>
      <c r="JFD893" s="123"/>
      <c r="JFE893" s="123"/>
      <c r="JFF893" s="123"/>
      <c r="JFG893" s="123"/>
      <c r="JFH893" s="123"/>
      <c r="JFI893" s="123"/>
      <c r="JFJ893" s="123"/>
      <c r="JFK893" s="123"/>
      <c r="JFL893" s="123"/>
      <c r="JFM893" s="123"/>
      <c r="JFN893" s="123"/>
      <c r="JFO893" s="123"/>
      <c r="JFP893" s="123"/>
      <c r="JFQ893" s="123"/>
      <c r="JFR893" s="123"/>
      <c r="JFS893" s="123"/>
      <c r="JFT893" s="123"/>
      <c r="JFU893" s="123"/>
      <c r="JFV893" s="123"/>
      <c r="JFW893" s="123"/>
      <c r="JFX893" s="123"/>
      <c r="JFY893" s="123"/>
      <c r="JFZ893" s="123"/>
      <c r="JGA893" s="123"/>
      <c r="JGB893" s="123"/>
      <c r="JGC893" s="123"/>
      <c r="JGD893" s="123"/>
      <c r="JGE893" s="123"/>
      <c r="JGF893" s="123"/>
      <c r="JGG893" s="123"/>
      <c r="JGH893" s="123"/>
      <c r="JGI893" s="123"/>
      <c r="JGJ893" s="123"/>
      <c r="JGK893" s="123"/>
      <c r="JGL893" s="123"/>
      <c r="JGM893" s="123"/>
      <c r="JGN893" s="123"/>
      <c r="JGO893" s="123"/>
      <c r="JGP893" s="123"/>
      <c r="JGQ893" s="123"/>
      <c r="JGR893" s="123"/>
      <c r="JGS893" s="123"/>
      <c r="JGT893" s="123"/>
      <c r="JGU893" s="123"/>
      <c r="JGV893" s="123"/>
      <c r="JGW893" s="123"/>
      <c r="JGX893" s="123"/>
      <c r="JGY893" s="123"/>
      <c r="JGZ893" s="123"/>
      <c r="JHA893" s="123"/>
      <c r="JHB893" s="123"/>
      <c r="JHC893" s="123"/>
      <c r="JHD893" s="123"/>
      <c r="JHE893" s="123"/>
      <c r="JHF893" s="123"/>
      <c r="JHG893" s="123"/>
      <c r="JHH893" s="123"/>
      <c r="JHI893" s="123"/>
      <c r="JHJ893" s="123"/>
      <c r="JHK893" s="123"/>
      <c r="JHL893" s="123"/>
      <c r="JHM893" s="123"/>
      <c r="JHN893" s="123"/>
      <c r="JHO893" s="123"/>
      <c r="JHP893" s="123"/>
      <c r="JHQ893" s="123"/>
      <c r="JHR893" s="123"/>
      <c r="JHS893" s="123"/>
      <c r="JHT893" s="123"/>
      <c r="JHU893" s="123"/>
      <c r="JHV893" s="123"/>
      <c r="JHW893" s="123"/>
      <c r="JHX893" s="123"/>
      <c r="JHY893" s="123"/>
      <c r="JHZ893" s="123"/>
      <c r="JIA893" s="123"/>
      <c r="JIB893" s="123"/>
      <c r="JIC893" s="123"/>
      <c r="JID893" s="123"/>
      <c r="JIE893" s="123"/>
      <c r="JIF893" s="123"/>
      <c r="JIG893" s="123"/>
      <c r="JIH893" s="123"/>
      <c r="JII893" s="123"/>
      <c r="JIJ893" s="123"/>
      <c r="JIK893" s="123"/>
      <c r="JIL893" s="123"/>
      <c r="JIM893" s="123"/>
      <c r="JIN893" s="123"/>
      <c r="JIO893" s="123"/>
      <c r="JIP893" s="123"/>
      <c r="JIQ893" s="123"/>
      <c r="JIR893" s="123"/>
      <c r="JIS893" s="123"/>
      <c r="JIT893" s="123"/>
      <c r="JIU893" s="123"/>
      <c r="JIV893" s="123"/>
      <c r="JIW893" s="123"/>
      <c r="JIX893" s="123"/>
      <c r="JIY893" s="123"/>
      <c r="JIZ893" s="123"/>
      <c r="JJA893" s="123"/>
      <c r="JJB893" s="123"/>
      <c r="JJC893" s="123"/>
      <c r="JJD893" s="123"/>
      <c r="JJE893" s="123"/>
      <c r="JJF893" s="123"/>
      <c r="JJG893" s="123"/>
      <c r="JJH893" s="123"/>
      <c r="JJI893" s="123"/>
      <c r="JJJ893" s="123"/>
      <c r="JJK893" s="123"/>
      <c r="JJL893" s="123"/>
      <c r="JJM893" s="123"/>
      <c r="JJN893" s="123"/>
      <c r="JJO893" s="123"/>
      <c r="JJP893" s="123"/>
      <c r="JJQ893" s="123"/>
      <c r="JJR893" s="123"/>
      <c r="JJS893" s="123"/>
      <c r="JJT893" s="123"/>
      <c r="JJU893" s="123"/>
      <c r="JJV893" s="123"/>
      <c r="JJW893" s="123"/>
      <c r="JJX893" s="123"/>
      <c r="JJY893" s="123"/>
      <c r="JJZ893" s="123"/>
      <c r="JKA893" s="123"/>
      <c r="JKB893" s="123"/>
      <c r="JKC893" s="123"/>
      <c r="JKD893" s="123"/>
      <c r="JKE893" s="123"/>
      <c r="JKF893" s="123"/>
      <c r="JKG893" s="123"/>
      <c r="JKH893" s="123"/>
      <c r="JKI893" s="123"/>
      <c r="JKJ893" s="123"/>
      <c r="JKK893" s="123"/>
      <c r="JKL893" s="123"/>
      <c r="JKM893" s="123"/>
      <c r="JKN893" s="123"/>
      <c r="JKO893" s="123"/>
      <c r="JKP893" s="123"/>
      <c r="JKQ893" s="123"/>
      <c r="JKR893" s="123"/>
      <c r="JKS893" s="123"/>
      <c r="JKT893" s="123"/>
      <c r="JKU893" s="123"/>
      <c r="JKV893" s="123"/>
      <c r="JKW893" s="123"/>
      <c r="JKX893" s="123"/>
      <c r="JKY893" s="123"/>
      <c r="JKZ893" s="123"/>
      <c r="JLA893" s="123"/>
      <c r="JLB893" s="123"/>
      <c r="JLC893" s="123"/>
      <c r="JLD893" s="123"/>
      <c r="JLE893" s="123"/>
      <c r="JLF893" s="123"/>
      <c r="JLG893" s="123"/>
      <c r="JLH893" s="123"/>
      <c r="JLI893" s="123"/>
      <c r="JLJ893" s="123"/>
      <c r="JLK893" s="123"/>
      <c r="JLL893" s="123"/>
      <c r="JLM893" s="123"/>
      <c r="JLN893" s="123"/>
      <c r="JLO893" s="123"/>
      <c r="JLP893" s="123"/>
      <c r="JLQ893" s="123"/>
      <c r="JLR893" s="123"/>
      <c r="JLS893" s="123"/>
      <c r="JLT893" s="123"/>
      <c r="JLU893" s="123"/>
      <c r="JLV893" s="123"/>
      <c r="JLW893" s="123"/>
      <c r="JLX893" s="123"/>
      <c r="JLY893" s="123"/>
      <c r="JLZ893" s="123"/>
      <c r="JMA893" s="123"/>
      <c r="JMB893" s="123"/>
      <c r="JMC893" s="123"/>
      <c r="JMD893" s="123"/>
      <c r="JME893" s="123"/>
      <c r="JMF893" s="123"/>
      <c r="JMG893" s="123"/>
      <c r="JMH893" s="123"/>
      <c r="JMI893" s="123"/>
      <c r="JMJ893" s="123"/>
      <c r="JMK893" s="123"/>
      <c r="JML893" s="123"/>
      <c r="JMM893" s="123"/>
      <c r="JMN893" s="123"/>
      <c r="JMO893" s="123"/>
      <c r="JMP893" s="123"/>
      <c r="JMQ893" s="123"/>
      <c r="JMR893" s="123"/>
      <c r="JMS893" s="123"/>
      <c r="JMT893" s="123"/>
      <c r="JMU893" s="123"/>
      <c r="JMV893" s="123"/>
      <c r="JMW893" s="123"/>
      <c r="JMX893" s="123"/>
      <c r="JMY893" s="123"/>
      <c r="JMZ893" s="123"/>
      <c r="JNA893" s="123"/>
      <c r="JNB893" s="123"/>
      <c r="JNC893" s="123"/>
      <c r="JND893" s="123"/>
      <c r="JNE893" s="123"/>
      <c r="JNF893" s="123"/>
      <c r="JNG893" s="123"/>
      <c r="JNH893" s="123"/>
      <c r="JNI893" s="123"/>
      <c r="JNJ893" s="123"/>
      <c r="JNK893" s="123"/>
      <c r="JNL893" s="123"/>
      <c r="JNM893" s="123"/>
      <c r="JNN893" s="123"/>
      <c r="JNO893" s="123"/>
      <c r="JNP893" s="123"/>
      <c r="JNQ893" s="123"/>
      <c r="JNR893" s="123"/>
      <c r="JNS893" s="123"/>
      <c r="JNT893" s="123"/>
      <c r="JNU893" s="123"/>
      <c r="JNV893" s="123"/>
      <c r="JNW893" s="123"/>
      <c r="JNX893" s="123"/>
      <c r="JNY893" s="123"/>
      <c r="JNZ893" s="123"/>
      <c r="JOA893" s="123"/>
      <c r="JOB893" s="123"/>
      <c r="JOC893" s="123"/>
      <c r="JOD893" s="123"/>
      <c r="JOE893" s="123"/>
      <c r="JOF893" s="123"/>
      <c r="JOG893" s="123"/>
      <c r="JOH893" s="123"/>
      <c r="JOI893" s="123"/>
      <c r="JOJ893" s="123"/>
      <c r="JOK893" s="123"/>
      <c r="JOL893" s="123"/>
      <c r="JOM893" s="123"/>
      <c r="JON893" s="123"/>
      <c r="JOO893" s="123"/>
      <c r="JOP893" s="123"/>
      <c r="JOQ893" s="123"/>
      <c r="JOR893" s="123"/>
      <c r="JOS893" s="123"/>
      <c r="JOT893" s="123"/>
      <c r="JOU893" s="123"/>
      <c r="JOV893" s="123"/>
      <c r="JOW893" s="123"/>
      <c r="JOX893" s="123"/>
      <c r="JOY893" s="123"/>
      <c r="JOZ893" s="123"/>
      <c r="JPA893" s="123"/>
      <c r="JPB893" s="123"/>
      <c r="JPC893" s="123"/>
      <c r="JPD893" s="123"/>
      <c r="JPE893" s="123"/>
      <c r="JPF893" s="123"/>
      <c r="JPG893" s="123"/>
      <c r="JPH893" s="123"/>
      <c r="JPI893" s="123"/>
      <c r="JPJ893" s="123"/>
      <c r="JPK893" s="123"/>
      <c r="JPL893" s="123"/>
      <c r="JPM893" s="123"/>
      <c r="JPN893" s="123"/>
      <c r="JPO893" s="123"/>
      <c r="JPP893" s="123"/>
      <c r="JPQ893" s="123"/>
      <c r="JPR893" s="123"/>
      <c r="JPS893" s="123"/>
      <c r="JPT893" s="123"/>
      <c r="JPU893" s="123"/>
      <c r="JPV893" s="123"/>
      <c r="JPW893" s="123"/>
      <c r="JPX893" s="123"/>
      <c r="JPY893" s="123"/>
      <c r="JPZ893" s="123"/>
      <c r="JQA893" s="123"/>
      <c r="JQB893" s="123"/>
      <c r="JQC893" s="123"/>
      <c r="JQD893" s="123"/>
      <c r="JQE893" s="123"/>
      <c r="JQF893" s="123"/>
      <c r="JQG893" s="123"/>
      <c r="JQH893" s="123"/>
      <c r="JQI893" s="123"/>
      <c r="JQJ893" s="123"/>
      <c r="JQK893" s="123"/>
      <c r="JQL893" s="123"/>
      <c r="JQM893" s="123"/>
      <c r="JQN893" s="123"/>
      <c r="JQO893" s="123"/>
      <c r="JQP893" s="123"/>
      <c r="JQQ893" s="123"/>
      <c r="JQR893" s="123"/>
      <c r="JQS893" s="123"/>
      <c r="JQT893" s="123"/>
      <c r="JQU893" s="123"/>
      <c r="JQV893" s="123"/>
      <c r="JQW893" s="123"/>
      <c r="JQX893" s="123"/>
      <c r="JQY893" s="123"/>
      <c r="JQZ893" s="123"/>
      <c r="JRA893" s="123"/>
      <c r="JRB893" s="123"/>
      <c r="JRC893" s="123"/>
      <c r="JRD893" s="123"/>
      <c r="JRE893" s="123"/>
      <c r="JRF893" s="123"/>
      <c r="JRG893" s="123"/>
      <c r="JRH893" s="123"/>
      <c r="JRI893" s="123"/>
      <c r="JRJ893" s="123"/>
      <c r="JRK893" s="123"/>
      <c r="JRL893" s="123"/>
      <c r="JRM893" s="123"/>
      <c r="JRN893" s="123"/>
      <c r="JRO893" s="123"/>
      <c r="JRP893" s="123"/>
      <c r="JRQ893" s="123"/>
      <c r="JRR893" s="123"/>
      <c r="JRS893" s="123"/>
      <c r="JRT893" s="123"/>
      <c r="JRU893" s="123"/>
      <c r="JRV893" s="123"/>
      <c r="JRW893" s="123"/>
      <c r="JRX893" s="123"/>
      <c r="JRY893" s="123"/>
      <c r="JRZ893" s="123"/>
      <c r="JSA893" s="123"/>
      <c r="JSB893" s="123"/>
      <c r="JSC893" s="123"/>
      <c r="JSD893" s="123"/>
      <c r="JSE893" s="123"/>
      <c r="JSF893" s="123"/>
      <c r="JSG893" s="123"/>
      <c r="JSH893" s="123"/>
      <c r="JSI893" s="123"/>
      <c r="JSJ893" s="123"/>
      <c r="JSK893" s="123"/>
      <c r="JSL893" s="123"/>
      <c r="JSM893" s="123"/>
      <c r="JSN893" s="123"/>
      <c r="JSO893" s="123"/>
      <c r="JSP893" s="123"/>
      <c r="JSQ893" s="123"/>
      <c r="JSR893" s="123"/>
      <c r="JSS893" s="123"/>
      <c r="JST893" s="123"/>
      <c r="JSU893" s="123"/>
      <c r="JSV893" s="123"/>
      <c r="JSW893" s="123"/>
      <c r="JSX893" s="123"/>
      <c r="JSY893" s="123"/>
      <c r="JSZ893" s="123"/>
      <c r="JTA893" s="123"/>
      <c r="JTB893" s="123"/>
      <c r="JTC893" s="123"/>
      <c r="JTD893" s="123"/>
      <c r="JTE893" s="123"/>
      <c r="JTF893" s="123"/>
      <c r="JTG893" s="123"/>
      <c r="JTH893" s="123"/>
      <c r="JTI893" s="123"/>
      <c r="JTJ893" s="123"/>
      <c r="JTK893" s="123"/>
      <c r="JTL893" s="123"/>
      <c r="JTM893" s="123"/>
      <c r="JTN893" s="123"/>
      <c r="JTO893" s="123"/>
      <c r="JTP893" s="123"/>
      <c r="JTQ893" s="123"/>
      <c r="JTR893" s="123"/>
      <c r="JTS893" s="123"/>
      <c r="JTT893" s="123"/>
      <c r="JTU893" s="123"/>
      <c r="JTV893" s="123"/>
      <c r="JTW893" s="123"/>
      <c r="JTX893" s="123"/>
      <c r="JTY893" s="123"/>
      <c r="JTZ893" s="123"/>
      <c r="JUA893" s="123"/>
      <c r="JUB893" s="123"/>
      <c r="JUC893" s="123"/>
      <c r="JUD893" s="123"/>
      <c r="JUE893" s="123"/>
      <c r="JUF893" s="123"/>
      <c r="JUG893" s="123"/>
      <c r="JUH893" s="123"/>
      <c r="JUI893" s="123"/>
      <c r="JUJ893" s="123"/>
      <c r="JUK893" s="123"/>
      <c r="JUL893" s="123"/>
      <c r="JUM893" s="123"/>
      <c r="JUN893" s="123"/>
      <c r="JUO893" s="123"/>
      <c r="JUP893" s="123"/>
      <c r="JUQ893" s="123"/>
      <c r="JUR893" s="123"/>
      <c r="JUS893" s="123"/>
      <c r="JUT893" s="123"/>
      <c r="JUU893" s="123"/>
      <c r="JUV893" s="123"/>
      <c r="JUW893" s="123"/>
      <c r="JUX893" s="123"/>
      <c r="JUY893" s="123"/>
      <c r="JUZ893" s="123"/>
      <c r="JVA893" s="123"/>
      <c r="JVB893" s="123"/>
      <c r="JVC893" s="123"/>
      <c r="JVD893" s="123"/>
      <c r="JVE893" s="123"/>
      <c r="JVF893" s="123"/>
      <c r="JVG893" s="123"/>
      <c r="JVH893" s="123"/>
      <c r="JVI893" s="123"/>
      <c r="JVJ893" s="123"/>
      <c r="JVK893" s="123"/>
      <c r="JVL893" s="123"/>
      <c r="JVM893" s="123"/>
      <c r="JVN893" s="123"/>
      <c r="JVO893" s="123"/>
      <c r="JVP893" s="123"/>
      <c r="JVQ893" s="123"/>
      <c r="JVR893" s="123"/>
      <c r="JVS893" s="123"/>
      <c r="JVT893" s="123"/>
      <c r="JVU893" s="123"/>
      <c r="JVV893" s="123"/>
      <c r="JVW893" s="123"/>
      <c r="JVX893" s="123"/>
      <c r="JVY893" s="123"/>
      <c r="JVZ893" s="123"/>
      <c r="JWA893" s="123"/>
      <c r="JWB893" s="123"/>
      <c r="JWC893" s="123"/>
      <c r="JWD893" s="123"/>
      <c r="JWE893" s="123"/>
      <c r="JWF893" s="123"/>
      <c r="JWG893" s="123"/>
      <c r="JWH893" s="123"/>
      <c r="JWI893" s="123"/>
      <c r="JWJ893" s="123"/>
      <c r="JWK893" s="123"/>
      <c r="JWL893" s="123"/>
      <c r="JWM893" s="123"/>
      <c r="JWN893" s="123"/>
      <c r="JWO893" s="123"/>
      <c r="JWP893" s="123"/>
      <c r="JWQ893" s="123"/>
      <c r="JWR893" s="123"/>
      <c r="JWS893" s="123"/>
      <c r="JWT893" s="123"/>
      <c r="JWU893" s="123"/>
      <c r="JWV893" s="123"/>
      <c r="JWW893" s="123"/>
      <c r="JWX893" s="123"/>
      <c r="JWY893" s="123"/>
      <c r="JWZ893" s="123"/>
      <c r="JXA893" s="123"/>
      <c r="JXB893" s="123"/>
      <c r="JXC893" s="123"/>
      <c r="JXD893" s="123"/>
      <c r="JXE893" s="123"/>
      <c r="JXF893" s="123"/>
      <c r="JXG893" s="123"/>
      <c r="JXH893" s="123"/>
      <c r="JXI893" s="123"/>
      <c r="JXJ893" s="123"/>
      <c r="JXK893" s="123"/>
      <c r="JXL893" s="123"/>
      <c r="JXM893" s="123"/>
      <c r="JXN893" s="123"/>
      <c r="JXO893" s="123"/>
      <c r="JXP893" s="123"/>
      <c r="JXQ893" s="123"/>
      <c r="JXR893" s="123"/>
      <c r="JXS893" s="123"/>
      <c r="JXT893" s="123"/>
      <c r="JXU893" s="123"/>
      <c r="JXV893" s="123"/>
      <c r="JXW893" s="123"/>
      <c r="JXX893" s="123"/>
      <c r="JXY893" s="123"/>
      <c r="JXZ893" s="123"/>
      <c r="JYA893" s="123"/>
      <c r="JYB893" s="123"/>
      <c r="JYC893" s="123"/>
      <c r="JYD893" s="123"/>
      <c r="JYE893" s="123"/>
      <c r="JYF893" s="123"/>
      <c r="JYG893" s="123"/>
      <c r="JYH893" s="123"/>
      <c r="JYI893" s="123"/>
      <c r="JYJ893" s="123"/>
      <c r="JYK893" s="123"/>
      <c r="JYL893" s="123"/>
      <c r="JYM893" s="123"/>
      <c r="JYN893" s="123"/>
      <c r="JYO893" s="123"/>
      <c r="JYP893" s="123"/>
      <c r="JYQ893" s="123"/>
      <c r="JYR893" s="123"/>
      <c r="JYS893" s="123"/>
      <c r="JYT893" s="123"/>
      <c r="JYU893" s="123"/>
      <c r="JYV893" s="123"/>
      <c r="JYW893" s="123"/>
      <c r="JYX893" s="123"/>
      <c r="JYY893" s="123"/>
      <c r="JYZ893" s="123"/>
      <c r="JZA893" s="123"/>
      <c r="JZB893" s="123"/>
      <c r="JZC893" s="123"/>
      <c r="JZD893" s="123"/>
      <c r="JZE893" s="123"/>
      <c r="JZF893" s="123"/>
      <c r="JZG893" s="123"/>
      <c r="JZH893" s="123"/>
      <c r="JZI893" s="123"/>
      <c r="JZJ893" s="123"/>
      <c r="JZK893" s="123"/>
      <c r="JZL893" s="123"/>
      <c r="JZM893" s="123"/>
      <c r="JZN893" s="123"/>
      <c r="JZO893" s="123"/>
      <c r="JZP893" s="123"/>
      <c r="JZQ893" s="123"/>
      <c r="JZR893" s="123"/>
      <c r="JZS893" s="123"/>
      <c r="JZT893" s="123"/>
      <c r="JZU893" s="123"/>
      <c r="JZV893" s="123"/>
      <c r="JZW893" s="123"/>
      <c r="JZX893" s="123"/>
      <c r="JZY893" s="123"/>
      <c r="JZZ893" s="123"/>
      <c r="KAA893" s="123"/>
      <c r="KAB893" s="123"/>
      <c r="KAC893" s="123"/>
      <c r="KAD893" s="123"/>
      <c r="KAE893" s="123"/>
      <c r="KAF893" s="123"/>
      <c r="KAG893" s="123"/>
      <c r="KAH893" s="123"/>
      <c r="KAI893" s="123"/>
      <c r="KAJ893" s="123"/>
      <c r="KAK893" s="123"/>
      <c r="KAL893" s="123"/>
      <c r="KAM893" s="123"/>
      <c r="KAN893" s="123"/>
      <c r="KAO893" s="123"/>
      <c r="KAP893" s="123"/>
      <c r="KAQ893" s="123"/>
      <c r="KAR893" s="123"/>
      <c r="KAS893" s="123"/>
      <c r="KAT893" s="123"/>
      <c r="KAU893" s="123"/>
      <c r="KAV893" s="123"/>
      <c r="KAW893" s="123"/>
      <c r="KAX893" s="123"/>
      <c r="KAY893" s="123"/>
      <c r="KAZ893" s="123"/>
      <c r="KBA893" s="123"/>
      <c r="KBB893" s="123"/>
      <c r="KBC893" s="123"/>
      <c r="KBD893" s="123"/>
      <c r="KBE893" s="123"/>
      <c r="KBF893" s="123"/>
      <c r="KBG893" s="123"/>
      <c r="KBH893" s="123"/>
      <c r="KBI893" s="123"/>
      <c r="KBJ893" s="123"/>
      <c r="KBK893" s="123"/>
      <c r="KBL893" s="123"/>
      <c r="KBM893" s="123"/>
      <c r="KBN893" s="123"/>
      <c r="KBO893" s="123"/>
      <c r="KBP893" s="123"/>
      <c r="KBQ893" s="123"/>
      <c r="KBR893" s="123"/>
      <c r="KBS893" s="123"/>
      <c r="KBT893" s="123"/>
      <c r="KBU893" s="123"/>
      <c r="KBV893" s="123"/>
      <c r="KBW893" s="123"/>
      <c r="KBX893" s="123"/>
      <c r="KBY893" s="123"/>
      <c r="KBZ893" s="123"/>
      <c r="KCA893" s="123"/>
      <c r="KCB893" s="123"/>
      <c r="KCC893" s="123"/>
      <c r="KCD893" s="123"/>
      <c r="KCE893" s="123"/>
      <c r="KCF893" s="123"/>
      <c r="KCG893" s="123"/>
      <c r="KCH893" s="123"/>
      <c r="KCI893" s="123"/>
      <c r="KCJ893" s="123"/>
      <c r="KCK893" s="123"/>
      <c r="KCL893" s="123"/>
      <c r="KCM893" s="123"/>
      <c r="KCN893" s="123"/>
      <c r="KCO893" s="123"/>
      <c r="KCP893" s="123"/>
      <c r="KCQ893" s="123"/>
      <c r="KCR893" s="123"/>
      <c r="KCS893" s="123"/>
      <c r="KCT893" s="123"/>
      <c r="KCU893" s="123"/>
      <c r="KCV893" s="123"/>
      <c r="KCW893" s="123"/>
      <c r="KCX893" s="123"/>
      <c r="KCY893" s="123"/>
      <c r="KCZ893" s="123"/>
      <c r="KDA893" s="123"/>
      <c r="KDB893" s="123"/>
      <c r="KDC893" s="123"/>
      <c r="KDD893" s="123"/>
      <c r="KDE893" s="123"/>
      <c r="KDF893" s="123"/>
      <c r="KDG893" s="123"/>
      <c r="KDH893" s="123"/>
      <c r="KDI893" s="123"/>
      <c r="KDJ893" s="123"/>
      <c r="KDK893" s="123"/>
      <c r="KDL893" s="123"/>
      <c r="KDM893" s="123"/>
      <c r="KDN893" s="123"/>
      <c r="KDO893" s="123"/>
      <c r="KDP893" s="123"/>
      <c r="KDQ893" s="123"/>
      <c r="KDR893" s="123"/>
      <c r="KDS893" s="123"/>
      <c r="KDT893" s="123"/>
      <c r="KDU893" s="123"/>
      <c r="KDV893" s="123"/>
      <c r="KDW893" s="123"/>
      <c r="KDX893" s="123"/>
      <c r="KDY893" s="123"/>
      <c r="KDZ893" s="123"/>
      <c r="KEA893" s="123"/>
      <c r="KEB893" s="123"/>
      <c r="KEC893" s="123"/>
      <c r="KED893" s="123"/>
      <c r="KEE893" s="123"/>
      <c r="KEF893" s="123"/>
      <c r="KEG893" s="123"/>
      <c r="KEH893" s="123"/>
      <c r="KEI893" s="123"/>
      <c r="KEJ893" s="123"/>
      <c r="KEK893" s="123"/>
      <c r="KEL893" s="123"/>
      <c r="KEM893" s="123"/>
      <c r="KEN893" s="123"/>
      <c r="KEO893" s="123"/>
      <c r="KEP893" s="123"/>
      <c r="KEQ893" s="123"/>
      <c r="KER893" s="123"/>
      <c r="KES893" s="123"/>
      <c r="KET893" s="123"/>
      <c r="KEU893" s="123"/>
      <c r="KEV893" s="123"/>
      <c r="KEW893" s="123"/>
      <c r="KEX893" s="123"/>
      <c r="KEY893" s="123"/>
      <c r="KEZ893" s="123"/>
      <c r="KFA893" s="123"/>
      <c r="KFB893" s="123"/>
      <c r="KFC893" s="123"/>
      <c r="KFD893" s="123"/>
      <c r="KFE893" s="123"/>
      <c r="KFF893" s="123"/>
      <c r="KFG893" s="123"/>
      <c r="KFH893" s="123"/>
      <c r="KFI893" s="123"/>
      <c r="KFJ893" s="123"/>
      <c r="KFK893" s="123"/>
      <c r="KFL893" s="123"/>
      <c r="KFM893" s="123"/>
      <c r="KFN893" s="123"/>
      <c r="KFO893" s="123"/>
      <c r="KFP893" s="123"/>
      <c r="KFQ893" s="123"/>
      <c r="KFR893" s="123"/>
      <c r="KFS893" s="123"/>
      <c r="KFT893" s="123"/>
      <c r="KFU893" s="123"/>
      <c r="KFV893" s="123"/>
      <c r="KFW893" s="123"/>
      <c r="KFX893" s="123"/>
      <c r="KFY893" s="123"/>
      <c r="KFZ893" s="123"/>
      <c r="KGA893" s="123"/>
      <c r="KGB893" s="123"/>
      <c r="KGC893" s="123"/>
      <c r="KGD893" s="123"/>
      <c r="KGE893" s="123"/>
      <c r="KGF893" s="123"/>
      <c r="KGG893" s="123"/>
      <c r="KGH893" s="123"/>
      <c r="KGI893" s="123"/>
      <c r="KGJ893" s="123"/>
      <c r="KGK893" s="123"/>
      <c r="KGL893" s="123"/>
      <c r="KGM893" s="123"/>
      <c r="KGN893" s="123"/>
      <c r="KGO893" s="123"/>
      <c r="KGP893" s="123"/>
      <c r="KGQ893" s="123"/>
      <c r="KGR893" s="123"/>
      <c r="KGS893" s="123"/>
      <c r="KGT893" s="123"/>
      <c r="KGU893" s="123"/>
      <c r="KGV893" s="123"/>
      <c r="KGW893" s="123"/>
      <c r="KGX893" s="123"/>
      <c r="KGY893" s="123"/>
      <c r="KGZ893" s="123"/>
      <c r="KHA893" s="123"/>
      <c r="KHB893" s="123"/>
      <c r="KHC893" s="123"/>
      <c r="KHD893" s="123"/>
      <c r="KHE893" s="123"/>
      <c r="KHF893" s="123"/>
      <c r="KHG893" s="123"/>
      <c r="KHH893" s="123"/>
      <c r="KHI893" s="123"/>
      <c r="KHJ893" s="123"/>
      <c r="KHK893" s="123"/>
      <c r="KHL893" s="123"/>
      <c r="KHM893" s="123"/>
      <c r="KHN893" s="123"/>
      <c r="KHO893" s="123"/>
      <c r="KHP893" s="123"/>
      <c r="KHQ893" s="123"/>
      <c r="KHR893" s="123"/>
      <c r="KHS893" s="123"/>
      <c r="KHT893" s="123"/>
      <c r="KHU893" s="123"/>
      <c r="KHV893" s="123"/>
      <c r="KHW893" s="123"/>
      <c r="KHX893" s="123"/>
      <c r="KHY893" s="123"/>
      <c r="KHZ893" s="123"/>
      <c r="KIA893" s="123"/>
      <c r="KIB893" s="123"/>
      <c r="KIC893" s="123"/>
      <c r="KID893" s="123"/>
      <c r="KIE893" s="123"/>
      <c r="KIF893" s="123"/>
      <c r="KIG893" s="123"/>
      <c r="KIH893" s="123"/>
      <c r="KII893" s="123"/>
      <c r="KIJ893" s="123"/>
      <c r="KIK893" s="123"/>
      <c r="KIL893" s="123"/>
      <c r="KIM893" s="123"/>
      <c r="KIN893" s="123"/>
      <c r="KIO893" s="123"/>
      <c r="KIP893" s="123"/>
      <c r="KIQ893" s="123"/>
      <c r="KIR893" s="123"/>
      <c r="KIS893" s="123"/>
      <c r="KIT893" s="123"/>
      <c r="KIU893" s="123"/>
      <c r="KIV893" s="123"/>
      <c r="KIW893" s="123"/>
      <c r="KIX893" s="123"/>
      <c r="KIY893" s="123"/>
      <c r="KIZ893" s="123"/>
      <c r="KJA893" s="123"/>
      <c r="KJB893" s="123"/>
      <c r="KJC893" s="123"/>
      <c r="KJD893" s="123"/>
      <c r="KJE893" s="123"/>
      <c r="KJF893" s="123"/>
      <c r="KJG893" s="123"/>
      <c r="KJH893" s="123"/>
      <c r="KJI893" s="123"/>
      <c r="KJJ893" s="123"/>
      <c r="KJK893" s="123"/>
      <c r="KJL893" s="123"/>
      <c r="KJM893" s="123"/>
      <c r="KJN893" s="123"/>
      <c r="KJO893" s="123"/>
      <c r="KJP893" s="123"/>
      <c r="KJQ893" s="123"/>
      <c r="KJR893" s="123"/>
      <c r="KJS893" s="123"/>
      <c r="KJT893" s="123"/>
      <c r="KJU893" s="123"/>
      <c r="KJV893" s="123"/>
      <c r="KJW893" s="123"/>
      <c r="KJX893" s="123"/>
      <c r="KJY893" s="123"/>
      <c r="KJZ893" s="123"/>
      <c r="KKA893" s="123"/>
      <c r="KKB893" s="123"/>
      <c r="KKC893" s="123"/>
      <c r="KKD893" s="123"/>
      <c r="KKE893" s="123"/>
      <c r="KKF893" s="123"/>
      <c r="KKG893" s="123"/>
      <c r="KKH893" s="123"/>
      <c r="KKI893" s="123"/>
      <c r="KKJ893" s="123"/>
      <c r="KKK893" s="123"/>
      <c r="KKL893" s="123"/>
      <c r="KKM893" s="123"/>
      <c r="KKN893" s="123"/>
      <c r="KKO893" s="123"/>
      <c r="KKP893" s="123"/>
      <c r="KKQ893" s="123"/>
      <c r="KKR893" s="123"/>
      <c r="KKS893" s="123"/>
      <c r="KKT893" s="123"/>
      <c r="KKU893" s="123"/>
      <c r="KKV893" s="123"/>
      <c r="KKW893" s="123"/>
      <c r="KKX893" s="123"/>
      <c r="KKY893" s="123"/>
      <c r="KKZ893" s="123"/>
      <c r="KLA893" s="123"/>
      <c r="KLB893" s="123"/>
      <c r="KLC893" s="123"/>
      <c r="KLD893" s="123"/>
      <c r="KLE893" s="123"/>
      <c r="KLF893" s="123"/>
      <c r="KLG893" s="123"/>
      <c r="KLH893" s="123"/>
      <c r="KLI893" s="123"/>
      <c r="KLJ893" s="123"/>
      <c r="KLK893" s="123"/>
      <c r="KLL893" s="123"/>
      <c r="KLM893" s="123"/>
      <c r="KLN893" s="123"/>
      <c r="KLO893" s="123"/>
      <c r="KLP893" s="123"/>
      <c r="KLQ893" s="123"/>
      <c r="KLR893" s="123"/>
      <c r="KLS893" s="123"/>
      <c r="KLT893" s="123"/>
      <c r="KLU893" s="123"/>
      <c r="KLV893" s="123"/>
      <c r="KLW893" s="123"/>
      <c r="KLX893" s="123"/>
      <c r="KLY893" s="123"/>
      <c r="KLZ893" s="123"/>
      <c r="KMA893" s="123"/>
      <c r="KMB893" s="123"/>
      <c r="KMC893" s="123"/>
      <c r="KMD893" s="123"/>
      <c r="KME893" s="123"/>
      <c r="KMF893" s="123"/>
      <c r="KMG893" s="123"/>
      <c r="KMH893" s="123"/>
      <c r="KMI893" s="123"/>
      <c r="KMJ893" s="123"/>
      <c r="KMK893" s="123"/>
      <c r="KML893" s="123"/>
      <c r="KMM893" s="123"/>
      <c r="KMN893" s="123"/>
      <c r="KMO893" s="123"/>
      <c r="KMP893" s="123"/>
      <c r="KMQ893" s="123"/>
      <c r="KMR893" s="123"/>
      <c r="KMS893" s="123"/>
      <c r="KMT893" s="123"/>
      <c r="KMU893" s="123"/>
      <c r="KMV893" s="123"/>
      <c r="KMW893" s="123"/>
      <c r="KMX893" s="123"/>
      <c r="KMY893" s="123"/>
      <c r="KMZ893" s="123"/>
      <c r="KNA893" s="123"/>
      <c r="KNB893" s="123"/>
      <c r="KNC893" s="123"/>
      <c r="KND893" s="123"/>
      <c r="KNE893" s="123"/>
      <c r="KNF893" s="123"/>
      <c r="KNG893" s="123"/>
      <c r="KNH893" s="123"/>
      <c r="KNI893" s="123"/>
      <c r="KNJ893" s="123"/>
      <c r="KNK893" s="123"/>
      <c r="KNL893" s="123"/>
      <c r="KNM893" s="123"/>
      <c r="KNN893" s="123"/>
      <c r="KNO893" s="123"/>
      <c r="KNP893" s="123"/>
      <c r="KNQ893" s="123"/>
      <c r="KNR893" s="123"/>
      <c r="KNS893" s="123"/>
      <c r="KNT893" s="123"/>
      <c r="KNU893" s="123"/>
      <c r="KNV893" s="123"/>
      <c r="KNW893" s="123"/>
      <c r="KNX893" s="123"/>
      <c r="KNY893" s="123"/>
      <c r="KNZ893" s="123"/>
      <c r="KOA893" s="123"/>
      <c r="KOB893" s="123"/>
      <c r="KOC893" s="123"/>
      <c r="KOD893" s="123"/>
      <c r="KOE893" s="123"/>
      <c r="KOF893" s="123"/>
      <c r="KOG893" s="123"/>
      <c r="KOH893" s="123"/>
      <c r="KOI893" s="123"/>
      <c r="KOJ893" s="123"/>
      <c r="KOK893" s="123"/>
      <c r="KOL893" s="123"/>
      <c r="KOM893" s="123"/>
      <c r="KON893" s="123"/>
      <c r="KOO893" s="123"/>
      <c r="KOP893" s="123"/>
      <c r="KOQ893" s="123"/>
      <c r="KOR893" s="123"/>
      <c r="KOS893" s="123"/>
      <c r="KOT893" s="123"/>
      <c r="KOU893" s="123"/>
      <c r="KOV893" s="123"/>
      <c r="KOW893" s="123"/>
      <c r="KOX893" s="123"/>
      <c r="KOY893" s="123"/>
      <c r="KOZ893" s="123"/>
      <c r="KPA893" s="123"/>
      <c r="KPB893" s="123"/>
      <c r="KPC893" s="123"/>
      <c r="KPD893" s="123"/>
      <c r="KPE893" s="123"/>
      <c r="KPF893" s="123"/>
      <c r="KPG893" s="123"/>
      <c r="KPH893" s="123"/>
      <c r="KPI893" s="123"/>
      <c r="KPJ893" s="123"/>
      <c r="KPK893" s="123"/>
      <c r="KPL893" s="123"/>
      <c r="KPM893" s="123"/>
      <c r="KPN893" s="123"/>
      <c r="KPO893" s="123"/>
      <c r="KPP893" s="123"/>
      <c r="KPQ893" s="123"/>
      <c r="KPR893" s="123"/>
      <c r="KPS893" s="123"/>
      <c r="KPT893" s="123"/>
      <c r="KPU893" s="123"/>
      <c r="KPV893" s="123"/>
      <c r="KPW893" s="123"/>
      <c r="KPX893" s="123"/>
      <c r="KPY893" s="123"/>
      <c r="KPZ893" s="123"/>
      <c r="KQA893" s="123"/>
      <c r="KQB893" s="123"/>
      <c r="KQC893" s="123"/>
      <c r="KQD893" s="123"/>
      <c r="KQE893" s="123"/>
      <c r="KQF893" s="123"/>
      <c r="KQG893" s="123"/>
      <c r="KQH893" s="123"/>
      <c r="KQI893" s="123"/>
      <c r="KQJ893" s="123"/>
      <c r="KQK893" s="123"/>
      <c r="KQL893" s="123"/>
      <c r="KQM893" s="123"/>
      <c r="KQN893" s="123"/>
      <c r="KQO893" s="123"/>
      <c r="KQP893" s="123"/>
      <c r="KQQ893" s="123"/>
      <c r="KQR893" s="123"/>
      <c r="KQS893" s="123"/>
      <c r="KQT893" s="123"/>
      <c r="KQU893" s="123"/>
      <c r="KQV893" s="123"/>
      <c r="KQW893" s="123"/>
      <c r="KQX893" s="123"/>
      <c r="KQY893" s="123"/>
      <c r="KQZ893" s="123"/>
      <c r="KRA893" s="123"/>
      <c r="KRB893" s="123"/>
      <c r="KRC893" s="123"/>
      <c r="KRD893" s="123"/>
      <c r="KRE893" s="123"/>
      <c r="KRF893" s="123"/>
      <c r="KRG893" s="123"/>
      <c r="KRH893" s="123"/>
      <c r="KRI893" s="123"/>
      <c r="KRJ893" s="123"/>
      <c r="KRK893" s="123"/>
      <c r="KRL893" s="123"/>
      <c r="KRM893" s="123"/>
      <c r="KRN893" s="123"/>
      <c r="KRO893" s="123"/>
      <c r="KRP893" s="123"/>
      <c r="KRQ893" s="123"/>
      <c r="KRR893" s="123"/>
      <c r="KRS893" s="123"/>
      <c r="KRT893" s="123"/>
      <c r="KRU893" s="123"/>
      <c r="KRV893" s="123"/>
      <c r="KRW893" s="123"/>
      <c r="KRX893" s="123"/>
      <c r="KRY893" s="123"/>
      <c r="KRZ893" s="123"/>
      <c r="KSA893" s="123"/>
      <c r="KSB893" s="123"/>
      <c r="KSC893" s="123"/>
      <c r="KSD893" s="123"/>
      <c r="KSE893" s="123"/>
      <c r="KSF893" s="123"/>
      <c r="KSG893" s="123"/>
      <c r="KSH893" s="123"/>
      <c r="KSI893" s="123"/>
      <c r="KSJ893" s="123"/>
      <c r="KSK893" s="123"/>
      <c r="KSL893" s="123"/>
      <c r="KSM893" s="123"/>
      <c r="KSN893" s="123"/>
      <c r="KSO893" s="123"/>
      <c r="KSP893" s="123"/>
      <c r="KSQ893" s="123"/>
      <c r="KSR893" s="123"/>
      <c r="KSS893" s="123"/>
      <c r="KST893" s="123"/>
      <c r="KSU893" s="123"/>
      <c r="KSV893" s="123"/>
      <c r="KSW893" s="123"/>
      <c r="KSX893" s="123"/>
      <c r="KSY893" s="123"/>
      <c r="KSZ893" s="123"/>
      <c r="KTA893" s="123"/>
      <c r="KTB893" s="123"/>
      <c r="KTC893" s="123"/>
      <c r="KTD893" s="123"/>
      <c r="KTE893" s="123"/>
      <c r="KTF893" s="123"/>
      <c r="KTG893" s="123"/>
      <c r="KTH893" s="123"/>
      <c r="KTI893" s="123"/>
      <c r="KTJ893" s="123"/>
      <c r="KTK893" s="123"/>
      <c r="KTL893" s="123"/>
      <c r="KTM893" s="123"/>
      <c r="KTN893" s="123"/>
      <c r="KTO893" s="123"/>
      <c r="KTP893" s="123"/>
      <c r="KTQ893" s="123"/>
      <c r="KTR893" s="123"/>
      <c r="KTS893" s="123"/>
      <c r="KTT893" s="123"/>
      <c r="KTU893" s="123"/>
      <c r="KTV893" s="123"/>
      <c r="KTW893" s="123"/>
      <c r="KTX893" s="123"/>
      <c r="KTY893" s="123"/>
      <c r="KTZ893" s="123"/>
      <c r="KUA893" s="123"/>
      <c r="KUB893" s="123"/>
      <c r="KUC893" s="123"/>
      <c r="KUD893" s="123"/>
      <c r="KUE893" s="123"/>
      <c r="KUF893" s="123"/>
      <c r="KUG893" s="123"/>
      <c r="KUH893" s="123"/>
      <c r="KUI893" s="123"/>
      <c r="KUJ893" s="123"/>
      <c r="KUK893" s="123"/>
      <c r="KUL893" s="123"/>
      <c r="KUM893" s="123"/>
      <c r="KUN893" s="123"/>
      <c r="KUO893" s="123"/>
      <c r="KUP893" s="123"/>
      <c r="KUQ893" s="123"/>
      <c r="KUR893" s="123"/>
      <c r="KUS893" s="123"/>
      <c r="KUT893" s="123"/>
      <c r="KUU893" s="123"/>
      <c r="KUV893" s="123"/>
      <c r="KUW893" s="123"/>
      <c r="KUX893" s="123"/>
      <c r="KUY893" s="123"/>
      <c r="KUZ893" s="123"/>
      <c r="KVA893" s="123"/>
      <c r="KVB893" s="123"/>
      <c r="KVC893" s="123"/>
      <c r="KVD893" s="123"/>
      <c r="KVE893" s="123"/>
      <c r="KVF893" s="123"/>
      <c r="KVG893" s="123"/>
      <c r="KVH893" s="123"/>
      <c r="KVI893" s="123"/>
      <c r="KVJ893" s="123"/>
      <c r="KVK893" s="123"/>
      <c r="KVL893" s="123"/>
      <c r="KVM893" s="123"/>
      <c r="KVN893" s="123"/>
      <c r="KVO893" s="123"/>
      <c r="KVP893" s="123"/>
      <c r="KVQ893" s="123"/>
      <c r="KVR893" s="123"/>
      <c r="KVS893" s="123"/>
      <c r="KVT893" s="123"/>
      <c r="KVU893" s="123"/>
      <c r="KVV893" s="123"/>
      <c r="KVW893" s="123"/>
      <c r="KVX893" s="123"/>
      <c r="KVY893" s="123"/>
      <c r="KVZ893" s="123"/>
      <c r="KWA893" s="123"/>
      <c r="KWB893" s="123"/>
      <c r="KWC893" s="123"/>
      <c r="KWD893" s="123"/>
      <c r="KWE893" s="123"/>
      <c r="KWF893" s="123"/>
      <c r="KWG893" s="123"/>
      <c r="KWH893" s="123"/>
      <c r="KWI893" s="123"/>
      <c r="KWJ893" s="123"/>
      <c r="KWK893" s="123"/>
      <c r="KWL893" s="123"/>
      <c r="KWM893" s="123"/>
      <c r="KWN893" s="123"/>
      <c r="KWO893" s="123"/>
      <c r="KWP893" s="123"/>
      <c r="KWQ893" s="123"/>
      <c r="KWR893" s="123"/>
      <c r="KWS893" s="123"/>
      <c r="KWT893" s="123"/>
      <c r="KWU893" s="123"/>
      <c r="KWV893" s="123"/>
      <c r="KWW893" s="123"/>
      <c r="KWX893" s="123"/>
      <c r="KWY893" s="123"/>
      <c r="KWZ893" s="123"/>
      <c r="KXA893" s="123"/>
      <c r="KXB893" s="123"/>
      <c r="KXC893" s="123"/>
      <c r="KXD893" s="123"/>
      <c r="KXE893" s="123"/>
      <c r="KXF893" s="123"/>
      <c r="KXG893" s="123"/>
      <c r="KXH893" s="123"/>
      <c r="KXI893" s="123"/>
      <c r="KXJ893" s="123"/>
      <c r="KXK893" s="123"/>
      <c r="KXL893" s="123"/>
      <c r="KXM893" s="123"/>
      <c r="KXN893" s="123"/>
      <c r="KXO893" s="123"/>
      <c r="KXP893" s="123"/>
      <c r="KXQ893" s="123"/>
      <c r="KXR893" s="123"/>
      <c r="KXS893" s="123"/>
      <c r="KXT893" s="123"/>
      <c r="KXU893" s="123"/>
      <c r="KXV893" s="123"/>
      <c r="KXW893" s="123"/>
      <c r="KXX893" s="123"/>
      <c r="KXY893" s="123"/>
      <c r="KXZ893" s="123"/>
      <c r="KYA893" s="123"/>
      <c r="KYB893" s="123"/>
      <c r="KYC893" s="123"/>
      <c r="KYD893" s="123"/>
      <c r="KYE893" s="123"/>
      <c r="KYF893" s="123"/>
      <c r="KYG893" s="123"/>
      <c r="KYH893" s="123"/>
      <c r="KYI893" s="123"/>
      <c r="KYJ893" s="123"/>
      <c r="KYK893" s="123"/>
      <c r="KYL893" s="123"/>
      <c r="KYM893" s="123"/>
      <c r="KYN893" s="123"/>
      <c r="KYO893" s="123"/>
      <c r="KYP893" s="123"/>
      <c r="KYQ893" s="123"/>
      <c r="KYR893" s="123"/>
      <c r="KYS893" s="123"/>
      <c r="KYT893" s="123"/>
      <c r="KYU893" s="123"/>
      <c r="KYV893" s="123"/>
      <c r="KYW893" s="123"/>
      <c r="KYX893" s="123"/>
      <c r="KYY893" s="123"/>
      <c r="KYZ893" s="123"/>
      <c r="KZA893" s="123"/>
      <c r="KZB893" s="123"/>
      <c r="KZC893" s="123"/>
      <c r="KZD893" s="123"/>
      <c r="KZE893" s="123"/>
      <c r="KZF893" s="123"/>
      <c r="KZG893" s="123"/>
      <c r="KZH893" s="123"/>
      <c r="KZI893" s="123"/>
      <c r="KZJ893" s="123"/>
      <c r="KZK893" s="123"/>
      <c r="KZL893" s="123"/>
      <c r="KZM893" s="123"/>
      <c r="KZN893" s="123"/>
      <c r="KZO893" s="123"/>
      <c r="KZP893" s="123"/>
      <c r="KZQ893" s="123"/>
      <c r="KZR893" s="123"/>
      <c r="KZS893" s="123"/>
      <c r="KZT893" s="123"/>
      <c r="KZU893" s="123"/>
      <c r="KZV893" s="123"/>
      <c r="KZW893" s="123"/>
      <c r="KZX893" s="123"/>
      <c r="KZY893" s="123"/>
      <c r="KZZ893" s="123"/>
      <c r="LAA893" s="123"/>
      <c r="LAB893" s="123"/>
      <c r="LAC893" s="123"/>
      <c r="LAD893" s="123"/>
      <c r="LAE893" s="123"/>
      <c r="LAF893" s="123"/>
      <c r="LAG893" s="123"/>
      <c r="LAH893" s="123"/>
      <c r="LAI893" s="123"/>
      <c r="LAJ893" s="123"/>
      <c r="LAK893" s="123"/>
      <c r="LAL893" s="123"/>
      <c r="LAM893" s="123"/>
      <c r="LAN893" s="123"/>
      <c r="LAO893" s="123"/>
      <c r="LAP893" s="123"/>
      <c r="LAQ893" s="123"/>
      <c r="LAR893" s="123"/>
      <c r="LAS893" s="123"/>
      <c r="LAT893" s="123"/>
      <c r="LAU893" s="123"/>
      <c r="LAV893" s="123"/>
      <c r="LAW893" s="123"/>
      <c r="LAX893" s="123"/>
      <c r="LAY893" s="123"/>
      <c r="LAZ893" s="123"/>
      <c r="LBA893" s="123"/>
      <c r="LBB893" s="123"/>
      <c r="LBC893" s="123"/>
      <c r="LBD893" s="123"/>
      <c r="LBE893" s="123"/>
      <c r="LBF893" s="123"/>
      <c r="LBG893" s="123"/>
      <c r="LBH893" s="123"/>
      <c r="LBI893" s="123"/>
      <c r="LBJ893" s="123"/>
      <c r="LBK893" s="123"/>
      <c r="LBL893" s="123"/>
      <c r="LBM893" s="123"/>
      <c r="LBN893" s="123"/>
      <c r="LBO893" s="123"/>
      <c r="LBP893" s="123"/>
      <c r="LBQ893" s="123"/>
      <c r="LBR893" s="123"/>
      <c r="LBS893" s="123"/>
      <c r="LBT893" s="123"/>
      <c r="LBU893" s="123"/>
      <c r="LBV893" s="123"/>
      <c r="LBW893" s="123"/>
      <c r="LBX893" s="123"/>
      <c r="LBY893" s="123"/>
      <c r="LBZ893" s="123"/>
      <c r="LCA893" s="123"/>
      <c r="LCB893" s="123"/>
      <c r="LCC893" s="123"/>
      <c r="LCD893" s="123"/>
      <c r="LCE893" s="123"/>
      <c r="LCF893" s="123"/>
      <c r="LCG893" s="123"/>
      <c r="LCH893" s="123"/>
      <c r="LCI893" s="123"/>
      <c r="LCJ893" s="123"/>
      <c r="LCK893" s="123"/>
      <c r="LCL893" s="123"/>
      <c r="LCM893" s="123"/>
      <c r="LCN893" s="123"/>
      <c r="LCO893" s="123"/>
      <c r="LCP893" s="123"/>
      <c r="LCQ893" s="123"/>
      <c r="LCR893" s="123"/>
      <c r="LCS893" s="123"/>
      <c r="LCT893" s="123"/>
      <c r="LCU893" s="123"/>
      <c r="LCV893" s="123"/>
      <c r="LCW893" s="123"/>
      <c r="LCX893" s="123"/>
      <c r="LCY893" s="123"/>
      <c r="LCZ893" s="123"/>
      <c r="LDA893" s="123"/>
      <c r="LDB893" s="123"/>
      <c r="LDC893" s="123"/>
      <c r="LDD893" s="123"/>
      <c r="LDE893" s="123"/>
      <c r="LDF893" s="123"/>
      <c r="LDG893" s="123"/>
      <c r="LDH893" s="123"/>
      <c r="LDI893" s="123"/>
      <c r="LDJ893" s="123"/>
      <c r="LDK893" s="123"/>
      <c r="LDL893" s="123"/>
      <c r="LDM893" s="123"/>
      <c r="LDN893" s="123"/>
      <c r="LDO893" s="123"/>
      <c r="LDP893" s="123"/>
      <c r="LDQ893" s="123"/>
      <c r="LDR893" s="123"/>
      <c r="LDS893" s="123"/>
      <c r="LDT893" s="123"/>
      <c r="LDU893" s="123"/>
      <c r="LDV893" s="123"/>
      <c r="LDW893" s="123"/>
      <c r="LDX893" s="123"/>
      <c r="LDY893" s="123"/>
      <c r="LDZ893" s="123"/>
      <c r="LEA893" s="123"/>
      <c r="LEB893" s="123"/>
      <c r="LEC893" s="123"/>
      <c r="LED893" s="123"/>
      <c r="LEE893" s="123"/>
      <c r="LEF893" s="123"/>
      <c r="LEG893" s="123"/>
      <c r="LEH893" s="123"/>
      <c r="LEI893" s="123"/>
      <c r="LEJ893" s="123"/>
      <c r="LEK893" s="123"/>
      <c r="LEL893" s="123"/>
      <c r="LEM893" s="123"/>
      <c r="LEN893" s="123"/>
      <c r="LEO893" s="123"/>
      <c r="LEP893" s="123"/>
      <c r="LEQ893" s="123"/>
      <c r="LER893" s="123"/>
      <c r="LES893" s="123"/>
      <c r="LET893" s="123"/>
      <c r="LEU893" s="123"/>
      <c r="LEV893" s="123"/>
      <c r="LEW893" s="123"/>
      <c r="LEX893" s="123"/>
      <c r="LEY893" s="123"/>
      <c r="LEZ893" s="123"/>
      <c r="LFA893" s="123"/>
      <c r="LFB893" s="123"/>
      <c r="LFC893" s="123"/>
      <c r="LFD893" s="123"/>
      <c r="LFE893" s="123"/>
      <c r="LFF893" s="123"/>
      <c r="LFG893" s="123"/>
      <c r="LFH893" s="123"/>
      <c r="LFI893" s="123"/>
      <c r="LFJ893" s="123"/>
      <c r="LFK893" s="123"/>
      <c r="LFL893" s="123"/>
      <c r="LFM893" s="123"/>
      <c r="LFN893" s="123"/>
      <c r="LFO893" s="123"/>
      <c r="LFP893" s="123"/>
      <c r="LFQ893" s="123"/>
      <c r="LFR893" s="123"/>
      <c r="LFS893" s="123"/>
      <c r="LFT893" s="123"/>
      <c r="LFU893" s="123"/>
      <c r="LFV893" s="123"/>
      <c r="LFW893" s="123"/>
      <c r="LFX893" s="123"/>
      <c r="LFY893" s="123"/>
      <c r="LFZ893" s="123"/>
      <c r="LGA893" s="123"/>
      <c r="LGB893" s="123"/>
      <c r="LGC893" s="123"/>
      <c r="LGD893" s="123"/>
      <c r="LGE893" s="123"/>
      <c r="LGF893" s="123"/>
      <c r="LGG893" s="123"/>
      <c r="LGH893" s="123"/>
      <c r="LGI893" s="123"/>
      <c r="LGJ893" s="123"/>
      <c r="LGK893" s="123"/>
      <c r="LGL893" s="123"/>
      <c r="LGM893" s="123"/>
      <c r="LGN893" s="123"/>
      <c r="LGO893" s="123"/>
      <c r="LGP893" s="123"/>
      <c r="LGQ893" s="123"/>
      <c r="LGR893" s="123"/>
      <c r="LGS893" s="123"/>
      <c r="LGT893" s="123"/>
      <c r="LGU893" s="123"/>
      <c r="LGV893" s="123"/>
      <c r="LGW893" s="123"/>
      <c r="LGX893" s="123"/>
      <c r="LGY893" s="123"/>
      <c r="LGZ893" s="123"/>
      <c r="LHA893" s="123"/>
      <c r="LHB893" s="123"/>
      <c r="LHC893" s="123"/>
      <c r="LHD893" s="123"/>
      <c r="LHE893" s="123"/>
      <c r="LHF893" s="123"/>
      <c r="LHG893" s="123"/>
      <c r="LHH893" s="123"/>
      <c r="LHI893" s="123"/>
      <c r="LHJ893" s="123"/>
      <c r="LHK893" s="123"/>
      <c r="LHL893" s="123"/>
      <c r="LHM893" s="123"/>
      <c r="LHN893" s="123"/>
      <c r="LHO893" s="123"/>
      <c r="LHP893" s="123"/>
      <c r="LHQ893" s="123"/>
      <c r="LHR893" s="123"/>
      <c r="LHS893" s="123"/>
      <c r="LHT893" s="123"/>
      <c r="LHU893" s="123"/>
      <c r="LHV893" s="123"/>
      <c r="LHW893" s="123"/>
      <c r="LHX893" s="123"/>
      <c r="LHY893" s="123"/>
      <c r="LHZ893" s="123"/>
      <c r="LIA893" s="123"/>
      <c r="LIB893" s="123"/>
      <c r="LIC893" s="123"/>
      <c r="LID893" s="123"/>
      <c r="LIE893" s="123"/>
      <c r="LIF893" s="123"/>
      <c r="LIG893" s="123"/>
      <c r="LIH893" s="123"/>
      <c r="LII893" s="123"/>
      <c r="LIJ893" s="123"/>
      <c r="LIK893" s="123"/>
      <c r="LIL893" s="123"/>
      <c r="LIM893" s="123"/>
      <c r="LIN893" s="123"/>
      <c r="LIO893" s="123"/>
      <c r="LIP893" s="123"/>
      <c r="LIQ893" s="123"/>
      <c r="LIR893" s="123"/>
      <c r="LIS893" s="123"/>
      <c r="LIT893" s="123"/>
      <c r="LIU893" s="123"/>
      <c r="LIV893" s="123"/>
      <c r="LIW893" s="123"/>
      <c r="LIX893" s="123"/>
      <c r="LIY893" s="123"/>
      <c r="LIZ893" s="123"/>
      <c r="LJA893" s="123"/>
      <c r="LJB893" s="123"/>
      <c r="LJC893" s="123"/>
      <c r="LJD893" s="123"/>
      <c r="LJE893" s="123"/>
      <c r="LJF893" s="123"/>
      <c r="LJG893" s="123"/>
      <c r="LJH893" s="123"/>
      <c r="LJI893" s="123"/>
      <c r="LJJ893" s="123"/>
      <c r="LJK893" s="123"/>
      <c r="LJL893" s="123"/>
      <c r="LJM893" s="123"/>
      <c r="LJN893" s="123"/>
      <c r="LJO893" s="123"/>
      <c r="LJP893" s="123"/>
      <c r="LJQ893" s="123"/>
      <c r="LJR893" s="123"/>
      <c r="LJS893" s="123"/>
      <c r="LJT893" s="123"/>
      <c r="LJU893" s="123"/>
      <c r="LJV893" s="123"/>
      <c r="LJW893" s="123"/>
      <c r="LJX893" s="123"/>
      <c r="LJY893" s="123"/>
      <c r="LJZ893" s="123"/>
      <c r="LKA893" s="123"/>
      <c r="LKB893" s="123"/>
      <c r="LKC893" s="123"/>
      <c r="LKD893" s="123"/>
      <c r="LKE893" s="123"/>
      <c r="LKF893" s="123"/>
      <c r="LKG893" s="123"/>
      <c r="LKH893" s="123"/>
      <c r="LKI893" s="123"/>
      <c r="LKJ893" s="123"/>
      <c r="LKK893" s="123"/>
      <c r="LKL893" s="123"/>
      <c r="LKM893" s="123"/>
      <c r="LKN893" s="123"/>
      <c r="LKO893" s="123"/>
      <c r="LKP893" s="123"/>
      <c r="LKQ893" s="123"/>
      <c r="LKR893" s="123"/>
      <c r="LKS893" s="123"/>
      <c r="LKT893" s="123"/>
      <c r="LKU893" s="123"/>
      <c r="LKV893" s="123"/>
      <c r="LKW893" s="123"/>
      <c r="LKX893" s="123"/>
      <c r="LKY893" s="123"/>
      <c r="LKZ893" s="123"/>
      <c r="LLA893" s="123"/>
      <c r="LLB893" s="123"/>
      <c r="LLC893" s="123"/>
      <c r="LLD893" s="123"/>
      <c r="LLE893" s="123"/>
      <c r="LLF893" s="123"/>
      <c r="LLG893" s="123"/>
      <c r="LLH893" s="123"/>
      <c r="LLI893" s="123"/>
      <c r="LLJ893" s="123"/>
      <c r="LLK893" s="123"/>
      <c r="LLL893" s="123"/>
      <c r="LLM893" s="123"/>
      <c r="LLN893" s="123"/>
      <c r="LLO893" s="123"/>
      <c r="LLP893" s="123"/>
      <c r="LLQ893" s="123"/>
      <c r="LLR893" s="123"/>
      <c r="LLS893" s="123"/>
      <c r="LLT893" s="123"/>
      <c r="LLU893" s="123"/>
      <c r="LLV893" s="123"/>
      <c r="LLW893" s="123"/>
      <c r="LLX893" s="123"/>
      <c r="LLY893" s="123"/>
      <c r="LLZ893" s="123"/>
      <c r="LMA893" s="123"/>
      <c r="LMB893" s="123"/>
      <c r="LMC893" s="123"/>
      <c r="LMD893" s="123"/>
      <c r="LME893" s="123"/>
      <c r="LMF893" s="123"/>
      <c r="LMG893" s="123"/>
      <c r="LMH893" s="123"/>
      <c r="LMI893" s="123"/>
      <c r="LMJ893" s="123"/>
      <c r="LMK893" s="123"/>
      <c r="LML893" s="123"/>
      <c r="LMM893" s="123"/>
      <c r="LMN893" s="123"/>
      <c r="LMO893" s="123"/>
      <c r="LMP893" s="123"/>
      <c r="LMQ893" s="123"/>
      <c r="LMR893" s="123"/>
      <c r="LMS893" s="123"/>
      <c r="LMT893" s="123"/>
      <c r="LMU893" s="123"/>
      <c r="LMV893" s="123"/>
      <c r="LMW893" s="123"/>
      <c r="LMX893" s="123"/>
      <c r="LMY893" s="123"/>
      <c r="LMZ893" s="123"/>
      <c r="LNA893" s="123"/>
      <c r="LNB893" s="123"/>
      <c r="LNC893" s="123"/>
      <c r="LND893" s="123"/>
      <c r="LNE893" s="123"/>
      <c r="LNF893" s="123"/>
      <c r="LNG893" s="123"/>
      <c r="LNH893" s="123"/>
      <c r="LNI893" s="123"/>
      <c r="LNJ893" s="123"/>
      <c r="LNK893" s="123"/>
      <c r="LNL893" s="123"/>
      <c r="LNM893" s="123"/>
      <c r="LNN893" s="123"/>
      <c r="LNO893" s="123"/>
      <c r="LNP893" s="123"/>
      <c r="LNQ893" s="123"/>
      <c r="LNR893" s="123"/>
      <c r="LNS893" s="123"/>
      <c r="LNT893" s="123"/>
      <c r="LNU893" s="123"/>
      <c r="LNV893" s="123"/>
      <c r="LNW893" s="123"/>
      <c r="LNX893" s="123"/>
      <c r="LNY893" s="123"/>
      <c r="LNZ893" s="123"/>
      <c r="LOA893" s="123"/>
      <c r="LOB893" s="123"/>
      <c r="LOC893" s="123"/>
      <c r="LOD893" s="123"/>
      <c r="LOE893" s="123"/>
      <c r="LOF893" s="123"/>
      <c r="LOG893" s="123"/>
      <c r="LOH893" s="123"/>
      <c r="LOI893" s="123"/>
      <c r="LOJ893" s="123"/>
      <c r="LOK893" s="123"/>
      <c r="LOL893" s="123"/>
      <c r="LOM893" s="123"/>
      <c r="LON893" s="123"/>
      <c r="LOO893" s="123"/>
      <c r="LOP893" s="123"/>
      <c r="LOQ893" s="123"/>
      <c r="LOR893" s="123"/>
      <c r="LOS893" s="123"/>
      <c r="LOT893" s="123"/>
      <c r="LOU893" s="123"/>
      <c r="LOV893" s="123"/>
      <c r="LOW893" s="123"/>
      <c r="LOX893" s="123"/>
      <c r="LOY893" s="123"/>
      <c r="LOZ893" s="123"/>
      <c r="LPA893" s="123"/>
      <c r="LPB893" s="123"/>
      <c r="LPC893" s="123"/>
      <c r="LPD893" s="123"/>
      <c r="LPE893" s="123"/>
      <c r="LPF893" s="123"/>
      <c r="LPG893" s="123"/>
      <c r="LPH893" s="123"/>
      <c r="LPI893" s="123"/>
      <c r="LPJ893" s="123"/>
      <c r="LPK893" s="123"/>
      <c r="LPL893" s="123"/>
      <c r="LPM893" s="123"/>
      <c r="LPN893" s="123"/>
      <c r="LPO893" s="123"/>
      <c r="LPP893" s="123"/>
      <c r="LPQ893" s="123"/>
      <c r="LPR893" s="123"/>
      <c r="LPS893" s="123"/>
      <c r="LPT893" s="123"/>
      <c r="LPU893" s="123"/>
      <c r="LPV893" s="123"/>
      <c r="LPW893" s="123"/>
      <c r="LPX893" s="123"/>
      <c r="LPY893" s="123"/>
      <c r="LPZ893" s="123"/>
      <c r="LQA893" s="123"/>
      <c r="LQB893" s="123"/>
      <c r="LQC893" s="123"/>
      <c r="LQD893" s="123"/>
      <c r="LQE893" s="123"/>
      <c r="LQF893" s="123"/>
      <c r="LQG893" s="123"/>
      <c r="LQH893" s="123"/>
      <c r="LQI893" s="123"/>
      <c r="LQJ893" s="123"/>
      <c r="LQK893" s="123"/>
      <c r="LQL893" s="123"/>
      <c r="LQM893" s="123"/>
      <c r="LQN893" s="123"/>
      <c r="LQO893" s="123"/>
      <c r="LQP893" s="123"/>
      <c r="LQQ893" s="123"/>
      <c r="LQR893" s="123"/>
      <c r="LQS893" s="123"/>
      <c r="LQT893" s="123"/>
      <c r="LQU893" s="123"/>
      <c r="LQV893" s="123"/>
      <c r="LQW893" s="123"/>
      <c r="LQX893" s="123"/>
      <c r="LQY893" s="123"/>
      <c r="LQZ893" s="123"/>
      <c r="LRA893" s="123"/>
      <c r="LRB893" s="123"/>
      <c r="LRC893" s="123"/>
      <c r="LRD893" s="123"/>
      <c r="LRE893" s="123"/>
      <c r="LRF893" s="123"/>
      <c r="LRG893" s="123"/>
      <c r="LRH893" s="123"/>
      <c r="LRI893" s="123"/>
      <c r="LRJ893" s="123"/>
      <c r="LRK893" s="123"/>
      <c r="LRL893" s="123"/>
      <c r="LRM893" s="123"/>
      <c r="LRN893" s="123"/>
      <c r="LRO893" s="123"/>
      <c r="LRP893" s="123"/>
      <c r="LRQ893" s="123"/>
      <c r="LRR893" s="123"/>
      <c r="LRS893" s="123"/>
      <c r="LRT893" s="123"/>
      <c r="LRU893" s="123"/>
      <c r="LRV893" s="123"/>
      <c r="LRW893" s="123"/>
      <c r="LRX893" s="123"/>
      <c r="LRY893" s="123"/>
      <c r="LRZ893" s="123"/>
      <c r="LSA893" s="123"/>
      <c r="LSB893" s="123"/>
      <c r="LSC893" s="123"/>
      <c r="LSD893" s="123"/>
      <c r="LSE893" s="123"/>
      <c r="LSF893" s="123"/>
      <c r="LSG893" s="123"/>
      <c r="LSH893" s="123"/>
      <c r="LSI893" s="123"/>
      <c r="LSJ893" s="123"/>
      <c r="LSK893" s="123"/>
      <c r="LSL893" s="123"/>
      <c r="LSM893" s="123"/>
      <c r="LSN893" s="123"/>
      <c r="LSO893" s="123"/>
      <c r="LSP893" s="123"/>
      <c r="LSQ893" s="123"/>
      <c r="LSR893" s="123"/>
      <c r="LSS893" s="123"/>
      <c r="LST893" s="123"/>
      <c r="LSU893" s="123"/>
      <c r="LSV893" s="123"/>
      <c r="LSW893" s="123"/>
      <c r="LSX893" s="123"/>
      <c r="LSY893" s="123"/>
      <c r="LSZ893" s="123"/>
      <c r="LTA893" s="123"/>
      <c r="LTB893" s="123"/>
      <c r="LTC893" s="123"/>
      <c r="LTD893" s="123"/>
      <c r="LTE893" s="123"/>
      <c r="LTF893" s="123"/>
      <c r="LTG893" s="123"/>
      <c r="LTH893" s="123"/>
      <c r="LTI893" s="123"/>
      <c r="LTJ893" s="123"/>
      <c r="LTK893" s="123"/>
      <c r="LTL893" s="123"/>
      <c r="LTM893" s="123"/>
      <c r="LTN893" s="123"/>
      <c r="LTO893" s="123"/>
      <c r="LTP893" s="123"/>
      <c r="LTQ893" s="123"/>
      <c r="LTR893" s="123"/>
      <c r="LTS893" s="123"/>
      <c r="LTT893" s="123"/>
      <c r="LTU893" s="123"/>
      <c r="LTV893" s="123"/>
      <c r="LTW893" s="123"/>
      <c r="LTX893" s="123"/>
      <c r="LTY893" s="123"/>
      <c r="LTZ893" s="123"/>
      <c r="LUA893" s="123"/>
      <c r="LUB893" s="123"/>
      <c r="LUC893" s="123"/>
      <c r="LUD893" s="123"/>
      <c r="LUE893" s="123"/>
      <c r="LUF893" s="123"/>
      <c r="LUG893" s="123"/>
      <c r="LUH893" s="123"/>
      <c r="LUI893" s="123"/>
      <c r="LUJ893" s="123"/>
      <c r="LUK893" s="123"/>
      <c r="LUL893" s="123"/>
      <c r="LUM893" s="123"/>
      <c r="LUN893" s="123"/>
      <c r="LUO893" s="123"/>
      <c r="LUP893" s="123"/>
      <c r="LUQ893" s="123"/>
      <c r="LUR893" s="123"/>
      <c r="LUS893" s="123"/>
      <c r="LUT893" s="123"/>
      <c r="LUU893" s="123"/>
      <c r="LUV893" s="123"/>
      <c r="LUW893" s="123"/>
      <c r="LUX893" s="123"/>
      <c r="LUY893" s="123"/>
      <c r="LUZ893" s="123"/>
      <c r="LVA893" s="123"/>
      <c r="LVB893" s="123"/>
      <c r="LVC893" s="123"/>
      <c r="LVD893" s="123"/>
      <c r="LVE893" s="123"/>
      <c r="LVF893" s="123"/>
      <c r="LVG893" s="123"/>
      <c r="LVH893" s="123"/>
      <c r="LVI893" s="123"/>
      <c r="LVJ893" s="123"/>
      <c r="LVK893" s="123"/>
      <c r="LVL893" s="123"/>
      <c r="LVM893" s="123"/>
      <c r="LVN893" s="123"/>
      <c r="LVO893" s="123"/>
      <c r="LVP893" s="123"/>
      <c r="LVQ893" s="123"/>
      <c r="LVR893" s="123"/>
      <c r="LVS893" s="123"/>
      <c r="LVT893" s="123"/>
      <c r="LVU893" s="123"/>
      <c r="LVV893" s="123"/>
      <c r="LVW893" s="123"/>
      <c r="LVX893" s="123"/>
      <c r="LVY893" s="123"/>
      <c r="LVZ893" s="123"/>
      <c r="LWA893" s="123"/>
      <c r="LWB893" s="123"/>
      <c r="LWC893" s="123"/>
      <c r="LWD893" s="123"/>
      <c r="LWE893" s="123"/>
      <c r="LWF893" s="123"/>
      <c r="LWG893" s="123"/>
      <c r="LWH893" s="123"/>
      <c r="LWI893" s="123"/>
      <c r="LWJ893" s="123"/>
      <c r="LWK893" s="123"/>
      <c r="LWL893" s="123"/>
      <c r="LWM893" s="123"/>
      <c r="LWN893" s="123"/>
      <c r="LWO893" s="123"/>
      <c r="LWP893" s="123"/>
      <c r="LWQ893" s="123"/>
      <c r="LWR893" s="123"/>
      <c r="LWS893" s="123"/>
      <c r="LWT893" s="123"/>
      <c r="LWU893" s="123"/>
      <c r="LWV893" s="123"/>
      <c r="LWW893" s="123"/>
      <c r="LWX893" s="123"/>
      <c r="LWY893" s="123"/>
      <c r="LWZ893" s="123"/>
      <c r="LXA893" s="123"/>
      <c r="LXB893" s="123"/>
      <c r="LXC893" s="123"/>
      <c r="LXD893" s="123"/>
      <c r="LXE893" s="123"/>
      <c r="LXF893" s="123"/>
      <c r="LXG893" s="123"/>
      <c r="LXH893" s="123"/>
      <c r="LXI893" s="123"/>
      <c r="LXJ893" s="123"/>
      <c r="LXK893" s="123"/>
      <c r="LXL893" s="123"/>
      <c r="LXM893" s="123"/>
      <c r="LXN893" s="123"/>
      <c r="LXO893" s="123"/>
      <c r="LXP893" s="123"/>
      <c r="LXQ893" s="123"/>
      <c r="LXR893" s="123"/>
      <c r="LXS893" s="123"/>
      <c r="LXT893" s="123"/>
      <c r="LXU893" s="123"/>
      <c r="LXV893" s="123"/>
      <c r="LXW893" s="123"/>
      <c r="LXX893" s="123"/>
      <c r="LXY893" s="123"/>
      <c r="LXZ893" s="123"/>
      <c r="LYA893" s="123"/>
      <c r="LYB893" s="123"/>
      <c r="LYC893" s="123"/>
      <c r="LYD893" s="123"/>
      <c r="LYE893" s="123"/>
      <c r="LYF893" s="123"/>
      <c r="LYG893" s="123"/>
      <c r="LYH893" s="123"/>
      <c r="LYI893" s="123"/>
      <c r="LYJ893" s="123"/>
      <c r="LYK893" s="123"/>
      <c r="LYL893" s="123"/>
      <c r="LYM893" s="123"/>
      <c r="LYN893" s="123"/>
      <c r="LYO893" s="123"/>
      <c r="LYP893" s="123"/>
      <c r="LYQ893" s="123"/>
      <c r="LYR893" s="123"/>
      <c r="LYS893" s="123"/>
      <c r="LYT893" s="123"/>
      <c r="LYU893" s="123"/>
      <c r="LYV893" s="123"/>
      <c r="LYW893" s="123"/>
      <c r="LYX893" s="123"/>
      <c r="LYY893" s="123"/>
      <c r="LYZ893" s="123"/>
      <c r="LZA893" s="123"/>
      <c r="LZB893" s="123"/>
      <c r="LZC893" s="123"/>
      <c r="LZD893" s="123"/>
      <c r="LZE893" s="123"/>
      <c r="LZF893" s="123"/>
      <c r="LZG893" s="123"/>
      <c r="LZH893" s="123"/>
      <c r="LZI893" s="123"/>
      <c r="LZJ893" s="123"/>
      <c r="LZK893" s="123"/>
      <c r="LZL893" s="123"/>
      <c r="LZM893" s="123"/>
      <c r="LZN893" s="123"/>
      <c r="LZO893" s="123"/>
      <c r="LZP893" s="123"/>
      <c r="LZQ893" s="123"/>
      <c r="LZR893" s="123"/>
      <c r="LZS893" s="123"/>
      <c r="LZT893" s="123"/>
      <c r="LZU893" s="123"/>
      <c r="LZV893" s="123"/>
      <c r="LZW893" s="123"/>
      <c r="LZX893" s="123"/>
      <c r="LZY893" s="123"/>
      <c r="LZZ893" s="123"/>
      <c r="MAA893" s="123"/>
      <c r="MAB893" s="123"/>
      <c r="MAC893" s="123"/>
      <c r="MAD893" s="123"/>
      <c r="MAE893" s="123"/>
      <c r="MAF893" s="123"/>
      <c r="MAG893" s="123"/>
      <c r="MAH893" s="123"/>
      <c r="MAI893" s="123"/>
      <c r="MAJ893" s="123"/>
      <c r="MAK893" s="123"/>
      <c r="MAL893" s="123"/>
      <c r="MAM893" s="123"/>
      <c r="MAN893" s="123"/>
      <c r="MAO893" s="123"/>
      <c r="MAP893" s="123"/>
      <c r="MAQ893" s="123"/>
      <c r="MAR893" s="123"/>
      <c r="MAS893" s="123"/>
      <c r="MAT893" s="123"/>
      <c r="MAU893" s="123"/>
      <c r="MAV893" s="123"/>
      <c r="MAW893" s="123"/>
      <c r="MAX893" s="123"/>
      <c r="MAY893" s="123"/>
      <c r="MAZ893" s="123"/>
      <c r="MBA893" s="123"/>
      <c r="MBB893" s="123"/>
      <c r="MBC893" s="123"/>
      <c r="MBD893" s="123"/>
      <c r="MBE893" s="123"/>
      <c r="MBF893" s="123"/>
      <c r="MBG893" s="123"/>
      <c r="MBH893" s="123"/>
      <c r="MBI893" s="123"/>
      <c r="MBJ893" s="123"/>
      <c r="MBK893" s="123"/>
      <c r="MBL893" s="123"/>
      <c r="MBM893" s="123"/>
      <c r="MBN893" s="123"/>
      <c r="MBO893" s="123"/>
      <c r="MBP893" s="123"/>
      <c r="MBQ893" s="123"/>
      <c r="MBR893" s="123"/>
      <c r="MBS893" s="123"/>
      <c r="MBT893" s="123"/>
      <c r="MBU893" s="123"/>
      <c r="MBV893" s="123"/>
      <c r="MBW893" s="123"/>
      <c r="MBX893" s="123"/>
      <c r="MBY893" s="123"/>
      <c r="MBZ893" s="123"/>
      <c r="MCA893" s="123"/>
      <c r="MCB893" s="123"/>
      <c r="MCC893" s="123"/>
      <c r="MCD893" s="123"/>
      <c r="MCE893" s="123"/>
      <c r="MCF893" s="123"/>
      <c r="MCG893" s="123"/>
      <c r="MCH893" s="123"/>
      <c r="MCI893" s="123"/>
      <c r="MCJ893" s="123"/>
      <c r="MCK893" s="123"/>
      <c r="MCL893" s="123"/>
      <c r="MCM893" s="123"/>
      <c r="MCN893" s="123"/>
      <c r="MCO893" s="123"/>
      <c r="MCP893" s="123"/>
      <c r="MCQ893" s="123"/>
      <c r="MCR893" s="123"/>
      <c r="MCS893" s="123"/>
      <c r="MCT893" s="123"/>
      <c r="MCU893" s="123"/>
      <c r="MCV893" s="123"/>
      <c r="MCW893" s="123"/>
      <c r="MCX893" s="123"/>
      <c r="MCY893" s="123"/>
      <c r="MCZ893" s="123"/>
      <c r="MDA893" s="123"/>
      <c r="MDB893" s="123"/>
      <c r="MDC893" s="123"/>
      <c r="MDD893" s="123"/>
      <c r="MDE893" s="123"/>
      <c r="MDF893" s="123"/>
      <c r="MDG893" s="123"/>
      <c r="MDH893" s="123"/>
      <c r="MDI893" s="123"/>
      <c r="MDJ893" s="123"/>
      <c r="MDK893" s="123"/>
      <c r="MDL893" s="123"/>
      <c r="MDM893" s="123"/>
      <c r="MDN893" s="123"/>
      <c r="MDO893" s="123"/>
      <c r="MDP893" s="123"/>
      <c r="MDQ893" s="123"/>
      <c r="MDR893" s="123"/>
      <c r="MDS893" s="123"/>
      <c r="MDT893" s="123"/>
      <c r="MDU893" s="123"/>
      <c r="MDV893" s="123"/>
      <c r="MDW893" s="123"/>
      <c r="MDX893" s="123"/>
      <c r="MDY893" s="123"/>
      <c r="MDZ893" s="123"/>
      <c r="MEA893" s="123"/>
      <c r="MEB893" s="123"/>
      <c r="MEC893" s="123"/>
      <c r="MED893" s="123"/>
      <c r="MEE893" s="123"/>
      <c r="MEF893" s="123"/>
      <c r="MEG893" s="123"/>
      <c r="MEH893" s="123"/>
      <c r="MEI893" s="123"/>
      <c r="MEJ893" s="123"/>
      <c r="MEK893" s="123"/>
      <c r="MEL893" s="123"/>
      <c r="MEM893" s="123"/>
      <c r="MEN893" s="123"/>
      <c r="MEO893" s="123"/>
      <c r="MEP893" s="123"/>
      <c r="MEQ893" s="123"/>
      <c r="MER893" s="123"/>
      <c r="MES893" s="123"/>
      <c r="MET893" s="123"/>
      <c r="MEU893" s="123"/>
      <c r="MEV893" s="123"/>
      <c r="MEW893" s="123"/>
      <c r="MEX893" s="123"/>
      <c r="MEY893" s="123"/>
      <c r="MEZ893" s="123"/>
      <c r="MFA893" s="123"/>
      <c r="MFB893" s="123"/>
      <c r="MFC893" s="123"/>
      <c r="MFD893" s="123"/>
      <c r="MFE893" s="123"/>
      <c r="MFF893" s="123"/>
      <c r="MFG893" s="123"/>
      <c r="MFH893" s="123"/>
      <c r="MFI893" s="123"/>
      <c r="MFJ893" s="123"/>
      <c r="MFK893" s="123"/>
      <c r="MFL893" s="123"/>
      <c r="MFM893" s="123"/>
      <c r="MFN893" s="123"/>
      <c r="MFO893" s="123"/>
      <c r="MFP893" s="123"/>
      <c r="MFQ893" s="123"/>
      <c r="MFR893" s="123"/>
      <c r="MFS893" s="123"/>
      <c r="MFT893" s="123"/>
      <c r="MFU893" s="123"/>
      <c r="MFV893" s="123"/>
      <c r="MFW893" s="123"/>
      <c r="MFX893" s="123"/>
      <c r="MFY893" s="123"/>
      <c r="MFZ893" s="123"/>
      <c r="MGA893" s="123"/>
      <c r="MGB893" s="123"/>
      <c r="MGC893" s="123"/>
      <c r="MGD893" s="123"/>
      <c r="MGE893" s="123"/>
      <c r="MGF893" s="123"/>
      <c r="MGG893" s="123"/>
      <c r="MGH893" s="123"/>
      <c r="MGI893" s="123"/>
      <c r="MGJ893" s="123"/>
      <c r="MGK893" s="123"/>
      <c r="MGL893" s="123"/>
      <c r="MGM893" s="123"/>
      <c r="MGN893" s="123"/>
      <c r="MGO893" s="123"/>
      <c r="MGP893" s="123"/>
      <c r="MGQ893" s="123"/>
      <c r="MGR893" s="123"/>
      <c r="MGS893" s="123"/>
      <c r="MGT893" s="123"/>
      <c r="MGU893" s="123"/>
      <c r="MGV893" s="123"/>
      <c r="MGW893" s="123"/>
      <c r="MGX893" s="123"/>
      <c r="MGY893" s="123"/>
      <c r="MGZ893" s="123"/>
      <c r="MHA893" s="123"/>
      <c r="MHB893" s="123"/>
      <c r="MHC893" s="123"/>
      <c r="MHD893" s="123"/>
      <c r="MHE893" s="123"/>
      <c r="MHF893" s="123"/>
      <c r="MHG893" s="123"/>
      <c r="MHH893" s="123"/>
      <c r="MHI893" s="123"/>
      <c r="MHJ893" s="123"/>
      <c r="MHK893" s="123"/>
      <c r="MHL893" s="123"/>
      <c r="MHM893" s="123"/>
      <c r="MHN893" s="123"/>
      <c r="MHO893" s="123"/>
      <c r="MHP893" s="123"/>
      <c r="MHQ893" s="123"/>
      <c r="MHR893" s="123"/>
      <c r="MHS893" s="123"/>
      <c r="MHT893" s="123"/>
      <c r="MHU893" s="123"/>
      <c r="MHV893" s="123"/>
      <c r="MHW893" s="123"/>
      <c r="MHX893" s="123"/>
      <c r="MHY893" s="123"/>
      <c r="MHZ893" s="123"/>
      <c r="MIA893" s="123"/>
      <c r="MIB893" s="123"/>
      <c r="MIC893" s="123"/>
      <c r="MID893" s="123"/>
      <c r="MIE893" s="123"/>
      <c r="MIF893" s="123"/>
      <c r="MIG893" s="123"/>
      <c r="MIH893" s="123"/>
      <c r="MII893" s="123"/>
      <c r="MIJ893" s="123"/>
      <c r="MIK893" s="123"/>
      <c r="MIL893" s="123"/>
      <c r="MIM893" s="123"/>
      <c r="MIN893" s="123"/>
      <c r="MIO893" s="123"/>
      <c r="MIP893" s="123"/>
      <c r="MIQ893" s="123"/>
      <c r="MIR893" s="123"/>
      <c r="MIS893" s="123"/>
      <c r="MIT893" s="123"/>
      <c r="MIU893" s="123"/>
      <c r="MIV893" s="123"/>
      <c r="MIW893" s="123"/>
      <c r="MIX893" s="123"/>
      <c r="MIY893" s="123"/>
      <c r="MIZ893" s="123"/>
      <c r="MJA893" s="123"/>
      <c r="MJB893" s="123"/>
      <c r="MJC893" s="123"/>
      <c r="MJD893" s="123"/>
      <c r="MJE893" s="123"/>
      <c r="MJF893" s="123"/>
      <c r="MJG893" s="123"/>
      <c r="MJH893" s="123"/>
      <c r="MJI893" s="123"/>
      <c r="MJJ893" s="123"/>
      <c r="MJK893" s="123"/>
      <c r="MJL893" s="123"/>
      <c r="MJM893" s="123"/>
      <c r="MJN893" s="123"/>
      <c r="MJO893" s="123"/>
      <c r="MJP893" s="123"/>
      <c r="MJQ893" s="123"/>
      <c r="MJR893" s="123"/>
      <c r="MJS893" s="123"/>
      <c r="MJT893" s="123"/>
      <c r="MJU893" s="123"/>
      <c r="MJV893" s="123"/>
      <c r="MJW893" s="123"/>
      <c r="MJX893" s="123"/>
      <c r="MJY893" s="123"/>
      <c r="MJZ893" s="123"/>
      <c r="MKA893" s="123"/>
      <c r="MKB893" s="123"/>
      <c r="MKC893" s="123"/>
      <c r="MKD893" s="123"/>
      <c r="MKE893" s="123"/>
      <c r="MKF893" s="123"/>
      <c r="MKG893" s="123"/>
      <c r="MKH893" s="123"/>
      <c r="MKI893" s="123"/>
      <c r="MKJ893" s="123"/>
      <c r="MKK893" s="123"/>
      <c r="MKL893" s="123"/>
      <c r="MKM893" s="123"/>
      <c r="MKN893" s="123"/>
      <c r="MKO893" s="123"/>
      <c r="MKP893" s="123"/>
      <c r="MKQ893" s="123"/>
      <c r="MKR893" s="123"/>
      <c r="MKS893" s="123"/>
      <c r="MKT893" s="123"/>
      <c r="MKU893" s="123"/>
      <c r="MKV893" s="123"/>
      <c r="MKW893" s="123"/>
      <c r="MKX893" s="123"/>
      <c r="MKY893" s="123"/>
      <c r="MKZ893" s="123"/>
      <c r="MLA893" s="123"/>
      <c r="MLB893" s="123"/>
      <c r="MLC893" s="123"/>
      <c r="MLD893" s="123"/>
      <c r="MLE893" s="123"/>
      <c r="MLF893" s="123"/>
      <c r="MLG893" s="123"/>
      <c r="MLH893" s="123"/>
      <c r="MLI893" s="123"/>
      <c r="MLJ893" s="123"/>
      <c r="MLK893" s="123"/>
      <c r="MLL893" s="123"/>
      <c r="MLM893" s="123"/>
      <c r="MLN893" s="123"/>
      <c r="MLO893" s="123"/>
      <c r="MLP893" s="123"/>
      <c r="MLQ893" s="123"/>
      <c r="MLR893" s="123"/>
      <c r="MLS893" s="123"/>
      <c r="MLT893" s="123"/>
      <c r="MLU893" s="123"/>
      <c r="MLV893" s="123"/>
      <c r="MLW893" s="123"/>
      <c r="MLX893" s="123"/>
      <c r="MLY893" s="123"/>
      <c r="MLZ893" s="123"/>
      <c r="MMA893" s="123"/>
      <c r="MMB893" s="123"/>
      <c r="MMC893" s="123"/>
      <c r="MMD893" s="123"/>
      <c r="MME893" s="123"/>
      <c r="MMF893" s="123"/>
      <c r="MMG893" s="123"/>
      <c r="MMH893" s="123"/>
      <c r="MMI893" s="123"/>
      <c r="MMJ893" s="123"/>
      <c r="MMK893" s="123"/>
      <c r="MML893" s="123"/>
      <c r="MMM893" s="123"/>
      <c r="MMN893" s="123"/>
      <c r="MMO893" s="123"/>
      <c r="MMP893" s="123"/>
      <c r="MMQ893" s="123"/>
      <c r="MMR893" s="123"/>
      <c r="MMS893" s="123"/>
      <c r="MMT893" s="123"/>
      <c r="MMU893" s="123"/>
      <c r="MMV893" s="123"/>
      <c r="MMW893" s="123"/>
      <c r="MMX893" s="123"/>
      <c r="MMY893" s="123"/>
      <c r="MMZ893" s="123"/>
      <c r="MNA893" s="123"/>
      <c r="MNB893" s="123"/>
      <c r="MNC893" s="123"/>
      <c r="MND893" s="123"/>
      <c r="MNE893" s="123"/>
      <c r="MNF893" s="123"/>
      <c r="MNG893" s="123"/>
      <c r="MNH893" s="123"/>
      <c r="MNI893" s="123"/>
      <c r="MNJ893" s="123"/>
      <c r="MNK893" s="123"/>
      <c r="MNL893" s="123"/>
      <c r="MNM893" s="123"/>
      <c r="MNN893" s="123"/>
      <c r="MNO893" s="123"/>
      <c r="MNP893" s="123"/>
      <c r="MNQ893" s="123"/>
      <c r="MNR893" s="123"/>
      <c r="MNS893" s="123"/>
      <c r="MNT893" s="123"/>
      <c r="MNU893" s="123"/>
      <c r="MNV893" s="123"/>
      <c r="MNW893" s="123"/>
      <c r="MNX893" s="123"/>
      <c r="MNY893" s="123"/>
      <c r="MNZ893" s="123"/>
      <c r="MOA893" s="123"/>
      <c r="MOB893" s="123"/>
      <c r="MOC893" s="123"/>
      <c r="MOD893" s="123"/>
      <c r="MOE893" s="123"/>
      <c r="MOF893" s="123"/>
      <c r="MOG893" s="123"/>
      <c r="MOH893" s="123"/>
      <c r="MOI893" s="123"/>
      <c r="MOJ893" s="123"/>
      <c r="MOK893" s="123"/>
      <c r="MOL893" s="123"/>
      <c r="MOM893" s="123"/>
      <c r="MON893" s="123"/>
      <c r="MOO893" s="123"/>
      <c r="MOP893" s="123"/>
      <c r="MOQ893" s="123"/>
      <c r="MOR893" s="123"/>
      <c r="MOS893" s="123"/>
      <c r="MOT893" s="123"/>
      <c r="MOU893" s="123"/>
      <c r="MOV893" s="123"/>
      <c r="MOW893" s="123"/>
      <c r="MOX893" s="123"/>
      <c r="MOY893" s="123"/>
      <c r="MOZ893" s="123"/>
      <c r="MPA893" s="123"/>
      <c r="MPB893" s="123"/>
      <c r="MPC893" s="123"/>
      <c r="MPD893" s="123"/>
      <c r="MPE893" s="123"/>
      <c r="MPF893" s="123"/>
      <c r="MPG893" s="123"/>
      <c r="MPH893" s="123"/>
      <c r="MPI893" s="123"/>
      <c r="MPJ893" s="123"/>
      <c r="MPK893" s="123"/>
      <c r="MPL893" s="123"/>
      <c r="MPM893" s="123"/>
      <c r="MPN893" s="123"/>
      <c r="MPO893" s="123"/>
      <c r="MPP893" s="123"/>
      <c r="MPQ893" s="123"/>
      <c r="MPR893" s="123"/>
      <c r="MPS893" s="123"/>
      <c r="MPT893" s="123"/>
      <c r="MPU893" s="123"/>
      <c r="MPV893" s="123"/>
      <c r="MPW893" s="123"/>
      <c r="MPX893" s="123"/>
      <c r="MPY893" s="123"/>
      <c r="MPZ893" s="123"/>
      <c r="MQA893" s="123"/>
      <c r="MQB893" s="123"/>
      <c r="MQC893" s="123"/>
      <c r="MQD893" s="123"/>
      <c r="MQE893" s="123"/>
      <c r="MQF893" s="123"/>
      <c r="MQG893" s="123"/>
      <c r="MQH893" s="123"/>
      <c r="MQI893" s="123"/>
      <c r="MQJ893" s="123"/>
      <c r="MQK893" s="123"/>
      <c r="MQL893" s="123"/>
      <c r="MQM893" s="123"/>
      <c r="MQN893" s="123"/>
      <c r="MQO893" s="123"/>
      <c r="MQP893" s="123"/>
      <c r="MQQ893" s="123"/>
      <c r="MQR893" s="123"/>
      <c r="MQS893" s="123"/>
      <c r="MQT893" s="123"/>
      <c r="MQU893" s="123"/>
      <c r="MQV893" s="123"/>
      <c r="MQW893" s="123"/>
      <c r="MQX893" s="123"/>
      <c r="MQY893" s="123"/>
      <c r="MQZ893" s="123"/>
      <c r="MRA893" s="123"/>
      <c r="MRB893" s="123"/>
      <c r="MRC893" s="123"/>
      <c r="MRD893" s="123"/>
      <c r="MRE893" s="123"/>
      <c r="MRF893" s="123"/>
      <c r="MRG893" s="123"/>
      <c r="MRH893" s="123"/>
      <c r="MRI893" s="123"/>
      <c r="MRJ893" s="123"/>
      <c r="MRK893" s="123"/>
      <c r="MRL893" s="123"/>
      <c r="MRM893" s="123"/>
      <c r="MRN893" s="123"/>
      <c r="MRO893" s="123"/>
      <c r="MRP893" s="123"/>
      <c r="MRQ893" s="123"/>
      <c r="MRR893" s="123"/>
      <c r="MRS893" s="123"/>
      <c r="MRT893" s="123"/>
      <c r="MRU893" s="123"/>
      <c r="MRV893" s="123"/>
      <c r="MRW893" s="123"/>
      <c r="MRX893" s="123"/>
      <c r="MRY893" s="123"/>
      <c r="MRZ893" s="123"/>
      <c r="MSA893" s="123"/>
      <c r="MSB893" s="123"/>
      <c r="MSC893" s="123"/>
      <c r="MSD893" s="123"/>
      <c r="MSE893" s="123"/>
      <c r="MSF893" s="123"/>
      <c r="MSG893" s="123"/>
      <c r="MSH893" s="123"/>
      <c r="MSI893" s="123"/>
      <c r="MSJ893" s="123"/>
      <c r="MSK893" s="123"/>
      <c r="MSL893" s="123"/>
      <c r="MSM893" s="123"/>
      <c r="MSN893" s="123"/>
      <c r="MSO893" s="123"/>
      <c r="MSP893" s="123"/>
      <c r="MSQ893" s="123"/>
      <c r="MSR893" s="123"/>
      <c r="MSS893" s="123"/>
      <c r="MST893" s="123"/>
      <c r="MSU893" s="123"/>
      <c r="MSV893" s="123"/>
      <c r="MSW893" s="123"/>
      <c r="MSX893" s="123"/>
      <c r="MSY893" s="123"/>
      <c r="MSZ893" s="123"/>
      <c r="MTA893" s="123"/>
      <c r="MTB893" s="123"/>
      <c r="MTC893" s="123"/>
      <c r="MTD893" s="123"/>
      <c r="MTE893" s="123"/>
      <c r="MTF893" s="123"/>
      <c r="MTG893" s="123"/>
      <c r="MTH893" s="123"/>
      <c r="MTI893" s="123"/>
      <c r="MTJ893" s="123"/>
      <c r="MTK893" s="123"/>
      <c r="MTL893" s="123"/>
      <c r="MTM893" s="123"/>
      <c r="MTN893" s="123"/>
      <c r="MTO893" s="123"/>
      <c r="MTP893" s="123"/>
      <c r="MTQ893" s="123"/>
      <c r="MTR893" s="123"/>
      <c r="MTS893" s="123"/>
      <c r="MTT893" s="123"/>
      <c r="MTU893" s="123"/>
      <c r="MTV893" s="123"/>
      <c r="MTW893" s="123"/>
      <c r="MTX893" s="123"/>
      <c r="MTY893" s="123"/>
      <c r="MTZ893" s="123"/>
      <c r="MUA893" s="123"/>
      <c r="MUB893" s="123"/>
      <c r="MUC893" s="123"/>
      <c r="MUD893" s="123"/>
      <c r="MUE893" s="123"/>
      <c r="MUF893" s="123"/>
      <c r="MUG893" s="123"/>
      <c r="MUH893" s="123"/>
      <c r="MUI893" s="123"/>
      <c r="MUJ893" s="123"/>
      <c r="MUK893" s="123"/>
      <c r="MUL893" s="123"/>
      <c r="MUM893" s="123"/>
      <c r="MUN893" s="123"/>
      <c r="MUO893" s="123"/>
      <c r="MUP893" s="123"/>
      <c r="MUQ893" s="123"/>
      <c r="MUR893" s="123"/>
      <c r="MUS893" s="123"/>
      <c r="MUT893" s="123"/>
      <c r="MUU893" s="123"/>
      <c r="MUV893" s="123"/>
      <c r="MUW893" s="123"/>
      <c r="MUX893" s="123"/>
      <c r="MUY893" s="123"/>
      <c r="MUZ893" s="123"/>
      <c r="MVA893" s="123"/>
      <c r="MVB893" s="123"/>
      <c r="MVC893" s="123"/>
      <c r="MVD893" s="123"/>
      <c r="MVE893" s="123"/>
      <c r="MVF893" s="123"/>
      <c r="MVG893" s="123"/>
      <c r="MVH893" s="123"/>
      <c r="MVI893" s="123"/>
      <c r="MVJ893" s="123"/>
      <c r="MVK893" s="123"/>
      <c r="MVL893" s="123"/>
      <c r="MVM893" s="123"/>
      <c r="MVN893" s="123"/>
      <c r="MVO893" s="123"/>
      <c r="MVP893" s="123"/>
      <c r="MVQ893" s="123"/>
      <c r="MVR893" s="123"/>
      <c r="MVS893" s="123"/>
      <c r="MVT893" s="123"/>
      <c r="MVU893" s="123"/>
      <c r="MVV893" s="123"/>
      <c r="MVW893" s="123"/>
      <c r="MVX893" s="123"/>
      <c r="MVY893" s="123"/>
      <c r="MVZ893" s="123"/>
      <c r="MWA893" s="123"/>
      <c r="MWB893" s="123"/>
      <c r="MWC893" s="123"/>
      <c r="MWD893" s="123"/>
      <c r="MWE893" s="123"/>
      <c r="MWF893" s="123"/>
      <c r="MWG893" s="123"/>
      <c r="MWH893" s="123"/>
      <c r="MWI893" s="123"/>
      <c r="MWJ893" s="123"/>
      <c r="MWK893" s="123"/>
      <c r="MWL893" s="123"/>
      <c r="MWM893" s="123"/>
      <c r="MWN893" s="123"/>
      <c r="MWO893" s="123"/>
      <c r="MWP893" s="123"/>
      <c r="MWQ893" s="123"/>
      <c r="MWR893" s="123"/>
      <c r="MWS893" s="123"/>
      <c r="MWT893" s="123"/>
      <c r="MWU893" s="123"/>
      <c r="MWV893" s="123"/>
      <c r="MWW893" s="123"/>
      <c r="MWX893" s="123"/>
      <c r="MWY893" s="123"/>
      <c r="MWZ893" s="123"/>
      <c r="MXA893" s="123"/>
      <c r="MXB893" s="123"/>
      <c r="MXC893" s="123"/>
      <c r="MXD893" s="123"/>
      <c r="MXE893" s="123"/>
      <c r="MXF893" s="123"/>
      <c r="MXG893" s="123"/>
      <c r="MXH893" s="123"/>
      <c r="MXI893" s="123"/>
      <c r="MXJ893" s="123"/>
      <c r="MXK893" s="123"/>
      <c r="MXL893" s="123"/>
      <c r="MXM893" s="123"/>
      <c r="MXN893" s="123"/>
      <c r="MXO893" s="123"/>
      <c r="MXP893" s="123"/>
      <c r="MXQ893" s="123"/>
      <c r="MXR893" s="123"/>
      <c r="MXS893" s="123"/>
      <c r="MXT893" s="123"/>
      <c r="MXU893" s="123"/>
      <c r="MXV893" s="123"/>
      <c r="MXW893" s="123"/>
      <c r="MXX893" s="123"/>
      <c r="MXY893" s="123"/>
      <c r="MXZ893" s="123"/>
      <c r="MYA893" s="123"/>
      <c r="MYB893" s="123"/>
      <c r="MYC893" s="123"/>
      <c r="MYD893" s="123"/>
      <c r="MYE893" s="123"/>
      <c r="MYF893" s="123"/>
      <c r="MYG893" s="123"/>
      <c r="MYH893" s="123"/>
      <c r="MYI893" s="123"/>
      <c r="MYJ893" s="123"/>
      <c r="MYK893" s="123"/>
      <c r="MYL893" s="123"/>
      <c r="MYM893" s="123"/>
      <c r="MYN893" s="123"/>
      <c r="MYO893" s="123"/>
      <c r="MYP893" s="123"/>
      <c r="MYQ893" s="123"/>
      <c r="MYR893" s="123"/>
      <c r="MYS893" s="123"/>
      <c r="MYT893" s="123"/>
      <c r="MYU893" s="123"/>
      <c r="MYV893" s="123"/>
      <c r="MYW893" s="123"/>
      <c r="MYX893" s="123"/>
      <c r="MYY893" s="123"/>
      <c r="MYZ893" s="123"/>
      <c r="MZA893" s="123"/>
      <c r="MZB893" s="123"/>
      <c r="MZC893" s="123"/>
      <c r="MZD893" s="123"/>
      <c r="MZE893" s="123"/>
      <c r="MZF893" s="123"/>
      <c r="MZG893" s="123"/>
      <c r="MZH893" s="123"/>
      <c r="MZI893" s="123"/>
      <c r="MZJ893" s="123"/>
      <c r="MZK893" s="123"/>
      <c r="MZL893" s="123"/>
      <c r="MZM893" s="123"/>
      <c r="MZN893" s="123"/>
      <c r="MZO893" s="123"/>
      <c r="MZP893" s="123"/>
      <c r="MZQ893" s="123"/>
      <c r="MZR893" s="123"/>
      <c r="MZS893" s="123"/>
      <c r="MZT893" s="123"/>
      <c r="MZU893" s="123"/>
      <c r="MZV893" s="123"/>
      <c r="MZW893" s="123"/>
      <c r="MZX893" s="123"/>
      <c r="MZY893" s="123"/>
      <c r="MZZ893" s="123"/>
      <c r="NAA893" s="123"/>
      <c r="NAB893" s="123"/>
      <c r="NAC893" s="123"/>
      <c r="NAD893" s="123"/>
      <c r="NAE893" s="123"/>
      <c r="NAF893" s="123"/>
      <c r="NAG893" s="123"/>
      <c r="NAH893" s="123"/>
      <c r="NAI893" s="123"/>
      <c r="NAJ893" s="123"/>
      <c r="NAK893" s="123"/>
      <c r="NAL893" s="123"/>
      <c r="NAM893" s="123"/>
      <c r="NAN893" s="123"/>
      <c r="NAO893" s="123"/>
      <c r="NAP893" s="123"/>
      <c r="NAQ893" s="123"/>
      <c r="NAR893" s="123"/>
      <c r="NAS893" s="123"/>
      <c r="NAT893" s="123"/>
      <c r="NAU893" s="123"/>
      <c r="NAV893" s="123"/>
      <c r="NAW893" s="123"/>
      <c r="NAX893" s="123"/>
      <c r="NAY893" s="123"/>
      <c r="NAZ893" s="123"/>
      <c r="NBA893" s="123"/>
      <c r="NBB893" s="123"/>
      <c r="NBC893" s="123"/>
      <c r="NBD893" s="123"/>
      <c r="NBE893" s="123"/>
      <c r="NBF893" s="123"/>
      <c r="NBG893" s="123"/>
      <c r="NBH893" s="123"/>
      <c r="NBI893" s="123"/>
      <c r="NBJ893" s="123"/>
      <c r="NBK893" s="123"/>
      <c r="NBL893" s="123"/>
      <c r="NBM893" s="123"/>
      <c r="NBN893" s="123"/>
      <c r="NBO893" s="123"/>
      <c r="NBP893" s="123"/>
      <c r="NBQ893" s="123"/>
      <c r="NBR893" s="123"/>
      <c r="NBS893" s="123"/>
      <c r="NBT893" s="123"/>
      <c r="NBU893" s="123"/>
      <c r="NBV893" s="123"/>
      <c r="NBW893" s="123"/>
      <c r="NBX893" s="123"/>
      <c r="NBY893" s="123"/>
      <c r="NBZ893" s="123"/>
      <c r="NCA893" s="123"/>
      <c r="NCB893" s="123"/>
      <c r="NCC893" s="123"/>
      <c r="NCD893" s="123"/>
      <c r="NCE893" s="123"/>
      <c r="NCF893" s="123"/>
      <c r="NCG893" s="123"/>
      <c r="NCH893" s="123"/>
      <c r="NCI893" s="123"/>
      <c r="NCJ893" s="123"/>
      <c r="NCK893" s="123"/>
      <c r="NCL893" s="123"/>
      <c r="NCM893" s="123"/>
      <c r="NCN893" s="123"/>
      <c r="NCO893" s="123"/>
      <c r="NCP893" s="123"/>
      <c r="NCQ893" s="123"/>
      <c r="NCR893" s="123"/>
      <c r="NCS893" s="123"/>
      <c r="NCT893" s="123"/>
      <c r="NCU893" s="123"/>
      <c r="NCV893" s="123"/>
      <c r="NCW893" s="123"/>
      <c r="NCX893" s="123"/>
      <c r="NCY893" s="123"/>
      <c r="NCZ893" s="123"/>
      <c r="NDA893" s="123"/>
      <c r="NDB893" s="123"/>
      <c r="NDC893" s="123"/>
      <c r="NDD893" s="123"/>
      <c r="NDE893" s="123"/>
      <c r="NDF893" s="123"/>
      <c r="NDG893" s="123"/>
      <c r="NDH893" s="123"/>
      <c r="NDI893" s="123"/>
      <c r="NDJ893" s="123"/>
      <c r="NDK893" s="123"/>
      <c r="NDL893" s="123"/>
      <c r="NDM893" s="123"/>
      <c r="NDN893" s="123"/>
      <c r="NDO893" s="123"/>
      <c r="NDP893" s="123"/>
      <c r="NDQ893" s="123"/>
      <c r="NDR893" s="123"/>
      <c r="NDS893" s="123"/>
      <c r="NDT893" s="123"/>
      <c r="NDU893" s="123"/>
      <c r="NDV893" s="123"/>
      <c r="NDW893" s="123"/>
      <c r="NDX893" s="123"/>
      <c r="NDY893" s="123"/>
      <c r="NDZ893" s="123"/>
      <c r="NEA893" s="123"/>
      <c r="NEB893" s="123"/>
      <c r="NEC893" s="123"/>
      <c r="NED893" s="123"/>
      <c r="NEE893" s="123"/>
      <c r="NEF893" s="123"/>
      <c r="NEG893" s="123"/>
      <c r="NEH893" s="123"/>
      <c r="NEI893" s="123"/>
      <c r="NEJ893" s="123"/>
      <c r="NEK893" s="123"/>
      <c r="NEL893" s="123"/>
      <c r="NEM893" s="123"/>
      <c r="NEN893" s="123"/>
      <c r="NEO893" s="123"/>
      <c r="NEP893" s="123"/>
      <c r="NEQ893" s="123"/>
      <c r="NER893" s="123"/>
      <c r="NES893" s="123"/>
      <c r="NET893" s="123"/>
      <c r="NEU893" s="123"/>
      <c r="NEV893" s="123"/>
      <c r="NEW893" s="123"/>
      <c r="NEX893" s="123"/>
      <c r="NEY893" s="123"/>
      <c r="NEZ893" s="123"/>
      <c r="NFA893" s="123"/>
      <c r="NFB893" s="123"/>
      <c r="NFC893" s="123"/>
      <c r="NFD893" s="123"/>
      <c r="NFE893" s="123"/>
      <c r="NFF893" s="123"/>
      <c r="NFG893" s="123"/>
      <c r="NFH893" s="123"/>
      <c r="NFI893" s="123"/>
      <c r="NFJ893" s="123"/>
      <c r="NFK893" s="123"/>
      <c r="NFL893" s="123"/>
      <c r="NFM893" s="123"/>
      <c r="NFN893" s="123"/>
      <c r="NFO893" s="123"/>
      <c r="NFP893" s="123"/>
      <c r="NFQ893" s="123"/>
      <c r="NFR893" s="123"/>
      <c r="NFS893" s="123"/>
      <c r="NFT893" s="123"/>
      <c r="NFU893" s="123"/>
      <c r="NFV893" s="123"/>
      <c r="NFW893" s="123"/>
      <c r="NFX893" s="123"/>
      <c r="NFY893" s="123"/>
      <c r="NFZ893" s="123"/>
      <c r="NGA893" s="123"/>
      <c r="NGB893" s="123"/>
      <c r="NGC893" s="123"/>
      <c r="NGD893" s="123"/>
      <c r="NGE893" s="123"/>
      <c r="NGF893" s="123"/>
      <c r="NGG893" s="123"/>
      <c r="NGH893" s="123"/>
      <c r="NGI893" s="123"/>
      <c r="NGJ893" s="123"/>
      <c r="NGK893" s="123"/>
      <c r="NGL893" s="123"/>
      <c r="NGM893" s="123"/>
      <c r="NGN893" s="123"/>
      <c r="NGO893" s="123"/>
      <c r="NGP893" s="123"/>
      <c r="NGQ893" s="123"/>
      <c r="NGR893" s="123"/>
      <c r="NGS893" s="123"/>
      <c r="NGT893" s="123"/>
      <c r="NGU893" s="123"/>
      <c r="NGV893" s="123"/>
      <c r="NGW893" s="123"/>
      <c r="NGX893" s="123"/>
      <c r="NGY893" s="123"/>
      <c r="NGZ893" s="123"/>
      <c r="NHA893" s="123"/>
      <c r="NHB893" s="123"/>
      <c r="NHC893" s="123"/>
      <c r="NHD893" s="123"/>
      <c r="NHE893" s="123"/>
      <c r="NHF893" s="123"/>
      <c r="NHG893" s="123"/>
      <c r="NHH893" s="123"/>
      <c r="NHI893" s="123"/>
      <c r="NHJ893" s="123"/>
      <c r="NHK893" s="123"/>
      <c r="NHL893" s="123"/>
      <c r="NHM893" s="123"/>
      <c r="NHN893" s="123"/>
      <c r="NHO893" s="123"/>
      <c r="NHP893" s="123"/>
      <c r="NHQ893" s="123"/>
      <c r="NHR893" s="123"/>
      <c r="NHS893" s="123"/>
      <c r="NHT893" s="123"/>
      <c r="NHU893" s="123"/>
      <c r="NHV893" s="123"/>
      <c r="NHW893" s="123"/>
      <c r="NHX893" s="123"/>
      <c r="NHY893" s="123"/>
      <c r="NHZ893" s="123"/>
      <c r="NIA893" s="123"/>
      <c r="NIB893" s="123"/>
      <c r="NIC893" s="123"/>
      <c r="NID893" s="123"/>
      <c r="NIE893" s="123"/>
      <c r="NIF893" s="123"/>
      <c r="NIG893" s="123"/>
      <c r="NIH893" s="123"/>
      <c r="NII893" s="123"/>
      <c r="NIJ893" s="123"/>
      <c r="NIK893" s="123"/>
      <c r="NIL893" s="123"/>
      <c r="NIM893" s="123"/>
      <c r="NIN893" s="123"/>
      <c r="NIO893" s="123"/>
      <c r="NIP893" s="123"/>
      <c r="NIQ893" s="123"/>
      <c r="NIR893" s="123"/>
      <c r="NIS893" s="123"/>
      <c r="NIT893" s="123"/>
      <c r="NIU893" s="123"/>
      <c r="NIV893" s="123"/>
      <c r="NIW893" s="123"/>
      <c r="NIX893" s="123"/>
      <c r="NIY893" s="123"/>
      <c r="NIZ893" s="123"/>
      <c r="NJA893" s="123"/>
      <c r="NJB893" s="123"/>
      <c r="NJC893" s="123"/>
      <c r="NJD893" s="123"/>
      <c r="NJE893" s="123"/>
      <c r="NJF893" s="123"/>
      <c r="NJG893" s="123"/>
      <c r="NJH893" s="123"/>
      <c r="NJI893" s="123"/>
      <c r="NJJ893" s="123"/>
      <c r="NJK893" s="123"/>
      <c r="NJL893" s="123"/>
      <c r="NJM893" s="123"/>
      <c r="NJN893" s="123"/>
      <c r="NJO893" s="123"/>
      <c r="NJP893" s="123"/>
      <c r="NJQ893" s="123"/>
      <c r="NJR893" s="123"/>
      <c r="NJS893" s="123"/>
      <c r="NJT893" s="123"/>
      <c r="NJU893" s="123"/>
      <c r="NJV893" s="123"/>
      <c r="NJW893" s="123"/>
      <c r="NJX893" s="123"/>
      <c r="NJY893" s="123"/>
      <c r="NJZ893" s="123"/>
      <c r="NKA893" s="123"/>
      <c r="NKB893" s="123"/>
      <c r="NKC893" s="123"/>
      <c r="NKD893" s="123"/>
      <c r="NKE893" s="123"/>
      <c r="NKF893" s="123"/>
      <c r="NKG893" s="123"/>
      <c r="NKH893" s="123"/>
      <c r="NKI893" s="123"/>
      <c r="NKJ893" s="123"/>
      <c r="NKK893" s="123"/>
      <c r="NKL893" s="123"/>
      <c r="NKM893" s="123"/>
      <c r="NKN893" s="123"/>
      <c r="NKO893" s="123"/>
      <c r="NKP893" s="123"/>
      <c r="NKQ893" s="123"/>
      <c r="NKR893" s="123"/>
      <c r="NKS893" s="123"/>
      <c r="NKT893" s="123"/>
      <c r="NKU893" s="123"/>
      <c r="NKV893" s="123"/>
      <c r="NKW893" s="123"/>
      <c r="NKX893" s="123"/>
      <c r="NKY893" s="123"/>
      <c r="NKZ893" s="123"/>
      <c r="NLA893" s="123"/>
      <c r="NLB893" s="123"/>
      <c r="NLC893" s="123"/>
      <c r="NLD893" s="123"/>
      <c r="NLE893" s="123"/>
      <c r="NLF893" s="123"/>
      <c r="NLG893" s="123"/>
      <c r="NLH893" s="123"/>
      <c r="NLI893" s="123"/>
      <c r="NLJ893" s="123"/>
      <c r="NLK893" s="123"/>
      <c r="NLL893" s="123"/>
      <c r="NLM893" s="123"/>
      <c r="NLN893" s="123"/>
      <c r="NLO893" s="123"/>
      <c r="NLP893" s="123"/>
      <c r="NLQ893" s="123"/>
      <c r="NLR893" s="123"/>
      <c r="NLS893" s="123"/>
      <c r="NLT893" s="123"/>
      <c r="NLU893" s="123"/>
      <c r="NLV893" s="123"/>
      <c r="NLW893" s="123"/>
      <c r="NLX893" s="123"/>
      <c r="NLY893" s="123"/>
      <c r="NLZ893" s="123"/>
      <c r="NMA893" s="123"/>
      <c r="NMB893" s="123"/>
      <c r="NMC893" s="123"/>
      <c r="NMD893" s="123"/>
      <c r="NME893" s="123"/>
      <c r="NMF893" s="123"/>
      <c r="NMG893" s="123"/>
      <c r="NMH893" s="123"/>
      <c r="NMI893" s="123"/>
      <c r="NMJ893" s="123"/>
      <c r="NMK893" s="123"/>
      <c r="NML893" s="123"/>
      <c r="NMM893" s="123"/>
      <c r="NMN893" s="123"/>
      <c r="NMO893" s="123"/>
      <c r="NMP893" s="123"/>
      <c r="NMQ893" s="123"/>
      <c r="NMR893" s="123"/>
      <c r="NMS893" s="123"/>
      <c r="NMT893" s="123"/>
      <c r="NMU893" s="123"/>
      <c r="NMV893" s="123"/>
      <c r="NMW893" s="123"/>
      <c r="NMX893" s="123"/>
      <c r="NMY893" s="123"/>
      <c r="NMZ893" s="123"/>
      <c r="NNA893" s="123"/>
      <c r="NNB893" s="123"/>
      <c r="NNC893" s="123"/>
      <c r="NND893" s="123"/>
      <c r="NNE893" s="123"/>
      <c r="NNF893" s="123"/>
      <c r="NNG893" s="123"/>
      <c r="NNH893" s="123"/>
      <c r="NNI893" s="123"/>
      <c r="NNJ893" s="123"/>
      <c r="NNK893" s="123"/>
      <c r="NNL893" s="123"/>
      <c r="NNM893" s="123"/>
      <c r="NNN893" s="123"/>
      <c r="NNO893" s="123"/>
      <c r="NNP893" s="123"/>
      <c r="NNQ893" s="123"/>
      <c r="NNR893" s="123"/>
      <c r="NNS893" s="123"/>
      <c r="NNT893" s="123"/>
      <c r="NNU893" s="123"/>
      <c r="NNV893" s="123"/>
      <c r="NNW893" s="123"/>
      <c r="NNX893" s="123"/>
      <c r="NNY893" s="123"/>
      <c r="NNZ893" s="123"/>
      <c r="NOA893" s="123"/>
      <c r="NOB893" s="123"/>
      <c r="NOC893" s="123"/>
      <c r="NOD893" s="123"/>
      <c r="NOE893" s="123"/>
      <c r="NOF893" s="123"/>
      <c r="NOG893" s="123"/>
      <c r="NOH893" s="123"/>
      <c r="NOI893" s="123"/>
      <c r="NOJ893" s="123"/>
      <c r="NOK893" s="123"/>
      <c r="NOL893" s="123"/>
      <c r="NOM893" s="123"/>
      <c r="NON893" s="123"/>
      <c r="NOO893" s="123"/>
      <c r="NOP893" s="123"/>
      <c r="NOQ893" s="123"/>
      <c r="NOR893" s="123"/>
      <c r="NOS893" s="123"/>
      <c r="NOT893" s="123"/>
      <c r="NOU893" s="123"/>
      <c r="NOV893" s="123"/>
      <c r="NOW893" s="123"/>
      <c r="NOX893" s="123"/>
      <c r="NOY893" s="123"/>
      <c r="NOZ893" s="123"/>
      <c r="NPA893" s="123"/>
      <c r="NPB893" s="123"/>
      <c r="NPC893" s="123"/>
      <c r="NPD893" s="123"/>
      <c r="NPE893" s="123"/>
      <c r="NPF893" s="123"/>
      <c r="NPG893" s="123"/>
      <c r="NPH893" s="123"/>
      <c r="NPI893" s="123"/>
      <c r="NPJ893" s="123"/>
      <c r="NPK893" s="123"/>
      <c r="NPL893" s="123"/>
      <c r="NPM893" s="123"/>
      <c r="NPN893" s="123"/>
      <c r="NPO893" s="123"/>
      <c r="NPP893" s="123"/>
      <c r="NPQ893" s="123"/>
      <c r="NPR893" s="123"/>
      <c r="NPS893" s="123"/>
      <c r="NPT893" s="123"/>
      <c r="NPU893" s="123"/>
      <c r="NPV893" s="123"/>
      <c r="NPW893" s="123"/>
      <c r="NPX893" s="123"/>
      <c r="NPY893" s="123"/>
      <c r="NPZ893" s="123"/>
      <c r="NQA893" s="123"/>
      <c r="NQB893" s="123"/>
      <c r="NQC893" s="123"/>
      <c r="NQD893" s="123"/>
      <c r="NQE893" s="123"/>
      <c r="NQF893" s="123"/>
      <c r="NQG893" s="123"/>
      <c r="NQH893" s="123"/>
      <c r="NQI893" s="123"/>
      <c r="NQJ893" s="123"/>
      <c r="NQK893" s="123"/>
      <c r="NQL893" s="123"/>
      <c r="NQM893" s="123"/>
      <c r="NQN893" s="123"/>
      <c r="NQO893" s="123"/>
      <c r="NQP893" s="123"/>
      <c r="NQQ893" s="123"/>
      <c r="NQR893" s="123"/>
      <c r="NQS893" s="123"/>
      <c r="NQT893" s="123"/>
      <c r="NQU893" s="123"/>
      <c r="NQV893" s="123"/>
      <c r="NQW893" s="123"/>
      <c r="NQX893" s="123"/>
      <c r="NQY893" s="123"/>
      <c r="NQZ893" s="123"/>
      <c r="NRA893" s="123"/>
      <c r="NRB893" s="123"/>
      <c r="NRC893" s="123"/>
      <c r="NRD893" s="123"/>
      <c r="NRE893" s="123"/>
      <c r="NRF893" s="123"/>
      <c r="NRG893" s="123"/>
      <c r="NRH893" s="123"/>
      <c r="NRI893" s="123"/>
      <c r="NRJ893" s="123"/>
      <c r="NRK893" s="123"/>
      <c r="NRL893" s="123"/>
      <c r="NRM893" s="123"/>
      <c r="NRN893" s="123"/>
      <c r="NRO893" s="123"/>
      <c r="NRP893" s="123"/>
      <c r="NRQ893" s="123"/>
      <c r="NRR893" s="123"/>
      <c r="NRS893" s="123"/>
      <c r="NRT893" s="123"/>
      <c r="NRU893" s="123"/>
      <c r="NRV893" s="123"/>
      <c r="NRW893" s="123"/>
      <c r="NRX893" s="123"/>
      <c r="NRY893" s="123"/>
      <c r="NRZ893" s="123"/>
      <c r="NSA893" s="123"/>
      <c r="NSB893" s="123"/>
      <c r="NSC893" s="123"/>
      <c r="NSD893" s="123"/>
      <c r="NSE893" s="123"/>
      <c r="NSF893" s="123"/>
      <c r="NSG893" s="123"/>
      <c r="NSH893" s="123"/>
      <c r="NSI893" s="123"/>
      <c r="NSJ893" s="123"/>
      <c r="NSK893" s="123"/>
      <c r="NSL893" s="123"/>
      <c r="NSM893" s="123"/>
      <c r="NSN893" s="123"/>
      <c r="NSO893" s="123"/>
      <c r="NSP893" s="123"/>
      <c r="NSQ893" s="123"/>
      <c r="NSR893" s="123"/>
      <c r="NSS893" s="123"/>
      <c r="NST893" s="123"/>
      <c r="NSU893" s="123"/>
      <c r="NSV893" s="123"/>
      <c r="NSW893" s="123"/>
      <c r="NSX893" s="123"/>
      <c r="NSY893" s="123"/>
      <c r="NSZ893" s="123"/>
      <c r="NTA893" s="123"/>
      <c r="NTB893" s="123"/>
      <c r="NTC893" s="123"/>
      <c r="NTD893" s="123"/>
      <c r="NTE893" s="123"/>
      <c r="NTF893" s="123"/>
      <c r="NTG893" s="123"/>
      <c r="NTH893" s="123"/>
      <c r="NTI893" s="123"/>
      <c r="NTJ893" s="123"/>
      <c r="NTK893" s="123"/>
      <c r="NTL893" s="123"/>
      <c r="NTM893" s="123"/>
      <c r="NTN893" s="123"/>
      <c r="NTO893" s="123"/>
      <c r="NTP893" s="123"/>
      <c r="NTQ893" s="123"/>
      <c r="NTR893" s="123"/>
      <c r="NTS893" s="123"/>
      <c r="NTT893" s="123"/>
      <c r="NTU893" s="123"/>
      <c r="NTV893" s="123"/>
      <c r="NTW893" s="123"/>
      <c r="NTX893" s="123"/>
      <c r="NTY893" s="123"/>
      <c r="NTZ893" s="123"/>
      <c r="NUA893" s="123"/>
      <c r="NUB893" s="123"/>
      <c r="NUC893" s="123"/>
      <c r="NUD893" s="123"/>
      <c r="NUE893" s="123"/>
      <c r="NUF893" s="123"/>
      <c r="NUG893" s="123"/>
      <c r="NUH893" s="123"/>
      <c r="NUI893" s="123"/>
      <c r="NUJ893" s="123"/>
      <c r="NUK893" s="123"/>
      <c r="NUL893" s="123"/>
      <c r="NUM893" s="123"/>
      <c r="NUN893" s="123"/>
      <c r="NUO893" s="123"/>
      <c r="NUP893" s="123"/>
      <c r="NUQ893" s="123"/>
      <c r="NUR893" s="123"/>
      <c r="NUS893" s="123"/>
      <c r="NUT893" s="123"/>
      <c r="NUU893" s="123"/>
      <c r="NUV893" s="123"/>
      <c r="NUW893" s="123"/>
      <c r="NUX893" s="123"/>
      <c r="NUY893" s="123"/>
      <c r="NUZ893" s="123"/>
      <c r="NVA893" s="123"/>
      <c r="NVB893" s="123"/>
      <c r="NVC893" s="123"/>
      <c r="NVD893" s="123"/>
      <c r="NVE893" s="123"/>
      <c r="NVF893" s="123"/>
      <c r="NVG893" s="123"/>
      <c r="NVH893" s="123"/>
      <c r="NVI893" s="123"/>
      <c r="NVJ893" s="123"/>
      <c r="NVK893" s="123"/>
      <c r="NVL893" s="123"/>
      <c r="NVM893" s="123"/>
      <c r="NVN893" s="123"/>
      <c r="NVO893" s="123"/>
      <c r="NVP893" s="123"/>
      <c r="NVQ893" s="123"/>
      <c r="NVR893" s="123"/>
      <c r="NVS893" s="123"/>
      <c r="NVT893" s="123"/>
      <c r="NVU893" s="123"/>
      <c r="NVV893" s="123"/>
      <c r="NVW893" s="123"/>
      <c r="NVX893" s="123"/>
      <c r="NVY893" s="123"/>
      <c r="NVZ893" s="123"/>
      <c r="NWA893" s="123"/>
      <c r="NWB893" s="123"/>
      <c r="NWC893" s="123"/>
      <c r="NWD893" s="123"/>
      <c r="NWE893" s="123"/>
      <c r="NWF893" s="123"/>
      <c r="NWG893" s="123"/>
      <c r="NWH893" s="123"/>
      <c r="NWI893" s="123"/>
      <c r="NWJ893" s="123"/>
      <c r="NWK893" s="123"/>
      <c r="NWL893" s="123"/>
      <c r="NWM893" s="123"/>
      <c r="NWN893" s="123"/>
      <c r="NWO893" s="123"/>
      <c r="NWP893" s="123"/>
      <c r="NWQ893" s="123"/>
      <c r="NWR893" s="123"/>
      <c r="NWS893" s="123"/>
      <c r="NWT893" s="123"/>
      <c r="NWU893" s="123"/>
      <c r="NWV893" s="123"/>
      <c r="NWW893" s="123"/>
      <c r="NWX893" s="123"/>
      <c r="NWY893" s="123"/>
      <c r="NWZ893" s="123"/>
      <c r="NXA893" s="123"/>
      <c r="NXB893" s="123"/>
      <c r="NXC893" s="123"/>
      <c r="NXD893" s="123"/>
      <c r="NXE893" s="123"/>
      <c r="NXF893" s="123"/>
      <c r="NXG893" s="123"/>
      <c r="NXH893" s="123"/>
      <c r="NXI893" s="123"/>
      <c r="NXJ893" s="123"/>
      <c r="NXK893" s="123"/>
      <c r="NXL893" s="123"/>
      <c r="NXM893" s="123"/>
      <c r="NXN893" s="123"/>
      <c r="NXO893" s="123"/>
      <c r="NXP893" s="123"/>
      <c r="NXQ893" s="123"/>
      <c r="NXR893" s="123"/>
      <c r="NXS893" s="123"/>
      <c r="NXT893" s="123"/>
      <c r="NXU893" s="123"/>
      <c r="NXV893" s="123"/>
      <c r="NXW893" s="123"/>
      <c r="NXX893" s="123"/>
      <c r="NXY893" s="123"/>
      <c r="NXZ893" s="123"/>
      <c r="NYA893" s="123"/>
      <c r="NYB893" s="123"/>
      <c r="NYC893" s="123"/>
      <c r="NYD893" s="123"/>
      <c r="NYE893" s="123"/>
      <c r="NYF893" s="123"/>
      <c r="NYG893" s="123"/>
      <c r="NYH893" s="123"/>
      <c r="NYI893" s="123"/>
      <c r="NYJ893" s="123"/>
      <c r="NYK893" s="123"/>
      <c r="NYL893" s="123"/>
      <c r="NYM893" s="123"/>
      <c r="NYN893" s="123"/>
      <c r="NYO893" s="123"/>
      <c r="NYP893" s="123"/>
      <c r="NYQ893" s="123"/>
      <c r="NYR893" s="123"/>
      <c r="NYS893" s="123"/>
      <c r="NYT893" s="123"/>
      <c r="NYU893" s="123"/>
      <c r="NYV893" s="123"/>
      <c r="NYW893" s="123"/>
      <c r="NYX893" s="123"/>
      <c r="NYY893" s="123"/>
      <c r="NYZ893" s="123"/>
      <c r="NZA893" s="123"/>
      <c r="NZB893" s="123"/>
      <c r="NZC893" s="123"/>
      <c r="NZD893" s="123"/>
      <c r="NZE893" s="123"/>
      <c r="NZF893" s="123"/>
      <c r="NZG893" s="123"/>
      <c r="NZH893" s="123"/>
      <c r="NZI893" s="123"/>
      <c r="NZJ893" s="123"/>
      <c r="NZK893" s="123"/>
      <c r="NZL893" s="123"/>
      <c r="NZM893" s="123"/>
      <c r="NZN893" s="123"/>
      <c r="NZO893" s="123"/>
      <c r="NZP893" s="123"/>
      <c r="NZQ893" s="123"/>
      <c r="NZR893" s="123"/>
      <c r="NZS893" s="123"/>
      <c r="NZT893" s="123"/>
      <c r="NZU893" s="123"/>
      <c r="NZV893" s="123"/>
      <c r="NZW893" s="123"/>
      <c r="NZX893" s="123"/>
      <c r="NZY893" s="123"/>
      <c r="NZZ893" s="123"/>
      <c r="OAA893" s="123"/>
      <c r="OAB893" s="123"/>
      <c r="OAC893" s="123"/>
      <c r="OAD893" s="123"/>
      <c r="OAE893" s="123"/>
      <c r="OAF893" s="123"/>
      <c r="OAG893" s="123"/>
      <c r="OAH893" s="123"/>
      <c r="OAI893" s="123"/>
      <c r="OAJ893" s="123"/>
      <c r="OAK893" s="123"/>
      <c r="OAL893" s="123"/>
      <c r="OAM893" s="123"/>
      <c r="OAN893" s="123"/>
      <c r="OAO893" s="123"/>
      <c r="OAP893" s="123"/>
      <c r="OAQ893" s="123"/>
      <c r="OAR893" s="123"/>
      <c r="OAS893" s="123"/>
      <c r="OAT893" s="123"/>
      <c r="OAU893" s="123"/>
      <c r="OAV893" s="123"/>
      <c r="OAW893" s="123"/>
      <c r="OAX893" s="123"/>
      <c r="OAY893" s="123"/>
      <c r="OAZ893" s="123"/>
      <c r="OBA893" s="123"/>
      <c r="OBB893" s="123"/>
      <c r="OBC893" s="123"/>
      <c r="OBD893" s="123"/>
      <c r="OBE893" s="123"/>
      <c r="OBF893" s="123"/>
      <c r="OBG893" s="123"/>
      <c r="OBH893" s="123"/>
      <c r="OBI893" s="123"/>
      <c r="OBJ893" s="123"/>
      <c r="OBK893" s="123"/>
      <c r="OBL893" s="123"/>
      <c r="OBM893" s="123"/>
      <c r="OBN893" s="123"/>
      <c r="OBO893" s="123"/>
      <c r="OBP893" s="123"/>
      <c r="OBQ893" s="123"/>
      <c r="OBR893" s="123"/>
      <c r="OBS893" s="123"/>
      <c r="OBT893" s="123"/>
      <c r="OBU893" s="123"/>
      <c r="OBV893" s="123"/>
      <c r="OBW893" s="123"/>
      <c r="OBX893" s="123"/>
      <c r="OBY893" s="123"/>
      <c r="OBZ893" s="123"/>
      <c r="OCA893" s="123"/>
      <c r="OCB893" s="123"/>
      <c r="OCC893" s="123"/>
      <c r="OCD893" s="123"/>
      <c r="OCE893" s="123"/>
      <c r="OCF893" s="123"/>
      <c r="OCG893" s="123"/>
      <c r="OCH893" s="123"/>
      <c r="OCI893" s="123"/>
      <c r="OCJ893" s="123"/>
      <c r="OCK893" s="123"/>
      <c r="OCL893" s="123"/>
      <c r="OCM893" s="123"/>
      <c r="OCN893" s="123"/>
      <c r="OCO893" s="123"/>
      <c r="OCP893" s="123"/>
      <c r="OCQ893" s="123"/>
      <c r="OCR893" s="123"/>
      <c r="OCS893" s="123"/>
      <c r="OCT893" s="123"/>
      <c r="OCU893" s="123"/>
      <c r="OCV893" s="123"/>
      <c r="OCW893" s="123"/>
      <c r="OCX893" s="123"/>
      <c r="OCY893" s="123"/>
      <c r="OCZ893" s="123"/>
      <c r="ODA893" s="123"/>
      <c r="ODB893" s="123"/>
      <c r="ODC893" s="123"/>
      <c r="ODD893" s="123"/>
      <c r="ODE893" s="123"/>
      <c r="ODF893" s="123"/>
      <c r="ODG893" s="123"/>
      <c r="ODH893" s="123"/>
      <c r="ODI893" s="123"/>
      <c r="ODJ893" s="123"/>
      <c r="ODK893" s="123"/>
      <c r="ODL893" s="123"/>
      <c r="ODM893" s="123"/>
      <c r="ODN893" s="123"/>
      <c r="ODO893" s="123"/>
      <c r="ODP893" s="123"/>
      <c r="ODQ893" s="123"/>
      <c r="ODR893" s="123"/>
      <c r="ODS893" s="123"/>
      <c r="ODT893" s="123"/>
      <c r="ODU893" s="123"/>
      <c r="ODV893" s="123"/>
      <c r="ODW893" s="123"/>
      <c r="ODX893" s="123"/>
      <c r="ODY893" s="123"/>
      <c r="ODZ893" s="123"/>
      <c r="OEA893" s="123"/>
      <c r="OEB893" s="123"/>
      <c r="OEC893" s="123"/>
      <c r="OED893" s="123"/>
      <c r="OEE893" s="123"/>
      <c r="OEF893" s="123"/>
      <c r="OEG893" s="123"/>
      <c r="OEH893" s="123"/>
      <c r="OEI893" s="123"/>
      <c r="OEJ893" s="123"/>
      <c r="OEK893" s="123"/>
      <c r="OEL893" s="123"/>
      <c r="OEM893" s="123"/>
      <c r="OEN893" s="123"/>
      <c r="OEO893" s="123"/>
      <c r="OEP893" s="123"/>
      <c r="OEQ893" s="123"/>
      <c r="OER893" s="123"/>
      <c r="OES893" s="123"/>
      <c r="OET893" s="123"/>
      <c r="OEU893" s="123"/>
      <c r="OEV893" s="123"/>
      <c r="OEW893" s="123"/>
      <c r="OEX893" s="123"/>
      <c r="OEY893" s="123"/>
      <c r="OEZ893" s="123"/>
      <c r="OFA893" s="123"/>
      <c r="OFB893" s="123"/>
      <c r="OFC893" s="123"/>
      <c r="OFD893" s="123"/>
      <c r="OFE893" s="123"/>
      <c r="OFF893" s="123"/>
      <c r="OFG893" s="123"/>
      <c r="OFH893" s="123"/>
      <c r="OFI893" s="123"/>
      <c r="OFJ893" s="123"/>
      <c r="OFK893" s="123"/>
      <c r="OFL893" s="123"/>
      <c r="OFM893" s="123"/>
      <c r="OFN893" s="123"/>
      <c r="OFO893" s="123"/>
      <c r="OFP893" s="123"/>
      <c r="OFQ893" s="123"/>
      <c r="OFR893" s="123"/>
      <c r="OFS893" s="123"/>
      <c r="OFT893" s="123"/>
      <c r="OFU893" s="123"/>
      <c r="OFV893" s="123"/>
      <c r="OFW893" s="123"/>
      <c r="OFX893" s="123"/>
      <c r="OFY893" s="123"/>
      <c r="OFZ893" s="123"/>
      <c r="OGA893" s="123"/>
      <c r="OGB893" s="123"/>
      <c r="OGC893" s="123"/>
      <c r="OGD893" s="123"/>
      <c r="OGE893" s="123"/>
      <c r="OGF893" s="123"/>
      <c r="OGG893" s="123"/>
      <c r="OGH893" s="123"/>
      <c r="OGI893" s="123"/>
      <c r="OGJ893" s="123"/>
      <c r="OGK893" s="123"/>
      <c r="OGL893" s="123"/>
      <c r="OGM893" s="123"/>
      <c r="OGN893" s="123"/>
      <c r="OGO893" s="123"/>
      <c r="OGP893" s="123"/>
      <c r="OGQ893" s="123"/>
      <c r="OGR893" s="123"/>
      <c r="OGS893" s="123"/>
      <c r="OGT893" s="123"/>
      <c r="OGU893" s="123"/>
      <c r="OGV893" s="123"/>
      <c r="OGW893" s="123"/>
      <c r="OGX893" s="123"/>
      <c r="OGY893" s="123"/>
      <c r="OGZ893" s="123"/>
      <c r="OHA893" s="123"/>
      <c r="OHB893" s="123"/>
      <c r="OHC893" s="123"/>
      <c r="OHD893" s="123"/>
      <c r="OHE893" s="123"/>
      <c r="OHF893" s="123"/>
      <c r="OHG893" s="123"/>
      <c r="OHH893" s="123"/>
      <c r="OHI893" s="123"/>
      <c r="OHJ893" s="123"/>
      <c r="OHK893" s="123"/>
      <c r="OHL893" s="123"/>
      <c r="OHM893" s="123"/>
      <c r="OHN893" s="123"/>
      <c r="OHO893" s="123"/>
      <c r="OHP893" s="123"/>
      <c r="OHQ893" s="123"/>
      <c r="OHR893" s="123"/>
      <c r="OHS893" s="123"/>
      <c r="OHT893" s="123"/>
      <c r="OHU893" s="123"/>
      <c r="OHV893" s="123"/>
      <c r="OHW893" s="123"/>
      <c r="OHX893" s="123"/>
      <c r="OHY893" s="123"/>
      <c r="OHZ893" s="123"/>
      <c r="OIA893" s="123"/>
      <c r="OIB893" s="123"/>
      <c r="OIC893" s="123"/>
      <c r="OID893" s="123"/>
      <c r="OIE893" s="123"/>
      <c r="OIF893" s="123"/>
      <c r="OIG893" s="123"/>
      <c r="OIH893" s="123"/>
      <c r="OII893" s="123"/>
      <c r="OIJ893" s="123"/>
      <c r="OIK893" s="123"/>
      <c r="OIL893" s="123"/>
      <c r="OIM893" s="123"/>
      <c r="OIN893" s="123"/>
      <c r="OIO893" s="123"/>
      <c r="OIP893" s="123"/>
      <c r="OIQ893" s="123"/>
      <c r="OIR893" s="123"/>
      <c r="OIS893" s="123"/>
      <c r="OIT893" s="123"/>
      <c r="OIU893" s="123"/>
      <c r="OIV893" s="123"/>
      <c r="OIW893" s="123"/>
      <c r="OIX893" s="123"/>
      <c r="OIY893" s="123"/>
      <c r="OIZ893" s="123"/>
      <c r="OJA893" s="123"/>
      <c r="OJB893" s="123"/>
      <c r="OJC893" s="123"/>
      <c r="OJD893" s="123"/>
      <c r="OJE893" s="123"/>
      <c r="OJF893" s="123"/>
      <c r="OJG893" s="123"/>
      <c r="OJH893" s="123"/>
      <c r="OJI893" s="123"/>
      <c r="OJJ893" s="123"/>
      <c r="OJK893" s="123"/>
      <c r="OJL893" s="123"/>
      <c r="OJM893" s="123"/>
      <c r="OJN893" s="123"/>
      <c r="OJO893" s="123"/>
      <c r="OJP893" s="123"/>
      <c r="OJQ893" s="123"/>
      <c r="OJR893" s="123"/>
      <c r="OJS893" s="123"/>
      <c r="OJT893" s="123"/>
      <c r="OJU893" s="123"/>
      <c r="OJV893" s="123"/>
      <c r="OJW893" s="123"/>
      <c r="OJX893" s="123"/>
      <c r="OJY893" s="123"/>
      <c r="OJZ893" s="123"/>
      <c r="OKA893" s="123"/>
      <c r="OKB893" s="123"/>
      <c r="OKC893" s="123"/>
      <c r="OKD893" s="123"/>
      <c r="OKE893" s="123"/>
      <c r="OKF893" s="123"/>
      <c r="OKG893" s="123"/>
      <c r="OKH893" s="123"/>
      <c r="OKI893" s="123"/>
      <c r="OKJ893" s="123"/>
      <c r="OKK893" s="123"/>
      <c r="OKL893" s="123"/>
      <c r="OKM893" s="123"/>
      <c r="OKN893" s="123"/>
      <c r="OKO893" s="123"/>
      <c r="OKP893" s="123"/>
      <c r="OKQ893" s="123"/>
      <c r="OKR893" s="123"/>
      <c r="OKS893" s="123"/>
      <c r="OKT893" s="123"/>
      <c r="OKU893" s="123"/>
      <c r="OKV893" s="123"/>
      <c r="OKW893" s="123"/>
      <c r="OKX893" s="123"/>
      <c r="OKY893" s="123"/>
      <c r="OKZ893" s="123"/>
      <c r="OLA893" s="123"/>
      <c r="OLB893" s="123"/>
      <c r="OLC893" s="123"/>
      <c r="OLD893" s="123"/>
      <c r="OLE893" s="123"/>
      <c r="OLF893" s="123"/>
      <c r="OLG893" s="123"/>
      <c r="OLH893" s="123"/>
      <c r="OLI893" s="123"/>
      <c r="OLJ893" s="123"/>
      <c r="OLK893" s="123"/>
      <c r="OLL893" s="123"/>
      <c r="OLM893" s="123"/>
      <c r="OLN893" s="123"/>
      <c r="OLO893" s="123"/>
      <c r="OLP893" s="123"/>
      <c r="OLQ893" s="123"/>
      <c r="OLR893" s="123"/>
      <c r="OLS893" s="123"/>
      <c r="OLT893" s="123"/>
      <c r="OLU893" s="123"/>
      <c r="OLV893" s="123"/>
      <c r="OLW893" s="123"/>
      <c r="OLX893" s="123"/>
      <c r="OLY893" s="123"/>
      <c r="OLZ893" s="123"/>
      <c r="OMA893" s="123"/>
      <c r="OMB893" s="123"/>
      <c r="OMC893" s="123"/>
      <c r="OMD893" s="123"/>
      <c r="OME893" s="123"/>
      <c r="OMF893" s="123"/>
      <c r="OMG893" s="123"/>
      <c r="OMH893" s="123"/>
      <c r="OMI893" s="123"/>
      <c r="OMJ893" s="123"/>
      <c r="OMK893" s="123"/>
      <c r="OML893" s="123"/>
      <c r="OMM893" s="123"/>
      <c r="OMN893" s="123"/>
      <c r="OMO893" s="123"/>
      <c r="OMP893" s="123"/>
      <c r="OMQ893" s="123"/>
      <c r="OMR893" s="123"/>
      <c r="OMS893" s="123"/>
      <c r="OMT893" s="123"/>
      <c r="OMU893" s="123"/>
      <c r="OMV893" s="123"/>
      <c r="OMW893" s="123"/>
      <c r="OMX893" s="123"/>
      <c r="OMY893" s="123"/>
      <c r="OMZ893" s="123"/>
      <c r="ONA893" s="123"/>
      <c r="ONB893" s="123"/>
      <c r="ONC893" s="123"/>
      <c r="OND893" s="123"/>
      <c r="ONE893" s="123"/>
      <c r="ONF893" s="123"/>
      <c r="ONG893" s="123"/>
      <c r="ONH893" s="123"/>
      <c r="ONI893" s="123"/>
      <c r="ONJ893" s="123"/>
      <c r="ONK893" s="123"/>
      <c r="ONL893" s="123"/>
      <c r="ONM893" s="123"/>
      <c r="ONN893" s="123"/>
      <c r="ONO893" s="123"/>
      <c r="ONP893" s="123"/>
      <c r="ONQ893" s="123"/>
      <c r="ONR893" s="123"/>
      <c r="ONS893" s="123"/>
      <c r="ONT893" s="123"/>
      <c r="ONU893" s="123"/>
      <c r="ONV893" s="123"/>
      <c r="ONW893" s="123"/>
      <c r="ONX893" s="123"/>
      <c r="ONY893" s="123"/>
      <c r="ONZ893" s="123"/>
      <c r="OOA893" s="123"/>
      <c r="OOB893" s="123"/>
      <c r="OOC893" s="123"/>
      <c r="OOD893" s="123"/>
      <c r="OOE893" s="123"/>
      <c r="OOF893" s="123"/>
      <c r="OOG893" s="123"/>
      <c r="OOH893" s="123"/>
      <c r="OOI893" s="123"/>
      <c r="OOJ893" s="123"/>
      <c r="OOK893" s="123"/>
      <c r="OOL893" s="123"/>
      <c r="OOM893" s="123"/>
      <c r="OON893" s="123"/>
      <c r="OOO893" s="123"/>
      <c r="OOP893" s="123"/>
      <c r="OOQ893" s="123"/>
      <c r="OOR893" s="123"/>
      <c r="OOS893" s="123"/>
      <c r="OOT893" s="123"/>
      <c r="OOU893" s="123"/>
      <c r="OOV893" s="123"/>
      <c r="OOW893" s="123"/>
      <c r="OOX893" s="123"/>
      <c r="OOY893" s="123"/>
      <c r="OOZ893" s="123"/>
      <c r="OPA893" s="123"/>
      <c r="OPB893" s="123"/>
      <c r="OPC893" s="123"/>
      <c r="OPD893" s="123"/>
      <c r="OPE893" s="123"/>
      <c r="OPF893" s="123"/>
      <c r="OPG893" s="123"/>
      <c r="OPH893" s="123"/>
      <c r="OPI893" s="123"/>
      <c r="OPJ893" s="123"/>
      <c r="OPK893" s="123"/>
      <c r="OPL893" s="123"/>
      <c r="OPM893" s="123"/>
      <c r="OPN893" s="123"/>
      <c r="OPO893" s="123"/>
      <c r="OPP893" s="123"/>
      <c r="OPQ893" s="123"/>
      <c r="OPR893" s="123"/>
      <c r="OPS893" s="123"/>
      <c r="OPT893" s="123"/>
      <c r="OPU893" s="123"/>
      <c r="OPV893" s="123"/>
      <c r="OPW893" s="123"/>
      <c r="OPX893" s="123"/>
      <c r="OPY893" s="123"/>
      <c r="OPZ893" s="123"/>
      <c r="OQA893" s="123"/>
      <c r="OQB893" s="123"/>
      <c r="OQC893" s="123"/>
      <c r="OQD893" s="123"/>
      <c r="OQE893" s="123"/>
      <c r="OQF893" s="123"/>
      <c r="OQG893" s="123"/>
      <c r="OQH893" s="123"/>
      <c r="OQI893" s="123"/>
      <c r="OQJ893" s="123"/>
      <c r="OQK893" s="123"/>
      <c r="OQL893" s="123"/>
      <c r="OQM893" s="123"/>
      <c r="OQN893" s="123"/>
      <c r="OQO893" s="123"/>
      <c r="OQP893" s="123"/>
      <c r="OQQ893" s="123"/>
      <c r="OQR893" s="123"/>
      <c r="OQS893" s="123"/>
      <c r="OQT893" s="123"/>
      <c r="OQU893" s="123"/>
      <c r="OQV893" s="123"/>
      <c r="OQW893" s="123"/>
      <c r="OQX893" s="123"/>
      <c r="OQY893" s="123"/>
      <c r="OQZ893" s="123"/>
      <c r="ORA893" s="123"/>
      <c r="ORB893" s="123"/>
      <c r="ORC893" s="123"/>
      <c r="ORD893" s="123"/>
      <c r="ORE893" s="123"/>
      <c r="ORF893" s="123"/>
      <c r="ORG893" s="123"/>
      <c r="ORH893" s="123"/>
      <c r="ORI893" s="123"/>
      <c r="ORJ893" s="123"/>
      <c r="ORK893" s="123"/>
      <c r="ORL893" s="123"/>
      <c r="ORM893" s="123"/>
      <c r="ORN893" s="123"/>
      <c r="ORO893" s="123"/>
      <c r="ORP893" s="123"/>
      <c r="ORQ893" s="123"/>
      <c r="ORR893" s="123"/>
      <c r="ORS893" s="123"/>
      <c r="ORT893" s="123"/>
      <c r="ORU893" s="123"/>
      <c r="ORV893" s="123"/>
      <c r="ORW893" s="123"/>
      <c r="ORX893" s="123"/>
      <c r="ORY893" s="123"/>
      <c r="ORZ893" s="123"/>
      <c r="OSA893" s="123"/>
      <c r="OSB893" s="123"/>
      <c r="OSC893" s="123"/>
      <c r="OSD893" s="123"/>
      <c r="OSE893" s="123"/>
      <c r="OSF893" s="123"/>
      <c r="OSG893" s="123"/>
      <c r="OSH893" s="123"/>
      <c r="OSI893" s="123"/>
      <c r="OSJ893" s="123"/>
      <c r="OSK893" s="123"/>
      <c r="OSL893" s="123"/>
      <c r="OSM893" s="123"/>
      <c r="OSN893" s="123"/>
      <c r="OSO893" s="123"/>
      <c r="OSP893" s="123"/>
      <c r="OSQ893" s="123"/>
      <c r="OSR893" s="123"/>
      <c r="OSS893" s="123"/>
      <c r="OST893" s="123"/>
      <c r="OSU893" s="123"/>
      <c r="OSV893" s="123"/>
      <c r="OSW893" s="123"/>
      <c r="OSX893" s="123"/>
      <c r="OSY893" s="123"/>
      <c r="OSZ893" s="123"/>
      <c r="OTA893" s="123"/>
      <c r="OTB893" s="123"/>
      <c r="OTC893" s="123"/>
      <c r="OTD893" s="123"/>
      <c r="OTE893" s="123"/>
      <c r="OTF893" s="123"/>
      <c r="OTG893" s="123"/>
      <c r="OTH893" s="123"/>
      <c r="OTI893" s="123"/>
      <c r="OTJ893" s="123"/>
      <c r="OTK893" s="123"/>
      <c r="OTL893" s="123"/>
      <c r="OTM893" s="123"/>
      <c r="OTN893" s="123"/>
      <c r="OTO893" s="123"/>
      <c r="OTP893" s="123"/>
      <c r="OTQ893" s="123"/>
      <c r="OTR893" s="123"/>
      <c r="OTS893" s="123"/>
      <c r="OTT893" s="123"/>
      <c r="OTU893" s="123"/>
      <c r="OTV893" s="123"/>
      <c r="OTW893" s="123"/>
      <c r="OTX893" s="123"/>
      <c r="OTY893" s="123"/>
      <c r="OTZ893" s="123"/>
      <c r="OUA893" s="123"/>
      <c r="OUB893" s="123"/>
      <c r="OUC893" s="123"/>
      <c r="OUD893" s="123"/>
      <c r="OUE893" s="123"/>
      <c r="OUF893" s="123"/>
      <c r="OUG893" s="123"/>
      <c r="OUH893" s="123"/>
      <c r="OUI893" s="123"/>
      <c r="OUJ893" s="123"/>
      <c r="OUK893" s="123"/>
      <c r="OUL893" s="123"/>
      <c r="OUM893" s="123"/>
      <c r="OUN893" s="123"/>
      <c r="OUO893" s="123"/>
      <c r="OUP893" s="123"/>
      <c r="OUQ893" s="123"/>
      <c r="OUR893" s="123"/>
      <c r="OUS893" s="123"/>
      <c r="OUT893" s="123"/>
      <c r="OUU893" s="123"/>
      <c r="OUV893" s="123"/>
      <c r="OUW893" s="123"/>
      <c r="OUX893" s="123"/>
      <c r="OUY893" s="123"/>
      <c r="OUZ893" s="123"/>
      <c r="OVA893" s="123"/>
      <c r="OVB893" s="123"/>
      <c r="OVC893" s="123"/>
      <c r="OVD893" s="123"/>
      <c r="OVE893" s="123"/>
      <c r="OVF893" s="123"/>
      <c r="OVG893" s="123"/>
      <c r="OVH893" s="123"/>
      <c r="OVI893" s="123"/>
      <c r="OVJ893" s="123"/>
      <c r="OVK893" s="123"/>
      <c r="OVL893" s="123"/>
      <c r="OVM893" s="123"/>
      <c r="OVN893" s="123"/>
      <c r="OVO893" s="123"/>
      <c r="OVP893" s="123"/>
      <c r="OVQ893" s="123"/>
      <c r="OVR893" s="123"/>
      <c r="OVS893" s="123"/>
      <c r="OVT893" s="123"/>
      <c r="OVU893" s="123"/>
      <c r="OVV893" s="123"/>
      <c r="OVW893" s="123"/>
      <c r="OVX893" s="123"/>
      <c r="OVY893" s="123"/>
      <c r="OVZ893" s="123"/>
      <c r="OWA893" s="123"/>
      <c r="OWB893" s="123"/>
      <c r="OWC893" s="123"/>
      <c r="OWD893" s="123"/>
      <c r="OWE893" s="123"/>
      <c r="OWF893" s="123"/>
      <c r="OWG893" s="123"/>
      <c r="OWH893" s="123"/>
      <c r="OWI893" s="123"/>
      <c r="OWJ893" s="123"/>
      <c r="OWK893" s="123"/>
      <c r="OWL893" s="123"/>
      <c r="OWM893" s="123"/>
      <c r="OWN893" s="123"/>
      <c r="OWO893" s="123"/>
      <c r="OWP893" s="123"/>
      <c r="OWQ893" s="123"/>
      <c r="OWR893" s="123"/>
      <c r="OWS893" s="123"/>
      <c r="OWT893" s="123"/>
      <c r="OWU893" s="123"/>
      <c r="OWV893" s="123"/>
      <c r="OWW893" s="123"/>
      <c r="OWX893" s="123"/>
      <c r="OWY893" s="123"/>
      <c r="OWZ893" s="123"/>
      <c r="OXA893" s="123"/>
      <c r="OXB893" s="123"/>
      <c r="OXC893" s="123"/>
      <c r="OXD893" s="123"/>
      <c r="OXE893" s="123"/>
      <c r="OXF893" s="123"/>
      <c r="OXG893" s="123"/>
      <c r="OXH893" s="123"/>
      <c r="OXI893" s="123"/>
      <c r="OXJ893" s="123"/>
      <c r="OXK893" s="123"/>
      <c r="OXL893" s="123"/>
      <c r="OXM893" s="123"/>
      <c r="OXN893" s="123"/>
      <c r="OXO893" s="123"/>
      <c r="OXP893" s="123"/>
      <c r="OXQ893" s="123"/>
      <c r="OXR893" s="123"/>
      <c r="OXS893" s="123"/>
      <c r="OXT893" s="123"/>
      <c r="OXU893" s="123"/>
      <c r="OXV893" s="123"/>
      <c r="OXW893" s="123"/>
      <c r="OXX893" s="123"/>
      <c r="OXY893" s="123"/>
      <c r="OXZ893" s="123"/>
      <c r="OYA893" s="123"/>
      <c r="OYB893" s="123"/>
      <c r="OYC893" s="123"/>
      <c r="OYD893" s="123"/>
      <c r="OYE893" s="123"/>
      <c r="OYF893" s="123"/>
      <c r="OYG893" s="123"/>
      <c r="OYH893" s="123"/>
      <c r="OYI893" s="123"/>
      <c r="OYJ893" s="123"/>
      <c r="OYK893" s="123"/>
      <c r="OYL893" s="123"/>
      <c r="OYM893" s="123"/>
      <c r="OYN893" s="123"/>
      <c r="OYO893" s="123"/>
      <c r="OYP893" s="123"/>
      <c r="OYQ893" s="123"/>
      <c r="OYR893" s="123"/>
      <c r="OYS893" s="123"/>
      <c r="OYT893" s="123"/>
      <c r="OYU893" s="123"/>
      <c r="OYV893" s="123"/>
      <c r="OYW893" s="123"/>
      <c r="OYX893" s="123"/>
      <c r="OYY893" s="123"/>
      <c r="OYZ893" s="123"/>
      <c r="OZA893" s="123"/>
      <c r="OZB893" s="123"/>
      <c r="OZC893" s="123"/>
      <c r="OZD893" s="123"/>
      <c r="OZE893" s="123"/>
      <c r="OZF893" s="123"/>
      <c r="OZG893" s="123"/>
      <c r="OZH893" s="123"/>
      <c r="OZI893" s="123"/>
      <c r="OZJ893" s="123"/>
      <c r="OZK893" s="123"/>
      <c r="OZL893" s="123"/>
      <c r="OZM893" s="123"/>
      <c r="OZN893" s="123"/>
      <c r="OZO893" s="123"/>
      <c r="OZP893" s="123"/>
      <c r="OZQ893" s="123"/>
      <c r="OZR893" s="123"/>
      <c r="OZS893" s="123"/>
      <c r="OZT893" s="123"/>
      <c r="OZU893" s="123"/>
      <c r="OZV893" s="123"/>
      <c r="OZW893" s="123"/>
      <c r="OZX893" s="123"/>
      <c r="OZY893" s="123"/>
      <c r="OZZ893" s="123"/>
      <c r="PAA893" s="123"/>
      <c r="PAB893" s="123"/>
      <c r="PAC893" s="123"/>
      <c r="PAD893" s="123"/>
      <c r="PAE893" s="123"/>
      <c r="PAF893" s="123"/>
      <c r="PAG893" s="123"/>
      <c r="PAH893" s="123"/>
      <c r="PAI893" s="123"/>
      <c r="PAJ893" s="123"/>
      <c r="PAK893" s="123"/>
      <c r="PAL893" s="123"/>
      <c r="PAM893" s="123"/>
      <c r="PAN893" s="123"/>
      <c r="PAO893" s="123"/>
      <c r="PAP893" s="123"/>
      <c r="PAQ893" s="123"/>
      <c r="PAR893" s="123"/>
      <c r="PAS893" s="123"/>
      <c r="PAT893" s="123"/>
      <c r="PAU893" s="123"/>
      <c r="PAV893" s="123"/>
      <c r="PAW893" s="123"/>
      <c r="PAX893" s="123"/>
      <c r="PAY893" s="123"/>
      <c r="PAZ893" s="123"/>
      <c r="PBA893" s="123"/>
      <c r="PBB893" s="123"/>
      <c r="PBC893" s="123"/>
      <c r="PBD893" s="123"/>
      <c r="PBE893" s="123"/>
      <c r="PBF893" s="123"/>
      <c r="PBG893" s="123"/>
      <c r="PBH893" s="123"/>
      <c r="PBI893" s="123"/>
      <c r="PBJ893" s="123"/>
      <c r="PBK893" s="123"/>
      <c r="PBL893" s="123"/>
      <c r="PBM893" s="123"/>
      <c r="PBN893" s="123"/>
      <c r="PBO893" s="123"/>
      <c r="PBP893" s="123"/>
      <c r="PBQ893" s="123"/>
      <c r="PBR893" s="123"/>
      <c r="PBS893" s="123"/>
      <c r="PBT893" s="123"/>
      <c r="PBU893" s="123"/>
      <c r="PBV893" s="123"/>
      <c r="PBW893" s="123"/>
      <c r="PBX893" s="123"/>
      <c r="PBY893" s="123"/>
      <c r="PBZ893" s="123"/>
      <c r="PCA893" s="123"/>
      <c r="PCB893" s="123"/>
      <c r="PCC893" s="123"/>
      <c r="PCD893" s="123"/>
      <c r="PCE893" s="123"/>
      <c r="PCF893" s="123"/>
      <c r="PCG893" s="123"/>
      <c r="PCH893" s="123"/>
      <c r="PCI893" s="123"/>
      <c r="PCJ893" s="123"/>
      <c r="PCK893" s="123"/>
      <c r="PCL893" s="123"/>
      <c r="PCM893" s="123"/>
      <c r="PCN893" s="123"/>
      <c r="PCO893" s="123"/>
      <c r="PCP893" s="123"/>
      <c r="PCQ893" s="123"/>
      <c r="PCR893" s="123"/>
      <c r="PCS893" s="123"/>
      <c r="PCT893" s="123"/>
      <c r="PCU893" s="123"/>
      <c r="PCV893" s="123"/>
      <c r="PCW893" s="123"/>
      <c r="PCX893" s="123"/>
      <c r="PCY893" s="123"/>
      <c r="PCZ893" s="123"/>
      <c r="PDA893" s="123"/>
      <c r="PDB893" s="123"/>
      <c r="PDC893" s="123"/>
      <c r="PDD893" s="123"/>
      <c r="PDE893" s="123"/>
      <c r="PDF893" s="123"/>
      <c r="PDG893" s="123"/>
      <c r="PDH893" s="123"/>
      <c r="PDI893" s="123"/>
      <c r="PDJ893" s="123"/>
      <c r="PDK893" s="123"/>
      <c r="PDL893" s="123"/>
      <c r="PDM893" s="123"/>
      <c r="PDN893" s="123"/>
      <c r="PDO893" s="123"/>
      <c r="PDP893" s="123"/>
      <c r="PDQ893" s="123"/>
      <c r="PDR893" s="123"/>
      <c r="PDS893" s="123"/>
      <c r="PDT893" s="123"/>
      <c r="PDU893" s="123"/>
      <c r="PDV893" s="123"/>
      <c r="PDW893" s="123"/>
      <c r="PDX893" s="123"/>
      <c r="PDY893" s="123"/>
      <c r="PDZ893" s="123"/>
      <c r="PEA893" s="123"/>
      <c r="PEB893" s="123"/>
      <c r="PEC893" s="123"/>
      <c r="PED893" s="123"/>
      <c r="PEE893" s="123"/>
      <c r="PEF893" s="123"/>
      <c r="PEG893" s="123"/>
      <c r="PEH893" s="123"/>
      <c r="PEI893" s="123"/>
      <c r="PEJ893" s="123"/>
      <c r="PEK893" s="123"/>
      <c r="PEL893" s="123"/>
      <c r="PEM893" s="123"/>
      <c r="PEN893" s="123"/>
      <c r="PEO893" s="123"/>
      <c r="PEP893" s="123"/>
      <c r="PEQ893" s="123"/>
      <c r="PER893" s="123"/>
      <c r="PES893" s="123"/>
      <c r="PET893" s="123"/>
      <c r="PEU893" s="123"/>
      <c r="PEV893" s="123"/>
      <c r="PEW893" s="123"/>
      <c r="PEX893" s="123"/>
      <c r="PEY893" s="123"/>
      <c r="PEZ893" s="123"/>
      <c r="PFA893" s="123"/>
      <c r="PFB893" s="123"/>
      <c r="PFC893" s="123"/>
      <c r="PFD893" s="123"/>
      <c r="PFE893" s="123"/>
      <c r="PFF893" s="123"/>
      <c r="PFG893" s="123"/>
      <c r="PFH893" s="123"/>
      <c r="PFI893" s="123"/>
      <c r="PFJ893" s="123"/>
      <c r="PFK893" s="123"/>
      <c r="PFL893" s="123"/>
      <c r="PFM893" s="123"/>
      <c r="PFN893" s="123"/>
      <c r="PFO893" s="123"/>
      <c r="PFP893" s="123"/>
      <c r="PFQ893" s="123"/>
      <c r="PFR893" s="123"/>
      <c r="PFS893" s="123"/>
      <c r="PFT893" s="123"/>
      <c r="PFU893" s="123"/>
      <c r="PFV893" s="123"/>
      <c r="PFW893" s="123"/>
      <c r="PFX893" s="123"/>
      <c r="PFY893" s="123"/>
      <c r="PFZ893" s="123"/>
      <c r="PGA893" s="123"/>
      <c r="PGB893" s="123"/>
      <c r="PGC893" s="123"/>
      <c r="PGD893" s="123"/>
      <c r="PGE893" s="123"/>
      <c r="PGF893" s="123"/>
      <c r="PGG893" s="123"/>
      <c r="PGH893" s="123"/>
      <c r="PGI893" s="123"/>
      <c r="PGJ893" s="123"/>
      <c r="PGK893" s="123"/>
      <c r="PGL893" s="123"/>
      <c r="PGM893" s="123"/>
      <c r="PGN893" s="123"/>
      <c r="PGO893" s="123"/>
      <c r="PGP893" s="123"/>
      <c r="PGQ893" s="123"/>
      <c r="PGR893" s="123"/>
      <c r="PGS893" s="123"/>
      <c r="PGT893" s="123"/>
      <c r="PGU893" s="123"/>
      <c r="PGV893" s="123"/>
      <c r="PGW893" s="123"/>
      <c r="PGX893" s="123"/>
      <c r="PGY893" s="123"/>
      <c r="PGZ893" s="123"/>
      <c r="PHA893" s="123"/>
      <c r="PHB893" s="123"/>
      <c r="PHC893" s="123"/>
      <c r="PHD893" s="123"/>
      <c r="PHE893" s="123"/>
      <c r="PHF893" s="123"/>
      <c r="PHG893" s="123"/>
      <c r="PHH893" s="123"/>
      <c r="PHI893" s="123"/>
      <c r="PHJ893" s="123"/>
      <c r="PHK893" s="123"/>
      <c r="PHL893" s="123"/>
      <c r="PHM893" s="123"/>
      <c r="PHN893" s="123"/>
      <c r="PHO893" s="123"/>
      <c r="PHP893" s="123"/>
      <c r="PHQ893" s="123"/>
      <c r="PHR893" s="123"/>
      <c r="PHS893" s="123"/>
      <c r="PHT893" s="123"/>
      <c r="PHU893" s="123"/>
      <c r="PHV893" s="123"/>
      <c r="PHW893" s="123"/>
      <c r="PHX893" s="123"/>
      <c r="PHY893" s="123"/>
      <c r="PHZ893" s="123"/>
      <c r="PIA893" s="123"/>
      <c r="PIB893" s="123"/>
      <c r="PIC893" s="123"/>
      <c r="PID893" s="123"/>
      <c r="PIE893" s="123"/>
      <c r="PIF893" s="123"/>
      <c r="PIG893" s="123"/>
      <c r="PIH893" s="123"/>
      <c r="PII893" s="123"/>
      <c r="PIJ893" s="123"/>
      <c r="PIK893" s="123"/>
      <c r="PIL893" s="123"/>
      <c r="PIM893" s="123"/>
      <c r="PIN893" s="123"/>
      <c r="PIO893" s="123"/>
      <c r="PIP893" s="123"/>
      <c r="PIQ893" s="123"/>
      <c r="PIR893" s="123"/>
      <c r="PIS893" s="123"/>
      <c r="PIT893" s="123"/>
      <c r="PIU893" s="123"/>
      <c r="PIV893" s="123"/>
      <c r="PIW893" s="123"/>
      <c r="PIX893" s="123"/>
      <c r="PIY893" s="123"/>
      <c r="PIZ893" s="123"/>
      <c r="PJA893" s="123"/>
      <c r="PJB893" s="123"/>
      <c r="PJC893" s="123"/>
      <c r="PJD893" s="123"/>
      <c r="PJE893" s="123"/>
      <c r="PJF893" s="123"/>
      <c r="PJG893" s="123"/>
      <c r="PJH893" s="123"/>
      <c r="PJI893" s="123"/>
      <c r="PJJ893" s="123"/>
      <c r="PJK893" s="123"/>
      <c r="PJL893" s="123"/>
      <c r="PJM893" s="123"/>
      <c r="PJN893" s="123"/>
      <c r="PJO893" s="123"/>
      <c r="PJP893" s="123"/>
      <c r="PJQ893" s="123"/>
      <c r="PJR893" s="123"/>
      <c r="PJS893" s="123"/>
      <c r="PJT893" s="123"/>
      <c r="PJU893" s="123"/>
      <c r="PJV893" s="123"/>
      <c r="PJW893" s="123"/>
      <c r="PJX893" s="123"/>
      <c r="PJY893" s="123"/>
      <c r="PJZ893" s="123"/>
      <c r="PKA893" s="123"/>
      <c r="PKB893" s="123"/>
      <c r="PKC893" s="123"/>
      <c r="PKD893" s="123"/>
      <c r="PKE893" s="123"/>
      <c r="PKF893" s="123"/>
      <c r="PKG893" s="123"/>
      <c r="PKH893" s="123"/>
      <c r="PKI893" s="123"/>
      <c r="PKJ893" s="123"/>
      <c r="PKK893" s="123"/>
      <c r="PKL893" s="123"/>
      <c r="PKM893" s="123"/>
      <c r="PKN893" s="123"/>
      <c r="PKO893" s="123"/>
      <c r="PKP893" s="123"/>
      <c r="PKQ893" s="123"/>
      <c r="PKR893" s="123"/>
      <c r="PKS893" s="123"/>
      <c r="PKT893" s="123"/>
      <c r="PKU893" s="123"/>
      <c r="PKV893" s="123"/>
      <c r="PKW893" s="123"/>
      <c r="PKX893" s="123"/>
      <c r="PKY893" s="123"/>
      <c r="PKZ893" s="123"/>
      <c r="PLA893" s="123"/>
      <c r="PLB893" s="123"/>
      <c r="PLC893" s="123"/>
      <c r="PLD893" s="123"/>
      <c r="PLE893" s="123"/>
      <c r="PLF893" s="123"/>
      <c r="PLG893" s="123"/>
      <c r="PLH893" s="123"/>
      <c r="PLI893" s="123"/>
      <c r="PLJ893" s="123"/>
      <c r="PLK893" s="123"/>
      <c r="PLL893" s="123"/>
      <c r="PLM893" s="123"/>
      <c r="PLN893" s="123"/>
      <c r="PLO893" s="123"/>
      <c r="PLP893" s="123"/>
      <c r="PLQ893" s="123"/>
      <c r="PLR893" s="123"/>
      <c r="PLS893" s="123"/>
      <c r="PLT893" s="123"/>
      <c r="PLU893" s="123"/>
      <c r="PLV893" s="123"/>
      <c r="PLW893" s="123"/>
      <c r="PLX893" s="123"/>
      <c r="PLY893" s="123"/>
      <c r="PLZ893" s="123"/>
      <c r="PMA893" s="123"/>
      <c r="PMB893" s="123"/>
      <c r="PMC893" s="123"/>
      <c r="PMD893" s="123"/>
      <c r="PME893" s="123"/>
      <c r="PMF893" s="123"/>
      <c r="PMG893" s="123"/>
      <c r="PMH893" s="123"/>
      <c r="PMI893" s="123"/>
      <c r="PMJ893" s="123"/>
      <c r="PMK893" s="123"/>
      <c r="PML893" s="123"/>
      <c r="PMM893" s="123"/>
      <c r="PMN893" s="123"/>
      <c r="PMO893" s="123"/>
      <c r="PMP893" s="123"/>
      <c r="PMQ893" s="123"/>
      <c r="PMR893" s="123"/>
      <c r="PMS893" s="123"/>
      <c r="PMT893" s="123"/>
      <c r="PMU893" s="123"/>
      <c r="PMV893" s="123"/>
      <c r="PMW893" s="123"/>
      <c r="PMX893" s="123"/>
      <c r="PMY893" s="123"/>
      <c r="PMZ893" s="123"/>
      <c r="PNA893" s="123"/>
      <c r="PNB893" s="123"/>
      <c r="PNC893" s="123"/>
      <c r="PND893" s="123"/>
      <c r="PNE893" s="123"/>
      <c r="PNF893" s="123"/>
      <c r="PNG893" s="123"/>
      <c r="PNH893" s="123"/>
      <c r="PNI893" s="123"/>
      <c r="PNJ893" s="123"/>
      <c r="PNK893" s="123"/>
      <c r="PNL893" s="123"/>
      <c r="PNM893" s="123"/>
      <c r="PNN893" s="123"/>
      <c r="PNO893" s="123"/>
      <c r="PNP893" s="123"/>
      <c r="PNQ893" s="123"/>
      <c r="PNR893" s="123"/>
      <c r="PNS893" s="123"/>
      <c r="PNT893" s="123"/>
      <c r="PNU893" s="123"/>
      <c r="PNV893" s="123"/>
      <c r="PNW893" s="123"/>
      <c r="PNX893" s="123"/>
      <c r="PNY893" s="123"/>
      <c r="PNZ893" s="123"/>
      <c r="POA893" s="123"/>
      <c r="POB893" s="123"/>
      <c r="POC893" s="123"/>
      <c r="POD893" s="123"/>
      <c r="POE893" s="123"/>
      <c r="POF893" s="123"/>
      <c r="POG893" s="123"/>
      <c r="POH893" s="123"/>
      <c r="POI893" s="123"/>
      <c r="POJ893" s="123"/>
      <c r="POK893" s="123"/>
      <c r="POL893" s="123"/>
      <c r="POM893" s="123"/>
      <c r="PON893" s="123"/>
      <c r="POO893" s="123"/>
      <c r="POP893" s="123"/>
      <c r="POQ893" s="123"/>
      <c r="POR893" s="123"/>
      <c r="POS893" s="123"/>
      <c r="POT893" s="123"/>
      <c r="POU893" s="123"/>
      <c r="POV893" s="123"/>
      <c r="POW893" s="123"/>
      <c r="POX893" s="123"/>
      <c r="POY893" s="123"/>
      <c r="POZ893" s="123"/>
      <c r="PPA893" s="123"/>
      <c r="PPB893" s="123"/>
      <c r="PPC893" s="123"/>
      <c r="PPD893" s="123"/>
      <c r="PPE893" s="123"/>
      <c r="PPF893" s="123"/>
      <c r="PPG893" s="123"/>
      <c r="PPH893" s="123"/>
      <c r="PPI893" s="123"/>
      <c r="PPJ893" s="123"/>
      <c r="PPK893" s="123"/>
      <c r="PPL893" s="123"/>
      <c r="PPM893" s="123"/>
      <c r="PPN893" s="123"/>
      <c r="PPO893" s="123"/>
      <c r="PPP893" s="123"/>
      <c r="PPQ893" s="123"/>
      <c r="PPR893" s="123"/>
      <c r="PPS893" s="123"/>
      <c r="PPT893" s="123"/>
      <c r="PPU893" s="123"/>
      <c r="PPV893" s="123"/>
      <c r="PPW893" s="123"/>
      <c r="PPX893" s="123"/>
      <c r="PPY893" s="123"/>
      <c r="PPZ893" s="123"/>
      <c r="PQA893" s="123"/>
      <c r="PQB893" s="123"/>
      <c r="PQC893" s="123"/>
      <c r="PQD893" s="123"/>
      <c r="PQE893" s="123"/>
      <c r="PQF893" s="123"/>
      <c r="PQG893" s="123"/>
      <c r="PQH893" s="123"/>
      <c r="PQI893" s="123"/>
      <c r="PQJ893" s="123"/>
      <c r="PQK893" s="123"/>
      <c r="PQL893" s="123"/>
      <c r="PQM893" s="123"/>
      <c r="PQN893" s="123"/>
      <c r="PQO893" s="123"/>
      <c r="PQP893" s="123"/>
      <c r="PQQ893" s="123"/>
      <c r="PQR893" s="123"/>
      <c r="PQS893" s="123"/>
      <c r="PQT893" s="123"/>
      <c r="PQU893" s="123"/>
      <c r="PQV893" s="123"/>
      <c r="PQW893" s="123"/>
      <c r="PQX893" s="123"/>
      <c r="PQY893" s="123"/>
      <c r="PQZ893" s="123"/>
      <c r="PRA893" s="123"/>
      <c r="PRB893" s="123"/>
      <c r="PRC893" s="123"/>
      <c r="PRD893" s="123"/>
      <c r="PRE893" s="123"/>
      <c r="PRF893" s="123"/>
      <c r="PRG893" s="123"/>
      <c r="PRH893" s="123"/>
      <c r="PRI893" s="123"/>
      <c r="PRJ893" s="123"/>
      <c r="PRK893" s="123"/>
      <c r="PRL893" s="123"/>
      <c r="PRM893" s="123"/>
      <c r="PRN893" s="123"/>
      <c r="PRO893" s="123"/>
      <c r="PRP893" s="123"/>
      <c r="PRQ893" s="123"/>
      <c r="PRR893" s="123"/>
      <c r="PRS893" s="123"/>
      <c r="PRT893" s="123"/>
      <c r="PRU893" s="123"/>
      <c r="PRV893" s="123"/>
      <c r="PRW893" s="123"/>
      <c r="PRX893" s="123"/>
      <c r="PRY893" s="123"/>
      <c r="PRZ893" s="123"/>
      <c r="PSA893" s="123"/>
      <c r="PSB893" s="123"/>
      <c r="PSC893" s="123"/>
      <c r="PSD893" s="123"/>
      <c r="PSE893" s="123"/>
      <c r="PSF893" s="123"/>
      <c r="PSG893" s="123"/>
      <c r="PSH893" s="123"/>
      <c r="PSI893" s="123"/>
      <c r="PSJ893" s="123"/>
      <c r="PSK893" s="123"/>
      <c r="PSL893" s="123"/>
      <c r="PSM893" s="123"/>
      <c r="PSN893" s="123"/>
      <c r="PSO893" s="123"/>
      <c r="PSP893" s="123"/>
      <c r="PSQ893" s="123"/>
      <c r="PSR893" s="123"/>
      <c r="PSS893" s="123"/>
      <c r="PST893" s="123"/>
      <c r="PSU893" s="123"/>
      <c r="PSV893" s="123"/>
      <c r="PSW893" s="123"/>
      <c r="PSX893" s="123"/>
      <c r="PSY893" s="123"/>
      <c r="PSZ893" s="123"/>
      <c r="PTA893" s="123"/>
      <c r="PTB893" s="123"/>
      <c r="PTC893" s="123"/>
      <c r="PTD893" s="123"/>
      <c r="PTE893" s="123"/>
      <c r="PTF893" s="123"/>
      <c r="PTG893" s="123"/>
      <c r="PTH893" s="123"/>
      <c r="PTI893" s="123"/>
      <c r="PTJ893" s="123"/>
      <c r="PTK893" s="123"/>
      <c r="PTL893" s="123"/>
      <c r="PTM893" s="123"/>
      <c r="PTN893" s="123"/>
      <c r="PTO893" s="123"/>
      <c r="PTP893" s="123"/>
      <c r="PTQ893" s="123"/>
      <c r="PTR893" s="123"/>
      <c r="PTS893" s="123"/>
      <c r="PTT893" s="123"/>
      <c r="PTU893" s="123"/>
      <c r="PTV893" s="123"/>
      <c r="PTW893" s="123"/>
      <c r="PTX893" s="123"/>
      <c r="PTY893" s="123"/>
      <c r="PTZ893" s="123"/>
      <c r="PUA893" s="123"/>
      <c r="PUB893" s="123"/>
      <c r="PUC893" s="123"/>
      <c r="PUD893" s="123"/>
      <c r="PUE893" s="123"/>
      <c r="PUF893" s="123"/>
      <c r="PUG893" s="123"/>
      <c r="PUH893" s="123"/>
      <c r="PUI893" s="123"/>
      <c r="PUJ893" s="123"/>
      <c r="PUK893" s="123"/>
      <c r="PUL893" s="123"/>
      <c r="PUM893" s="123"/>
      <c r="PUN893" s="123"/>
      <c r="PUO893" s="123"/>
      <c r="PUP893" s="123"/>
      <c r="PUQ893" s="123"/>
      <c r="PUR893" s="123"/>
      <c r="PUS893" s="123"/>
      <c r="PUT893" s="123"/>
      <c r="PUU893" s="123"/>
      <c r="PUV893" s="123"/>
      <c r="PUW893" s="123"/>
      <c r="PUX893" s="123"/>
      <c r="PUY893" s="123"/>
      <c r="PUZ893" s="123"/>
      <c r="PVA893" s="123"/>
      <c r="PVB893" s="123"/>
      <c r="PVC893" s="123"/>
      <c r="PVD893" s="123"/>
      <c r="PVE893" s="123"/>
      <c r="PVF893" s="123"/>
      <c r="PVG893" s="123"/>
      <c r="PVH893" s="123"/>
      <c r="PVI893" s="123"/>
      <c r="PVJ893" s="123"/>
      <c r="PVK893" s="123"/>
      <c r="PVL893" s="123"/>
      <c r="PVM893" s="123"/>
      <c r="PVN893" s="123"/>
      <c r="PVO893" s="123"/>
      <c r="PVP893" s="123"/>
      <c r="PVQ893" s="123"/>
      <c r="PVR893" s="123"/>
      <c r="PVS893" s="123"/>
      <c r="PVT893" s="123"/>
      <c r="PVU893" s="123"/>
      <c r="PVV893" s="123"/>
      <c r="PVW893" s="123"/>
      <c r="PVX893" s="123"/>
      <c r="PVY893" s="123"/>
      <c r="PVZ893" s="123"/>
      <c r="PWA893" s="123"/>
      <c r="PWB893" s="123"/>
      <c r="PWC893" s="123"/>
      <c r="PWD893" s="123"/>
      <c r="PWE893" s="123"/>
      <c r="PWF893" s="123"/>
      <c r="PWG893" s="123"/>
      <c r="PWH893" s="123"/>
      <c r="PWI893" s="123"/>
      <c r="PWJ893" s="123"/>
      <c r="PWK893" s="123"/>
      <c r="PWL893" s="123"/>
      <c r="PWM893" s="123"/>
      <c r="PWN893" s="123"/>
      <c r="PWO893" s="123"/>
      <c r="PWP893" s="123"/>
      <c r="PWQ893" s="123"/>
      <c r="PWR893" s="123"/>
      <c r="PWS893" s="123"/>
      <c r="PWT893" s="123"/>
      <c r="PWU893" s="123"/>
      <c r="PWV893" s="123"/>
      <c r="PWW893" s="123"/>
      <c r="PWX893" s="123"/>
      <c r="PWY893" s="123"/>
      <c r="PWZ893" s="123"/>
      <c r="PXA893" s="123"/>
      <c r="PXB893" s="123"/>
      <c r="PXC893" s="123"/>
      <c r="PXD893" s="123"/>
      <c r="PXE893" s="123"/>
      <c r="PXF893" s="123"/>
      <c r="PXG893" s="123"/>
      <c r="PXH893" s="123"/>
      <c r="PXI893" s="123"/>
      <c r="PXJ893" s="123"/>
      <c r="PXK893" s="123"/>
      <c r="PXL893" s="123"/>
      <c r="PXM893" s="123"/>
      <c r="PXN893" s="123"/>
      <c r="PXO893" s="123"/>
      <c r="PXP893" s="123"/>
      <c r="PXQ893" s="123"/>
      <c r="PXR893" s="123"/>
      <c r="PXS893" s="123"/>
      <c r="PXT893" s="123"/>
      <c r="PXU893" s="123"/>
      <c r="PXV893" s="123"/>
      <c r="PXW893" s="123"/>
      <c r="PXX893" s="123"/>
      <c r="PXY893" s="123"/>
      <c r="PXZ893" s="123"/>
      <c r="PYA893" s="123"/>
      <c r="PYB893" s="123"/>
      <c r="PYC893" s="123"/>
      <c r="PYD893" s="123"/>
      <c r="PYE893" s="123"/>
      <c r="PYF893" s="123"/>
      <c r="PYG893" s="123"/>
      <c r="PYH893" s="123"/>
      <c r="PYI893" s="123"/>
      <c r="PYJ893" s="123"/>
      <c r="PYK893" s="123"/>
      <c r="PYL893" s="123"/>
      <c r="PYM893" s="123"/>
      <c r="PYN893" s="123"/>
      <c r="PYO893" s="123"/>
      <c r="PYP893" s="123"/>
      <c r="PYQ893" s="123"/>
      <c r="PYR893" s="123"/>
      <c r="PYS893" s="123"/>
      <c r="PYT893" s="123"/>
      <c r="PYU893" s="123"/>
      <c r="PYV893" s="123"/>
      <c r="PYW893" s="123"/>
      <c r="PYX893" s="123"/>
      <c r="PYY893" s="123"/>
      <c r="PYZ893" s="123"/>
      <c r="PZA893" s="123"/>
      <c r="PZB893" s="123"/>
      <c r="PZC893" s="123"/>
      <c r="PZD893" s="123"/>
      <c r="PZE893" s="123"/>
      <c r="PZF893" s="123"/>
      <c r="PZG893" s="123"/>
      <c r="PZH893" s="123"/>
      <c r="PZI893" s="123"/>
      <c r="PZJ893" s="123"/>
      <c r="PZK893" s="123"/>
      <c r="PZL893" s="123"/>
      <c r="PZM893" s="123"/>
      <c r="PZN893" s="123"/>
      <c r="PZO893" s="123"/>
      <c r="PZP893" s="123"/>
      <c r="PZQ893" s="123"/>
      <c r="PZR893" s="123"/>
      <c r="PZS893" s="123"/>
      <c r="PZT893" s="123"/>
      <c r="PZU893" s="123"/>
      <c r="PZV893" s="123"/>
      <c r="PZW893" s="123"/>
      <c r="PZX893" s="123"/>
      <c r="PZY893" s="123"/>
      <c r="PZZ893" s="123"/>
      <c r="QAA893" s="123"/>
      <c r="QAB893" s="123"/>
      <c r="QAC893" s="123"/>
      <c r="QAD893" s="123"/>
      <c r="QAE893" s="123"/>
      <c r="QAF893" s="123"/>
      <c r="QAG893" s="123"/>
      <c r="QAH893" s="123"/>
      <c r="QAI893" s="123"/>
      <c r="QAJ893" s="123"/>
      <c r="QAK893" s="123"/>
      <c r="QAL893" s="123"/>
      <c r="QAM893" s="123"/>
      <c r="QAN893" s="123"/>
      <c r="QAO893" s="123"/>
      <c r="QAP893" s="123"/>
      <c r="QAQ893" s="123"/>
      <c r="QAR893" s="123"/>
      <c r="QAS893" s="123"/>
      <c r="QAT893" s="123"/>
      <c r="QAU893" s="123"/>
      <c r="QAV893" s="123"/>
      <c r="QAW893" s="123"/>
      <c r="QAX893" s="123"/>
      <c r="QAY893" s="123"/>
      <c r="QAZ893" s="123"/>
      <c r="QBA893" s="123"/>
      <c r="QBB893" s="123"/>
      <c r="QBC893" s="123"/>
      <c r="QBD893" s="123"/>
      <c r="QBE893" s="123"/>
      <c r="QBF893" s="123"/>
      <c r="QBG893" s="123"/>
      <c r="QBH893" s="123"/>
      <c r="QBI893" s="123"/>
      <c r="QBJ893" s="123"/>
      <c r="QBK893" s="123"/>
      <c r="QBL893" s="123"/>
      <c r="QBM893" s="123"/>
      <c r="QBN893" s="123"/>
      <c r="QBO893" s="123"/>
      <c r="QBP893" s="123"/>
      <c r="QBQ893" s="123"/>
      <c r="QBR893" s="123"/>
      <c r="QBS893" s="123"/>
      <c r="QBT893" s="123"/>
      <c r="QBU893" s="123"/>
      <c r="QBV893" s="123"/>
      <c r="QBW893" s="123"/>
      <c r="QBX893" s="123"/>
      <c r="QBY893" s="123"/>
      <c r="QBZ893" s="123"/>
      <c r="QCA893" s="123"/>
      <c r="QCB893" s="123"/>
      <c r="QCC893" s="123"/>
      <c r="QCD893" s="123"/>
      <c r="QCE893" s="123"/>
      <c r="QCF893" s="123"/>
      <c r="QCG893" s="123"/>
      <c r="QCH893" s="123"/>
      <c r="QCI893" s="123"/>
      <c r="QCJ893" s="123"/>
      <c r="QCK893" s="123"/>
      <c r="QCL893" s="123"/>
      <c r="QCM893" s="123"/>
      <c r="QCN893" s="123"/>
      <c r="QCO893" s="123"/>
      <c r="QCP893" s="123"/>
      <c r="QCQ893" s="123"/>
      <c r="QCR893" s="123"/>
      <c r="QCS893" s="123"/>
      <c r="QCT893" s="123"/>
      <c r="QCU893" s="123"/>
      <c r="QCV893" s="123"/>
      <c r="QCW893" s="123"/>
      <c r="QCX893" s="123"/>
      <c r="QCY893" s="123"/>
      <c r="QCZ893" s="123"/>
      <c r="QDA893" s="123"/>
      <c r="QDB893" s="123"/>
      <c r="QDC893" s="123"/>
      <c r="QDD893" s="123"/>
      <c r="QDE893" s="123"/>
      <c r="QDF893" s="123"/>
      <c r="QDG893" s="123"/>
      <c r="QDH893" s="123"/>
      <c r="QDI893" s="123"/>
      <c r="QDJ893" s="123"/>
      <c r="QDK893" s="123"/>
      <c r="QDL893" s="123"/>
      <c r="QDM893" s="123"/>
      <c r="QDN893" s="123"/>
      <c r="QDO893" s="123"/>
      <c r="QDP893" s="123"/>
      <c r="QDQ893" s="123"/>
      <c r="QDR893" s="123"/>
      <c r="QDS893" s="123"/>
      <c r="QDT893" s="123"/>
      <c r="QDU893" s="123"/>
      <c r="QDV893" s="123"/>
      <c r="QDW893" s="123"/>
      <c r="QDX893" s="123"/>
      <c r="QDY893" s="123"/>
      <c r="QDZ893" s="123"/>
      <c r="QEA893" s="123"/>
      <c r="QEB893" s="123"/>
      <c r="QEC893" s="123"/>
      <c r="QED893" s="123"/>
      <c r="QEE893" s="123"/>
      <c r="QEF893" s="123"/>
      <c r="QEG893" s="123"/>
      <c r="QEH893" s="123"/>
      <c r="QEI893" s="123"/>
      <c r="QEJ893" s="123"/>
      <c r="QEK893" s="123"/>
      <c r="QEL893" s="123"/>
      <c r="QEM893" s="123"/>
      <c r="QEN893" s="123"/>
      <c r="QEO893" s="123"/>
      <c r="QEP893" s="123"/>
      <c r="QEQ893" s="123"/>
      <c r="QER893" s="123"/>
      <c r="QES893" s="123"/>
      <c r="QET893" s="123"/>
      <c r="QEU893" s="123"/>
      <c r="QEV893" s="123"/>
      <c r="QEW893" s="123"/>
      <c r="QEX893" s="123"/>
      <c r="QEY893" s="123"/>
      <c r="QEZ893" s="123"/>
      <c r="QFA893" s="123"/>
      <c r="QFB893" s="123"/>
      <c r="QFC893" s="123"/>
      <c r="QFD893" s="123"/>
      <c r="QFE893" s="123"/>
      <c r="QFF893" s="123"/>
      <c r="QFG893" s="123"/>
      <c r="QFH893" s="123"/>
      <c r="QFI893" s="123"/>
      <c r="QFJ893" s="123"/>
      <c r="QFK893" s="123"/>
      <c r="QFL893" s="123"/>
      <c r="QFM893" s="123"/>
      <c r="QFN893" s="123"/>
      <c r="QFO893" s="123"/>
      <c r="QFP893" s="123"/>
      <c r="QFQ893" s="123"/>
      <c r="QFR893" s="123"/>
      <c r="QFS893" s="123"/>
      <c r="QFT893" s="123"/>
      <c r="QFU893" s="123"/>
      <c r="QFV893" s="123"/>
      <c r="QFW893" s="123"/>
      <c r="QFX893" s="123"/>
      <c r="QFY893" s="123"/>
      <c r="QFZ893" s="123"/>
      <c r="QGA893" s="123"/>
      <c r="QGB893" s="123"/>
      <c r="QGC893" s="123"/>
      <c r="QGD893" s="123"/>
      <c r="QGE893" s="123"/>
      <c r="QGF893" s="123"/>
      <c r="QGG893" s="123"/>
      <c r="QGH893" s="123"/>
      <c r="QGI893" s="123"/>
      <c r="QGJ893" s="123"/>
      <c r="QGK893" s="123"/>
      <c r="QGL893" s="123"/>
      <c r="QGM893" s="123"/>
      <c r="QGN893" s="123"/>
      <c r="QGO893" s="123"/>
      <c r="QGP893" s="123"/>
      <c r="QGQ893" s="123"/>
      <c r="QGR893" s="123"/>
      <c r="QGS893" s="123"/>
      <c r="QGT893" s="123"/>
      <c r="QGU893" s="123"/>
      <c r="QGV893" s="123"/>
      <c r="QGW893" s="123"/>
      <c r="QGX893" s="123"/>
      <c r="QGY893" s="123"/>
      <c r="QGZ893" s="123"/>
      <c r="QHA893" s="123"/>
      <c r="QHB893" s="123"/>
      <c r="QHC893" s="123"/>
      <c r="QHD893" s="123"/>
      <c r="QHE893" s="123"/>
      <c r="QHF893" s="123"/>
      <c r="QHG893" s="123"/>
      <c r="QHH893" s="123"/>
      <c r="QHI893" s="123"/>
      <c r="QHJ893" s="123"/>
      <c r="QHK893" s="123"/>
      <c r="QHL893" s="123"/>
      <c r="QHM893" s="123"/>
      <c r="QHN893" s="123"/>
      <c r="QHO893" s="123"/>
      <c r="QHP893" s="123"/>
      <c r="QHQ893" s="123"/>
      <c r="QHR893" s="123"/>
      <c r="QHS893" s="123"/>
      <c r="QHT893" s="123"/>
      <c r="QHU893" s="123"/>
      <c r="QHV893" s="123"/>
      <c r="QHW893" s="123"/>
      <c r="QHX893" s="123"/>
      <c r="QHY893" s="123"/>
      <c r="QHZ893" s="123"/>
      <c r="QIA893" s="123"/>
      <c r="QIB893" s="123"/>
      <c r="QIC893" s="123"/>
      <c r="QID893" s="123"/>
      <c r="QIE893" s="123"/>
      <c r="QIF893" s="123"/>
      <c r="QIG893" s="123"/>
      <c r="QIH893" s="123"/>
      <c r="QII893" s="123"/>
      <c r="QIJ893" s="123"/>
      <c r="QIK893" s="123"/>
      <c r="QIL893" s="123"/>
      <c r="QIM893" s="123"/>
      <c r="QIN893" s="123"/>
      <c r="QIO893" s="123"/>
      <c r="QIP893" s="123"/>
      <c r="QIQ893" s="123"/>
      <c r="QIR893" s="123"/>
      <c r="QIS893" s="123"/>
      <c r="QIT893" s="123"/>
      <c r="QIU893" s="123"/>
      <c r="QIV893" s="123"/>
      <c r="QIW893" s="123"/>
      <c r="QIX893" s="123"/>
      <c r="QIY893" s="123"/>
      <c r="QIZ893" s="123"/>
      <c r="QJA893" s="123"/>
      <c r="QJB893" s="123"/>
      <c r="QJC893" s="123"/>
      <c r="QJD893" s="123"/>
      <c r="QJE893" s="123"/>
      <c r="QJF893" s="123"/>
      <c r="QJG893" s="123"/>
      <c r="QJH893" s="123"/>
      <c r="QJI893" s="123"/>
      <c r="QJJ893" s="123"/>
      <c r="QJK893" s="123"/>
      <c r="QJL893" s="123"/>
      <c r="QJM893" s="123"/>
      <c r="QJN893" s="123"/>
      <c r="QJO893" s="123"/>
      <c r="QJP893" s="123"/>
      <c r="QJQ893" s="123"/>
      <c r="QJR893" s="123"/>
      <c r="QJS893" s="123"/>
      <c r="QJT893" s="123"/>
      <c r="QJU893" s="123"/>
      <c r="QJV893" s="123"/>
      <c r="QJW893" s="123"/>
      <c r="QJX893" s="123"/>
      <c r="QJY893" s="123"/>
      <c r="QJZ893" s="123"/>
      <c r="QKA893" s="123"/>
      <c r="QKB893" s="123"/>
      <c r="QKC893" s="123"/>
      <c r="QKD893" s="123"/>
      <c r="QKE893" s="123"/>
      <c r="QKF893" s="123"/>
      <c r="QKG893" s="123"/>
      <c r="QKH893" s="123"/>
      <c r="QKI893" s="123"/>
      <c r="QKJ893" s="123"/>
      <c r="QKK893" s="123"/>
      <c r="QKL893" s="123"/>
      <c r="QKM893" s="123"/>
      <c r="QKN893" s="123"/>
      <c r="QKO893" s="123"/>
      <c r="QKP893" s="123"/>
      <c r="QKQ893" s="123"/>
      <c r="QKR893" s="123"/>
      <c r="QKS893" s="123"/>
      <c r="QKT893" s="123"/>
      <c r="QKU893" s="123"/>
      <c r="QKV893" s="123"/>
      <c r="QKW893" s="123"/>
      <c r="QKX893" s="123"/>
      <c r="QKY893" s="123"/>
      <c r="QKZ893" s="123"/>
      <c r="QLA893" s="123"/>
      <c r="QLB893" s="123"/>
      <c r="QLC893" s="123"/>
      <c r="QLD893" s="123"/>
      <c r="QLE893" s="123"/>
      <c r="QLF893" s="123"/>
      <c r="QLG893" s="123"/>
      <c r="QLH893" s="123"/>
      <c r="QLI893" s="123"/>
      <c r="QLJ893" s="123"/>
      <c r="QLK893" s="123"/>
      <c r="QLL893" s="123"/>
      <c r="QLM893" s="123"/>
      <c r="QLN893" s="123"/>
      <c r="QLO893" s="123"/>
      <c r="QLP893" s="123"/>
      <c r="QLQ893" s="123"/>
      <c r="QLR893" s="123"/>
      <c r="QLS893" s="123"/>
      <c r="QLT893" s="123"/>
      <c r="QLU893" s="123"/>
      <c r="QLV893" s="123"/>
      <c r="QLW893" s="123"/>
      <c r="QLX893" s="123"/>
      <c r="QLY893" s="123"/>
      <c r="QLZ893" s="123"/>
      <c r="QMA893" s="123"/>
      <c r="QMB893" s="123"/>
      <c r="QMC893" s="123"/>
      <c r="QMD893" s="123"/>
      <c r="QME893" s="123"/>
      <c r="QMF893" s="123"/>
      <c r="QMG893" s="123"/>
      <c r="QMH893" s="123"/>
      <c r="QMI893" s="123"/>
      <c r="QMJ893" s="123"/>
      <c r="QMK893" s="123"/>
      <c r="QML893" s="123"/>
      <c r="QMM893" s="123"/>
      <c r="QMN893" s="123"/>
      <c r="QMO893" s="123"/>
      <c r="QMP893" s="123"/>
      <c r="QMQ893" s="123"/>
      <c r="QMR893" s="123"/>
      <c r="QMS893" s="123"/>
      <c r="QMT893" s="123"/>
      <c r="QMU893" s="123"/>
      <c r="QMV893" s="123"/>
      <c r="QMW893" s="123"/>
      <c r="QMX893" s="123"/>
      <c r="QMY893" s="123"/>
      <c r="QMZ893" s="123"/>
      <c r="QNA893" s="123"/>
      <c r="QNB893" s="123"/>
      <c r="QNC893" s="123"/>
      <c r="QND893" s="123"/>
      <c r="QNE893" s="123"/>
      <c r="QNF893" s="123"/>
      <c r="QNG893" s="123"/>
      <c r="QNH893" s="123"/>
      <c r="QNI893" s="123"/>
      <c r="QNJ893" s="123"/>
      <c r="QNK893" s="123"/>
      <c r="QNL893" s="123"/>
      <c r="QNM893" s="123"/>
      <c r="QNN893" s="123"/>
      <c r="QNO893" s="123"/>
      <c r="QNP893" s="123"/>
      <c r="QNQ893" s="123"/>
      <c r="QNR893" s="123"/>
      <c r="QNS893" s="123"/>
      <c r="QNT893" s="123"/>
      <c r="QNU893" s="123"/>
      <c r="QNV893" s="123"/>
      <c r="QNW893" s="123"/>
      <c r="QNX893" s="123"/>
      <c r="QNY893" s="123"/>
      <c r="QNZ893" s="123"/>
      <c r="QOA893" s="123"/>
      <c r="QOB893" s="123"/>
      <c r="QOC893" s="123"/>
      <c r="QOD893" s="123"/>
      <c r="QOE893" s="123"/>
      <c r="QOF893" s="123"/>
      <c r="QOG893" s="123"/>
      <c r="QOH893" s="123"/>
      <c r="QOI893" s="123"/>
      <c r="QOJ893" s="123"/>
      <c r="QOK893" s="123"/>
      <c r="QOL893" s="123"/>
      <c r="QOM893" s="123"/>
      <c r="QON893" s="123"/>
      <c r="QOO893" s="123"/>
      <c r="QOP893" s="123"/>
      <c r="QOQ893" s="123"/>
      <c r="QOR893" s="123"/>
      <c r="QOS893" s="123"/>
      <c r="QOT893" s="123"/>
      <c r="QOU893" s="123"/>
      <c r="QOV893" s="123"/>
      <c r="QOW893" s="123"/>
      <c r="QOX893" s="123"/>
      <c r="QOY893" s="123"/>
      <c r="QOZ893" s="123"/>
      <c r="QPA893" s="123"/>
      <c r="QPB893" s="123"/>
      <c r="QPC893" s="123"/>
      <c r="QPD893" s="123"/>
      <c r="QPE893" s="123"/>
      <c r="QPF893" s="123"/>
      <c r="QPG893" s="123"/>
      <c r="QPH893" s="123"/>
      <c r="QPI893" s="123"/>
      <c r="QPJ893" s="123"/>
      <c r="QPK893" s="123"/>
      <c r="QPL893" s="123"/>
      <c r="QPM893" s="123"/>
      <c r="QPN893" s="123"/>
      <c r="QPO893" s="123"/>
      <c r="QPP893" s="123"/>
      <c r="QPQ893" s="123"/>
      <c r="QPR893" s="123"/>
      <c r="QPS893" s="123"/>
      <c r="QPT893" s="123"/>
      <c r="QPU893" s="123"/>
      <c r="QPV893" s="123"/>
      <c r="QPW893" s="123"/>
      <c r="QPX893" s="123"/>
      <c r="QPY893" s="123"/>
      <c r="QPZ893" s="123"/>
      <c r="QQA893" s="123"/>
      <c r="QQB893" s="123"/>
      <c r="QQC893" s="123"/>
      <c r="QQD893" s="123"/>
      <c r="QQE893" s="123"/>
      <c r="QQF893" s="123"/>
      <c r="QQG893" s="123"/>
      <c r="QQH893" s="123"/>
      <c r="QQI893" s="123"/>
      <c r="QQJ893" s="123"/>
      <c r="QQK893" s="123"/>
      <c r="QQL893" s="123"/>
      <c r="QQM893" s="123"/>
      <c r="QQN893" s="123"/>
      <c r="QQO893" s="123"/>
      <c r="QQP893" s="123"/>
      <c r="QQQ893" s="123"/>
      <c r="QQR893" s="123"/>
      <c r="QQS893" s="123"/>
      <c r="QQT893" s="123"/>
      <c r="QQU893" s="123"/>
      <c r="QQV893" s="123"/>
      <c r="QQW893" s="123"/>
      <c r="QQX893" s="123"/>
      <c r="QQY893" s="123"/>
      <c r="QQZ893" s="123"/>
      <c r="QRA893" s="123"/>
      <c r="QRB893" s="123"/>
      <c r="QRC893" s="123"/>
      <c r="QRD893" s="123"/>
      <c r="QRE893" s="123"/>
      <c r="QRF893" s="123"/>
      <c r="QRG893" s="123"/>
      <c r="QRH893" s="123"/>
      <c r="QRI893" s="123"/>
      <c r="QRJ893" s="123"/>
      <c r="QRK893" s="123"/>
      <c r="QRL893" s="123"/>
      <c r="QRM893" s="123"/>
      <c r="QRN893" s="123"/>
      <c r="QRO893" s="123"/>
      <c r="QRP893" s="123"/>
      <c r="QRQ893" s="123"/>
      <c r="QRR893" s="123"/>
      <c r="QRS893" s="123"/>
      <c r="QRT893" s="123"/>
      <c r="QRU893" s="123"/>
      <c r="QRV893" s="123"/>
      <c r="QRW893" s="123"/>
      <c r="QRX893" s="123"/>
      <c r="QRY893" s="123"/>
      <c r="QRZ893" s="123"/>
      <c r="QSA893" s="123"/>
      <c r="QSB893" s="123"/>
      <c r="QSC893" s="123"/>
      <c r="QSD893" s="123"/>
      <c r="QSE893" s="123"/>
      <c r="QSF893" s="123"/>
      <c r="QSG893" s="123"/>
      <c r="QSH893" s="123"/>
      <c r="QSI893" s="123"/>
      <c r="QSJ893" s="123"/>
      <c r="QSK893" s="123"/>
      <c r="QSL893" s="123"/>
      <c r="QSM893" s="123"/>
      <c r="QSN893" s="123"/>
      <c r="QSO893" s="123"/>
      <c r="QSP893" s="123"/>
      <c r="QSQ893" s="123"/>
      <c r="QSR893" s="123"/>
      <c r="QSS893" s="123"/>
      <c r="QST893" s="123"/>
      <c r="QSU893" s="123"/>
      <c r="QSV893" s="123"/>
      <c r="QSW893" s="123"/>
      <c r="QSX893" s="123"/>
      <c r="QSY893" s="123"/>
      <c r="QSZ893" s="123"/>
      <c r="QTA893" s="123"/>
      <c r="QTB893" s="123"/>
      <c r="QTC893" s="123"/>
      <c r="QTD893" s="123"/>
      <c r="QTE893" s="123"/>
      <c r="QTF893" s="123"/>
      <c r="QTG893" s="123"/>
      <c r="QTH893" s="123"/>
      <c r="QTI893" s="123"/>
      <c r="QTJ893" s="123"/>
      <c r="QTK893" s="123"/>
      <c r="QTL893" s="123"/>
      <c r="QTM893" s="123"/>
      <c r="QTN893" s="123"/>
      <c r="QTO893" s="123"/>
      <c r="QTP893" s="123"/>
      <c r="QTQ893" s="123"/>
      <c r="QTR893" s="123"/>
      <c r="QTS893" s="123"/>
      <c r="QTT893" s="123"/>
      <c r="QTU893" s="123"/>
      <c r="QTV893" s="123"/>
      <c r="QTW893" s="123"/>
      <c r="QTX893" s="123"/>
      <c r="QTY893" s="123"/>
      <c r="QTZ893" s="123"/>
      <c r="QUA893" s="123"/>
      <c r="QUB893" s="123"/>
      <c r="QUC893" s="123"/>
      <c r="QUD893" s="123"/>
      <c r="QUE893" s="123"/>
      <c r="QUF893" s="123"/>
      <c r="QUG893" s="123"/>
      <c r="QUH893" s="123"/>
      <c r="QUI893" s="123"/>
      <c r="QUJ893" s="123"/>
      <c r="QUK893" s="123"/>
      <c r="QUL893" s="123"/>
      <c r="QUM893" s="123"/>
      <c r="QUN893" s="123"/>
      <c r="QUO893" s="123"/>
      <c r="QUP893" s="123"/>
      <c r="QUQ893" s="123"/>
      <c r="QUR893" s="123"/>
      <c r="QUS893" s="123"/>
      <c r="QUT893" s="123"/>
      <c r="QUU893" s="123"/>
      <c r="QUV893" s="123"/>
      <c r="QUW893" s="123"/>
      <c r="QUX893" s="123"/>
      <c r="QUY893" s="123"/>
      <c r="QUZ893" s="123"/>
      <c r="QVA893" s="123"/>
      <c r="QVB893" s="123"/>
      <c r="QVC893" s="123"/>
      <c r="QVD893" s="123"/>
      <c r="QVE893" s="123"/>
      <c r="QVF893" s="123"/>
      <c r="QVG893" s="123"/>
      <c r="QVH893" s="123"/>
      <c r="QVI893" s="123"/>
      <c r="QVJ893" s="123"/>
      <c r="QVK893" s="123"/>
      <c r="QVL893" s="123"/>
      <c r="QVM893" s="123"/>
      <c r="QVN893" s="123"/>
      <c r="QVO893" s="123"/>
      <c r="QVP893" s="123"/>
      <c r="QVQ893" s="123"/>
      <c r="QVR893" s="123"/>
      <c r="QVS893" s="123"/>
      <c r="QVT893" s="123"/>
      <c r="QVU893" s="123"/>
      <c r="QVV893" s="123"/>
      <c r="QVW893" s="123"/>
      <c r="QVX893" s="123"/>
      <c r="QVY893" s="123"/>
      <c r="QVZ893" s="123"/>
      <c r="QWA893" s="123"/>
      <c r="QWB893" s="123"/>
      <c r="QWC893" s="123"/>
      <c r="QWD893" s="123"/>
      <c r="QWE893" s="123"/>
      <c r="QWF893" s="123"/>
      <c r="QWG893" s="123"/>
      <c r="QWH893" s="123"/>
      <c r="QWI893" s="123"/>
      <c r="QWJ893" s="123"/>
      <c r="QWK893" s="123"/>
      <c r="QWL893" s="123"/>
      <c r="QWM893" s="123"/>
      <c r="QWN893" s="123"/>
      <c r="QWO893" s="123"/>
      <c r="QWP893" s="123"/>
      <c r="QWQ893" s="123"/>
      <c r="QWR893" s="123"/>
      <c r="QWS893" s="123"/>
      <c r="QWT893" s="123"/>
      <c r="QWU893" s="123"/>
      <c r="QWV893" s="123"/>
      <c r="QWW893" s="123"/>
      <c r="QWX893" s="123"/>
      <c r="QWY893" s="123"/>
      <c r="QWZ893" s="123"/>
      <c r="QXA893" s="123"/>
      <c r="QXB893" s="123"/>
      <c r="QXC893" s="123"/>
      <c r="QXD893" s="123"/>
      <c r="QXE893" s="123"/>
      <c r="QXF893" s="123"/>
      <c r="QXG893" s="123"/>
      <c r="QXH893" s="123"/>
      <c r="QXI893" s="123"/>
      <c r="QXJ893" s="123"/>
      <c r="QXK893" s="123"/>
      <c r="QXL893" s="123"/>
      <c r="QXM893" s="123"/>
      <c r="QXN893" s="123"/>
      <c r="QXO893" s="123"/>
      <c r="QXP893" s="123"/>
      <c r="QXQ893" s="123"/>
      <c r="QXR893" s="123"/>
      <c r="QXS893" s="123"/>
      <c r="QXT893" s="123"/>
      <c r="QXU893" s="123"/>
      <c r="QXV893" s="123"/>
      <c r="QXW893" s="123"/>
      <c r="QXX893" s="123"/>
      <c r="QXY893" s="123"/>
      <c r="QXZ893" s="123"/>
      <c r="QYA893" s="123"/>
      <c r="QYB893" s="123"/>
      <c r="QYC893" s="123"/>
      <c r="QYD893" s="123"/>
      <c r="QYE893" s="123"/>
      <c r="QYF893" s="123"/>
      <c r="QYG893" s="123"/>
      <c r="QYH893" s="123"/>
      <c r="QYI893" s="123"/>
      <c r="QYJ893" s="123"/>
      <c r="QYK893" s="123"/>
      <c r="QYL893" s="123"/>
      <c r="QYM893" s="123"/>
      <c r="QYN893" s="123"/>
      <c r="QYO893" s="123"/>
      <c r="QYP893" s="123"/>
      <c r="QYQ893" s="123"/>
      <c r="QYR893" s="123"/>
      <c r="QYS893" s="123"/>
      <c r="QYT893" s="123"/>
      <c r="QYU893" s="123"/>
      <c r="QYV893" s="123"/>
      <c r="QYW893" s="123"/>
      <c r="QYX893" s="123"/>
      <c r="QYY893" s="123"/>
      <c r="QYZ893" s="123"/>
      <c r="QZA893" s="123"/>
      <c r="QZB893" s="123"/>
      <c r="QZC893" s="123"/>
      <c r="QZD893" s="123"/>
      <c r="QZE893" s="123"/>
      <c r="QZF893" s="123"/>
      <c r="QZG893" s="123"/>
      <c r="QZH893" s="123"/>
      <c r="QZI893" s="123"/>
      <c r="QZJ893" s="123"/>
      <c r="QZK893" s="123"/>
      <c r="QZL893" s="123"/>
      <c r="QZM893" s="123"/>
      <c r="QZN893" s="123"/>
      <c r="QZO893" s="123"/>
      <c r="QZP893" s="123"/>
      <c r="QZQ893" s="123"/>
      <c r="QZR893" s="123"/>
      <c r="QZS893" s="123"/>
      <c r="QZT893" s="123"/>
      <c r="QZU893" s="123"/>
      <c r="QZV893" s="123"/>
      <c r="QZW893" s="123"/>
      <c r="QZX893" s="123"/>
      <c r="QZY893" s="123"/>
      <c r="QZZ893" s="123"/>
      <c r="RAA893" s="123"/>
      <c r="RAB893" s="123"/>
      <c r="RAC893" s="123"/>
      <c r="RAD893" s="123"/>
      <c r="RAE893" s="123"/>
      <c r="RAF893" s="123"/>
      <c r="RAG893" s="123"/>
      <c r="RAH893" s="123"/>
      <c r="RAI893" s="123"/>
      <c r="RAJ893" s="123"/>
      <c r="RAK893" s="123"/>
      <c r="RAL893" s="123"/>
      <c r="RAM893" s="123"/>
      <c r="RAN893" s="123"/>
      <c r="RAO893" s="123"/>
      <c r="RAP893" s="123"/>
      <c r="RAQ893" s="123"/>
      <c r="RAR893" s="123"/>
      <c r="RAS893" s="123"/>
      <c r="RAT893" s="123"/>
      <c r="RAU893" s="123"/>
      <c r="RAV893" s="123"/>
      <c r="RAW893" s="123"/>
      <c r="RAX893" s="123"/>
      <c r="RAY893" s="123"/>
      <c r="RAZ893" s="123"/>
      <c r="RBA893" s="123"/>
      <c r="RBB893" s="123"/>
      <c r="RBC893" s="123"/>
      <c r="RBD893" s="123"/>
      <c r="RBE893" s="123"/>
      <c r="RBF893" s="123"/>
      <c r="RBG893" s="123"/>
      <c r="RBH893" s="123"/>
      <c r="RBI893" s="123"/>
      <c r="RBJ893" s="123"/>
      <c r="RBK893" s="123"/>
      <c r="RBL893" s="123"/>
      <c r="RBM893" s="123"/>
      <c r="RBN893" s="123"/>
      <c r="RBO893" s="123"/>
      <c r="RBP893" s="123"/>
      <c r="RBQ893" s="123"/>
      <c r="RBR893" s="123"/>
      <c r="RBS893" s="123"/>
      <c r="RBT893" s="123"/>
      <c r="RBU893" s="123"/>
      <c r="RBV893" s="123"/>
      <c r="RBW893" s="123"/>
      <c r="RBX893" s="123"/>
      <c r="RBY893" s="123"/>
      <c r="RBZ893" s="123"/>
      <c r="RCA893" s="123"/>
      <c r="RCB893" s="123"/>
      <c r="RCC893" s="123"/>
      <c r="RCD893" s="123"/>
      <c r="RCE893" s="123"/>
      <c r="RCF893" s="123"/>
      <c r="RCG893" s="123"/>
      <c r="RCH893" s="123"/>
      <c r="RCI893" s="123"/>
      <c r="RCJ893" s="123"/>
      <c r="RCK893" s="123"/>
      <c r="RCL893" s="123"/>
      <c r="RCM893" s="123"/>
      <c r="RCN893" s="123"/>
      <c r="RCO893" s="123"/>
      <c r="RCP893" s="123"/>
      <c r="RCQ893" s="123"/>
      <c r="RCR893" s="123"/>
      <c r="RCS893" s="123"/>
      <c r="RCT893" s="123"/>
      <c r="RCU893" s="123"/>
      <c r="RCV893" s="123"/>
      <c r="RCW893" s="123"/>
      <c r="RCX893" s="123"/>
      <c r="RCY893" s="123"/>
      <c r="RCZ893" s="123"/>
      <c r="RDA893" s="123"/>
      <c r="RDB893" s="123"/>
      <c r="RDC893" s="123"/>
      <c r="RDD893" s="123"/>
      <c r="RDE893" s="123"/>
      <c r="RDF893" s="123"/>
      <c r="RDG893" s="123"/>
      <c r="RDH893" s="123"/>
      <c r="RDI893" s="123"/>
      <c r="RDJ893" s="123"/>
      <c r="RDK893" s="123"/>
      <c r="RDL893" s="123"/>
      <c r="RDM893" s="123"/>
      <c r="RDN893" s="123"/>
      <c r="RDO893" s="123"/>
      <c r="RDP893" s="123"/>
      <c r="RDQ893" s="123"/>
      <c r="RDR893" s="123"/>
      <c r="RDS893" s="123"/>
      <c r="RDT893" s="123"/>
      <c r="RDU893" s="123"/>
      <c r="RDV893" s="123"/>
      <c r="RDW893" s="123"/>
      <c r="RDX893" s="123"/>
      <c r="RDY893" s="123"/>
      <c r="RDZ893" s="123"/>
      <c r="REA893" s="123"/>
      <c r="REB893" s="123"/>
      <c r="REC893" s="123"/>
      <c r="RED893" s="123"/>
      <c r="REE893" s="123"/>
      <c r="REF893" s="123"/>
      <c r="REG893" s="123"/>
      <c r="REH893" s="123"/>
      <c r="REI893" s="123"/>
      <c r="REJ893" s="123"/>
      <c r="REK893" s="123"/>
      <c r="REL893" s="123"/>
      <c r="REM893" s="123"/>
      <c r="REN893" s="123"/>
      <c r="REO893" s="123"/>
      <c r="REP893" s="123"/>
      <c r="REQ893" s="123"/>
      <c r="RER893" s="123"/>
      <c r="RES893" s="123"/>
      <c r="RET893" s="123"/>
      <c r="REU893" s="123"/>
      <c r="REV893" s="123"/>
      <c r="REW893" s="123"/>
      <c r="REX893" s="123"/>
      <c r="REY893" s="123"/>
      <c r="REZ893" s="123"/>
      <c r="RFA893" s="123"/>
      <c r="RFB893" s="123"/>
      <c r="RFC893" s="123"/>
      <c r="RFD893" s="123"/>
      <c r="RFE893" s="123"/>
      <c r="RFF893" s="123"/>
      <c r="RFG893" s="123"/>
      <c r="RFH893" s="123"/>
      <c r="RFI893" s="123"/>
      <c r="RFJ893" s="123"/>
      <c r="RFK893" s="123"/>
      <c r="RFL893" s="123"/>
      <c r="RFM893" s="123"/>
      <c r="RFN893" s="123"/>
      <c r="RFO893" s="123"/>
      <c r="RFP893" s="123"/>
      <c r="RFQ893" s="123"/>
      <c r="RFR893" s="123"/>
      <c r="RFS893" s="123"/>
      <c r="RFT893" s="123"/>
      <c r="RFU893" s="123"/>
      <c r="RFV893" s="123"/>
      <c r="RFW893" s="123"/>
      <c r="RFX893" s="123"/>
      <c r="RFY893" s="123"/>
      <c r="RFZ893" s="123"/>
      <c r="RGA893" s="123"/>
      <c r="RGB893" s="123"/>
      <c r="RGC893" s="123"/>
      <c r="RGD893" s="123"/>
      <c r="RGE893" s="123"/>
      <c r="RGF893" s="123"/>
      <c r="RGG893" s="123"/>
      <c r="RGH893" s="123"/>
      <c r="RGI893" s="123"/>
      <c r="RGJ893" s="123"/>
      <c r="RGK893" s="123"/>
      <c r="RGL893" s="123"/>
      <c r="RGM893" s="123"/>
      <c r="RGN893" s="123"/>
      <c r="RGO893" s="123"/>
      <c r="RGP893" s="123"/>
      <c r="RGQ893" s="123"/>
      <c r="RGR893" s="123"/>
      <c r="RGS893" s="123"/>
      <c r="RGT893" s="123"/>
      <c r="RGU893" s="123"/>
      <c r="RGV893" s="123"/>
      <c r="RGW893" s="123"/>
      <c r="RGX893" s="123"/>
      <c r="RGY893" s="123"/>
      <c r="RGZ893" s="123"/>
      <c r="RHA893" s="123"/>
      <c r="RHB893" s="123"/>
      <c r="RHC893" s="123"/>
      <c r="RHD893" s="123"/>
      <c r="RHE893" s="123"/>
      <c r="RHF893" s="123"/>
      <c r="RHG893" s="123"/>
      <c r="RHH893" s="123"/>
      <c r="RHI893" s="123"/>
      <c r="RHJ893" s="123"/>
      <c r="RHK893" s="123"/>
      <c r="RHL893" s="123"/>
      <c r="RHM893" s="123"/>
      <c r="RHN893" s="123"/>
      <c r="RHO893" s="123"/>
      <c r="RHP893" s="123"/>
      <c r="RHQ893" s="123"/>
      <c r="RHR893" s="123"/>
      <c r="RHS893" s="123"/>
      <c r="RHT893" s="123"/>
      <c r="RHU893" s="123"/>
      <c r="RHV893" s="123"/>
      <c r="RHW893" s="123"/>
      <c r="RHX893" s="123"/>
      <c r="RHY893" s="123"/>
      <c r="RHZ893" s="123"/>
      <c r="RIA893" s="123"/>
      <c r="RIB893" s="123"/>
      <c r="RIC893" s="123"/>
      <c r="RID893" s="123"/>
      <c r="RIE893" s="123"/>
      <c r="RIF893" s="123"/>
      <c r="RIG893" s="123"/>
      <c r="RIH893" s="123"/>
      <c r="RII893" s="123"/>
      <c r="RIJ893" s="123"/>
      <c r="RIK893" s="123"/>
      <c r="RIL893" s="123"/>
      <c r="RIM893" s="123"/>
      <c r="RIN893" s="123"/>
      <c r="RIO893" s="123"/>
      <c r="RIP893" s="123"/>
      <c r="RIQ893" s="123"/>
      <c r="RIR893" s="123"/>
      <c r="RIS893" s="123"/>
      <c r="RIT893" s="123"/>
      <c r="RIU893" s="123"/>
      <c r="RIV893" s="123"/>
      <c r="RIW893" s="123"/>
      <c r="RIX893" s="123"/>
      <c r="RIY893" s="123"/>
      <c r="RIZ893" s="123"/>
      <c r="RJA893" s="123"/>
      <c r="RJB893" s="123"/>
      <c r="RJC893" s="123"/>
      <c r="RJD893" s="123"/>
      <c r="RJE893" s="123"/>
      <c r="RJF893" s="123"/>
      <c r="RJG893" s="123"/>
      <c r="RJH893" s="123"/>
      <c r="RJI893" s="123"/>
      <c r="RJJ893" s="123"/>
      <c r="RJK893" s="123"/>
      <c r="RJL893" s="123"/>
      <c r="RJM893" s="123"/>
      <c r="RJN893" s="123"/>
      <c r="RJO893" s="123"/>
      <c r="RJP893" s="123"/>
      <c r="RJQ893" s="123"/>
      <c r="RJR893" s="123"/>
      <c r="RJS893" s="123"/>
      <c r="RJT893" s="123"/>
      <c r="RJU893" s="123"/>
      <c r="RJV893" s="123"/>
      <c r="RJW893" s="123"/>
      <c r="RJX893" s="123"/>
      <c r="RJY893" s="123"/>
      <c r="RJZ893" s="123"/>
      <c r="RKA893" s="123"/>
      <c r="RKB893" s="123"/>
      <c r="RKC893" s="123"/>
      <c r="RKD893" s="123"/>
      <c r="RKE893" s="123"/>
      <c r="RKF893" s="123"/>
      <c r="RKG893" s="123"/>
      <c r="RKH893" s="123"/>
      <c r="RKI893" s="123"/>
      <c r="RKJ893" s="123"/>
      <c r="RKK893" s="123"/>
      <c r="RKL893" s="123"/>
      <c r="RKM893" s="123"/>
      <c r="RKN893" s="123"/>
      <c r="RKO893" s="123"/>
      <c r="RKP893" s="123"/>
      <c r="RKQ893" s="123"/>
      <c r="RKR893" s="123"/>
      <c r="RKS893" s="123"/>
      <c r="RKT893" s="123"/>
      <c r="RKU893" s="123"/>
      <c r="RKV893" s="123"/>
      <c r="RKW893" s="123"/>
      <c r="RKX893" s="123"/>
      <c r="RKY893" s="123"/>
      <c r="RKZ893" s="123"/>
      <c r="RLA893" s="123"/>
      <c r="RLB893" s="123"/>
      <c r="RLC893" s="123"/>
      <c r="RLD893" s="123"/>
      <c r="RLE893" s="123"/>
      <c r="RLF893" s="123"/>
      <c r="RLG893" s="123"/>
      <c r="RLH893" s="123"/>
      <c r="RLI893" s="123"/>
      <c r="RLJ893" s="123"/>
      <c r="RLK893" s="123"/>
      <c r="RLL893" s="123"/>
      <c r="RLM893" s="123"/>
      <c r="RLN893" s="123"/>
      <c r="RLO893" s="123"/>
      <c r="RLP893" s="123"/>
      <c r="RLQ893" s="123"/>
      <c r="RLR893" s="123"/>
      <c r="RLS893" s="123"/>
      <c r="RLT893" s="123"/>
      <c r="RLU893" s="123"/>
      <c r="RLV893" s="123"/>
      <c r="RLW893" s="123"/>
      <c r="RLX893" s="123"/>
      <c r="RLY893" s="123"/>
      <c r="RLZ893" s="123"/>
      <c r="RMA893" s="123"/>
      <c r="RMB893" s="123"/>
      <c r="RMC893" s="123"/>
      <c r="RMD893" s="123"/>
      <c r="RME893" s="123"/>
      <c r="RMF893" s="123"/>
      <c r="RMG893" s="123"/>
      <c r="RMH893" s="123"/>
      <c r="RMI893" s="123"/>
      <c r="RMJ893" s="123"/>
      <c r="RMK893" s="123"/>
      <c r="RML893" s="123"/>
      <c r="RMM893" s="123"/>
      <c r="RMN893" s="123"/>
      <c r="RMO893" s="123"/>
      <c r="RMP893" s="123"/>
      <c r="RMQ893" s="123"/>
      <c r="RMR893" s="123"/>
      <c r="RMS893" s="123"/>
      <c r="RMT893" s="123"/>
      <c r="RMU893" s="123"/>
      <c r="RMV893" s="123"/>
      <c r="RMW893" s="123"/>
      <c r="RMX893" s="123"/>
      <c r="RMY893" s="123"/>
      <c r="RMZ893" s="123"/>
      <c r="RNA893" s="123"/>
      <c r="RNB893" s="123"/>
      <c r="RNC893" s="123"/>
      <c r="RND893" s="123"/>
      <c r="RNE893" s="123"/>
      <c r="RNF893" s="123"/>
      <c r="RNG893" s="123"/>
      <c r="RNH893" s="123"/>
      <c r="RNI893" s="123"/>
      <c r="RNJ893" s="123"/>
      <c r="RNK893" s="123"/>
      <c r="RNL893" s="123"/>
      <c r="RNM893" s="123"/>
      <c r="RNN893" s="123"/>
      <c r="RNO893" s="123"/>
      <c r="RNP893" s="123"/>
      <c r="RNQ893" s="123"/>
      <c r="RNR893" s="123"/>
      <c r="RNS893" s="123"/>
      <c r="RNT893" s="123"/>
      <c r="RNU893" s="123"/>
      <c r="RNV893" s="123"/>
      <c r="RNW893" s="123"/>
      <c r="RNX893" s="123"/>
      <c r="RNY893" s="123"/>
      <c r="RNZ893" s="123"/>
      <c r="ROA893" s="123"/>
      <c r="ROB893" s="123"/>
      <c r="ROC893" s="123"/>
      <c r="ROD893" s="123"/>
      <c r="ROE893" s="123"/>
      <c r="ROF893" s="123"/>
      <c r="ROG893" s="123"/>
      <c r="ROH893" s="123"/>
      <c r="ROI893" s="123"/>
      <c r="ROJ893" s="123"/>
      <c r="ROK893" s="123"/>
      <c r="ROL893" s="123"/>
      <c r="ROM893" s="123"/>
      <c r="RON893" s="123"/>
      <c r="ROO893" s="123"/>
      <c r="ROP893" s="123"/>
      <c r="ROQ893" s="123"/>
      <c r="ROR893" s="123"/>
      <c r="ROS893" s="123"/>
      <c r="ROT893" s="123"/>
      <c r="ROU893" s="123"/>
      <c r="ROV893" s="123"/>
      <c r="ROW893" s="123"/>
      <c r="ROX893" s="123"/>
      <c r="ROY893" s="123"/>
      <c r="ROZ893" s="123"/>
      <c r="RPA893" s="123"/>
      <c r="RPB893" s="123"/>
      <c r="RPC893" s="123"/>
      <c r="RPD893" s="123"/>
      <c r="RPE893" s="123"/>
      <c r="RPF893" s="123"/>
      <c r="RPG893" s="123"/>
      <c r="RPH893" s="123"/>
      <c r="RPI893" s="123"/>
      <c r="RPJ893" s="123"/>
      <c r="RPK893" s="123"/>
      <c r="RPL893" s="123"/>
      <c r="RPM893" s="123"/>
      <c r="RPN893" s="123"/>
      <c r="RPO893" s="123"/>
      <c r="RPP893" s="123"/>
      <c r="RPQ893" s="123"/>
      <c r="RPR893" s="123"/>
      <c r="RPS893" s="123"/>
      <c r="RPT893" s="123"/>
      <c r="RPU893" s="123"/>
      <c r="RPV893" s="123"/>
      <c r="RPW893" s="123"/>
      <c r="RPX893" s="123"/>
      <c r="RPY893" s="123"/>
      <c r="RPZ893" s="123"/>
      <c r="RQA893" s="123"/>
      <c r="RQB893" s="123"/>
      <c r="RQC893" s="123"/>
      <c r="RQD893" s="123"/>
      <c r="RQE893" s="123"/>
      <c r="RQF893" s="123"/>
      <c r="RQG893" s="123"/>
      <c r="RQH893" s="123"/>
      <c r="RQI893" s="123"/>
      <c r="RQJ893" s="123"/>
      <c r="RQK893" s="123"/>
      <c r="RQL893" s="123"/>
      <c r="RQM893" s="123"/>
      <c r="RQN893" s="123"/>
      <c r="RQO893" s="123"/>
      <c r="RQP893" s="123"/>
      <c r="RQQ893" s="123"/>
      <c r="RQR893" s="123"/>
      <c r="RQS893" s="123"/>
      <c r="RQT893" s="123"/>
      <c r="RQU893" s="123"/>
      <c r="RQV893" s="123"/>
      <c r="RQW893" s="123"/>
      <c r="RQX893" s="123"/>
      <c r="RQY893" s="123"/>
      <c r="RQZ893" s="123"/>
      <c r="RRA893" s="123"/>
      <c r="RRB893" s="123"/>
      <c r="RRC893" s="123"/>
      <c r="RRD893" s="123"/>
      <c r="RRE893" s="123"/>
      <c r="RRF893" s="123"/>
      <c r="RRG893" s="123"/>
      <c r="RRH893" s="123"/>
      <c r="RRI893" s="123"/>
      <c r="RRJ893" s="123"/>
      <c r="RRK893" s="123"/>
      <c r="RRL893" s="123"/>
      <c r="RRM893" s="123"/>
      <c r="RRN893" s="123"/>
      <c r="RRO893" s="123"/>
      <c r="RRP893" s="123"/>
      <c r="RRQ893" s="123"/>
      <c r="RRR893" s="123"/>
      <c r="RRS893" s="123"/>
      <c r="RRT893" s="123"/>
      <c r="RRU893" s="123"/>
      <c r="RRV893" s="123"/>
      <c r="RRW893" s="123"/>
      <c r="RRX893" s="123"/>
      <c r="RRY893" s="123"/>
      <c r="RRZ893" s="123"/>
      <c r="RSA893" s="123"/>
      <c r="RSB893" s="123"/>
      <c r="RSC893" s="123"/>
      <c r="RSD893" s="123"/>
      <c r="RSE893" s="123"/>
      <c r="RSF893" s="123"/>
      <c r="RSG893" s="123"/>
      <c r="RSH893" s="123"/>
      <c r="RSI893" s="123"/>
      <c r="RSJ893" s="123"/>
      <c r="RSK893" s="123"/>
      <c r="RSL893" s="123"/>
      <c r="RSM893" s="123"/>
      <c r="RSN893" s="123"/>
      <c r="RSO893" s="123"/>
      <c r="RSP893" s="123"/>
      <c r="RSQ893" s="123"/>
      <c r="RSR893" s="123"/>
      <c r="RSS893" s="123"/>
      <c r="RST893" s="123"/>
      <c r="RSU893" s="123"/>
      <c r="RSV893" s="123"/>
      <c r="RSW893" s="123"/>
      <c r="RSX893" s="123"/>
      <c r="RSY893" s="123"/>
      <c r="RSZ893" s="123"/>
      <c r="RTA893" s="123"/>
      <c r="RTB893" s="123"/>
      <c r="RTC893" s="123"/>
      <c r="RTD893" s="123"/>
      <c r="RTE893" s="123"/>
      <c r="RTF893" s="123"/>
      <c r="RTG893" s="123"/>
      <c r="RTH893" s="123"/>
      <c r="RTI893" s="123"/>
      <c r="RTJ893" s="123"/>
      <c r="RTK893" s="123"/>
      <c r="RTL893" s="123"/>
      <c r="RTM893" s="123"/>
      <c r="RTN893" s="123"/>
      <c r="RTO893" s="123"/>
      <c r="RTP893" s="123"/>
      <c r="RTQ893" s="123"/>
      <c r="RTR893" s="123"/>
      <c r="RTS893" s="123"/>
      <c r="RTT893" s="123"/>
      <c r="RTU893" s="123"/>
      <c r="RTV893" s="123"/>
      <c r="RTW893" s="123"/>
      <c r="RTX893" s="123"/>
      <c r="RTY893" s="123"/>
      <c r="RTZ893" s="123"/>
      <c r="RUA893" s="123"/>
      <c r="RUB893" s="123"/>
      <c r="RUC893" s="123"/>
      <c r="RUD893" s="123"/>
      <c r="RUE893" s="123"/>
      <c r="RUF893" s="123"/>
      <c r="RUG893" s="123"/>
      <c r="RUH893" s="123"/>
      <c r="RUI893" s="123"/>
      <c r="RUJ893" s="123"/>
      <c r="RUK893" s="123"/>
      <c r="RUL893" s="123"/>
      <c r="RUM893" s="123"/>
      <c r="RUN893" s="123"/>
      <c r="RUO893" s="123"/>
      <c r="RUP893" s="123"/>
      <c r="RUQ893" s="123"/>
      <c r="RUR893" s="123"/>
      <c r="RUS893" s="123"/>
      <c r="RUT893" s="123"/>
      <c r="RUU893" s="123"/>
      <c r="RUV893" s="123"/>
      <c r="RUW893" s="123"/>
      <c r="RUX893" s="123"/>
      <c r="RUY893" s="123"/>
      <c r="RUZ893" s="123"/>
      <c r="RVA893" s="123"/>
      <c r="RVB893" s="123"/>
      <c r="RVC893" s="123"/>
      <c r="RVD893" s="123"/>
      <c r="RVE893" s="123"/>
      <c r="RVF893" s="123"/>
      <c r="RVG893" s="123"/>
      <c r="RVH893" s="123"/>
      <c r="RVI893" s="123"/>
      <c r="RVJ893" s="123"/>
      <c r="RVK893" s="123"/>
      <c r="RVL893" s="123"/>
      <c r="RVM893" s="123"/>
      <c r="RVN893" s="123"/>
      <c r="RVO893" s="123"/>
      <c r="RVP893" s="123"/>
      <c r="RVQ893" s="123"/>
      <c r="RVR893" s="123"/>
      <c r="RVS893" s="123"/>
      <c r="RVT893" s="123"/>
      <c r="RVU893" s="123"/>
      <c r="RVV893" s="123"/>
      <c r="RVW893" s="123"/>
      <c r="RVX893" s="123"/>
      <c r="RVY893" s="123"/>
      <c r="RVZ893" s="123"/>
      <c r="RWA893" s="123"/>
      <c r="RWB893" s="123"/>
      <c r="RWC893" s="123"/>
      <c r="RWD893" s="123"/>
      <c r="RWE893" s="123"/>
      <c r="RWF893" s="123"/>
      <c r="RWG893" s="123"/>
      <c r="RWH893" s="123"/>
      <c r="RWI893" s="123"/>
      <c r="RWJ893" s="123"/>
      <c r="RWK893" s="123"/>
      <c r="RWL893" s="123"/>
      <c r="RWM893" s="123"/>
      <c r="RWN893" s="123"/>
      <c r="RWO893" s="123"/>
      <c r="RWP893" s="123"/>
      <c r="RWQ893" s="123"/>
      <c r="RWR893" s="123"/>
      <c r="RWS893" s="123"/>
      <c r="RWT893" s="123"/>
      <c r="RWU893" s="123"/>
      <c r="RWV893" s="123"/>
      <c r="RWW893" s="123"/>
      <c r="RWX893" s="123"/>
      <c r="RWY893" s="123"/>
      <c r="RWZ893" s="123"/>
      <c r="RXA893" s="123"/>
      <c r="RXB893" s="123"/>
      <c r="RXC893" s="123"/>
      <c r="RXD893" s="123"/>
      <c r="RXE893" s="123"/>
      <c r="RXF893" s="123"/>
      <c r="RXG893" s="123"/>
      <c r="RXH893" s="123"/>
      <c r="RXI893" s="123"/>
      <c r="RXJ893" s="123"/>
      <c r="RXK893" s="123"/>
      <c r="RXL893" s="123"/>
      <c r="RXM893" s="123"/>
      <c r="RXN893" s="123"/>
      <c r="RXO893" s="123"/>
      <c r="RXP893" s="123"/>
      <c r="RXQ893" s="123"/>
      <c r="RXR893" s="123"/>
      <c r="RXS893" s="123"/>
      <c r="RXT893" s="123"/>
      <c r="RXU893" s="123"/>
      <c r="RXV893" s="123"/>
      <c r="RXW893" s="123"/>
      <c r="RXX893" s="123"/>
      <c r="RXY893" s="123"/>
      <c r="RXZ893" s="123"/>
      <c r="RYA893" s="123"/>
      <c r="RYB893" s="123"/>
      <c r="RYC893" s="123"/>
      <c r="RYD893" s="123"/>
      <c r="RYE893" s="123"/>
      <c r="RYF893" s="123"/>
      <c r="RYG893" s="123"/>
      <c r="RYH893" s="123"/>
      <c r="RYI893" s="123"/>
      <c r="RYJ893" s="123"/>
      <c r="RYK893" s="123"/>
      <c r="RYL893" s="123"/>
      <c r="RYM893" s="123"/>
      <c r="RYN893" s="123"/>
      <c r="RYO893" s="123"/>
      <c r="RYP893" s="123"/>
      <c r="RYQ893" s="123"/>
      <c r="RYR893" s="123"/>
      <c r="RYS893" s="123"/>
      <c r="RYT893" s="123"/>
      <c r="RYU893" s="123"/>
      <c r="RYV893" s="123"/>
      <c r="RYW893" s="123"/>
      <c r="RYX893" s="123"/>
      <c r="RYY893" s="123"/>
      <c r="RYZ893" s="123"/>
      <c r="RZA893" s="123"/>
      <c r="RZB893" s="123"/>
      <c r="RZC893" s="123"/>
      <c r="RZD893" s="123"/>
      <c r="RZE893" s="123"/>
      <c r="RZF893" s="123"/>
      <c r="RZG893" s="123"/>
      <c r="RZH893" s="123"/>
      <c r="RZI893" s="123"/>
      <c r="RZJ893" s="123"/>
      <c r="RZK893" s="123"/>
      <c r="RZL893" s="123"/>
      <c r="RZM893" s="123"/>
      <c r="RZN893" s="123"/>
      <c r="RZO893" s="123"/>
      <c r="RZP893" s="123"/>
      <c r="RZQ893" s="123"/>
      <c r="RZR893" s="123"/>
      <c r="RZS893" s="123"/>
      <c r="RZT893" s="123"/>
      <c r="RZU893" s="123"/>
      <c r="RZV893" s="123"/>
      <c r="RZW893" s="123"/>
      <c r="RZX893" s="123"/>
      <c r="RZY893" s="123"/>
      <c r="RZZ893" s="123"/>
      <c r="SAA893" s="123"/>
      <c r="SAB893" s="123"/>
      <c r="SAC893" s="123"/>
      <c r="SAD893" s="123"/>
      <c r="SAE893" s="123"/>
      <c r="SAF893" s="123"/>
      <c r="SAG893" s="123"/>
      <c r="SAH893" s="123"/>
      <c r="SAI893" s="123"/>
      <c r="SAJ893" s="123"/>
      <c r="SAK893" s="123"/>
      <c r="SAL893" s="123"/>
      <c r="SAM893" s="123"/>
      <c r="SAN893" s="123"/>
      <c r="SAO893" s="123"/>
      <c r="SAP893" s="123"/>
      <c r="SAQ893" s="123"/>
      <c r="SAR893" s="123"/>
      <c r="SAS893" s="123"/>
      <c r="SAT893" s="123"/>
      <c r="SAU893" s="123"/>
      <c r="SAV893" s="123"/>
      <c r="SAW893" s="123"/>
      <c r="SAX893" s="123"/>
      <c r="SAY893" s="123"/>
      <c r="SAZ893" s="123"/>
      <c r="SBA893" s="123"/>
      <c r="SBB893" s="123"/>
      <c r="SBC893" s="123"/>
      <c r="SBD893" s="123"/>
      <c r="SBE893" s="123"/>
      <c r="SBF893" s="123"/>
      <c r="SBG893" s="123"/>
      <c r="SBH893" s="123"/>
      <c r="SBI893" s="123"/>
      <c r="SBJ893" s="123"/>
      <c r="SBK893" s="123"/>
      <c r="SBL893" s="123"/>
      <c r="SBM893" s="123"/>
      <c r="SBN893" s="123"/>
      <c r="SBO893" s="123"/>
      <c r="SBP893" s="123"/>
      <c r="SBQ893" s="123"/>
      <c r="SBR893" s="123"/>
      <c r="SBS893" s="123"/>
      <c r="SBT893" s="123"/>
      <c r="SBU893" s="123"/>
      <c r="SBV893" s="123"/>
      <c r="SBW893" s="123"/>
      <c r="SBX893" s="123"/>
      <c r="SBY893" s="123"/>
      <c r="SBZ893" s="123"/>
      <c r="SCA893" s="123"/>
      <c r="SCB893" s="123"/>
      <c r="SCC893" s="123"/>
      <c r="SCD893" s="123"/>
      <c r="SCE893" s="123"/>
      <c r="SCF893" s="123"/>
      <c r="SCG893" s="123"/>
      <c r="SCH893" s="123"/>
      <c r="SCI893" s="123"/>
      <c r="SCJ893" s="123"/>
      <c r="SCK893" s="123"/>
      <c r="SCL893" s="123"/>
      <c r="SCM893" s="123"/>
      <c r="SCN893" s="123"/>
      <c r="SCO893" s="123"/>
      <c r="SCP893" s="123"/>
      <c r="SCQ893" s="123"/>
      <c r="SCR893" s="123"/>
      <c r="SCS893" s="123"/>
      <c r="SCT893" s="123"/>
      <c r="SCU893" s="123"/>
      <c r="SCV893" s="123"/>
      <c r="SCW893" s="123"/>
      <c r="SCX893" s="123"/>
      <c r="SCY893" s="123"/>
      <c r="SCZ893" s="123"/>
      <c r="SDA893" s="123"/>
      <c r="SDB893" s="123"/>
      <c r="SDC893" s="123"/>
      <c r="SDD893" s="123"/>
      <c r="SDE893" s="123"/>
      <c r="SDF893" s="123"/>
      <c r="SDG893" s="123"/>
      <c r="SDH893" s="123"/>
      <c r="SDI893" s="123"/>
      <c r="SDJ893" s="123"/>
      <c r="SDK893" s="123"/>
      <c r="SDL893" s="123"/>
      <c r="SDM893" s="123"/>
      <c r="SDN893" s="123"/>
      <c r="SDO893" s="123"/>
      <c r="SDP893" s="123"/>
      <c r="SDQ893" s="123"/>
      <c r="SDR893" s="123"/>
      <c r="SDS893" s="123"/>
      <c r="SDT893" s="123"/>
      <c r="SDU893" s="123"/>
      <c r="SDV893" s="123"/>
      <c r="SDW893" s="123"/>
      <c r="SDX893" s="123"/>
      <c r="SDY893" s="123"/>
      <c r="SDZ893" s="123"/>
      <c r="SEA893" s="123"/>
      <c r="SEB893" s="123"/>
      <c r="SEC893" s="123"/>
      <c r="SED893" s="123"/>
      <c r="SEE893" s="123"/>
      <c r="SEF893" s="123"/>
      <c r="SEG893" s="123"/>
      <c r="SEH893" s="123"/>
      <c r="SEI893" s="123"/>
      <c r="SEJ893" s="123"/>
      <c r="SEK893" s="123"/>
      <c r="SEL893" s="123"/>
      <c r="SEM893" s="123"/>
      <c r="SEN893" s="123"/>
      <c r="SEO893" s="123"/>
      <c r="SEP893" s="123"/>
      <c r="SEQ893" s="123"/>
      <c r="SER893" s="123"/>
      <c r="SES893" s="123"/>
      <c r="SET893" s="123"/>
      <c r="SEU893" s="123"/>
      <c r="SEV893" s="123"/>
      <c r="SEW893" s="123"/>
      <c r="SEX893" s="123"/>
      <c r="SEY893" s="123"/>
      <c r="SEZ893" s="123"/>
      <c r="SFA893" s="123"/>
      <c r="SFB893" s="123"/>
      <c r="SFC893" s="123"/>
      <c r="SFD893" s="123"/>
      <c r="SFE893" s="123"/>
      <c r="SFF893" s="123"/>
      <c r="SFG893" s="123"/>
      <c r="SFH893" s="123"/>
      <c r="SFI893" s="123"/>
      <c r="SFJ893" s="123"/>
      <c r="SFK893" s="123"/>
      <c r="SFL893" s="123"/>
      <c r="SFM893" s="123"/>
      <c r="SFN893" s="123"/>
      <c r="SFO893" s="123"/>
      <c r="SFP893" s="123"/>
      <c r="SFQ893" s="123"/>
      <c r="SFR893" s="123"/>
      <c r="SFS893" s="123"/>
      <c r="SFT893" s="123"/>
      <c r="SFU893" s="123"/>
      <c r="SFV893" s="123"/>
      <c r="SFW893" s="123"/>
      <c r="SFX893" s="123"/>
      <c r="SFY893" s="123"/>
      <c r="SFZ893" s="123"/>
      <c r="SGA893" s="123"/>
      <c r="SGB893" s="123"/>
      <c r="SGC893" s="123"/>
      <c r="SGD893" s="123"/>
      <c r="SGE893" s="123"/>
      <c r="SGF893" s="123"/>
      <c r="SGG893" s="123"/>
      <c r="SGH893" s="123"/>
      <c r="SGI893" s="123"/>
      <c r="SGJ893" s="123"/>
      <c r="SGK893" s="123"/>
      <c r="SGL893" s="123"/>
      <c r="SGM893" s="123"/>
      <c r="SGN893" s="123"/>
      <c r="SGO893" s="123"/>
      <c r="SGP893" s="123"/>
      <c r="SGQ893" s="123"/>
      <c r="SGR893" s="123"/>
      <c r="SGS893" s="123"/>
      <c r="SGT893" s="123"/>
      <c r="SGU893" s="123"/>
      <c r="SGV893" s="123"/>
      <c r="SGW893" s="123"/>
      <c r="SGX893" s="123"/>
      <c r="SGY893" s="123"/>
      <c r="SGZ893" s="123"/>
      <c r="SHA893" s="123"/>
      <c r="SHB893" s="123"/>
      <c r="SHC893" s="123"/>
      <c r="SHD893" s="123"/>
      <c r="SHE893" s="123"/>
      <c r="SHF893" s="123"/>
      <c r="SHG893" s="123"/>
      <c r="SHH893" s="123"/>
      <c r="SHI893" s="123"/>
      <c r="SHJ893" s="123"/>
      <c r="SHK893" s="123"/>
      <c r="SHL893" s="123"/>
      <c r="SHM893" s="123"/>
      <c r="SHN893" s="123"/>
      <c r="SHO893" s="123"/>
      <c r="SHP893" s="123"/>
      <c r="SHQ893" s="123"/>
      <c r="SHR893" s="123"/>
      <c r="SHS893" s="123"/>
      <c r="SHT893" s="123"/>
      <c r="SHU893" s="123"/>
      <c r="SHV893" s="123"/>
      <c r="SHW893" s="123"/>
      <c r="SHX893" s="123"/>
      <c r="SHY893" s="123"/>
      <c r="SHZ893" s="123"/>
      <c r="SIA893" s="123"/>
      <c r="SIB893" s="123"/>
      <c r="SIC893" s="123"/>
      <c r="SID893" s="123"/>
      <c r="SIE893" s="123"/>
      <c r="SIF893" s="123"/>
      <c r="SIG893" s="123"/>
      <c r="SIH893" s="123"/>
      <c r="SII893" s="123"/>
      <c r="SIJ893" s="123"/>
      <c r="SIK893" s="123"/>
      <c r="SIL893" s="123"/>
      <c r="SIM893" s="123"/>
      <c r="SIN893" s="123"/>
      <c r="SIO893" s="123"/>
      <c r="SIP893" s="123"/>
      <c r="SIQ893" s="123"/>
      <c r="SIR893" s="123"/>
      <c r="SIS893" s="123"/>
      <c r="SIT893" s="123"/>
      <c r="SIU893" s="123"/>
      <c r="SIV893" s="123"/>
      <c r="SIW893" s="123"/>
      <c r="SIX893" s="123"/>
      <c r="SIY893" s="123"/>
      <c r="SIZ893" s="123"/>
      <c r="SJA893" s="123"/>
      <c r="SJB893" s="123"/>
      <c r="SJC893" s="123"/>
      <c r="SJD893" s="123"/>
      <c r="SJE893" s="123"/>
      <c r="SJF893" s="123"/>
      <c r="SJG893" s="123"/>
      <c r="SJH893" s="123"/>
      <c r="SJI893" s="123"/>
      <c r="SJJ893" s="123"/>
      <c r="SJK893" s="123"/>
      <c r="SJL893" s="123"/>
      <c r="SJM893" s="123"/>
      <c r="SJN893" s="123"/>
      <c r="SJO893" s="123"/>
      <c r="SJP893" s="123"/>
      <c r="SJQ893" s="123"/>
      <c r="SJR893" s="123"/>
      <c r="SJS893" s="123"/>
      <c r="SJT893" s="123"/>
      <c r="SJU893" s="123"/>
      <c r="SJV893" s="123"/>
      <c r="SJW893" s="123"/>
      <c r="SJX893" s="123"/>
      <c r="SJY893" s="123"/>
      <c r="SJZ893" s="123"/>
      <c r="SKA893" s="123"/>
      <c r="SKB893" s="123"/>
      <c r="SKC893" s="123"/>
      <c r="SKD893" s="123"/>
      <c r="SKE893" s="123"/>
      <c r="SKF893" s="123"/>
      <c r="SKG893" s="123"/>
      <c r="SKH893" s="123"/>
      <c r="SKI893" s="123"/>
      <c r="SKJ893" s="123"/>
      <c r="SKK893" s="123"/>
      <c r="SKL893" s="123"/>
      <c r="SKM893" s="123"/>
      <c r="SKN893" s="123"/>
      <c r="SKO893" s="123"/>
      <c r="SKP893" s="123"/>
      <c r="SKQ893" s="123"/>
      <c r="SKR893" s="123"/>
      <c r="SKS893" s="123"/>
      <c r="SKT893" s="123"/>
      <c r="SKU893" s="123"/>
      <c r="SKV893" s="123"/>
      <c r="SKW893" s="123"/>
      <c r="SKX893" s="123"/>
      <c r="SKY893" s="123"/>
      <c r="SKZ893" s="123"/>
      <c r="SLA893" s="123"/>
      <c r="SLB893" s="123"/>
      <c r="SLC893" s="123"/>
      <c r="SLD893" s="123"/>
      <c r="SLE893" s="123"/>
      <c r="SLF893" s="123"/>
      <c r="SLG893" s="123"/>
      <c r="SLH893" s="123"/>
      <c r="SLI893" s="123"/>
      <c r="SLJ893" s="123"/>
      <c r="SLK893" s="123"/>
      <c r="SLL893" s="123"/>
      <c r="SLM893" s="123"/>
      <c r="SLN893" s="123"/>
      <c r="SLO893" s="123"/>
      <c r="SLP893" s="123"/>
      <c r="SLQ893" s="123"/>
      <c r="SLR893" s="123"/>
      <c r="SLS893" s="123"/>
      <c r="SLT893" s="123"/>
      <c r="SLU893" s="123"/>
      <c r="SLV893" s="123"/>
      <c r="SLW893" s="123"/>
      <c r="SLX893" s="123"/>
      <c r="SLY893" s="123"/>
      <c r="SLZ893" s="123"/>
      <c r="SMA893" s="123"/>
      <c r="SMB893" s="123"/>
      <c r="SMC893" s="123"/>
      <c r="SMD893" s="123"/>
      <c r="SME893" s="123"/>
      <c r="SMF893" s="123"/>
      <c r="SMG893" s="123"/>
      <c r="SMH893" s="123"/>
      <c r="SMI893" s="123"/>
      <c r="SMJ893" s="123"/>
      <c r="SMK893" s="123"/>
      <c r="SML893" s="123"/>
      <c r="SMM893" s="123"/>
      <c r="SMN893" s="123"/>
      <c r="SMO893" s="123"/>
      <c r="SMP893" s="123"/>
      <c r="SMQ893" s="123"/>
      <c r="SMR893" s="123"/>
      <c r="SMS893" s="123"/>
      <c r="SMT893" s="123"/>
      <c r="SMU893" s="123"/>
      <c r="SMV893" s="123"/>
      <c r="SMW893" s="123"/>
      <c r="SMX893" s="123"/>
      <c r="SMY893" s="123"/>
      <c r="SMZ893" s="123"/>
      <c r="SNA893" s="123"/>
      <c r="SNB893" s="123"/>
      <c r="SNC893" s="123"/>
      <c r="SND893" s="123"/>
      <c r="SNE893" s="123"/>
      <c r="SNF893" s="123"/>
      <c r="SNG893" s="123"/>
      <c r="SNH893" s="123"/>
      <c r="SNI893" s="123"/>
      <c r="SNJ893" s="123"/>
      <c r="SNK893" s="123"/>
      <c r="SNL893" s="123"/>
      <c r="SNM893" s="123"/>
      <c r="SNN893" s="123"/>
      <c r="SNO893" s="123"/>
      <c r="SNP893" s="123"/>
      <c r="SNQ893" s="123"/>
      <c r="SNR893" s="123"/>
      <c r="SNS893" s="123"/>
      <c r="SNT893" s="123"/>
      <c r="SNU893" s="123"/>
      <c r="SNV893" s="123"/>
      <c r="SNW893" s="123"/>
      <c r="SNX893" s="123"/>
      <c r="SNY893" s="123"/>
      <c r="SNZ893" s="123"/>
      <c r="SOA893" s="123"/>
      <c r="SOB893" s="123"/>
      <c r="SOC893" s="123"/>
      <c r="SOD893" s="123"/>
      <c r="SOE893" s="123"/>
      <c r="SOF893" s="123"/>
      <c r="SOG893" s="123"/>
      <c r="SOH893" s="123"/>
      <c r="SOI893" s="123"/>
      <c r="SOJ893" s="123"/>
      <c r="SOK893" s="123"/>
      <c r="SOL893" s="123"/>
      <c r="SOM893" s="123"/>
      <c r="SON893" s="123"/>
      <c r="SOO893" s="123"/>
      <c r="SOP893" s="123"/>
      <c r="SOQ893" s="123"/>
      <c r="SOR893" s="123"/>
      <c r="SOS893" s="123"/>
      <c r="SOT893" s="123"/>
      <c r="SOU893" s="123"/>
      <c r="SOV893" s="123"/>
      <c r="SOW893" s="123"/>
      <c r="SOX893" s="123"/>
      <c r="SOY893" s="123"/>
      <c r="SOZ893" s="123"/>
      <c r="SPA893" s="123"/>
      <c r="SPB893" s="123"/>
      <c r="SPC893" s="123"/>
      <c r="SPD893" s="123"/>
      <c r="SPE893" s="123"/>
      <c r="SPF893" s="123"/>
      <c r="SPG893" s="123"/>
      <c r="SPH893" s="123"/>
      <c r="SPI893" s="123"/>
      <c r="SPJ893" s="123"/>
      <c r="SPK893" s="123"/>
      <c r="SPL893" s="123"/>
      <c r="SPM893" s="123"/>
      <c r="SPN893" s="123"/>
      <c r="SPO893" s="123"/>
      <c r="SPP893" s="123"/>
      <c r="SPQ893" s="123"/>
      <c r="SPR893" s="123"/>
      <c r="SPS893" s="123"/>
      <c r="SPT893" s="123"/>
      <c r="SPU893" s="123"/>
      <c r="SPV893" s="123"/>
      <c r="SPW893" s="123"/>
      <c r="SPX893" s="123"/>
      <c r="SPY893" s="123"/>
      <c r="SPZ893" s="123"/>
      <c r="SQA893" s="123"/>
      <c r="SQB893" s="123"/>
      <c r="SQC893" s="123"/>
      <c r="SQD893" s="123"/>
      <c r="SQE893" s="123"/>
      <c r="SQF893" s="123"/>
      <c r="SQG893" s="123"/>
      <c r="SQH893" s="123"/>
      <c r="SQI893" s="123"/>
      <c r="SQJ893" s="123"/>
      <c r="SQK893" s="123"/>
      <c r="SQL893" s="123"/>
      <c r="SQM893" s="123"/>
      <c r="SQN893" s="123"/>
      <c r="SQO893" s="123"/>
      <c r="SQP893" s="123"/>
      <c r="SQQ893" s="123"/>
      <c r="SQR893" s="123"/>
      <c r="SQS893" s="123"/>
      <c r="SQT893" s="123"/>
      <c r="SQU893" s="123"/>
      <c r="SQV893" s="123"/>
      <c r="SQW893" s="123"/>
      <c r="SQX893" s="123"/>
      <c r="SQY893" s="123"/>
      <c r="SQZ893" s="123"/>
      <c r="SRA893" s="123"/>
      <c r="SRB893" s="123"/>
      <c r="SRC893" s="123"/>
      <c r="SRD893" s="123"/>
      <c r="SRE893" s="123"/>
      <c r="SRF893" s="123"/>
      <c r="SRG893" s="123"/>
      <c r="SRH893" s="123"/>
      <c r="SRI893" s="123"/>
      <c r="SRJ893" s="123"/>
      <c r="SRK893" s="123"/>
      <c r="SRL893" s="123"/>
      <c r="SRM893" s="123"/>
      <c r="SRN893" s="123"/>
      <c r="SRO893" s="123"/>
      <c r="SRP893" s="123"/>
      <c r="SRQ893" s="123"/>
      <c r="SRR893" s="123"/>
      <c r="SRS893" s="123"/>
      <c r="SRT893" s="123"/>
      <c r="SRU893" s="123"/>
      <c r="SRV893" s="123"/>
      <c r="SRW893" s="123"/>
      <c r="SRX893" s="123"/>
      <c r="SRY893" s="123"/>
      <c r="SRZ893" s="123"/>
      <c r="SSA893" s="123"/>
      <c r="SSB893" s="123"/>
      <c r="SSC893" s="123"/>
      <c r="SSD893" s="123"/>
      <c r="SSE893" s="123"/>
      <c r="SSF893" s="123"/>
      <c r="SSG893" s="123"/>
      <c r="SSH893" s="123"/>
      <c r="SSI893" s="123"/>
      <c r="SSJ893" s="123"/>
      <c r="SSK893" s="123"/>
      <c r="SSL893" s="123"/>
      <c r="SSM893" s="123"/>
      <c r="SSN893" s="123"/>
      <c r="SSO893" s="123"/>
      <c r="SSP893" s="123"/>
      <c r="SSQ893" s="123"/>
      <c r="SSR893" s="123"/>
      <c r="SSS893" s="123"/>
      <c r="SST893" s="123"/>
      <c r="SSU893" s="123"/>
      <c r="SSV893" s="123"/>
      <c r="SSW893" s="123"/>
      <c r="SSX893" s="123"/>
      <c r="SSY893" s="123"/>
      <c r="SSZ893" s="123"/>
      <c r="STA893" s="123"/>
      <c r="STB893" s="123"/>
      <c r="STC893" s="123"/>
      <c r="STD893" s="123"/>
      <c r="STE893" s="123"/>
      <c r="STF893" s="123"/>
      <c r="STG893" s="123"/>
      <c r="STH893" s="123"/>
      <c r="STI893" s="123"/>
      <c r="STJ893" s="123"/>
      <c r="STK893" s="123"/>
      <c r="STL893" s="123"/>
      <c r="STM893" s="123"/>
      <c r="STN893" s="123"/>
      <c r="STO893" s="123"/>
      <c r="STP893" s="123"/>
      <c r="STQ893" s="123"/>
      <c r="STR893" s="123"/>
      <c r="STS893" s="123"/>
      <c r="STT893" s="123"/>
      <c r="STU893" s="123"/>
      <c r="STV893" s="123"/>
      <c r="STW893" s="123"/>
      <c r="STX893" s="123"/>
      <c r="STY893" s="123"/>
      <c r="STZ893" s="123"/>
      <c r="SUA893" s="123"/>
      <c r="SUB893" s="123"/>
      <c r="SUC893" s="123"/>
      <c r="SUD893" s="123"/>
      <c r="SUE893" s="123"/>
      <c r="SUF893" s="123"/>
      <c r="SUG893" s="123"/>
      <c r="SUH893" s="123"/>
      <c r="SUI893" s="123"/>
      <c r="SUJ893" s="123"/>
      <c r="SUK893" s="123"/>
      <c r="SUL893" s="123"/>
      <c r="SUM893" s="123"/>
      <c r="SUN893" s="123"/>
      <c r="SUO893" s="123"/>
      <c r="SUP893" s="123"/>
      <c r="SUQ893" s="123"/>
      <c r="SUR893" s="123"/>
      <c r="SUS893" s="123"/>
      <c r="SUT893" s="123"/>
      <c r="SUU893" s="123"/>
      <c r="SUV893" s="123"/>
      <c r="SUW893" s="123"/>
      <c r="SUX893" s="123"/>
      <c r="SUY893" s="123"/>
      <c r="SUZ893" s="123"/>
      <c r="SVA893" s="123"/>
      <c r="SVB893" s="123"/>
      <c r="SVC893" s="123"/>
      <c r="SVD893" s="123"/>
      <c r="SVE893" s="123"/>
      <c r="SVF893" s="123"/>
      <c r="SVG893" s="123"/>
      <c r="SVH893" s="123"/>
      <c r="SVI893" s="123"/>
      <c r="SVJ893" s="123"/>
      <c r="SVK893" s="123"/>
      <c r="SVL893" s="123"/>
      <c r="SVM893" s="123"/>
      <c r="SVN893" s="123"/>
      <c r="SVO893" s="123"/>
      <c r="SVP893" s="123"/>
      <c r="SVQ893" s="123"/>
      <c r="SVR893" s="123"/>
      <c r="SVS893" s="123"/>
      <c r="SVT893" s="123"/>
      <c r="SVU893" s="123"/>
      <c r="SVV893" s="123"/>
      <c r="SVW893" s="123"/>
      <c r="SVX893" s="123"/>
      <c r="SVY893" s="123"/>
      <c r="SVZ893" s="123"/>
      <c r="SWA893" s="123"/>
      <c r="SWB893" s="123"/>
      <c r="SWC893" s="123"/>
      <c r="SWD893" s="123"/>
      <c r="SWE893" s="123"/>
      <c r="SWF893" s="123"/>
      <c r="SWG893" s="123"/>
      <c r="SWH893" s="123"/>
      <c r="SWI893" s="123"/>
      <c r="SWJ893" s="123"/>
      <c r="SWK893" s="123"/>
      <c r="SWL893" s="123"/>
      <c r="SWM893" s="123"/>
      <c r="SWN893" s="123"/>
      <c r="SWO893" s="123"/>
      <c r="SWP893" s="123"/>
      <c r="SWQ893" s="123"/>
      <c r="SWR893" s="123"/>
      <c r="SWS893" s="123"/>
      <c r="SWT893" s="123"/>
      <c r="SWU893" s="123"/>
      <c r="SWV893" s="123"/>
      <c r="SWW893" s="123"/>
      <c r="SWX893" s="123"/>
      <c r="SWY893" s="123"/>
      <c r="SWZ893" s="123"/>
      <c r="SXA893" s="123"/>
      <c r="SXB893" s="123"/>
      <c r="SXC893" s="123"/>
      <c r="SXD893" s="123"/>
      <c r="SXE893" s="123"/>
      <c r="SXF893" s="123"/>
      <c r="SXG893" s="123"/>
      <c r="SXH893" s="123"/>
      <c r="SXI893" s="123"/>
      <c r="SXJ893" s="123"/>
      <c r="SXK893" s="123"/>
      <c r="SXL893" s="123"/>
      <c r="SXM893" s="123"/>
      <c r="SXN893" s="123"/>
      <c r="SXO893" s="123"/>
      <c r="SXP893" s="123"/>
      <c r="SXQ893" s="123"/>
      <c r="SXR893" s="123"/>
      <c r="SXS893" s="123"/>
      <c r="SXT893" s="123"/>
      <c r="SXU893" s="123"/>
      <c r="SXV893" s="123"/>
      <c r="SXW893" s="123"/>
      <c r="SXX893" s="123"/>
      <c r="SXY893" s="123"/>
      <c r="SXZ893" s="123"/>
      <c r="SYA893" s="123"/>
      <c r="SYB893" s="123"/>
      <c r="SYC893" s="123"/>
      <c r="SYD893" s="123"/>
      <c r="SYE893" s="123"/>
      <c r="SYF893" s="123"/>
      <c r="SYG893" s="123"/>
      <c r="SYH893" s="123"/>
      <c r="SYI893" s="123"/>
      <c r="SYJ893" s="123"/>
      <c r="SYK893" s="123"/>
      <c r="SYL893" s="123"/>
      <c r="SYM893" s="123"/>
      <c r="SYN893" s="123"/>
      <c r="SYO893" s="123"/>
      <c r="SYP893" s="123"/>
      <c r="SYQ893" s="123"/>
      <c r="SYR893" s="123"/>
      <c r="SYS893" s="123"/>
      <c r="SYT893" s="123"/>
      <c r="SYU893" s="123"/>
      <c r="SYV893" s="123"/>
      <c r="SYW893" s="123"/>
      <c r="SYX893" s="123"/>
      <c r="SYY893" s="123"/>
      <c r="SYZ893" s="123"/>
      <c r="SZA893" s="123"/>
      <c r="SZB893" s="123"/>
      <c r="SZC893" s="123"/>
      <c r="SZD893" s="123"/>
      <c r="SZE893" s="123"/>
      <c r="SZF893" s="123"/>
      <c r="SZG893" s="123"/>
      <c r="SZH893" s="123"/>
      <c r="SZI893" s="123"/>
      <c r="SZJ893" s="123"/>
      <c r="SZK893" s="123"/>
      <c r="SZL893" s="123"/>
      <c r="SZM893" s="123"/>
      <c r="SZN893" s="123"/>
      <c r="SZO893" s="123"/>
      <c r="SZP893" s="123"/>
      <c r="SZQ893" s="123"/>
      <c r="SZR893" s="123"/>
      <c r="SZS893" s="123"/>
      <c r="SZT893" s="123"/>
      <c r="SZU893" s="123"/>
      <c r="SZV893" s="123"/>
      <c r="SZW893" s="123"/>
      <c r="SZX893" s="123"/>
      <c r="SZY893" s="123"/>
      <c r="SZZ893" s="123"/>
      <c r="TAA893" s="123"/>
      <c r="TAB893" s="123"/>
      <c r="TAC893" s="123"/>
      <c r="TAD893" s="123"/>
      <c r="TAE893" s="123"/>
      <c r="TAF893" s="123"/>
      <c r="TAG893" s="123"/>
      <c r="TAH893" s="123"/>
      <c r="TAI893" s="123"/>
      <c r="TAJ893" s="123"/>
      <c r="TAK893" s="123"/>
      <c r="TAL893" s="123"/>
      <c r="TAM893" s="123"/>
      <c r="TAN893" s="123"/>
      <c r="TAO893" s="123"/>
      <c r="TAP893" s="123"/>
      <c r="TAQ893" s="123"/>
      <c r="TAR893" s="123"/>
      <c r="TAS893" s="123"/>
      <c r="TAT893" s="123"/>
      <c r="TAU893" s="123"/>
      <c r="TAV893" s="123"/>
      <c r="TAW893" s="123"/>
      <c r="TAX893" s="123"/>
      <c r="TAY893" s="123"/>
      <c r="TAZ893" s="123"/>
      <c r="TBA893" s="123"/>
      <c r="TBB893" s="123"/>
      <c r="TBC893" s="123"/>
      <c r="TBD893" s="123"/>
      <c r="TBE893" s="123"/>
      <c r="TBF893" s="123"/>
      <c r="TBG893" s="123"/>
      <c r="TBH893" s="123"/>
      <c r="TBI893" s="123"/>
      <c r="TBJ893" s="123"/>
      <c r="TBK893" s="123"/>
      <c r="TBL893" s="123"/>
      <c r="TBM893" s="123"/>
      <c r="TBN893" s="123"/>
      <c r="TBO893" s="123"/>
      <c r="TBP893" s="123"/>
      <c r="TBQ893" s="123"/>
      <c r="TBR893" s="123"/>
      <c r="TBS893" s="123"/>
      <c r="TBT893" s="123"/>
      <c r="TBU893" s="123"/>
      <c r="TBV893" s="123"/>
      <c r="TBW893" s="123"/>
      <c r="TBX893" s="123"/>
      <c r="TBY893" s="123"/>
      <c r="TBZ893" s="123"/>
      <c r="TCA893" s="123"/>
      <c r="TCB893" s="123"/>
      <c r="TCC893" s="123"/>
      <c r="TCD893" s="123"/>
      <c r="TCE893" s="123"/>
      <c r="TCF893" s="123"/>
      <c r="TCG893" s="123"/>
      <c r="TCH893" s="123"/>
      <c r="TCI893" s="123"/>
      <c r="TCJ893" s="123"/>
      <c r="TCK893" s="123"/>
      <c r="TCL893" s="123"/>
      <c r="TCM893" s="123"/>
      <c r="TCN893" s="123"/>
      <c r="TCO893" s="123"/>
      <c r="TCP893" s="123"/>
      <c r="TCQ893" s="123"/>
      <c r="TCR893" s="123"/>
      <c r="TCS893" s="123"/>
      <c r="TCT893" s="123"/>
      <c r="TCU893" s="123"/>
      <c r="TCV893" s="123"/>
      <c r="TCW893" s="123"/>
      <c r="TCX893" s="123"/>
      <c r="TCY893" s="123"/>
      <c r="TCZ893" s="123"/>
      <c r="TDA893" s="123"/>
      <c r="TDB893" s="123"/>
      <c r="TDC893" s="123"/>
      <c r="TDD893" s="123"/>
      <c r="TDE893" s="123"/>
      <c r="TDF893" s="123"/>
      <c r="TDG893" s="123"/>
      <c r="TDH893" s="123"/>
      <c r="TDI893" s="123"/>
      <c r="TDJ893" s="123"/>
      <c r="TDK893" s="123"/>
      <c r="TDL893" s="123"/>
      <c r="TDM893" s="123"/>
      <c r="TDN893" s="123"/>
      <c r="TDO893" s="123"/>
      <c r="TDP893" s="123"/>
      <c r="TDQ893" s="123"/>
      <c r="TDR893" s="123"/>
      <c r="TDS893" s="123"/>
      <c r="TDT893" s="123"/>
      <c r="TDU893" s="123"/>
      <c r="TDV893" s="123"/>
      <c r="TDW893" s="123"/>
      <c r="TDX893" s="123"/>
      <c r="TDY893" s="123"/>
      <c r="TDZ893" s="123"/>
      <c r="TEA893" s="123"/>
      <c r="TEB893" s="123"/>
      <c r="TEC893" s="123"/>
      <c r="TED893" s="123"/>
      <c r="TEE893" s="123"/>
      <c r="TEF893" s="123"/>
      <c r="TEG893" s="123"/>
      <c r="TEH893" s="123"/>
      <c r="TEI893" s="123"/>
      <c r="TEJ893" s="123"/>
      <c r="TEK893" s="123"/>
      <c r="TEL893" s="123"/>
      <c r="TEM893" s="123"/>
      <c r="TEN893" s="123"/>
      <c r="TEO893" s="123"/>
      <c r="TEP893" s="123"/>
      <c r="TEQ893" s="123"/>
      <c r="TER893" s="123"/>
      <c r="TES893" s="123"/>
      <c r="TET893" s="123"/>
      <c r="TEU893" s="123"/>
      <c r="TEV893" s="123"/>
      <c r="TEW893" s="123"/>
      <c r="TEX893" s="123"/>
      <c r="TEY893" s="123"/>
      <c r="TEZ893" s="123"/>
      <c r="TFA893" s="123"/>
      <c r="TFB893" s="123"/>
      <c r="TFC893" s="123"/>
      <c r="TFD893" s="123"/>
      <c r="TFE893" s="123"/>
      <c r="TFF893" s="123"/>
      <c r="TFG893" s="123"/>
      <c r="TFH893" s="123"/>
      <c r="TFI893" s="123"/>
      <c r="TFJ893" s="123"/>
      <c r="TFK893" s="123"/>
      <c r="TFL893" s="123"/>
      <c r="TFM893" s="123"/>
      <c r="TFN893" s="123"/>
      <c r="TFO893" s="123"/>
      <c r="TFP893" s="123"/>
      <c r="TFQ893" s="123"/>
      <c r="TFR893" s="123"/>
      <c r="TFS893" s="123"/>
      <c r="TFT893" s="123"/>
      <c r="TFU893" s="123"/>
      <c r="TFV893" s="123"/>
      <c r="TFW893" s="123"/>
      <c r="TFX893" s="123"/>
      <c r="TFY893" s="123"/>
      <c r="TFZ893" s="123"/>
      <c r="TGA893" s="123"/>
      <c r="TGB893" s="123"/>
      <c r="TGC893" s="123"/>
      <c r="TGD893" s="123"/>
      <c r="TGE893" s="123"/>
      <c r="TGF893" s="123"/>
      <c r="TGG893" s="123"/>
      <c r="TGH893" s="123"/>
      <c r="TGI893" s="123"/>
      <c r="TGJ893" s="123"/>
      <c r="TGK893" s="123"/>
      <c r="TGL893" s="123"/>
      <c r="TGM893" s="123"/>
      <c r="TGN893" s="123"/>
      <c r="TGO893" s="123"/>
      <c r="TGP893" s="123"/>
      <c r="TGQ893" s="123"/>
      <c r="TGR893" s="123"/>
      <c r="TGS893" s="123"/>
      <c r="TGT893" s="123"/>
      <c r="TGU893" s="123"/>
      <c r="TGV893" s="123"/>
      <c r="TGW893" s="123"/>
      <c r="TGX893" s="123"/>
      <c r="TGY893" s="123"/>
      <c r="TGZ893" s="123"/>
      <c r="THA893" s="123"/>
      <c r="THB893" s="123"/>
      <c r="THC893" s="123"/>
      <c r="THD893" s="123"/>
      <c r="THE893" s="123"/>
      <c r="THF893" s="123"/>
      <c r="THG893" s="123"/>
      <c r="THH893" s="123"/>
      <c r="THI893" s="123"/>
      <c r="THJ893" s="123"/>
      <c r="THK893" s="123"/>
      <c r="THL893" s="123"/>
      <c r="THM893" s="123"/>
      <c r="THN893" s="123"/>
      <c r="THO893" s="123"/>
      <c r="THP893" s="123"/>
      <c r="THQ893" s="123"/>
      <c r="THR893" s="123"/>
      <c r="THS893" s="123"/>
      <c r="THT893" s="123"/>
      <c r="THU893" s="123"/>
      <c r="THV893" s="123"/>
      <c r="THW893" s="123"/>
      <c r="THX893" s="123"/>
      <c r="THY893" s="123"/>
      <c r="THZ893" s="123"/>
      <c r="TIA893" s="123"/>
      <c r="TIB893" s="123"/>
      <c r="TIC893" s="123"/>
      <c r="TID893" s="123"/>
      <c r="TIE893" s="123"/>
      <c r="TIF893" s="123"/>
      <c r="TIG893" s="123"/>
      <c r="TIH893" s="123"/>
      <c r="TII893" s="123"/>
      <c r="TIJ893" s="123"/>
      <c r="TIK893" s="123"/>
      <c r="TIL893" s="123"/>
      <c r="TIM893" s="123"/>
      <c r="TIN893" s="123"/>
      <c r="TIO893" s="123"/>
      <c r="TIP893" s="123"/>
      <c r="TIQ893" s="123"/>
      <c r="TIR893" s="123"/>
      <c r="TIS893" s="123"/>
      <c r="TIT893" s="123"/>
      <c r="TIU893" s="123"/>
      <c r="TIV893" s="123"/>
      <c r="TIW893" s="123"/>
      <c r="TIX893" s="123"/>
      <c r="TIY893" s="123"/>
      <c r="TIZ893" s="123"/>
      <c r="TJA893" s="123"/>
      <c r="TJB893" s="123"/>
      <c r="TJC893" s="123"/>
      <c r="TJD893" s="123"/>
      <c r="TJE893" s="123"/>
      <c r="TJF893" s="123"/>
      <c r="TJG893" s="123"/>
      <c r="TJH893" s="123"/>
      <c r="TJI893" s="123"/>
      <c r="TJJ893" s="123"/>
      <c r="TJK893" s="123"/>
      <c r="TJL893" s="123"/>
      <c r="TJM893" s="123"/>
      <c r="TJN893" s="123"/>
      <c r="TJO893" s="123"/>
      <c r="TJP893" s="123"/>
      <c r="TJQ893" s="123"/>
      <c r="TJR893" s="123"/>
      <c r="TJS893" s="123"/>
      <c r="TJT893" s="123"/>
      <c r="TJU893" s="123"/>
      <c r="TJV893" s="123"/>
      <c r="TJW893" s="123"/>
      <c r="TJX893" s="123"/>
      <c r="TJY893" s="123"/>
      <c r="TJZ893" s="123"/>
      <c r="TKA893" s="123"/>
      <c r="TKB893" s="123"/>
      <c r="TKC893" s="123"/>
      <c r="TKD893" s="123"/>
      <c r="TKE893" s="123"/>
      <c r="TKF893" s="123"/>
      <c r="TKG893" s="123"/>
      <c r="TKH893" s="123"/>
      <c r="TKI893" s="123"/>
      <c r="TKJ893" s="123"/>
      <c r="TKK893" s="123"/>
      <c r="TKL893" s="123"/>
      <c r="TKM893" s="123"/>
      <c r="TKN893" s="123"/>
      <c r="TKO893" s="123"/>
      <c r="TKP893" s="123"/>
      <c r="TKQ893" s="123"/>
      <c r="TKR893" s="123"/>
      <c r="TKS893" s="123"/>
      <c r="TKT893" s="123"/>
      <c r="TKU893" s="123"/>
      <c r="TKV893" s="123"/>
      <c r="TKW893" s="123"/>
      <c r="TKX893" s="123"/>
      <c r="TKY893" s="123"/>
      <c r="TKZ893" s="123"/>
      <c r="TLA893" s="123"/>
      <c r="TLB893" s="123"/>
      <c r="TLC893" s="123"/>
      <c r="TLD893" s="123"/>
      <c r="TLE893" s="123"/>
      <c r="TLF893" s="123"/>
      <c r="TLG893" s="123"/>
      <c r="TLH893" s="123"/>
      <c r="TLI893" s="123"/>
      <c r="TLJ893" s="123"/>
      <c r="TLK893" s="123"/>
      <c r="TLL893" s="123"/>
      <c r="TLM893" s="123"/>
      <c r="TLN893" s="123"/>
      <c r="TLO893" s="123"/>
      <c r="TLP893" s="123"/>
      <c r="TLQ893" s="123"/>
      <c r="TLR893" s="123"/>
      <c r="TLS893" s="123"/>
      <c r="TLT893" s="123"/>
      <c r="TLU893" s="123"/>
      <c r="TLV893" s="123"/>
      <c r="TLW893" s="123"/>
      <c r="TLX893" s="123"/>
      <c r="TLY893" s="123"/>
      <c r="TLZ893" s="123"/>
      <c r="TMA893" s="123"/>
      <c r="TMB893" s="123"/>
      <c r="TMC893" s="123"/>
      <c r="TMD893" s="123"/>
      <c r="TME893" s="123"/>
      <c r="TMF893" s="123"/>
      <c r="TMG893" s="123"/>
      <c r="TMH893" s="123"/>
      <c r="TMI893" s="123"/>
      <c r="TMJ893" s="123"/>
      <c r="TMK893" s="123"/>
      <c r="TML893" s="123"/>
      <c r="TMM893" s="123"/>
      <c r="TMN893" s="123"/>
      <c r="TMO893" s="123"/>
      <c r="TMP893" s="123"/>
      <c r="TMQ893" s="123"/>
      <c r="TMR893" s="123"/>
      <c r="TMS893" s="123"/>
      <c r="TMT893" s="123"/>
      <c r="TMU893" s="123"/>
      <c r="TMV893" s="123"/>
      <c r="TMW893" s="123"/>
      <c r="TMX893" s="123"/>
      <c r="TMY893" s="123"/>
      <c r="TMZ893" s="123"/>
      <c r="TNA893" s="123"/>
      <c r="TNB893" s="123"/>
      <c r="TNC893" s="123"/>
      <c r="TND893" s="123"/>
      <c r="TNE893" s="123"/>
      <c r="TNF893" s="123"/>
      <c r="TNG893" s="123"/>
      <c r="TNH893" s="123"/>
      <c r="TNI893" s="123"/>
      <c r="TNJ893" s="123"/>
      <c r="TNK893" s="123"/>
      <c r="TNL893" s="123"/>
      <c r="TNM893" s="123"/>
      <c r="TNN893" s="123"/>
      <c r="TNO893" s="123"/>
      <c r="TNP893" s="123"/>
      <c r="TNQ893" s="123"/>
      <c r="TNR893" s="123"/>
      <c r="TNS893" s="123"/>
      <c r="TNT893" s="123"/>
      <c r="TNU893" s="123"/>
      <c r="TNV893" s="123"/>
      <c r="TNW893" s="123"/>
      <c r="TNX893" s="123"/>
      <c r="TNY893" s="123"/>
      <c r="TNZ893" s="123"/>
      <c r="TOA893" s="123"/>
      <c r="TOB893" s="123"/>
      <c r="TOC893" s="123"/>
      <c r="TOD893" s="123"/>
      <c r="TOE893" s="123"/>
      <c r="TOF893" s="123"/>
      <c r="TOG893" s="123"/>
      <c r="TOH893" s="123"/>
      <c r="TOI893" s="123"/>
      <c r="TOJ893" s="123"/>
      <c r="TOK893" s="123"/>
      <c r="TOL893" s="123"/>
      <c r="TOM893" s="123"/>
      <c r="TON893" s="123"/>
      <c r="TOO893" s="123"/>
      <c r="TOP893" s="123"/>
      <c r="TOQ893" s="123"/>
      <c r="TOR893" s="123"/>
      <c r="TOS893" s="123"/>
      <c r="TOT893" s="123"/>
      <c r="TOU893" s="123"/>
      <c r="TOV893" s="123"/>
      <c r="TOW893" s="123"/>
      <c r="TOX893" s="123"/>
      <c r="TOY893" s="123"/>
      <c r="TOZ893" s="123"/>
      <c r="TPA893" s="123"/>
      <c r="TPB893" s="123"/>
      <c r="TPC893" s="123"/>
      <c r="TPD893" s="123"/>
      <c r="TPE893" s="123"/>
      <c r="TPF893" s="123"/>
      <c r="TPG893" s="123"/>
      <c r="TPH893" s="123"/>
      <c r="TPI893" s="123"/>
      <c r="TPJ893" s="123"/>
      <c r="TPK893" s="123"/>
      <c r="TPL893" s="123"/>
      <c r="TPM893" s="123"/>
      <c r="TPN893" s="123"/>
      <c r="TPO893" s="123"/>
      <c r="TPP893" s="123"/>
      <c r="TPQ893" s="123"/>
      <c r="TPR893" s="123"/>
      <c r="TPS893" s="123"/>
      <c r="TPT893" s="123"/>
      <c r="TPU893" s="123"/>
      <c r="TPV893" s="123"/>
      <c r="TPW893" s="123"/>
      <c r="TPX893" s="123"/>
      <c r="TPY893" s="123"/>
      <c r="TPZ893" s="123"/>
      <c r="TQA893" s="123"/>
      <c r="TQB893" s="123"/>
      <c r="TQC893" s="123"/>
      <c r="TQD893" s="123"/>
      <c r="TQE893" s="123"/>
      <c r="TQF893" s="123"/>
      <c r="TQG893" s="123"/>
      <c r="TQH893" s="123"/>
      <c r="TQI893" s="123"/>
      <c r="TQJ893" s="123"/>
      <c r="TQK893" s="123"/>
      <c r="TQL893" s="123"/>
      <c r="TQM893" s="123"/>
      <c r="TQN893" s="123"/>
      <c r="TQO893" s="123"/>
      <c r="TQP893" s="123"/>
      <c r="TQQ893" s="123"/>
      <c r="TQR893" s="123"/>
      <c r="TQS893" s="123"/>
      <c r="TQT893" s="123"/>
      <c r="TQU893" s="123"/>
      <c r="TQV893" s="123"/>
      <c r="TQW893" s="123"/>
      <c r="TQX893" s="123"/>
      <c r="TQY893" s="123"/>
      <c r="TQZ893" s="123"/>
      <c r="TRA893" s="123"/>
      <c r="TRB893" s="123"/>
      <c r="TRC893" s="123"/>
      <c r="TRD893" s="123"/>
      <c r="TRE893" s="123"/>
      <c r="TRF893" s="123"/>
      <c r="TRG893" s="123"/>
      <c r="TRH893" s="123"/>
      <c r="TRI893" s="123"/>
      <c r="TRJ893" s="123"/>
      <c r="TRK893" s="123"/>
      <c r="TRL893" s="123"/>
      <c r="TRM893" s="123"/>
      <c r="TRN893" s="123"/>
      <c r="TRO893" s="123"/>
      <c r="TRP893" s="123"/>
      <c r="TRQ893" s="123"/>
      <c r="TRR893" s="123"/>
      <c r="TRS893" s="123"/>
      <c r="TRT893" s="123"/>
      <c r="TRU893" s="123"/>
      <c r="TRV893" s="123"/>
      <c r="TRW893" s="123"/>
      <c r="TRX893" s="123"/>
      <c r="TRY893" s="123"/>
      <c r="TRZ893" s="123"/>
      <c r="TSA893" s="123"/>
      <c r="TSB893" s="123"/>
      <c r="TSC893" s="123"/>
      <c r="TSD893" s="123"/>
      <c r="TSE893" s="123"/>
      <c r="TSF893" s="123"/>
      <c r="TSG893" s="123"/>
      <c r="TSH893" s="123"/>
      <c r="TSI893" s="123"/>
      <c r="TSJ893" s="123"/>
      <c r="TSK893" s="123"/>
      <c r="TSL893" s="123"/>
      <c r="TSM893" s="123"/>
      <c r="TSN893" s="123"/>
      <c r="TSO893" s="123"/>
      <c r="TSP893" s="123"/>
      <c r="TSQ893" s="123"/>
      <c r="TSR893" s="123"/>
      <c r="TSS893" s="123"/>
      <c r="TST893" s="123"/>
      <c r="TSU893" s="123"/>
      <c r="TSV893" s="123"/>
      <c r="TSW893" s="123"/>
      <c r="TSX893" s="123"/>
      <c r="TSY893" s="123"/>
      <c r="TSZ893" s="123"/>
      <c r="TTA893" s="123"/>
      <c r="TTB893" s="123"/>
      <c r="TTC893" s="123"/>
      <c r="TTD893" s="123"/>
      <c r="TTE893" s="123"/>
      <c r="TTF893" s="123"/>
      <c r="TTG893" s="123"/>
      <c r="TTH893" s="123"/>
      <c r="TTI893" s="123"/>
      <c r="TTJ893" s="123"/>
      <c r="TTK893" s="123"/>
      <c r="TTL893" s="123"/>
      <c r="TTM893" s="123"/>
      <c r="TTN893" s="123"/>
      <c r="TTO893" s="123"/>
      <c r="TTP893" s="123"/>
      <c r="TTQ893" s="123"/>
      <c r="TTR893" s="123"/>
      <c r="TTS893" s="123"/>
      <c r="TTT893" s="123"/>
      <c r="TTU893" s="123"/>
      <c r="TTV893" s="123"/>
      <c r="TTW893" s="123"/>
      <c r="TTX893" s="123"/>
      <c r="TTY893" s="123"/>
      <c r="TTZ893" s="123"/>
      <c r="TUA893" s="123"/>
      <c r="TUB893" s="123"/>
      <c r="TUC893" s="123"/>
      <c r="TUD893" s="123"/>
      <c r="TUE893" s="123"/>
      <c r="TUF893" s="123"/>
      <c r="TUG893" s="123"/>
      <c r="TUH893" s="123"/>
      <c r="TUI893" s="123"/>
      <c r="TUJ893" s="123"/>
      <c r="TUK893" s="123"/>
      <c r="TUL893" s="123"/>
      <c r="TUM893" s="123"/>
      <c r="TUN893" s="123"/>
      <c r="TUO893" s="123"/>
      <c r="TUP893" s="123"/>
      <c r="TUQ893" s="123"/>
      <c r="TUR893" s="123"/>
      <c r="TUS893" s="123"/>
      <c r="TUT893" s="123"/>
      <c r="TUU893" s="123"/>
      <c r="TUV893" s="123"/>
      <c r="TUW893" s="123"/>
      <c r="TUX893" s="123"/>
      <c r="TUY893" s="123"/>
      <c r="TUZ893" s="123"/>
      <c r="TVA893" s="123"/>
      <c r="TVB893" s="123"/>
      <c r="TVC893" s="123"/>
      <c r="TVD893" s="123"/>
      <c r="TVE893" s="123"/>
      <c r="TVF893" s="123"/>
      <c r="TVG893" s="123"/>
      <c r="TVH893" s="123"/>
      <c r="TVI893" s="123"/>
      <c r="TVJ893" s="123"/>
      <c r="TVK893" s="123"/>
      <c r="TVL893" s="123"/>
      <c r="TVM893" s="123"/>
      <c r="TVN893" s="123"/>
      <c r="TVO893" s="123"/>
      <c r="TVP893" s="123"/>
      <c r="TVQ893" s="123"/>
      <c r="TVR893" s="123"/>
      <c r="TVS893" s="123"/>
      <c r="TVT893" s="123"/>
      <c r="TVU893" s="123"/>
      <c r="TVV893" s="123"/>
      <c r="TVW893" s="123"/>
      <c r="TVX893" s="123"/>
      <c r="TVY893" s="123"/>
      <c r="TVZ893" s="123"/>
      <c r="TWA893" s="123"/>
      <c r="TWB893" s="123"/>
      <c r="TWC893" s="123"/>
      <c r="TWD893" s="123"/>
      <c r="TWE893" s="123"/>
      <c r="TWF893" s="123"/>
      <c r="TWG893" s="123"/>
      <c r="TWH893" s="123"/>
      <c r="TWI893" s="123"/>
      <c r="TWJ893" s="123"/>
      <c r="TWK893" s="123"/>
      <c r="TWL893" s="123"/>
      <c r="TWM893" s="123"/>
      <c r="TWN893" s="123"/>
      <c r="TWO893" s="123"/>
      <c r="TWP893" s="123"/>
      <c r="TWQ893" s="123"/>
      <c r="TWR893" s="123"/>
      <c r="TWS893" s="123"/>
      <c r="TWT893" s="123"/>
      <c r="TWU893" s="123"/>
      <c r="TWV893" s="123"/>
      <c r="TWW893" s="123"/>
      <c r="TWX893" s="123"/>
      <c r="TWY893" s="123"/>
      <c r="TWZ893" s="123"/>
      <c r="TXA893" s="123"/>
      <c r="TXB893" s="123"/>
      <c r="TXC893" s="123"/>
      <c r="TXD893" s="123"/>
      <c r="TXE893" s="123"/>
      <c r="TXF893" s="123"/>
      <c r="TXG893" s="123"/>
      <c r="TXH893" s="123"/>
      <c r="TXI893" s="123"/>
      <c r="TXJ893" s="123"/>
      <c r="TXK893" s="123"/>
      <c r="TXL893" s="123"/>
      <c r="TXM893" s="123"/>
      <c r="TXN893" s="123"/>
      <c r="TXO893" s="123"/>
      <c r="TXP893" s="123"/>
      <c r="TXQ893" s="123"/>
      <c r="TXR893" s="123"/>
      <c r="TXS893" s="123"/>
      <c r="TXT893" s="123"/>
      <c r="TXU893" s="123"/>
      <c r="TXV893" s="123"/>
      <c r="TXW893" s="123"/>
      <c r="TXX893" s="123"/>
      <c r="TXY893" s="123"/>
      <c r="TXZ893" s="123"/>
      <c r="TYA893" s="123"/>
      <c r="TYB893" s="123"/>
      <c r="TYC893" s="123"/>
      <c r="TYD893" s="123"/>
      <c r="TYE893" s="123"/>
      <c r="TYF893" s="123"/>
      <c r="TYG893" s="123"/>
      <c r="TYH893" s="123"/>
      <c r="TYI893" s="123"/>
      <c r="TYJ893" s="123"/>
      <c r="TYK893" s="123"/>
      <c r="TYL893" s="123"/>
      <c r="TYM893" s="123"/>
      <c r="TYN893" s="123"/>
      <c r="TYO893" s="123"/>
      <c r="TYP893" s="123"/>
      <c r="TYQ893" s="123"/>
      <c r="TYR893" s="123"/>
      <c r="TYS893" s="123"/>
      <c r="TYT893" s="123"/>
      <c r="TYU893" s="123"/>
      <c r="TYV893" s="123"/>
      <c r="TYW893" s="123"/>
      <c r="TYX893" s="123"/>
      <c r="TYY893" s="123"/>
      <c r="TYZ893" s="123"/>
      <c r="TZA893" s="123"/>
      <c r="TZB893" s="123"/>
      <c r="TZC893" s="123"/>
      <c r="TZD893" s="123"/>
      <c r="TZE893" s="123"/>
      <c r="TZF893" s="123"/>
      <c r="TZG893" s="123"/>
      <c r="TZH893" s="123"/>
      <c r="TZI893" s="123"/>
      <c r="TZJ893" s="123"/>
      <c r="TZK893" s="123"/>
      <c r="TZL893" s="123"/>
      <c r="TZM893" s="123"/>
      <c r="TZN893" s="123"/>
      <c r="TZO893" s="123"/>
      <c r="TZP893" s="123"/>
      <c r="TZQ893" s="123"/>
      <c r="TZR893" s="123"/>
      <c r="TZS893" s="123"/>
      <c r="TZT893" s="123"/>
      <c r="TZU893" s="123"/>
      <c r="TZV893" s="123"/>
      <c r="TZW893" s="123"/>
      <c r="TZX893" s="123"/>
      <c r="TZY893" s="123"/>
      <c r="TZZ893" s="123"/>
      <c r="UAA893" s="123"/>
      <c r="UAB893" s="123"/>
      <c r="UAC893" s="123"/>
      <c r="UAD893" s="123"/>
      <c r="UAE893" s="123"/>
      <c r="UAF893" s="123"/>
      <c r="UAG893" s="123"/>
      <c r="UAH893" s="123"/>
      <c r="UAI893" s="123"/>
      <c r="UAJ893" s="123"/>
      <c r="UAK893" s="123"/>
      <c r="UAL893" s="123"/>
      <c r="UAM893" s="123"/>
      <c r="UAN893" s="123"/>
      <c r="UAO893" s="123"/>
      <c r="UAP893" s="123"/>
      <c r="UAQ893" s="123"/>
      <c r="UAR893" s="123"/>
      <c r="UAS893" s="123"/>
      <c r="UAT893" s="123"/>
      <c r="UAU893" s="123"/>
      <c r="UAV893" s="123"/>
      <c r="UAW893" s="123"/>
      <c r="UAX893" s="123"/>
      <c r="UAY893" s="123"/>
      <c r="UAZ893" s="123"/>
      <c r="UBA893" s="123"/>
      <c r="UBB893" s="123"/>
      <c r="UBC893" s="123"/>
      <c r="UBD893" s="123"/>
      <c r="UBE893" s="123"/>
      <c r="UBF893" s="123"/>
      <c r="UBG893" s="123"/>
      <c r="UBH893" s="123"/>
      <c r="UBI893" s="123"/>
      <c r="UBJ893" s="123"/>
      <c r="UBK893" s="123"/>
      <c r="UBL893" s="123"/>
      <c r="UBM893" s="123"/>
      <c r="UBN893" s="123"/>
      <c r="UBO893" s="123"/>
      <c r="UBP893" s="123"/>
      <c r="UBQ893" s="123"/>
      <c r="UBR893" s="123"/>
      <c r="UBS893" s="123"/>
      <c r="UBT893" s="123"/>
      <c r="UBU893" s="123"/>
      <c r="UBV893" s="123"/>
      <c r="UBW893" s="123"/>
      <c r="UBX893" s="123"/>
      <c r="UBY893" s="123"/>
      <c r="UBZ893" s="123"/>
      <c r="UCA893" s="123"/>
      <c r="UCB893" s="123"/>
      <c r="UCC893" s="123"/>
      <c r="UCD893" s="123"/>
      <c r="UCE893" s="123"/>
      <c r="UCF893" s="123"/>
      <c r="UCG893" s="123"/>
      <c r="UCH893" s="123"/>
      <c r="UCI893" s="123"/>
      <c r="UCJ893" s="123"/>
      <c r="UCK893" s="123"/>
      <c r="UCL893" s="123"/>
      <c r="UCM893" s="123"/>
      <c r="UCN893" s="123"/>
      <c r="UCO893" s="123"/>
      <c r="UCP893" s="123"/>
      <c r="UCQ893" s="123"/>
      <c r="UCR893" s="123"/>
      <c r="UCS893" s="123"/>
      <c r="UCT893" s="123"/>
      <c r="UCU893" s="123"/>
      <c r="UCV893" s="123"/>
      <c r="UCW893" s="123"/>
      <c r="UCX893" s="123"/>
      <c r="UCY893" s="123"/>
      <c r="UCZ893" s="123"/>
      <c r="UDA893" s="123"/>
      <c r="UDB893" s="123"/>
      <c r="UDC893" s="123"/>
      <c r="UDD893" s="123"/>
      <c r="UDE893" s="123"/>
      <c r="UDF893" s="123"/>
      <c r="UDG893" s="123"/>
      <c r="UDH893" s="123"/>
      <c r="UDI893" s="123"/>
      <c r="UDJ893" s="123"/>
      <c r="UDK893" s="123"/>
      <c r="UDL893" s="123"/>
      <c r="UDM893" s="123"/>
      <c r="UDN893" s="123"/>
      <c r="UDO893" s="123"/>
      <c r="UDP893" s="123"/>
      <c r="UDQ893" s="123"/>
      <c r="UDR893" s="123"/>
      <c r="UDS893" s="123"/>
      <c r="UDT893" s="123"/>
      <c r="UDU893" s="123"/>
      <c r="UDV893" s="123"/>
      <c r="UDW893" s="123"/>
      <c r="UDX893" s="123"/>
      <c r="UDY893" s="123"/>
      <c r="UDZ893" s="123"/>
      <c r="UEA893" s="123"/>
      <c r="UEB893" s="123"/>
      <c r="UEC893" s="123"/>
      <c r="UED893" s="123"/>
      <c r="UEE893" s="123"/>
      <c r="UEF893" s="123"/>
      <c r="UEG893" s="123"/>
      <c r="UEH893" s="123"/>
      <c r="UEI893" s="123"/>
      <c r="UEJ893" s="123"/>
      <c r="UEK893" s="123"/>
      <c r="UEL893" s="123"/>
      <c r="UEM893" s="123"/>
      <c r="UEN893" s="123"/>
      <c r="UEO893" s="123"/>
      <c r="UEP893" s="123"/>
      <c r="UEQ893" s="123"/>
      <c r="UER893" s="123"/>
      <c r="UES893" s="123"/>
      <c r="UET893" s="123"/>
      <c r="UEU893" s="123"/>
      <c r="UEV893" s="123"/>
      <c r="UEW893" s="123"/>
      <c r="UEX893" s="123"/>
      <c r="UEY893" s="123"/>
      <c r="UEZ893" s="123"/>
      <c r="UFA893" s="123"/>
      <c r="UFB893" s="123"/>
      <c r="UFC893" s="123"/>
      <c r="UFD893" s="123"/>
      <c r="UFE893" s="123"/>
      <c r="UFF893" s="123"/>
      <c r="UFG893" s="123"/>
      <c r="UFH893" s="123"/>
      <c r="UFI893" s="123"/>
      <c r="UFJ893" s="123"/>
      <c r="UFK893" s="123"/>
      <c r="UFL893" s="123"/>
      <c r="UFM893" s="123"/>
      <c r="UFN893" s="123"/>
      <c r="UFO893" s="123"/>
      <c r="UFP893" s="123"/>
      <c r="UFQ893" s="123"/>
      <c r="UFR893" s="123"/>
      <c r="UFS893" s="123"/>
      <c r="UFT893" s="123"/>
      <c r="UFU893" s="123"/>
      <c r="UFV893" s="123"/>
      <c r="UFW893" s="123"/>
      <c r="UFX893" s="123"/>
      <c r="UFY893" s="123"/>
      <c r="UFZ893" s="123"/>
      <c r="UGA893" s="123"/>
      <c r="UGB893" s="123"/>
      <c r="UGC893" s="123"/>
      <c r="UGD893" s="123"/>
      <c r="UGE893" s="123"/>
      <c r="UGF893" s="123"/>
      <c r="UGG893" s="123"/>
      <c r="UGH893" s="123"/>
      <c r="UGI893" s="123"/>
      <c r="UGJ893" s="123"/>
      <c r="UGK893" s="123"/>
      <c r="UGL893" s="123"/>
      <c r="UGM893" s="123"/>
      <c r="UGN893" s="123"/>
      <c r="UGO893" s="123"/>
      <c r="UGP893" s="123"/>
      <c r="UGQ893" s="123"/>
      <c r="UGR893" s="123"/>
      <c r="UGS893" s="123"/>
      <c r="UGT893" s="123"/>
      <c r="UGU893" s="123"/>
      <c r="UGV893" s="123"/>
      <c r="UGW893" s="123"/>
      <c r="UGX893" s="123"/>
      <c r="UGY893" s="123"/>
      <c r="UGZ893" s="123"/>
      <c r="UHA893" s="123"/>
      <c r="UHB893" s="123"/>
      <c r="UHC893" s="123"/>
      <c r="UHD893" s="123"/>
      <c r="UHE893" s="123"/>
      <c r="UHF893" s="123"/>
      <c r="UHG893" s="123"/>
      <c r="UHH893" s="123"/>
      <c r="UHI893" s="123"/>
      <c r="UHJ893" s="123"/>
      <c r="UHK893" s="123"/>
      <c r="UHL893" s="123"/>
      <c r="UHM893" s="123"/>
      <c r="UHN893" s="123"/>
      <c r="UHO893" s="123"/>
      <c r="UHP893" s="123"/>
      <c r="UHQ893" s="123"/>
      <c r="UHR893" s="123"/>
      <c r="UHS893" s="123"/>
      <c r="UHT893" s="123"/>
      <c r="UHU893" s="123"/>
      <c r="UHV893" s="123"/>
      <c r="UHW893" s="123"/>
      <c r="UHX893" s="123"/>
      <c r="UHY893" s="123"/>
      <c r="UHZ893" s="123"/>
      <c r="UIA893" s="123"/>
      <c r="UIB893" s="123"/>
      <c r="UIC893" s="123"/>
      <c r="UID893" s="123"/>
      <c r="UIE893" s="123"/>
      <c r="UIF893" s="123"/>
      <c r="UIG893" s="123"/>
      <c r="UIH893" s="123"/>
      <c r="UII893" s="123"/>
      <c r="UIJ893" s="123"/>
      <c r="UIK893" s="123"/>
      <c r="UIL893" s="123"/>
      <c r="UIM893" s="123"/>
      <c r="UIN893" s="123"/>
      <c r="UIO893" s="123"/>
      <c r="UIP893" s="123"/>
      <c r="UIQ893" s="123"/>
      <c r="UIR893" s="123"/>
      <c r="UIS893" s="123"/>
      <c r="UIT893" s="123"/>
      <c r="UIU893" s="123"/>
      <c r="UIV893" s="123"/>
      <c r="UIW893" s="123"/>
      <c r="UIX893" s="123"/>
      <c r="UIY893" s="123"/>
      <c r="UIZ893" s="123"/>
      <c r="UJA893" s="123"/>
      <c r="UJB893" s="123"/>
      <c r="UJC893" s="123"/>
      <c r="UJD893" s="123"/>
      <c r="UJE893" s="123"/>
      <c r="UJF893" s="123"/>
      <c r="UJG893" s="123"/>
      <c r="UJH893" s="123"/>
      <c r="UJI893" s="123"/>
      <c r="UJJ893" s="123"/>
      <c r="UJK893" s="123"/>
      <c r="UJL893" s="123"/>
      <c r="UJM893" s="123"/>
      <c r="UJN893" s="123"/>
      <c r="UJO893" s="123"/>
      <c r="UJP893" s="123"/>
      <c r="UJQ893" s="123"/>
      <c r="UJR893" s="123"/>
      <c r="UJS893" s="123"/>
      <c r="UJT893" s="123"/>
      <c r="UJU893" s="123"/>
      <c r="UJV893" s="123"/>
      <c r="UJW893" s="123"/>
      <c r="UJX893" s="123"/>
      <c r="UJY893" s="123"/>
      <c r="UJZ893" s="123"/>
      <c r="UKA893" s="123"/>
      <c r="UKB893" s="123"/>
      <c r="UKC893" s="123"/>
      <c r="UKD893" s="123"/>
      <c r="UKE893" s="123"/>
      <c r="UKF893" s="123"/>
      <c r="UKG893" s="123"/>
      <c r="UKH893" s="123"/>
      <c r="UKI893" s="123"/>
      <c r="UKJ893" s="123"/>
      <c r="UKK893" s="123"/>
      <c r="UKL893" s="123"/>
      <c r="UKM893" s="123"/>
      <c r="UKN893" s="123"/>
      <c r="UKO893" s="123"/>
      <c r="UKP893" s="123"/>
      <c r="UKQ893" s="123"/>
      <c r="UKR893" s="123"/>
      <c r="UKS893" s="123"/>
      <c r="UKT893" s="123"/>
      <c r="UKU893" s="123"/>
      <c r="UKV893" s="123"/>
      <c r="UKW893" s="123"/>
      <c r="UKX893" s="123"/>
      <c r="UKY893" s="123"/>
      <c r="UKZ893" s="123"/>
      <c r="ULA893" s="123"/>
      <c r="ULB893" s="123"/>
      <c r="ULC893" s="123"/>
      <c r="ULD893" s="123"/>
      <c r="ULE893" s="123"/>
      <c r="ULF893" s="123"/>
      <c r="ULG893" s="123"/>
      <c r="ULH893" s="123"/>
      <c r="ULI893" s="123"/>
      <c r="ULJ893" s="123"/>
      <c r="ULK893" s="123"/>
      <c r="ULL893" s="123"/>
      <c r="ULM893" s="123"/>
      <c r="ULN893" s="123"/>
      <c r="ULO893" s="123"/>
      <c r="ULP893" s="123"/>
      <c r="ULQ893" s="123"/>
      <c r="ULR893" s="123"/>
      <c r="ULS893" s="123"/>
      <c r="ULT893" s="123"/>
      <c r="ULU893" s="123"/>
      <c r="ULV893" s="123"/>
      <c r="ULW893" s="123"/>
      <c r="ULX893" s="123"/>
      <c r="ULY893" s="123"/>
      <c r="ULZ893" s="123"/>
      <c r="UMA893" s="123"/>
      <c r="UMB893" s="123"/>
      <c r="UMC893" s="123"/>
      <c r="UMD893" s="123"/>
      <c r="UME893" s="123"/>
      <c r="UMF893" s="123"/>
      <c r="UMG893" s="123"/>
      <c r="UMH893" s="123"/>
      <c r="UMI893" s="123"/>
      <c r="UMJ893" s="123"/>
      <c r="UMK893" s="123"/>
      <c r="UML893" s="123"/>
      <c r="UMM893" s="123"/>
      <c r="UMN893" s="123"/>
      <c r="UMO893" s="123"/>
      <c r="UMP893" s="123"/>
      <c r="UMQ893" s="123"/>
      <c r="UMR893" s="123"/>
      <c r="UMS893" s="123"/>
      <c r="UMT893" s="123"/>
      <c r="UMU893" s="123"/>
      <c r="UMV893" s="123"/>
      <c r="UMW893" s="123"/>
      <c r="UMX893" s="123"/>
      <c r="UMY893" s="123"/>
      <c r="UMZ893" s="123"/>
      <c r="UNA893" s="123"/>
      <c r="UNB893" s="123"/>
      <c r="UNC893" s="123"/>
      <c r="UND893" s="123"/>
      <c r="UNE893" s="123"/>
      <c r="UNF893" s="123"/>
      <c r="UNG893" s="123"/>
      <c r="UNH893" s="123"/>
      <c r="UNI893" s="123"/>
      <c r="UNJ893" s="123"/>
      <c r="UNK893" s="123"/>
      <c r="UNL893" s="123"/>
      <c r="UNM893" s="123"/>
      <c r="UNN893" s="123"/>
      <c r="UNO893" s="123"/>
      <c r="UNP893" s="123"/>
      <c r="UNQ893" s="123"/>
      <c r="UNR893" s="123"/>
      <c r="UNS893" s="123"/>
      <c r="UNT893" s="123"/>
      <c r="UNU893" s="123"/>
      <c r="UNV893" s="123"/>
      <c r="UNW893" s="123"/>
      <c r="UNX893" s="123"/>
      <c r="UNY893" s="123"/>
      <c r="UNZ893" s="123"/>
      <c r="UOA893" s="123"/>
      <c r="UOB893" s="123"/>
      <c r="UOC893" s="123"/>
      <c r="UOD893" s="123"/>
      <c r="UOE893" s="123"/>
      <c r="UOF893" s="123"/>
      <c r="UOG893" s="123"/>
      <c r="UOH893" s="123"/>
      <c r="UOI893" s="123"/>
      <c r="UOJ893" s="123"/>
      <c r="UOK893" s="123"/>
      <c r="UOL893" s="123"/>
      <c r="UOM893" s="123"/>
      <c r="UON893" s="123"/>
      <c r="UOO893" s="123"/>
      <c r="UOP893" s="123"/>
      <c r="UOQ893" s="123"/>
      <c r="UOR893" s="123"/>
      <c r="UOS893" s="123"/>
      <c r="UOT893" s="123"/>
      <c r="UOU893" s="123"/>
      <c r="UOV893" s="123"/>
      <c r="UOW893" s="123"/>
      <c r="UOX893" s="123"/>
      <c r="UOY893" s="123"/>
      <c r="UOZ893" s="123"/>
      <c r="UPA893" s="123"/>
      <c r="UPB893" s="123"/>
      <c r="UPC893" s="123"/>
      <c r="UPD893" s="123"/>
      <c r="UPE893" s="123"/>
      <c r="UPF893" s="123"/>
      <c r="UPG893" s="123"/>
      <c r="UPH893" s="123"/>
      <c r="UPI893" s="123"/>
      <c r="UPJ893" s="123"/>
      <c r="UPK893" s="123"/>
      <c r="UPL893" s="123"/>
      <c r="UPM893" s="123"/>
      <c r="UPN893" s="123"/>
      <c r="UPO893" s="123"/>
      <c r="UPP893" s="123"/>
      <c r="UPQ893" s="123"/>
      <c r="UPR893" s="123"/>
      <c r="UPS893" s="123"/>
      <c r="UPT893" s="123"/>
      <c r="UPU893" s="123"/>
      <c r="UPV893" s="123"/>
      <c r="UPW893" s="123"/>
      <c r="UPX893" s="123"/>
      <c r="UPY893" s="123"/>
      <c r="UPZ893" s="123"/>
      <c r="UQA893" s="123"/>
      <c r="UQB893" s="123"/>
      <c r="UQC893" s="123"/>
      <c r="UQD893" s="123"/>
      <c r="UQE893" s="123"/>
      <c r="UQF893" s="123"/>
      <c r="UQG893" s="123"/>
      <c r="UQH893" s="123"/>
      <c r="UQI893" s="123"/>
      <c r="UQJ893" s="123"/>
      <c r="UQK893" s="123"/>
      <c r="UQL893" s="123"/>
      <c r="UQM893" s="123"/>
      <c r="UQN893" s="123"/>
      <c r="UQO893" s="123"/>
      <c r="UQP893" s="123"/>
      <c r="UQQ893" s="123"/>
      <c r="UQR893" s="123"/>
      <c r="UQS893" s="123"/>
      <c r="UQT893" s="123"/>
      <c r="UQU893" s="123"/>
      <c r="UQV893" s="123"/>
      <c r="UQW893" s="123"/>
      <c r="UQX893" s="123"/>
      <c r="UQY893" s="123"/>
      <c r="UQZ893" s="123"/>
      <c r="URA893" s="123"/>
      <c r="URB893" s="123"/>
      <c r="URC893" s="123"/>
      <c r="URD893" s="123"/>
      <c r="URE893" s="123"/>
      <c r="URF893" s="123"/>
      <c r="URG893" s="123"/>
      <c r="URH893" s="123"/>
      <c r="URI893" s="123"/>
      <c r="URJ893" s="123"/>
      <c r="URK893" s="123"/>
      <c r="URL893" s="123"/>
      <c r="URM893" s="123"/>
      <c r="URN893" s="123"/>
      <c r="URO893" s="123"/>
      <c r="URP893" s="123"/>
      <c r="URQ893" s="123"/>
      <c r="URR893" s="123"/>
      <c r="URS893" s="123"/>
      <c r="URT893" s="123"/>
      <c r="URU893" s="123"/>
      <c r="URV893" s="123"/>
      <c r="URW893" s="123"/>
      <c r="URX893" s="123"/>
      <c r="URY893" s="123"/>
      <c r="URZ893" s="123"/>
      <c r="USA893" s="123"/>
      <c r="USB893" s="123"/>
      <c r="USC893" s="123"/>
      <c r="USD893" s="123"/>
      <c r="USE893" s="123"/>
      <c r="USF893" s="123"/>
      <c r="USG893" s="123"/>
      <c r="USH893" s="123"/>
      <c r="USI893" s="123"/>
      <c r="USJ893" s="123"/>
      <c r="USK893" s="123"/>
      <c r="USL893" s="123"/>
      <c r="USM893" s="123"/>
      <c r="USN893" s="123"/>
      <c r="USO893" s="123"/>
      <c r="USP893" s="123"/>
      <c r="USQ893" s="123"/>
      <c r="USR893" s="123"/>
      <c r="USS893" s="123"/>
      <c r="UST893" s="123"/>
      <c r="USU893" s="123"/>
      <c r="USV893" s="123"/>
      <c r="USW893" s="123"/>
      <c r="USX893" s="123"/>
      <c r="USY893" s="123"/>
      <c r="USZ893" s="123"/>
      <c r="UTA893" s="123"/>
      <c r="UTB893" s="123"/>
      <c r="UTC893" s="123"/>
      <c r="UTD893" s="123"/>
      <c r="UTE893" s="123"/>
      <c r="UTF893" s="123"/>
      <c r="UTG893" s="123"/>
      <c r="UTH893" s="123"/>
      <c r="UTI893" s="123"/>
      <c r="UTJ893" s="123"/>
      <c r="UTK893" s="123"/>
      <c r="UTL893" s="123"/>
      <c r="UTM893" s="123"/>
      <c r="UTN893" s="123"/>
      <c r="UTO893" s="123"/>
      <c r="UTP893" s="123"/>
      <c r="UTQ893" s="123"/>
      <c r="UTR893" s="123"/>
      <c r="UTS893" s="123"/>
      <c r="UTT893" s="123"/>
      <c r="UTU893" s="123"/>
      <c r="UTV893" s="123"/>
      <c r="UTW893" s="123"/>
      <c r="UTX893" s="123"/>
      <c r="UTY893" s="123"/>
      <c r="UTZ893" s="123"/>
      <c r="UUA893" s="123"/>
      <c r="UUB893" s="123"/>
      <c r="UUC893" s="123"/>
      <c r="UUD893" s="123"/>
      <c r="UUE893" s="123"/>
      <c r="UUF893" s="123"/>
      <c r="UUG893" s="123"/>
      <c r="UUH893" s="123"/>
      <c r="UUI893" s="123"/>
      <c r="UUJ893" s="123"/>
      <c r="UUK893" s="123"/>
      <c r="UUL893" s="123"/>
      <c r="UUM893" s="123"/>
      <c r="UUN893" s="123"/>
      <c r="UUO893" s="123"/>
      <c r="UUP893" s="123"/>
      <c r="UUQ893" s="123"/>
      <c r="UUR893" s="123"/>
      <c r="UUS893" s="123"/>
      <c r="UUT893" s="123"/>
      <c r="UUU893" s="123"/>
      <c r="UUV893" s="123"/>
      <c r="UUW893" s="123"/>
      <c r="UUX893" s="123"/>
      <c r="UUY893" s="123"/>
      <c r="UUZ893" s="123"/>
      <c r="UVA893" s="123"/>
      <c r="UVB893" s="123"/>
      <c r="UVC893" s="123"/>
      <c r="UVD893" s="123"/>
      <c r="UVE893" s="123"/>
      <c r="UVF893" s="123"/>
      <c r="UVG893" s="123"/>
      <c r="UVH893" s="123"/>
      <c r="UVI893" s="123"/>
      <c r="UVJ893" s="123"/>
      <c r="UVK893" s="123"/>
      <c r="UVL893" s="123"/>
      <c r="UVM893" s="123"/>
      <c r="UVN893" s="123"/>
      <c r="UVO893" s="123"/>
      <c r="UVP893" s="123"/>
      <c r="UVQ893" s="123"/>
      <c r="UVR893" s="123"/>
      <c r="UVS893" s="123"/>
      <c r="UVT893" s="123"/>
      <c r="UVU893" s="123"/>
      <c r="UVV893" s="123"/>
      <c r="UVW893" s="123"/>
      <c r="UVX893" s="123"/>
      <c r="UVY893" s="123"/>
      <c r="UVZ893" s="123"/>
      <c r="UWA893" s="123"/>
      <c r="UWB893" s="123"/>
      <c r="UWC893" s="123"/>
      <c r="UWD893" s="123"/>
      <c r="UWE893" s="123"/>
      <c r="UWF893" s="123"/>
      <c r="UWG893" s="123"/>
      <c r="UWH893" s="123"/>
      <c r="UWI893" s="123"/>
      <c r="UWJ893" s="123"/>
      <c r="UWK893" s="123"/>
      <c r="UWL893" s="123"/>
      <c r="UWM893" s="123"/>
      <c r="UWN893" s="123"/>
      <c r="UWO893" s="123"/>
      <c r="UWP893" s="123"/>
      <c r="UWQ893" s="123"/>
      <c r="UWR893" s="123"/>
      <c r="UWS893" s="123"/>
      <c r="UWT893" s="123"/>
      <c r="UWU893" s="123"/>
      <c r="UWV893" s="123"/>
      <c r="UWW893" s="123"/>
      <c r="UWX893" s="123"/>
      <c r="UWY893" s="123"/>
      <c r="UWZ893" s="123"/>
      <c r="UXA893" s="123"/>
      <c r="UXB893" s="123"/>
      <c r="UXC893" s="123"/>
      <c r="UXD893" s="123"/>
      <c r="UXE893" s="123"/>
      <c r="UXF893" s="123"/>
      <c r="UXG893" s="123"/>
      <c r="UXH893" s="123"/>
      <c r="UXI893" s="123"/>
      <c r="UXJ893" s="123"/>
      <c r="UXK893" s="123"/>
      <c r="UXL893" s="123"/>
      <c r="UXM893" s="123"/>
      <c r="UXN893" s="123"/>
      <c r="UXO893" s="123"/>
      <c r="UXP893" s="123"/>
      <c r="UXQ893" s="123"/>
      <c r="UXR893" s="123"/>
      <c r="UXS893" s="123"/>
      <c r="UXT893" s="123"/>
      <c r="UXU893" s="123"/>
      <c r="UXV893" s="123"/>
      <c r="UXW893" s="123"/>
      <c r="UXX893" s="123"/>
      <c r="UXY893" s="123"/>
      <c r="UXZ893" s="123"/>
      <c r="UYA893" s="123"/>
      <c r="UYB893" s="123"/>
      <c r="UYC893" s="123"/>
      <c r="UYD893" s="123"/>
      <c r="UYE893" s="123"/>
      <c r="UYF893" s="123"/>
      <c r="UYG893" s="123"/>
      <c r="UYH893" s="123"/>
      <c r="UYI893" s="123"/>
      <c r="UYJ893" s="123"/>
      <c r="UYK893" s="123"/>
      <c r="UYL893" s="123"/>
      <c r="UYM893" s="123"/>
      <c r="UYN893" s="123"/>
      <c r="UYO893" s="123"/>
      <c r="UYP893" s="123"/>
      <c r="UYQ893" s="123"/>
      <c r="UYR893" s="123"/>
      <c r="UYS893" s="123"/>
      <c r="UYT893" s="123"/>
      <c r="UYU893" s="123"/>
      <c r="UYV893" s="123"/>
      <c r="UYW893" s="123"/>
      <c r="UYX893" s="123"/>
      <c r="UYY893" s="123"/>
      <c r="UYZ893" s="123"/>
      <c r="UZA893" s="123"/>
      <c r="UZB893" s="123"/>
      <c r="UZC893" s="123"/>
      <c r="UZD893" s="123"/>
      <c r="UZE893" s="123"/>
      <c r="UZF893" s="123"/>
      <c r="UZG893" s="123"/>
      <c r="UZH893" s="123"/>
      <c r="UZI893" s="123"/>
      <c r="UZJ893" s="123"/>
      <c r="UZK893" s="123"/>
      <c r="UZL893" s="123"/>
      <c r="UZM893" s="123"/>
      <c r="UZN893" s="123"/>
      <c r="UZO893" s="123"/>
      <c r="UZP893" s="123"/>
      <c r="UZQ893" s="123"/>
      <c r="UZR893" s="123"/>
      <c r="UZS893" s="123"/>
      <c r="UZT893" s="123"/>
      <c r="UZU893" s="123"/>
      <c r="UZV893" s="123"/>
      <c r="UZW893" s="123"/>
      <c r="UZX893" s="123"/>
      <c r="UZY893" s="123"/>
      <c r="UZZ893" s="123"/>
      <c r="VAA893" s="123"/>
      <c r="VAB893" s="123"/>
      <c r="VAC893" s="123"/>
      <c r="VAD893" s="123"/>
      <c r="VAE893" s="123"/>
      <c r="VAF893" s="123"/>
      <c r="VAG893" s="123"/>
      <c r="VAH893" s="123"/>
      <c r="VAI893" s="123"/>
      <c r="VAJ893" s="123"/>
      <c r="VAK893" s="123"/>
      <c r="VAL893" s="123"/>
      <c r="VAM893" s="123"/>
      <c r="VAN893" s="123"/>
      <c r="VAO893" s="123"/>
      <c r="VAP893" s="123"/>
      <c r="VAQ893" s="123"/>
      <c r="VAR893" s="123"/>
      <c r="VAS893" s="123"/>
      <c r="VAT893" s="123"/>
      <c r="VAU893" s="123"/>
      <c r="VAV893" s="123"/>
      <c r="VAW893" s="123"/>
      <c r="VAX893" s="123"/>
      <c r="VAY893" s="123"/>
      <c r="VAZ893" s="123"/>
      <c r="VBA893" s="123"/>
      <c r="VBB893" s="123"/>
      <c r="VBC893" s="123"/>
      <c r="VBD893" s="123"/>
      <c r="VBE893" s="123"/>
      <c r="VBF893" s="123"/>
      <c r="VBG893" s="123"/>
      <c r="VBH893" s="123"/>
      <c r="VBI893" s="123"/>
      <c r="VBJ893" s="123"/>
      <c r="VBK893" s="123"/>
      <c r="VBL893" s="123"/>
      <c r="VBM893" s="123"/>
      <c r="VBN893" s="123"/>
      <c r="VBO893" s="123"/>
      <c r="VBP893" s="123"/>
      <c r="VBQ893" s="123"/>
      <c r="VBR893" s="123"/>
      <c r="VBS893" s="123"/>
      <c r="VBT893" s="123"/>
      <c r="VBU893" s="123"/>
      <c r="VBV893" s="123"/>
      <c r="VBW893" s="123"/>
      <c r="VBX893" s="123"/>
      <c r="VBY893" s="123"/>
      <c r="VBZ893" s="123"/>
      <c r="VCA893" s="123"/>
      <c r="VCB893" s="123"/>
      <c r="VCC893" s="123"/>
      <c r="VCD893" s="123"/>
      <c r="VCE893" s="123"/>
      <c r="VCF893" s="123"/>
      <c r="VCG893" s="123"/>
      <c r="VCH893" s="123"/>
      <c r="VCI893" s="123"/>
      <c r="VCJ893" s="123"/>
      <c r="VCK893" s="123"/>
      <c r="VCL893" s="123"/>
      <c r="VCM893" s="123"/>
      <c r="VCN893" s="123"/>
      <c r="VCO893" s="123"/>
      <c r="VCP893" s="123"/>
      <c r="VCQ893" s="123"/>
      <c r="VCR893" s="123"/>
      <c r="VCS893" s="123"/>
      <c r="VCT893" s="123"/>
      <c r="VCU893" s="123"/>
      <c r="VCV893" s="123"/>
      <c r="VCW893" s="123"/>
      <c r="VCX893" s="123"/>
      <c r="VCY893" s="123"/>
      <c r="VCZ893" s="123"/>
      <c r="VDA893" s="123"/>
      <c r="VDB893" s="123"/>
      <c r="VDC893" s="123"/>
      <c r="VDD893" s="123"/>
      <c r="VDE893" s="123"/>
      <c r="VDF893" s="123"/>
      <c r="VDG893" s="123"/>
      <c r="VDH893" s="123"/>
      <c r="VDI893" s="123"/>
      <c r="VDJ893" s="123"/>
      <c r="VDK893" s="123"/>
      <c r="VDL893" s="123"/>
      <c r="VDM893" s="123"/>
      <c r="VDN893" s="123"/>
      <c r="VDO893" s="123"/>
      <c r="VDP893" s="123"/>
      <c r="VDQ893" s="123"/>
      <c r="VDR893" s="123"/>
      <c r="VDS893" s="123"/>
      <c r="VDT893" s="123"/>
      <c r="VDU893" s="123"/>
      <c r="VDV893" s="123"/>
      <c r="VDW893" s="123"/>
      <c r="VDX893" s="123"/>
      <c r="VDY893" s="123"/>
      <c r="VDZ893" s="123"/>
      <c r="VEA893" s="123"/>
      <c r="VEB893" s="123"/>
      <c r="VEC893" s="123"/>
      <c r="VED893" s="123"/>
      <c r="VEE893" s="123"/>
      <c r="VEF893" s="123"/>
      <c r="VEG893" s="123"/>
      <c r="VEH893" s="123"/>
      <c r="VEI893" s="123"/>
      <c r="VEJ893" s="123"/>
      <c r="VEK893" s="123"/>
      <c r="VEL893" s="123"/>
      <c r="VEM893" s="123"/>
      <c r="VEN893" s="123"/>
      <c r="VEO893" s="123"/>
      <c r="VEP893" s="123"/>
      <c r="VEQ893" s="123"/>
      <c r="VER893" s="123"/>
      <c r="VES893" s="123"/>
      <c r="VET893" s="123"/>
      <c r="VEU893" s="123"/>
      <c r="VEV893" s="123"/>
      <c r="VEW893" s="123"/>
      <c r="VEX893" s="123"/>
      <c r="VEY893" s="123"/>
      <c r="VEZ893" s="123"/>
      <c r="VFA893" s="123"/>
      <c r="VFB893" s="123"/>
      <c r="VFC893" s="123"/>
      <c r="VFD893" s="123"/>
      <c r="VFE893" s="123"/>
      <c r="VFF893" s="123"/>
      <c r="VFG893" s="123"/>
      <c r="VFH893" s="123"/>
      <c r="VFI893" s="123"/>
      <c r="VFJ893" s="123"/>
      <c r="VFK893" s="123"/>
      <c r="VFL893" s="123"/>
      <c r="VFM893" s="123"/>
      <c r="VFN893" s="123"/>
      <c r="VFO893" s="123"/>
      <c r="VFP893" s="123"/>
      <c r="VFQ893" s="123"/>
      <c r="VFR893" s="123"/>
      <c r="VFS893" s="123"/>
      <c r="VFT893" s="123"/>
      <c r="VFU893" s="123"/>
      <c r="VFV893" s="123"/>
      <c r="VFW893" s="123"/>
      <c r="VFX893" s="123"/>
      <c r="VFY893" s="123"/>
      <c r="VFZ893" s="123"/>
      <c r="VGA893" s="123"/>
      <c r="VGB893" s="123"/>
      <c r="VGC893" s="123"/>
      <c r="VGD893" s="123"/>
      <c r="VGE893" s="123"/>
      <c r="VGF893" s="123"/>
      <c r="VGG893" s="123"/>
      <c r="VGH893" s="123"/>
      <c r="VGI893" s="123"/>
      <c r="VGJ893" s="123"/>
      <c r="VGK893" s="123"/>
      <c r="VGL893" s="123"/>
      <c r="VGM893" s="123"/>
      <c r="VGN893" s="123"/>
      <c r="VGO893" s="123"/>
      <c r="VGP893" s="123"/>
      <c r="VGQ893" s="123"/>
      <c r="VGR893" s="123"/>
      <c r="VGS893" s="123"/>
      <c r="VGT893" s="123"/>
      <c r="VGU893" s="123"/>
      <c r="VGV893" s="123"/>
      <c r="VGW893" s="123"/>
      <c r="VGX893" s="123"/>
      <c r="VGY893" s="123"/>
      <c r="VGZ893" s="123"/>
      <c r="VHA893" s="123"/>
      <c r="VHB893" s="123"/>
      <c r="VHC893" s="123"/>
      <c r="VHD893" s="123"/>
      <c r="VHE893" s="123"/>
      <c r="VHF893" s="123"/>
      <c r="VHG893" s="123"/>
      <c r="VHH893" s="123"/>
      <c r="VHI893" s="123"/>
      <c r="VHJ893" s="123"/>
      <c r="VHK893" s="123"/>
      <c r="VHL893" s="123"/>
      <c r="VHM893" s="123"/>
      <c r="VHN893" s="123"/>
      <c r="VHO893" s="123"/>
      <c r="VHP893" s="123"/>
      <c r="VHQ893" s="123"/>
      <c r="VHR893" s="123"/>
      <c r="VHS893" s="123"/>
      <c r="VHT893" s="123"/>
      <c r="VHU893" s="123"/>
      <c r="VHV893" s="123"/>
      <c r="VHW893" s="123"/>
      <c r="VHX893" s="123"/>
      <c r="VHY893" s="123"/>
      <c r="VHZ893" s="123"/>
      <c r="VIA893" s="123"/>
      <c r="VIB893" s="123"/>
      <c r="VIC893" s="123"/>
      <c r="VID893" s="123"/>
      <c r="VIE893" s="123"/>
      <c r="VIF893" s="123"/>
      <c r="VIG893" s="123"/>
      <c r="VIH893" s="123"/>
      <c r="VII893" s="123"/>
      <c r="VIJ893" s="123"/>
      <c r="VIK893" s="123"/>
      <c r="VIL893" s="123"/>
      <c r="VIM893" s="123"/>
      <c r="VIN893" s="123"/>
      <c r="VIO893" s="123"/>
      <c r="VIP893" s="123"/>
      <c r="VIQ893" s="123"/>
      <c r="VIR893" s="123"/>
      <c r="VIS893" s="123"/>
      <c r="VIT893" s="123"/>
      <c r="VIU893" s="123"/>
      <c r="VIV893" s="123"/>
      <c r="VIW893" s="123"/>
      <c r="VIX893" s="123"/>
      <c r="VIY893" s="123"/>
      <c r="VIZ893" s="123"/>
      <c r="VJA893" s="123"/>
      <c r="VJB893" s="123"/>
      <c r="VJC893" s="123"/>
      <c r="VJD893" s="123"/>
      <c r="VJE893" s="123"/>
      <c r="VJF893" s="123"/>
      <c r="VJG893" s="123"/>
      <c r="VJH893" s="123"/>
      <c r="VJI893" s="123"/>
      <c r="VJJ893" s="123"/>
      <c r="VJK893" s="123"/>
      <c r="VJL893" s="123"/>
      <c r="VJM893" s="123"/>
      <c r="VJN893" s="123"/>
      <c r="VJO893" s="123"/>
      <c r="VJP893" s="123"/>
      <c r="VJQ893" s="123"/>
      <c r="VJR893" s="123"/>
      <c r="VJS893" s="123"/>
      <c r="VJT893" s="123"/>
      <c r="VJU893" s="123"/>
      <c r="VJV893" s="123"/>
      <c r="VJW893" s="123"/>
      <c r="VJX893" s="123"/>
      <c r="VJY893" s="123"/>
      <c r="VJZ893" s="123"/>
      <c r="VKA893" s="123"/>
      <c r="VKB893" s="123"/>
      <c r="VKC893" s="123"/>
      <c r="VKD893" s="123"/>
      <c r="VKE893" s="123"/>
      <c r="VKF893" s="123"/>
      <c r="VKG893" s="123"/>
      <c r="VKH893" s="123"/>
      <c r="VKI893" s="123"/>
      <c r="VKJ893" s="123"/>
      <c r="VKK893" s="123"/>
      <c r="VKL893" s="123"/>
      <c r="VKM893" s="123"/>
      <c r="VKN893" s="123"/>
      <c r="VKO893" s="123"/>
      <c r="VKP893" s="123"/>
      <c r="VKQ893" s="123"/>
      <c r="VKR893" s="123"/>
      <c r="VKS893" s="123"/>
      <c r="VKT893" s="123"/>
      <c r="VKU893" s="123"/>
      <c r="VKV893" s="123"/>
      <c r="VKW893" s="123"/>
      <c r="VKX893" s="123"/>
      <c r="VKY893" s="123"/>
      <c r="VKZ893" s="123"/>
      <c r="VLA893" s="123"/>
      <c r="VLB893" s="123"/>
      <c r="VLC893" s="123"/>
      <c r="VLD893" s="123"/>
      <c r="VLE893" s="123"/>
      <c r="VLF893" s="123"/>
      <c r="VLG893" s="123"/>
      <c r="VLH893" s="123"/>
      <c r="VLI893" s="123"/>
      <c r="VLJ893" s="123"/>
      <c r="VLK893" s="123"/>
      <c r="VLL893" s="123"/>
      <c r="VLM893" s="123"/>
      <c r="VLN893" s="123"/>
      <c r="VLO893" s="123"/>
      <c r="VLP893" s="123"/>
      <c r="VLQ893" s="123"/>
      <c r="VLR893" s="123"/>
      <c r="VLS893" s="123"/>
      <c r="VLT893" s="123"/>
      <c r="VLU893" s="123"/>
      <c r="VLV893" s="123"/>
      <c r="VLW893" s="123"/>
      <c r="VLX893" s="123"/>
      <c r="VLY893" s="123"/>
      <c r="VLZ893" s="123"/>
      <c r="VMA893" s="123"/>
      <c r="VMB893" s="123"/>
      <c r="VMC893" s="123"/>
      <c r="VMD893" s="123"/>
      <c r="VME893" s="123"/>
      <c r="VMF893" s="123"/>
      <c r="VMG893" s="123"/>
      <c r="VMH893" s="123"/>
      <c r="VMI893" s="123"/>
      <c r="VMJ893" s="123"/>
      <c r="VMK893" s="123"/>
      <c r="VML893" s="123"/>
      <c r="VMM893" s="123"/>
      <c r="VMN893" s="123"/>
      <c r="VMO893" s="123"/>
      <c r="VMP893" s="123"/>
      <c r="VMQ893" s="123"/>
      <c r="VMR893" s="123"/>
      <c r="VMS893" s="123"/>
      <c r="VMT893" s="123"/>
      <c r="VMU893" s="123"/>
      <c r="VMV893" s="123"/>
      <c r="VMW893" s="123"/>
      <c r="VMX893" s="123"/>
      <c r="VMY893" s="123"/>
      <c r="VMZ893" s="123"/>
      <c r="VNA893" s="123"/>
      <c r="VNB893" s="123"/>
      <c r="VNC893" s="123"/>
      <c r="VND893" s="123"/>
      <c r="VNE893" s="123"/>
      <c r="VNF893" s="123"/>
      <c r="VNG893" s="123"/>
      <c r="VNH893" s="123"/>
      <c r="VNI893" s="123"/>
      <c r="VNJ893" s="123"/>
      <c r="VNK893" s="123"/>
      <c r="VNL893" s="123"/>
      <c r="VNM893" s="123"/>
      <c r="VNN893" s="123"/>
      <c r="VNO893" s="123"/>
      <c r="VNP893" s="123"/>
      <c r="VNQ893" s="123"/>
      <c r="VNR893" s="123"/>
      <c r="VNS893" s="123"/>
      <c r="VNT893" s="123"/>
      <c r="VNU893" s="123"/>
      <c r="VNV893" s="123"/>
      <c r="VNW893" s="123"/>
      <c r="VNX893" s="123"/>
      <c r="VNY893" s="123"/>
      <c r="VNZ893" s="123"/>
      <c r="VOA893" s="123"/>
      <c r="VOB893" s="123"/>
      <c r="VOC893" s="123"/>
      <c r="VOD893" s="123"/>
      <c r="VOE893" s="123"/>
      <c r="VOF893" s="123"/>
      <c r="VOG893" s="123"/>
      <c r="VOH893" s="123"/>
      <c r="VOI893" s="123"/>
      <c r="VOJ893" s="123"/>
      <c r="VOK893" s="123"/>
      <c r="VOL893" s="123"/>
      <c r="VOM893" s="123"/>
      <c r="VON893" s="123"/>
      <c r="VOO893" s="123"/>
      <c r="VOP893" s="123"/>
      <c r="VOQ893" s="123"/>
      <c r="VOR893" s="123"/>
      <c r="VOS893" s="123"/>
      <c r="VOT893" s="123"/>
      <c r="VOU893" s="123"/>
      <c r="VOV893" s="123"/>
      <c r="VOW893" s="123"/>
      <c r="VOX893" s="123"/>
      <c r="VOY893" s="123"/>
      <c r="VOZ893" s="123"/>
      <c r="VPA893" s="123"/>
      <c r="VPB893" s="123"/>
      <c r="VPC893" s="123"/>
      <c r="VPD893" s="123"/>
      <c r="VPE893" s="123"/>
      <c r="VPF893" s="123"/>
      <c r="VPG893" s="123"/>
      <c r="VPH893" s="123"/>
      <c r="VPI893" s="123"/>
      <c r="VPJ893" s="123"/>
      <c r="VPK893" s="123"/>
      <c r="VPL893" s="123"/>
      <c r="VPM893" s="123"/>
      <c r="VPN893" s="123"/>
      <c r="VPO893" s="123"/>
      <c r="VPP893" s="123"/>
      <c r="VPQ893" s="123"/>
      <c r="VPR893" s="123"/>
      <c r="VPS893" s="123"/>
      <c r="VPT893" s="123"/>
      <c r="VPU893" s="123"/>
      <c r="VPV893" s="123"/>
      <c r="VPW893" s="123"/>
      <c r="VPX893" s="123"/>
      <c r="VPY893" s="123"/>
      <c r="VPZ893" s="123"/>
      <c r="VQA893" s="123"/>
      <c r="VQB893" s="123"/>
      <c r="VQC893" s="123"/>
      <c r="VQD893" s="123"/>
      <c r="VQE893" s="123"/>
      <c r="VQF893" s="123"/>
      <c r="VQG893" s="123"/>
      <c r="VQH893" s="123"/>
      <c r="VQI893" s="123"/>
      <c r="VQJ893" s="123"/>
      <c r="VQK893" s="123"/>
      <c r="VQL893" s="123"/>
      <c r="VQM893" s="123"/>
      <c r="VQN893" s="123"/>
      <c r="VQO893" s="123"/>
      <c r="VQP893" s="123"/>
      <c r="VQQ893" s="123"/>
      <c r="VQR893" s="123"/>
      <c r="VQS893" s="123"/>
      <c r="VQT893" s="123"/>
      <c r="VQU893" s="123"/>
      <c r="VQV893" s="123"/>
      <c r="VQW893" s="123"/>
      <c r="VQX893" s="123"/>
      <c r="VQY893" s="123"/>
      <c r="VQZ893" s="123"/>
      <c r="VRA893" s="123"/>
      <c r="VRB893" s="123"/>
      <c r="VRC893" s="123"/>
      <c r="VRD893" s="123"/>
      <c r="VRE893" s="123"/>
      <c r="VRF893" s="123"/>
      <c r="VRG893" s="123"/>
      <c r="VRH893" s="123"/>
      <c r="VRI893" s="123"/>
      <c r="VRJ893" s="123"/>
      <c r="VRK893" s="123"/>
      <c r="VRL893" s="123"/>
      <c r="VRM893" s="123"/>
      <c r="VRN893" s="123"/>
      <c r="VRO893" s="123"/>
      <c r="VRP893" s="123"/>
      <c r="VRQ893" s="123"/>
      <c r="VRR893" s="123"/>
      <c r="VRS893" s="123"/>
      <c r="VRT893" s="123"/>
      <c r="VRU893" s="123"/>
      <c r="VRV893" s="123"/>
      <c r="VRW893" s="123"/>
      <c r="VRX893" s="123"/>
      <c r="VRY893" s="123"/>
      <c r="VRZ893" s="123"/>
      <c r="VSA893" s="123"/>
      <c r="VSB893" s="123"/>
      <c r="VSC893" s="123"/>
      <c r="VSD893" s="123"/>
      <c r="VSE893" s="123"/>
      <c r="VSF893" s="123"/>
      <c r="VSG893" s="123"/>
      <c r="VSH893" s="123"/>
      <c r="VSI893" s="123"/>
      <c r="VSJ893" s="123"/>
      <c r="VSK893" s="123"/>
      <c r="VSL893" s="123"/>
      <c r="VSM893" s="123"/>
      <c r="VSN893" s="123"/>
      <c r="VSO893" s="123"/>
      <c r="VSP893" s="123"/>
      <c r="VSQ893" s="123"/>
      <c r="VSR893" s="123"/>
      <c r="VSS893" s="123"/>
      <c r="VST893" s="123"/>
      <c r="VSU893" s="123"/>
      <c r="VSV893" s="123"/>
      <c r="VSW893" s="123"/>
      <c r="VSX893" s="123"/>
      <c r="VSY893" s="123"/>
      <c r="VSZ893" s="123"/>
      <c r="VTA893" s="123"/>
      <c r="VTB893" s="123"/>
      <c r="VTC893" s="123"/>
      <c r="VTD893" s="123"/>
      <c r="VTE893" s="123"/>
      <c r="VTF893" s="123"/>
      <c r="VTG893" s="123"/>
      <c r="VTH893" s="123"/>
      <c r="VTI893" s="123"/>
      <c r="VTJ893" s="123"/>
      <c r="VTK893" s="123"/>
      <c r="VTL893" s="123"/>
      <c r="VTM893" s="123"/>
      <c r="VTN893" s="123"/>
      <c r="VTO893" s="123"/>
      <c r="VTP893" s="123"/>
      <c r="VTQ893" s="123"/>
      <c r="VTR893" s="123"/>
      <c r="VTS893" s="123"/>
      <c r="VTT893" s="123"/>
      <c r="VTU893" s="123"/>
      <c r="VTV893" s="123"/>
      <c r="VTW893" s="123"/>
      <c r="VTX893" s="123"/>
      <c r="VTY893" s="123"/>
      <c r="VTZ893" s="123"/>
      <c r="VUA893" s="123"/>
      <c r="VUB893" s="123"/>
      <c r="VUC893" s="123"/>
      <c r="VUD893" s="123"/>
      <c r="VUE893" s="123"/>
      <c r="VUF893" s="123"/>
      <c r="VUG893" s="123"/>
      <c r="VUH893" s="123"/>
      <c r="VUI893" s="123"/>
      <c r="VUJ893" s="123"/>
      <c r="VUK893" s="123"/>
      <c r="VUL893" s="123"/>
      <c r="VUM893" s="123"/>
      <c r="VUN893" s="123"/>
      <c r="VUO893" s="123"/>
      <c r="VUP893" s="123"/>
      <c r="VUQ893" s="123"/>
      <c r="VUR893" s="123"/>
      <c r="VUS893" s="123"/>
      <c r="VUT893" s="123"/>
      <c r="VUU893" s="123"/>
      <c r="VUV893" s="123"/>
      <c r="VUW893" s="123"/>
      <c r="VUX893" s="123"/>
      <c r="VUY893" s="123"/>
      <c r="VUZ893" s="123"/>
      <c r="VVA893" s="123"/>
      <c r="VVB893" s="123"/>
      <c r="VVC893" s="123"/>
      <c r="VVD893" s="123"/>
      <c r="VVE893" s="123"/>
      <c r="VVF893" s="123"/>
      <c r="VVG893" s="123"/>
      <c r="VVH893" s="123"/>
      <c r="VVI893" s="123"/>
      <c r="VVJ893" s="123"/>
      <c r="VVK893" s="123"/>
      <c r="VVL893" s="123"/>
      <c r="VVM893" s="123"/>
      <c r="VVN893" s="123"/>
      <c r="VVO893" s="123"/>
      <c r="VVP893" s="123"/>
      <c r="VVQ893" s="123"/>
      <c r="VVR893" s="123"/>
      <c r="VVS893" s="123"/>
      <c r="VVT893" s="123"/>
      <c r="VVU893" s="123"/>
      <c r="VVV893" s="123"/>
      <c r="VVW893" s="123"/>
      <c r="VVX893" s="123"/>
      <c r="VVY893" s="123"/>
      <c r="VVZ893" s="123"/>
      <c r="VWA893" s="123"/>
      <c r="VWB893" s="123"/>
      <c r="VWC893" s="123"/>
      <c r="VWD893" s="123"/>
      <c r="VWE893" s="123"/>
      <c r="VWF893" s="123"/>
      <c r="VWG893" s="123"/>
      <c r="VWH893" s="123"/>
      <c r="VWI893" s="123"/>
      <c r="VWJ893" s="123"/>
      <c r="VWK893" s="123"/>
      <c r="VWL893" s="123"/>
      <c r="VWM893" s="123"/>
      <c r="VWN893" s="123"/>
      <c r="VWO893" s="123"/>
      <c r="VWP893" s="123"/>
      <c r="VWQ893" s="123"/>
      <c r="VWR893" s="123"/>
      <c r="VWS893" s="123"/>
      <c r="VWT893" s="123"/>
      <c r="VWU893" s="123"/>
      <c r="VWV893" s="123"/>
      <c r="VWW893" s="123"/>
      <c r="VWX893" s="123"/>
      <c r="VWY893" s="123"/>
      <c r="VWZ893" s="123"/>
      <c r="VXA893" s="123"/>
      <c r="VXB893" s="123"/>
      <c r="VXC893" s="123"/>
      <c r="VXD893" s="123"/>
      <c r="VXE893" s="123"/>
      <c r="VXF893" s="123"/>
      <c r="VXG893" s="123"/>
      <c r="VXH893" s="123"/>
      <c r="VXI893" s="123"/>
      <c r="VXJ893" s="123"/>
      <c r="VXK893" s="123"/>
      <c r="VXL893" s="123"/>
      <c r="VXM893" s="123"/>
      <c r="VXN893" s="123"/>
      <c r="VXO893" s="123"/>
      <c r="VXP893" s="123"/>
      <c r="VXQ893" s="123"/>
      <c r="VXR893" s="123"/>
      <c r="VXS893" s="123"/>
      <c r="VXT893" s="123"/>
      <c r="VXU893" s="123"/>
      <c r="VXV893" s="123"/>
      <c r="VXW893" s="123"/>
      <c r="VXX893" s="123"/>
      <c r="VXY893" s="123"/>
      <c r="VXZ893" s="123"/>
      <c r="VYA893" s="123"/>
      <c r="VYB893" s="123"/>
      <c r="VYC893" s="123"/>
      <c r="VYD893" s="123"/>
      <c r="VYE893" s="123"/>
      <c r="VYF893" s="123"/>
      <c r="VYG893" s="123"/>
      <c r="VYH893" s="123"/>
      <c r="VYI893" s="123"/>
      <c r="VYJ893" s="123"/>
      <c r="VYK893" s="123"/>
      <c r="VYL893" s="123"/>
      <c r="VYM893" s="123"/>
      <c r="VYN893" s="123"/>
      <c r="VYO893" s="123"/>
      <c r="VYP893" s="123"/>
      <c r="VYQ893" s="123"/>
      <c r="VYR893" s="123"/>
      <c r="VYS893" s="123"/>
      <c r="VYT893" s="123"/>
      <c r="VYU893" s="123"/>
      <c r="VYV893" s="123"/>
      <c r="VYW893" s="123"/>
      <c r="VYX893" s="123"/>
      <c r="VYY893" s="123"/>
      <c r="VYZ893" s="123"/>
      <c r="VZA893" s="123"/>
      <c r="VZB893" s="123"/>
      <c r="VZC893" s="123"/>
      <c r="VZD893" s="123"/>
      <c r="VZE893" s="123"/>
      <c r="VZF893" s="123"/>
      <c r="VZG893" s="123"/>
      <c r="VZH893" s="123"/>
      <c r="VZI893" s="123"/>
      <c r="VZJ893" s="123"/>
      <c r="VZK893" s="123"/>
      <c r="VZL893" s="123"/>
      <c r="VZM893" s="123"/>
      <c r="VZN893" s="123"/>
      <c r="VZO893" s="123"/>
      <c r="VZP893" s="123"/>
      <c r="VZQ893" s="123"/>
      <c r="VZR893" s="123"/>
      <c r="VZS893" s="123"/>
      <c r="VZT893" s="123"/>
      <c r="VZU893" s="123"/>
      <c r="VZV893" s="123"/>
      <c r="VZW893" s="123"/>
      <c r="VZX893" s="123"/>
      <c r="VZY893" s="123"/>
      <c r="VZZ893" s="123"/>
      <c r="WAA893" s="123"/>
      <c r="WAB893" s="123"/>
      <c r="WAC893" s="123"/>
      <c r="WAD893" s="123"/>
      <c r="WAE893" s="123"/>
      <c r="WAF893" s="123"/>
      <c r="WAG893" s="123"/>
      <c r="WAH893" s="123"/>
      <c r="WAI893" s="123"/>
      <c r="WAJ893" s="123"/>
      <c r="WAK893" s="123"/>
      <c r="WAL893" s="123"/>
      <c r="WAM893" s="123"/>
      <c r="WAN893" s="123"/>
      <c r="WAO893" s="123"/>
      <c r="WAP893" s="123"/>
      <c r="WAQ893" s="123"/>
      <c r="WAR893" s="123"/>
      <c r="WAS893" s="123"/>
      <c r="WAT893" s="123"/>
      <c r="WAU893" s="123"/>
      <c r="WAV893" s="123"/>
      <c r="WAW893" s="123"/>
      <c r="WAX893" s="123"/>
      <c r="WAY893" s="123"/>
      <c r="WAZ893" s="123"/>
      <c r="WBA893" s="123"/>
      <c r="WBB893" s="123"/>
      <c r="WBC893" s="123"/>
      <c r="WBD893" s="123"/>
      <c r="WBE893" s="123"/>
      <c r="WBF893" s="123"/>
      <c r="WBG893" s="123"/>
      <c r="WBH893" s="123"/>
      <c r="WBI893" s="123"/>
      <c r="WBJ893" s="123"/>
      <c r="WBK893" s="123"/>
      <c r="WBL893" s="123"/>
      <c r="WBM893" s="123"/>
      <c r="WBN893" s="123"/>
      <c r="WBO893" s="123"/>
      <c r="WBP893" s="123"/>
      <c r="WBQ893" s="123"/>
      <c r="WBR893" s="123"/>
      <c r="WBS893" s="123"/>
      <c r="WBT893" s="123"/>
      <c r="WBU893" s="123"/>
      <c r="WBV893" s="123"/>
      <c r="WBW893" s="123"/>
      <c r="WBX893" s="123"/>
      <c r="WBY893" s="123"/>
      <c r="WBZ893" s="123"/>
      <c r="WCA893" s="123"/>
      <c r="WCB893" s="123"/>
      <c r="WCC893" s="123"/>
      <c r="WCD893" s="123"/>
      <c r="WCE893" s="123"/>
      <c r="WCF893" s="123"/>
      <c r="WCG893" s="123"/>
      <c r="WCH893" s="123"/>
      <c r="WCI893" s="123"/>
      <c r="WCJ893" s="123"/>
      <c r="WCK893" s="123"/>
      <c r="WCL893" s="123"/>
      <c r="WCM893" s="123"/>
      <c r="WCN893" s="123"/>
      <c r="WCO893" s="123"/>
      <c r="WCP893" s="123"/>
      <c r="WCQ893" s="123"/>
      <c r="WCR893" s="123"/>
      <c r="WCS893" s="123"/>
      <c r="WCT893" s="123"/>
      <c r="WCU893" s="123"/>
      <c r="WCV893" s="123"/>
      <c r="WCW893" s="123"/>
      <c r="WCX893" s="123"/>
      <c r="WCY893" s="123"/>
      <c r="WCZ893" s="123"/>
      <c r="WDA893" s="123"/>
      <c r="WDB893" s="123"/>
      <c r="WDC893" s="123"/>
      <c r="WDD893" s="123"/>
      <c r="WDE893" s="123"/>
      <c r="WDF893" s="123"/>
      <c r="WDG893" s="123"/>
      <c r="WDH893" s="123"/>
      <c r="WDI893" s="123"/>
      <c r="WDJ893" s="123"/>
      <c r="WDK893" s="123"/>
      <c r="WDL893" s="123"/>
      <c r="WDM893" s="123"/>
      <c r="WDN893" s="123"/>
      <c r="WDO893" s="123"/>
      <c r="WDP893" s="123"/>
      <c r="WDQ893" s="123"/>
      <c r="WDR893" s="123"/>
      <c r="WDS893" s="123"/>
      <c r="WDT893" s="123"/>
      <c r="WDU893" s="123"/>
      <c r="WDV893" s="123"/>
      <c r="WDW893" s="123"/>
      <c r="WDX893" s="123"/>
      <c r="WDY893" s="123"/>
      <c r="WDZ893" s="123"/>
      <c r="WEA893" s="123"/>
      <c r="WEB893" s="123"/>
      <c r="WEC893" s="123"/>
      <c r="WED893" s="123"/>
      <c r="WEE893" s="123"/>
      <c r="WEF893" s="123"/>
      <c r="WEG893" s="123"/>
      <c r="WEH893" s="123"/>
      <c r="WEI893" s="123"/>
      <c r="WEJ893" s="123"/>
      <c r="WEK893" s="123"/>
      <c r="WEL893" s="123"/>
      <c r="WEM893" s="123"/>
      <c r="WEN893" s="123"/>
      <c r="WEO893" s="123"/>
      <c r="WEP893" s="123"/>
      <c r="WEQ893" s="123"/>
      <c r="WER893" s="123"/>
      <c r="WES893" s="123"/>
      <c r="WET893" s="123"/>
      <c r="WEU893" s="123"/>
      <c r="WEV893" s="123"/>
      <c r="WEW893" s="123"/>
      <c r="WEX893" s="123"/>
      <c r="WEY893" s="123"/>
      <c r="WEZ893" s="123"/>
      <c r="WFA893" s="123"/>
      <c r="WFB893" s="123"/>
      <c r="WFC893" s="123"/>
      <c r="WFD893" s="123"/>
      <c r="WFE893" s="123"/>
      <c r="WFF893" s="123"/>
      <c r="WFG893" s="123"/>
      <c r="WFH893" s="123"/>
      <c r="WFI893" s="123"/>
      <c r="WFJ893" s="123"/>
      <c r="WFK893" s="123"/>
      <c r="WFL893" s="123"/>
      <c r="WFM893" s="123"/>
      <c r="WFN893" s="123"/>
      <c r="WFO893" s="123"/>
      <c r="WFP893" s="123"/>
      <c r="WFQ893" s="123"/>
      <c r="WFR893" s="123"/>
      <c r="WFS893" s="123"/>
      <c r="WFT893" s="123"/>
      <c r="WFU893" s="123"/>
      <c r="WFV893" s="123"/>
      <c r="WFW893" s="123"/>
      <c r="WFX893" s="123"/>
      <c r="WFY893" s="123"/>
      <c r="WFZ893" s="123"/>
      <c r="WGA893" s="123"/>
      <c r="WGB893" s="123"/>
      <c r="WGC893" s="123"/>
      <c r="WGD893" s="123"/>
      <c r="WGE893" s="123"/>
      <c r="WGF893" s="123"/>
      <c r="WGG893" s="123"/>
      <c r="WGH893" s="123"/>
      <c r="WGI893" s="123"/>
      <c r="WGJ893" s="123"/>
      <c r="WGK893" s="123"/>
      <c r="WGL893" s="123"/>
      <c r="WGM893" s="123"/>
      <c r="WGN893" s="123"/>
      <c r="WGO893" s="123"/>
      <c r="WGP893" s="123"/>
      <c r="WGQ893" s="123"/>
      <c r="WGR893" s="123"/>
      <c r="WGS893" s="123"/>
      <c r="WGT893" s="123"/>
      <c r="WGU893" s="123"/>
      <c r="WGV893" s="123"/>
      <c r="WGW893" s="123"/>
      <c r="WGX893" s="123"/>
      <c r="WGY893" s="123"/>
      <c r="WGZ893" s="123"/>
      <c r="WHA893" s="123"/>
      <c r="WHB893" s="123"/>
      <c r="WHC893" s="123"/>
      <c r="WHD893" s="123"/>
      <c r="WHE893" s="123"/>
      <c r="WHF893" s="123"/>
      <c r="WHG893" s="123"/>
      <c r="WHH893" s="123"/>
      <c r="WHI893" s="123"/>
      <c r="WHJ893" s="123"/>
      <c r="WHK893" s="123"/>
      <c r="WHL893" s="123"/>
      <c r="WHM893" s="123"/>
      <c r="WHN893" s="123"/>
      <c r="WHO893" s="123"/>
      <c r="WHP893" s="123"/>
      <c r="WHQ893" s="123"/>
      <c r="WHR893" s="123"/>
      <c r="WHS893" s="123"/>
      <c r="WHT893" s="123"/>
      <c r="WHU893" s="123"/>
      <c r="WHV893" s="123"/>
      <c r="WHW893" s="123"/>
      <c r="WHX893" s="123"/>
      <c r="WHY893" s="123"/>
      <c r="WHZ893" s="123"/>
      <c r="WIA893" s="123"/>
      <c r="WIB893" s="123"/>
      <c r="WIC893" s="123"/>
      <c r="WID893" s="123"/>
      <c r="WIE893" s="123"/>
      <c r="WIF893" s="123"/>
      <c r="WIG893" s="123"/>
      <c r="WIH893" s="123"/>
      <c r="WII893" s="123"/>
      <c r="WIJ893" s="123"/>
      <c r="WIK893" s="123"/>
      <c r="WIL893" s="123"/>
      <c r="WIM893" s="123"/>
      <c r="WIN893" s="123"/>
      <c r="WIO893" s="123"/>
      <c r="WIP893" s="123"/>
      <c r="WIQ893" s="123"/>
      <c r="WIR893" s="123"/>
      <c r="WIS893" s="123"/>
      <c r="WIT893" s="123"/>
      <c r="WIU893" s="123"/>
      <c r="WIV893" s="123"/>
      <c r="WIW893" s="123"/>
      <c r="WIX893" s="123"/>
      <c r="WIY893" s="123"/>
      <c r="WIZ893" s="123"/>
      <c r="WJA893" s="123"/>
      <c r="WJB893" s="123"/>
      <c r="WJC893" s="123"/>
      <c r="WJD893" s="123"/>
      <c r="WJE893" s="123"/>
      <c r="WJF893" s="123"/>
      <c r="WJG893" s="123"/>
      <c r="WJH893" s="123"/>
      <c r="WJI893" s="123"/>
      <c r="WJJ893" s="123"/>
      <c r="WJK893" s="123"/>
      <c r="WJL893" s="123"/>
      <c r="WJM893" s="123"/>
      <c r="WJN893" s="123"/>
      <c r="WJO893" s="123"/>
      <c r="WJP893" s="123"/>
      <c r="WJQ893" s="123"/>
      <c r="WJR893" s="123"/>
      <c r="WJS893" s="123"/>
      <c r="WJT893" s="123"/>
      <c r="WJU893" s="123"/>
      <c r="WJV893" s="123"/>
      <c r="WJW893" s="123"/>
      <c r="WJX893" s="123"/>
      <c r="WJY893" s="123"/>
      <c r="WJZ893" s="123"/>
      <c r="WKA893" s="123"/>
      <c r="WKB893" s="123"/>
      <c r="WKC893" s="123"/>
      <c r="WKD893" s="123"/>
      <c r="WKE893" s="123"/>
      <c r="WKF893" s="123"/>
      <c r="WKG893" s="123"/>
      <c r="WKH893" s="123"/>
      <c r="WKI893" s="123"/>
      <c r="WKJ893" s="123"/>
      <c r="WKK893" s="123"/>
      <c r="WKL893" s="123"/>
      <c r="WKM893" s="123"/>
      <c r="WKN893" s="123"/>
      <c r="WKO893" s="123"/>
      <c r="WKP893" s="123"/>
      <c r="WKQ893" s="123"/>
      <c r="WKR893" s="123"/>
      <c r="WKS893" s="123"/>
      <c r="WKT893" s="123"/>
      <c r="WKU893" s="123"/>
      <c r="WKV893" s="123"/>
      <c r="WKW893" s="123"/>
      <c r="WKX893" s="123"/>
      <c r="WKY893" s="123"/>
      <c r="WKZ893" s="123"/>
      <c r="WLA893" s="123"/>
      <c r="WLB893" s="123"/>
      <c r="WLC893" s="123"/>
      <c r="WLD893" s="123"/>
      <c r="WLE893" s="123"/>
      <c r="WLF893" s="123"/>
      <c r="WLG893" s="123"/>
      <c r="WLH893" s="123"/>
      <c r="WLI893" s="123"/>
      <c r="WLJ893" s="123"/>
      <c r="WLK893" s="123"/>
      <c r="WLL893" s="123"/>
      <c r="WLM893" s="123"/>
      <c r="WLN893" s="123"/>
      <c r="WLO893" s="123"/>
      <c r="WLP893" s="123"/>
      <c r="WLQ893" s="123"/>
      <c r="WLR893" s="123"/>
      <c r="WLS893" s="123"/>
      <c r="WLT893" s="123"/>
      <c r="WLU893" s="123"/>
      <c r="WLV893" s="123"/>
      <c r="WLW893" s="123"/>
      <c r="WLX893" s="123"/>
      <c r="WLY893" s="123"/>
      <c r="WLZ893" s="123"/>
      <c r="WMA893" s="123"/>
      <c r="WMB893" s="123"/>
      <c r="WMC893" s="123"/>
      <c r="WMD893" s="123"/>
      <c r="WME893" s="123"/>
      <c r="WMF893" s="123"/>
      <c r="WMG893" s="123"/>
      <c r="WMH893" s="123"/>
      <c r="WMI893" s="123"/>
      <c r="WMJ893" s="123"/>
      <c r="WMK893" s="123"/>
      <c r="WML893" s="123"/>
      <c r="WMM893" s="123"/>
      <c r="WMN893" s="123"/>
      <c r="WMO893" s="123"/>
      <c r="WMP893" s="123"/>
      <c r="WMQ893" s="123"/>
      <c r="WMR893" s="123"/>
      <c r="WMS893" s="123"/>
      <c r="WMT893" s="123"/>
      <c r="WMU893" s="123"/>
      <c r="WMV893" s="123"/>
      <c r="WMW893" s="123"/>
      <c r="WMX893" s="123"/>
      <c r="WMY893" s="123"/>
      <c r="WMZ893" s="123"/>
      <c r="WNA893" s="123"/>
      <c r="WNB893" s="123"/>
      <c r="WNC893" s="123"/>
      <c r="WND893" s="123"/>
      <c r="WNE893" s="123"/>
      <c r="WNF893" s="123"/>
      <c r="WNG893" s="123"/>
      <c r="WNH893" s="123"/>
      <c r="WNI893" s="123"/>
      <c r="WNJ893" s="123"/>
      <c r="WNK893" s="123"/>
      <c r="WNL893" s="123"/>
      <c r="WNM893" s="123"/>
      <c r="WNN893" s="123"/>
      <c r="WNO893" s="123"/>
      <c r="WNP893" s="123"/>
      <c r="WNQ893" s="123"/>
      <c r="WNR893" s="123"/>
      <c r="WNS893" s="123"/>
      <c r="WNT893" s="123"/>
      <c r="WNU893" s="123"/>
      <c r="WNV893" s="123"/>
      <c r="WNW893" s="123"/>
      <c r="WNX893" s="123"/>
      <c r="WNY893" s="123"/>
      <c r="WNZ893" s="123"/>
      <c r="WOA893" s="123"/>
      <c r="WOB893" s="123"/>
      <c r="WOC893" s="123"/>
      <c r="WOD893" s="123"/>
      <c r="WOE893" s="123"/>
      <c r="WOF893" s="123"/>
      <c r="WOG893" s="123"/>
      <c r="WOH893" s="123"/>
      <c r="WOI893" s="123"/>
      <c r="WOJ893" s="123"/>
      <c r="WOK893" s="123"/>
      <c r="WOL893" s="123"/>
      <c r="WOM893" s="123"/>
      <c r="WON893" s="123"/>
      <c r="WOO893" s="123"/>
      <c r="WOP893" s="123"/>
      <c r="WOQ893" s="123"/>
      <c r="WOR893" s="123"/>
      <c r="WOS893" s="123"/>
      <c r="WOT893" s="123"/>
      <c r="WOU893" s="123"/>
      <c r="WOV893" s="123"/>
      <c r="WOW893" s="123"/>
      <c r="WOX893" s="123"/>
      <c r="WOY893" s="123"/>
      <c r="WOZ893" s="123"/>
      <c r="WPA893" s="123"/>
      <c r="WPB893" s="123"/>
      <c r="WPC893" s="123"/>
      <c r="WPD893" s="123"/>
      <c r="WPE893" s="123"/>
      <c r="WPF893" s="123"/>
      <c r="WPG893" s="123"/>
      <c r="WPH893" s="123"/>
      <c r="WPI893" s="123"/>
      <c r="WPJ893" s="123"/>
      <c r="WPK893" s="123"/>
      <c r="WPL893" s="123"/>
      <c r="WPM893" s="123"/>
      <c r="WPN893" s="123"/>
      <c r="WPO893" s="123"/>
      <c r="WPP893" s="123"/>
      <c r="WPQ893" s="123"/>
      <c r="WPR893" s="123"/>
      <c r="WPS893" s="123"/>
      <c r="WPT893" s="123"/>
      <c r="WPU893" s="123"/>
      <c r="WPV893" s="123"/>
      <c r="WPW893" s="123"/>
      <c r="WPX893" s="123"/>
      <c r="WPY893" s="123"/>
      <c r="WPZ893" s="123"/>
      <c r="WQA893" s="123"/>
      <c r="WQB893" s="123"/>
      <c r="WQC893" s="123"/>
      <c r="WQD893" s="123"/>
      <c r="WQE893" s="123"/>
      <c r="WQF893" s="123"/>
      <c r="WQG893" s="123"/>
      <c r="WQH893" s="123"/>
      <c r="WQI893" s="123"/>
      <c r="WQJ893" s="123"/>
      <c r="WQK893" s="123"/>
      <c r="WQL893" s="123"/>
      <c r="WQM893" s="123"/>
      <c r="WQN893" s="123"/>
      <c r="WQO893" s="123"/>
      <c r="WQP893" s="123"/>
      <c r="WQQ893" s="123"/>
      <c r="WQR893" s="123"/>
      <c r="WQS893" s="123"/>
      <c r="WQT893" s="123"/>
      <c r="WQU893" s="123"/>
      <c r="WQV893" s="123"/>
      <c r="WQW893" s="123"/>
      <c r="WQX893" s="123"/>
      <c r="WQY893" s="123"/>
      <c r="WQZ893" s="123"/>
      <c r="WRA893" s="123"/>
      <c r="WRB893" s="123"/>
      <c r="WRC893" s="123"/>
      <c r="WRD893" s="123"/>
      <c r="WRE893" s="123"/>
      <c r="WRF893" s="123"/>
      <c r="WRG893" s="123"/>
      <c r="WRH893" s="123"/>
      <c r="WRI893" s="123"/>
      <c r="WRJ893" s="123"/>
      <c r="WRK893" s="123"/>
      <c r="WRL893" s="123"/>
      <c r="WRM893" s="123"/>
      <c r="WRN893" s="123"/>
      <c r="WRO893" s="123"/>
      <c r="WRP893" s="123"/>
      <c r="WRQ893" s="123"/>
      <c r="WRR893" s="123"/>
      <c r="WRS893" s="123"/>
      <c r="WRT893" s="123"/>
      <c r="WRU893" s="123"/>
      <c r="WRV893" s="123"/>
      <c r="WRW893" s="123"/>
      <c r="WRX893" s="123"/>
      <c r="WRY893" s="123"/>
      <c r="WRZ893" s="123"/>
      <c r="WSA893" s="123"/>
      <c r="WSB893" s="123"/>
      <c r="WSC893" s="123"/>
      <c r="WSD893" s="123"/>
      <c r="WSE893" s="123"/>
      <c r="WSF893" s="123"/>
      <c r="WSG893" s="123"/>
      <c r="WSH893" s="123"/>
      <c r="WSI893" s="123"/>
      <c r="WSJ893" s="123"/>
      <c r="WSK893" s="123"/>
      <c r="WSL893" s="123"/>
      <c r="WSM893" s="123"/>
      <c r="WSN893" s="123"/>
      <c r="WSO893" s="123"/>
      <c r="WSP893" s="123"/>
      <c r="WSQ893" s="123"/>
      <c r="WSR893" s="123"/>
      <c r="WSS893" s="123"/>
      <c r="WST893" s="123"/>
      <c r="WSU893" s="123"/>
      <c r="WSV893" s="123"/>
      <c r="WSW893" s="123"/>
      <c r="WSX893" s="123"/>
      <c r="WSY893" s="123"/>
      <c r="WSZ893" s="123"/>
      <c r="WTA893" s="123"/>
      <c r="WTB893" s="123"/>
      <c r="WTC893" s="123"/>
      <c r="WTD893" s="123"/>
      <c r="WTE893" s="123"/>
      <c r="WTF893" s="123"/>
      <c r="WTG893" s="123"/>
      <c r="WTH893" s="123"/>
      <c r="WTI893" s="123"/>
      <c r="WTJ893" s="123"/>
      <c r="WTK893" s="123"/>
      <c r="WTL893" s="123"/>
      <c r="WTM893" s="123"/>
      <c r="WTN893" s="123"/>
      <c r="WTO893" s="123"/>
      <c r="WTP893" s="123"/>
      <c r="WTQ893" s="123"/>
      <c r="WTR893" s="123"/>
      <c r="WTS893" s="123"/>
      <c r="WTT893" s="123"/>
      <c r="WTU893" s="123"/>
      <c r="WTV893" s="123"/>
      <c r="WTW893" s="123"/>
      <c r="WTX893" s="123"/>
      <c r="WTY893" s="123"/>
      <c r="WTZ893" s="123"/>
      <c r="WUA893" s="123"/>
      <c r="WUB893" s="123"/>
      <c r="WUC893" s="123"/>
      <c r="WUD893" s="123"/>
      <c r="WUE893" s="123"/>
      <c r="WUF893" s="123"/>
      <c r="WUG893" s="123"/>
      <c r="WUH893" s="123"/>
      <c r="WUI893" s="123"/>
      <c r="WUJ893" s="123"/>
      <c r="WUK893" s="123"/>
      <c r="WUL893" s="123"/>
      <c r="WUM893" s="123"/>
      <c r="WUN893" s="123"/>
      <c r="WUO893" s="123"/>
      <c r="WUP893" s="123"/>
      <c r="WUQ893" s="123"/>
      <c r="WUR893" s="123"/>
      <c r="WUS893" s="123"/>
      <c r="WUT893" s="123"/>
      <c r="WUU893" s="123"/>
      <c r="WUV893" s="123"/>
      <c r="WUW893" s="123"/>
      <c r="WUX893" s="123"/>
      <c r="WUY893" s="123"/>
      <c r="WUZ893" s="123"/>
      <c r="WVA893" s="123"/>
      <c r="WVB893" s="123"/>
      <c r="WVC893" s="123"/>
      <c r="WVD893" s="123"/>
      <c r="WVE893" s="123"/>
      <c r="WVF893" s="123"/>
      <c r="WVG893" s="123"/>
      <c r="WVH893" s="123"/>
      <c r="WVI893" s="123"/>
      <c r="WVJ893" s="123"/>
      <c r="WVK893" s="123"/>
      <c r="WVL893" s="123"/>
      <c r="WVM893" s="123"/>
      <c r="WVN893" s="123"/>
      <c r="WVO893" s="123"/>
      <c r="WVP893" s="123"/>
      <c r="WVQ893" s="123"/>
      <c r="WVR893" s="123"/>
      <c r="WVS893" s="123"/>
      <c r="WVT893" s="123"/>
      <c r="WVU893" s="123"/>
      <c r="WVV893" s="123"/>
      <c r="WVW893" s="123"/>
      <c r="WVX893" s="123"/>
      <c r="WVY893" s="123"/>
      <c r="WVZ893" s="123"/>
      <c r="WWA893" s="123"/>
      <c r="WWB893" s="123"/>
      <c r="WWC893" s="123"/>
      <c r="WWD893" s="123"/>
      <c r="WWE893" s="123"/>
      <c r="WWF893" s="123"/>
      <c r="WWG893" s="123"/>
      <c r="WWH893" s="123"/>
      <c r="WWI893" s="123"/>
      <c r="WWJ893" s="123"/>
      <c r="WWK893" s="123"/>
      <c r="WWL893" s="123"/>
      <c r="WWM893" s="123"/>
      <c r="WWN893" s="123"/>
      <c r="WWO893" s="123"/>
      <c r="WWP893" s="123"/>
      <c r="WWQ893" s="123"/>
      <c r="WWR893" s="123"/>
      <c r="WWS893" s="123"/>
      <c r="WWT893" s="123"/>
      <c r="WWU893" s="123"/>
      <c r="WWV893" s="123"/>
      <c r="WWW893" s="123"/>
      <c r="WWX893" s="123"/>
      <c r="WWY893" s="123"/>
      <c r="WWZ893" s="123"/>
      <c r="WXA893" s="123"/>
      <c r="WXB893" s="123"/>
      <c r="WXC893" s="123"/>
      <c r="WXD893" s="123"/>
      <c r="WXE893" s="123"/>
      <c r="WXF893" s="123"/>
      <c r="WXG893" s="123"/>
      <c r="WXH893" s="123"/>
      <c r="WXI893" s="123"/>
      <c r="WXJ893" s="123"/>
      <c r="WXK893" s="123"/>
      <c r="WXL893" s="123"/>
      <c r="WXM893" s="123"/>
      <c r="WXN893" s="123"/>
      <c r="WXO893" s="123"/>
      <c r="WXP893" s="123"/>
      <c r="WXQ893" s="123"/>
      <c r="WXR893" s="123"/>
      <c r="WXS893" s="123"/>
      <c r="WXT893" s="123"/>
      <c r="WXU893" s="123"/>
      <c r="WXV893" s="123"/>
      <c r="WXW893" s="123"/>
      <c r="WXX893" s="123"/>
      <c r="WXY893" s="123"/>
      <c r="WXZ893" s="123"/>
      <c r="WYA893" s="123"/>
      <c r="WYB893" s="123"/>
      <c r="WYC893" s="123"/>
      <c r="WYD893" s="123"/>
      <c r="WYE893" s="123"/>
      <c r="WYF893" s="123"/>
      <c r="WYG893" s="123"/>
      <c r="WYH893" s="123"/>
      <c r="WYI893" s="123"/>
      <c r="WYJ893" s="123"/>
      <c r="WYK893" s="123"/>
      <c r="WYL893" s="123"/>
      <c r="WYM893" s="123"/>
      <c r="WYN893" s="123"/>
      <c r="WYO893" s="123"/>
      <c r="WYP893" s="123"/>
      <c r="WYQ893" s="123"/>
      <c r="WYR893" s="123"/>
      <c r="WYS893" s="123"/>
      <c r="WYT893" s="123"/>
      <c r="WYU893" s="123"/>
      <c r="WYV893" s="123"/>
      <c r="WYW893" s="123"/>
      <c r="WYX893" s="123"/>
      <c r="WYY893" s="123"/>
      <c r="WYZ893" s="123"/>
      <c r="WZA893" s="123"/>
      <c r="WZB893" s="123"/>
      <c r="WZC893" s="123"/>
      <c r="WZD893" s="123"/>
      <c r="WZE893" s="123"/>
      <c r="WZF893" s="123"/>
      <c r="WZG893" s="123"/>
      <c r="WZH893" s="123"/>
      <c r="WZI893" s="123"/>
      <c r="WZJ893" s="123"/>
      <c r="WZK893" s="123"/>
      <c r="WZL893" s="123"/>
      <c r="WZM893" s="123"/>
      <c r="WZN893" s="123"/>
      <c r="WZO893" s="123"/>
      <c r="WZP893" s="123"/>
      <c r="WZQ893" s="123"/>
      <c r="WZR893" s="123"/>
      <c r="WZS893" s="123"/>
      <c r="WZT893" s="123"/>
      <c r="WZU893" s="123"/>
      <c r="WZV893" s="123"/>
      <c r="WZW893" s="123"/>
      <c r="WZX893" s="123"/>
      <c r="WZY893" s="123"/>
      <c r="WZZ893" s="123"/>
      <c r="XAA893" s="123"/>
      <c r="XAB893" s="123"/>
      <c r="XAC893" s="123"/>
      <c r="XAD893" s="123"/>
      <c r="XAE893" s="123"/>
      <c r="XAF893" s="123"/>
      <c r="XAG893" s="123"/>
      <c r="XAH893" s="123"/>
      <c r="XAI893" s="123"/>
      <c r="XAJ893" s="123"/>
      <c r="XAK893" s="123"/>
      <c r="XAL893" s="123"/>
      <c r="XAM893" s="123"/>
      <c r="XAN893" s="123"/>
      <c r="XAO893" s="123"/>
      <c r="XAP893" s="123"/>
      <c r="XAQ893" s="123"/>
      <c r="XAR893" s="123"/>
      <c r="XAS893" s="123"/>
      <c r="XAT893" s="123"/>
      <c r="XAU893" s="123"/>
      <c r="XAV893" s="123"/>
      <c r="XAW893" s="123"/>
      <c r="XAX893" s="123"/>
      <c r="XAY893" s="123"/>
      <c r="XAZ893" s="123"/>
      <c r="XBA893" s="123"/>
      <c r="XBB893" s="123"/>
      <c r="XBC893" s="123"/>
      <c r="XBD893" s="123"/>
      <c r="XBE893" s="123"/>
      <c r="XBF893" s="123"/>
      <c r="XBG893" s="123"/>
      <c r="XBH893" s="123"/>
      <c r="XBI893" s="123"/>
      <c r="XBJ893" s="123"/>
      <c r="XBK893" s="123"/>
      <c r="XBL893" s="123"/>
      <c r="XBM893" s="123"/>
      <c r="XBN893" s="123"/>
      <c r="XBO893" s="123"/>
      <c r="XBP893" s="123"/>
      <c r="XBQ893" s="123"/>
      <c r="XBR893" s="123"/>
      <c r="XBS893" s="123"/>
      <c r="XBT893" s="123"/>
      <c r="XBU893" s="123"/>
      <c r="XBV893" s="123"/>
      <c r="XBW893" s="123"/>
      <c r="XBX893" s="123"/>
      <c r="XBY893" s="123"/>
      <c r="XBZ893" s="123"/>
      <c r="XCA893" s="123"/>
      <c r="XCB893" s="123"/>
      <c r="XCC893" s="123"/>
      <c r="XCD893" s="123"/>
      <c r="XCE893" s="123"/>
      <c r="XCF893" s="123"/>
      <c r="XCG893" s="123"/>
      <c r="XCH893" s="123"/>
      <c r="XCI893" s="123"/>
      <c r="XCJ893" s="123"/>
      <c r="XCK893" s="123"/>
      <c r="XCL893" s="123"/>
      <c r="XCM893" s="123"/>
      <c r="XCN893" s="123"/>
      <c r="XCO893" s="123"/>
      <c r="XCP893" s="123"/>
      <c r="XCQ893" s="123"/>
      <c r="XCR893" s="123"/>
      <c r="XCS893" s="123"/>
      <c r="XCT893" s="123"/>
      <c r="XCU893" s="123"/>
      <c r="XCV893" s="123"/>
      <c r="XCW893" s="123"/>
      <c r="XCX893" s="123"/>
      <c r="XCY893" s="123"/>
      <c r="XCZ893" s="123"/>
      <c r="XDA893" s="123"/>
      <c r="XDB893" s="123"/>
      <c r="XDC893" s="123"/>
      <c r="XDD893" s="123"/>
      <c r="XDE893" s="123"/>
      <c r="XDF893" s="123"/>
      <c r="XDG893" s="123"/>
      <c r="XDH893" s="123"/>
      <c r="XDI893" s="123"/>
      <c r="XDJ893" s="123"/>
      <c r="XDK893" s="123"/>
      <c r="XDL893" s="123"/>
      <c r="XDM893" s="123"/>
      <c r="XDN893" s="123"/>
      <c r="XDO893" s="123"/>
      <c r="XDP893" s="123"/>
      <c r="XDQ893" s="123"/>
      <c r="XDR893" s="123"/>
      <c r="XDS893" s="123"/>
      <c r="XDT893" s="123"/>
      <c r="XDU893" s="123"/>
      <c r="XDV893" s="123"/>
      <c r="XDW893" s="123"/>
      <c r="XDX893" s="123"/>
      <c r="XDY893" s="123"/>
      <c r="XDZ893" s="123"/>
      <c r="XEA893" s="123"/>
      <c r="XEB893" s="123"/>
      <c r="XEC893" s="123"/>
      <c r="XED893" s="123"/>
      <c r="XEE893" s="123"/>
      <c r="XEF893" s="123"/>
      <c r="XEG893" s="123"/>
      <c r="XEH893" s="123"/>
      <c r="XEI893" s="123"/>
      <c r="XEJ893" s="123"/>
      <c r="XEK893" s="123"/>
      <c r="XEL893" s="123"/>
      <c r="XEM893" s="123"/>
      <c r="XEN893" s="123"/>
      <c r="XEO893" s="123"/>
      <c r="XEP893" s="123"/>
      <c r="XEQ893" s="123"/>
      <c r="XER893" s="123"/>
      <c r="XES893" s="123"/>
      <c r="XET893" s="123"/>
      <c r="XEU893" s="123"/>
      <c r="XEV893" s="123"/>
      <c r="XEW893" s="123"/>
      <c r="XEX893" s="123"/>
      <c r="XEY893" s="123"/>
      <c r="XEZ893" s="123"/>
      <c r="XFA893" s="123"/>
      <c r="XFB893" s="123"/>
      <c r="XFC893" s="123"/>
    </row>
    <row r="895" spans="1:16383">
      <c r="B895">
        <v>1</v>
      </c>
      <c r="D895" s="127">
        <f t="shared" ref="D895:D958" si="21">F18*INDEX($E$810:$CG$890,E18-1945,G18-1945)</f>
        <v>65971.540357294682</v>
      </c>
      <c r="E895" s="126">
        <f t="shared" ref="E895:E958" si="22">G18</f>
        <v>2020</v>
      </c>
      <c r="F895" s="125">
        <f>_xlfn.XLOOKUP(D18,'3. Input (des)investeringen '!$B$11:$B$89,'3. Input (des)investeringen '!$E$11:$E$89)</f>
        <v>1</v>
      </c>
    </row>
    <row r="896" spans="1:16383">
      <c r="B896">
        <v>2</v>
      </c>
      <c r="D896" s="127">
        <f t="shared" si="21"/>
        <v>10418.237040788192</v>
      </c>
      <c r="E896" s="126">
        <f t="shared" si="22"/>
        <v>2020</v>
      </c>
      <c r="F896" s="125">
        <f>_xlfn.XLOOKUP(D19,'3. Input (des)investeringen '!$B$11:$B$89,'3. Input (des)investeringen '!$E$11:$E$89)</f>
        <v>1</v>
      </c>
    </row>
    <row r="897" spans="2:6">
      <c r="B897">
        <v>3</v>
      </c>
      <c r="D897" s="127">
        <f t="shared" si="21"/>
        <v>854933.1294840395</v>
      </c>
      <c r="E897" s="126">
        <f t="shared" si="22"/>
        <v>2020</v>
      </c>
      <c r="F897" s="125">
        <f>_xlfn.XLOOKUP(D20,'3. Input (des)investeringen '!$B$11:$B$89,'3. Input (des)investeringen '!$E$11:$E$89)</f>
        <v>1</v>
      </c>
    </row>
    <row r="898" spans="2:6">
      <c r="B898">
        <v>4</v>
      </c>
      <c r="D898" s="127">
        <f t="shared" si="21"/>
        <v>11347.896858824235</v>
      </c>
      <c r="E898" s="126">
        <f t="shared" si="22"/>
        <v>2020</v>
      </c>
      <c r="F898" s="125">
        <f>_xlfn.XLOOKUP(D21,'3. Input (des)investeringen '!$B$11:$B$89,'3. Input (des)investeringen '!$E$11:$E$89)</f>
        <v>1</v>
      </c>
    </row>
    <row r="899" spans="2:6">
      <c r="B899">
        <v>5</v>
      </c>
      <c r="D899" s="127">
        <f t="shared" si="21"/>
        <v>3517510.3440651735</v>
      </c>
      <c r="E899" s="126">
        <f t="shared" si="22"/>
        <v>2020</v>
      </c>
      <c r="F899" s="125">
        <f>_xlfn.XLOOKUP(D22,'3. Input (des)investeringen '!$B$11:$B$89,'3. Input (des)investeringen '!$E$11:$E$89)</f>
        <v>1</v>
      </c>
    </row>
    <row r="900" spans="2:6">
      <c r="B900">
        <v>6</v>
      </c>
      <c r="D900" s="127">
        <f t="shared" si="21"/>
        <v>36014.029146678571</v>
      </c>
      <c r="E900" s="126">
        <f t="shared" si="22"/>
        <v>2020</v>
      </c>
      <c r="F900" s="125">
        <f>_xlfn.XLOOKUP(D23,'3. Input (des)investeringen '!$B$11:$B$89,'3. Input (des)investeringen '!$E$11:$E$89)</f>
        <v>1</v>
      </c>
    </row>
    <row r="901" spans="2:6">
      <c r="B901">
        <v>7</v>
      </c>
      <c r="D901" s="127">
        <f t="shared" si="21"/>
        <v>2030273.1982919059</v>
      </c>
      <c r="E901" s="126">
        <f t="shared" si="22"/>
        <v>2020</v>
      </c>
      <c r="F901" s="125">
        <f>_xlfn.XLOOKUP(D24,'3. Input (des)investeringen '!$B$11:$B$89,'3. Input (des)investeringen '!$E$11:$E$89)</f>
        <v>1</v>
      </c>
    </row>
    <row r="902" spans="2:6">
      <c r="B902">
        <v>8</v>
      </c>
      <c r="D902" s="127">
        <f t="shared" si="21"/>
        <v>2626856.2307547103</v>
      </c>
      <c r="E902" s="126">
        <f t="shared" si="22"/>
        <v>2020</v>
      </c>
      <c r="F902" s="125">
        <f>_xlfn.XLOOKUP(D25,'3. Input (des)investeringen '!$B$11:$B$89,'3. Input (des)investeringen '!$E$11:$E$89)</f>
        <v>1</v>
      </c>
    </row>
    <row r="903" spans="2:6">
      <c r="B903">
        <v>9</v>
      </c>
      <c r="D903" s="127">
        <f t="shared" si="21"/>
        <v>2999487.0331639843</v>
      </c>
      <c r="E903" s="126">
        <f t="shared" si="22"/>
        <v>2020</v>
      </c>
      <c r="F903" s="125">
        <f>_xlfn.XLOOKUP(D26,'3. Input (des)investeringen '!$B$11:$B$89,'3. Input (des)investeringen '!$E$11:$E$89)</f>
        <v>1</v>
      </c>
    </row>
    <row r="904" spans="2:6">
      <c r="B904">
        <v>10</v>
      </c>
      <c r="D904" s="127">
        <f t="shared" si="21"/>
        <v>1330117.5926660511</v>
      </c>
      <c r="E904" s="126">
        <f t="shared" si="22"/>
        <v>2020</v>
      </c>
      <c r="F904" s="125">
        <f>_xlfn.XLOOKUP(D27,'3. Input (des)investeringen '!$B$11:$B$89,'3. Input (des)investeringen '!$E$11:$E$89)</f>
        <v>1</v>
      </c>
    </row>
    <row r="905" spans="2:6">
      <c r="B905">
        <v>11</v>
      </c>
      <c r="D905" s="127">
        <f t="shared" si="21"/>
        <v>831794.93402741617</v>
      </c>
      <c r="E905" s="126">
        <f t="shared" si="22"/>
        <v>2020</v>
      </c>
      <c r="F905" s="125">
        <f>_xlfn.XLOOKUP(D28,'3. Input (des)investeringen '!$B$11:$B$89,'3. Input (des)investeringen '!$E$11:$E$89)</f>
        <v>1</v>
      </c>
    </row>
    <row r="906" spans="2:6">
      <c r="B906">
        <v>12</v>
      </c>
      <c r="D906" s="127">
        <f t="shared" si="21"/>
        <v>922617.58994232956</v>
      </c>
      <c r="E906" s="126">
        <f t="shared" si="22"/>
        <v>2020</v>
      </c>
      <c r="F906" s="125">
        <f>_xlfn.XLOOKUP(D29,'3. Input (des)investeringen '!$B$11:$B$89,'3. Input (des)investeringen '!$E$11:$E$89)</f>
        <v>1</v>
      </c>
    </row>
    <row r="907" spans="2:6">
      <c r="B907">
        <v>13</v>
      </c>
      <c r="D907" s="127">
        <f t="shared" si="21"/>
        <v>760674.32352435426</v>
      </c>
      <c r="E907" s="126">
        <f t="shared" si="22"/>
        <v>2020</v>
      </c>
      <c r="F907" s="125">
        <f>_xlfn.XLOOKUP(D30,'3. Input (des)investeringen '!$B$11:$B$89,'3. Input (des)investeringen '!$E$11:$E$89)</f>
        <v>1</v>
      </c>
    </row>
    <row r="908" spans="2:6">
      <c r="B908">
        <v>14</v>
      </c>
      <c r="D908" s="127">
        <f t="shared" si="21"/>
        <v>1809144.9262669957</v>
      </c>
      <c r="E908" s="126">
        <f t="shared" si="22"/>
        <v>2020</v>
      </c>
      <c r="F908" s="125">
        <f>_xlfn.XLOOKUP(D31,'3. Input (des)investeringen '!$B$11:$B$89,'3. Input (des)investeringen '!$E$11:$E$89)</f>
        <v>1</v>
      </c>
    </row>
    <row r="909" spans="2:6">
      <c r="B909">
        <v>15</v>
      </c>
      <c r="D909" s="127">
        <f t="shared" si="21"/>
        <v>810767.9596087964</v>
      </c>
      <c r="E909" s="126">
        <f t="shared" si="22"/>
        <v>2020</v>
      </c>
      <c r="F909" s="125">
        <f>_xlfn.XLOOKUP(D32,'3. Input (des)investeringen '!$B$11:$B$89,'3. Input (des)investeringen '!$E$11:$E$89)</f>
        <v>1</v>
      </c>
    </row>
    <row r="910" spans="2:6">
      <c r="B910">
        <v>16</v>
      </c>
      <c r="D910" s="127">
        <f t="shared" si="21"/>
        <v>171552.72165034333</v>
      </c>
      <c r="E910" s="126">
        <f t="shared" si="22"/>
        <v>2020</v>
      </c>
      <c r="F910" s="125">
        <f>_xlfn.XLOOKUP(D33,'3. Input (des)investeringen '!$B$11:$B$89,'3. Input (des)investeringen '!$E$11:$E$89)</f>
        <v>1</v>
      </c>
    </row>
    <row r="911" spans="2:6">
      <c r="B911">
        <v>17</v>
      </c>
      <c r="D911" s="127">
        <f t="shared" si="21"/>
        <v>91246.024644601261</v>
      </c>
      <c r="E911" s="126">
        <f t="shared" si="22"/>
        <v>2020</v>
      </c>
      <c r="F911" s="125">
        <f>_xlfn.XLOOKUP(D34,'3. Input (des)investeringen '!$B$11:$B$89,'3. Input (des)investeringen '!$E$11:$E$89)</f>
        <v>1</v>
      </c>
    </row>
    <row r="912" spans="2:6">
      <c r="B912">
        <v>18</v>
      </c>
      <c r="D912" s="127">
        <f t="shared" si="21"/>
        <v>340746.27672134229</v>
      </c>
      <c r="E912" s="126">
        <f t="shared" si="22"/>
        <v>2020</v>
      </c>
      <c r="F912" s="125">
        <f>_xlfn.XLOOKUP(D35,'3. Input (des)investeringen '!$B$11:$B$89,'3. Input (des)investeringen '!$E$11:$E$89)</f>
        <v>1</v>
      </c>
    </row>
    <row r="913" spans="2:6">
      <c r="B913">
        <v>19</v>
      </c>
      <c r="D913" s="127">
        <f t="shared" si="21"/>
        <v>114290.70854834077</v>
      </c>
      <c r="E913" s="126">
        <f t="shared" si="22"/>
        <v>2020</v>
      </c>
      <c r="F913" s="125">
        <f>_xlfn.XLOOKUP(D36,'3. Input (des)investeringen '!$B$11:$B$89,'3. Input (des)investeringen '!$E$11:$E$89)</f>
        <v>1</v>
      </c>
    </row>
    <row r="914" spans="2:6">
      <c r="B914">
        <v>20</v>
      </c>
      <c r="D914" s="127">
        <f t="shared" si="21"/>
        <v>257687.63762762956</v>
      </c>
      <c r="E914" s="126">
        <f t="shared" si="22"/>
        <v>2020</v>
      </c>
      <c r="F914" s="125">
        <f>_xlfn.XLOOKUP(D37,'3. Input (des)investeringen '!$B$11:$B$89,'3. Input (des)investeringen '!$E$11:$E$89)</f>
        <v>1</v>
      </c>
    </row>
    <row r="915" spans="2:6">
      <c r="B915">
        <v>21</v>
      </c>
      <c r="D915" s="127">
        <f t="shared" si="21"/>
        <v>3164.8772080974418</v>
      </c>
      <c r="E915" s="126">
        <f t="shared" si="22"/>
        <v>2020</v>
      </c>
      <c r="F915" s="125">
        <f>_xlfn.XLOOKUP(D38,'3. Input (des)investeringen '!$B$11:$B$89,'3. Input (des)investeringen '!$E$11:$E$89)</f>
        <v>1</v>
      </c>
    </row>
    <row r="916" spans="2:6">
      <c r="B916">
        <v>22</v>
      </c>
      <c r="D916" s="127">
        <f t="shared" si="21"/>
        <v>68190.529569318343</v>
      </c>
      <c r="E916" s="126">
        <f t="shared" si="22"/>
        <v>2020</v>
      </c>
      <c r="F916" s="125">
        <f>_xlfn.XLOOKUP(D39,'3. Input (des)investeringen '!$B$11:$B$89,'3. Input (des)investeringen '!$E$11:$E$89)</f>
        <v>1</v>
      </c>
    </row>
    <row r="917" spans="2:6">
      <c r="B917">
        <v>23</v>
      </c>
      <c r="D917" s="127">
        <f t="shared" si="21"/>
        <v>9161.1991360213215</v>
      </c>
      <c r="E917" s="126">
        <f t="shared" si="22"/>
        <v>2020</v>
      </c>
      <c r="F917" s="125">
        <f>_xlfn.XLOOKUP(D40,'3. Input (des)investeringen '!$B$11:$B$89,'3. Input (des)investeringen '!$E$11:$E$89)</f>
        <v>1</v>
      </c>
    </row>
    <row r="918" spans="2:6">
      <c r="B918">
        <v>24</v>
      </c>
      <c r="D918" s="127">
        <f t="shared" si="21"/>
        <v>46805.036504867581</v>
      </c>
      <c r="E918" s="126">
        <f t="shared" si="22"/>
        <v>2020</v>
      </c>
      <c r="F918" s="125">
        <f>_xlfn.XLOOKUP(D41,'3. Input (des)investeringen '!$B$11:$B$89,'3. Input (des)investeringen '!$E$11:$E$89)</f>
        <v>1</v>
      </c>
    </row>
    <row r="919" spans="2:6">
      <c r="B919">
        <v>25</v>
      </c>
      <c r="D919" s="127">
        <f t="shared" si="21"/>
        <v>40084.467968826939</v>
      </c>
      <c r="E919" s="126">
        <f t="shared" si="22"/>
        <v>2020</v>
      </c>
      <c r="F919" s="125">
        <f>_xlfn.XLOOKUP(D42,'3. Input (des)investeringen '!$B$11:$B$89,'3. Input (des)investeringen '!$E$11:$E$89)</f>
        <v>1</v>
      </c>
    </row>
    <row r="920" spans="2:6">
      <c r="B920">
        <v>26</v>
      </c>
      <c r="D920" s="127">
        <f t="shared" si="21"/>
        <v>93182.452122152143</v>
      </c>
      <c r="E920" s="126">
        <f t="shared" si="22"/>
        <v>2020</v>
      </c>
      <c r="F920" s="125">
        <f>_xlfn.XLOOKUP(D43,'3. Input (des)investeringen '!$B$11:$B$89,'3. Input (des)investeringen '!$E$11:$E$89)</f>
        <v>1</v>
      </c>
    </row>
    <row r="921" spans="2:6">
      <c r="B921">
        <v>27</v>
      </c>
      <c r="D921" s="127">
        <f t="shared" si="21"/>
        <v>268344.63701932121</v>
      </c>
      <c r="E921" s="126">
        <f t="shared" si="22"/>
        <v>2020</v>
      </c>
      <c r="F921" s="125">
        <f>_xlfn.XLOOKUP(D44,'3. Input (des)investeringen '!$B$11:$B$89,'3. Input (des)investeringen '!$E$11:$E$89)</f>
        <v>1</v>
      </c>
    </row>
    <row r="922" spans="2:6">
      <c r="B922">
        <v>28</v>
      </c>
      <c r="D922" s="127">
        <f t="shared" si="21"/>
        <v>106238.45888432344</v>
      </c>
      <c r="E922" s="126">
        <f t="shared" si="22"/>
        <v>2020</v>
      </c>
      <c r="F922" s="125">
        <f>_xlfn.XLOOKUP(D45,'3. Input (des)investeringen '!$B$11:$B$89,'3. Input (des)investeringen '!$E$11:$E$89)</f>
        <v>1</v>
      </c>
    </row>
    <row r="923" spans="2:6">
      <c r="B923">
        <v>29</v>
      </c>
      <c r="D923" s="127">
        <f t="shared" si="21"/>
        <v>133036.96947395953</v>
      </c>
      <c r="E923" s="126">
        <f t="shared" si="22"/>
        <v>2020</v>
      </c>
      <c r="F923" s="125">
        <f>_xlfn.XLOOKUP(D46,'3. Input (des)investeringen '!$B$11:$B$89,'3. Input (des)investeringen '!$E$11:$E$89)</f>
        <v>1</v>
      </c>
    </row>
    <row r="924" spans="2:6">
      <c r="B924">
        <v>30</v>
      </c>
      <c r="D924" s="127">
        <f t="shared" si="21"/>
        <v>154343.3001910657</v>
      </c>
      <c r="E924" s="126">
        <f t="shared" si="22"/>
        <v>2020</v>
      </c>
      <c r="F924" s="125">
        <f>_xlfn.XLOOKUP(D47,'3. Input (des)investeringen '!$B$11:$B$89,'3. Input (des)investeringen '!$E$11:$E$89)</f>
        <v>1</v>
      </c>
    </row>
    <row r="925" spans="2:6">
      <c r="B925">
        <v>31</v>
      </c>
      <c r="D925" s="127">
        <f t="shared" si="21"/>
        <v>34143.730074277388</v>
      </c>
      <c r="E925" s="126">
        <f t="shared" si="22"/>
        <v>2020</v>
      </c>
      <c r="F925" s="125">
        <f>_xlfn.XLOOKUP(D48,'3. Input (des)investeringen '!$B$11:$B$89,'3. Input (des)investeringen '!$E$11:$E$89)</f>
        <v>1</v>
      </c>
    </row>
    <row r="926" spans="2:6">
      <c r="B926">
        <v>32</v>
      </c>
      <c r="D926" s="127">
        <f t="shared" si="21"/>
        <v>3511.4554836606476</v>
      </c>
      <c r="E926" s="126">
        <f t="shared" si="22"/>
        <v>2020</v>
      </c>
      <c r="F926" s="125">
        <f>_xlfn.XLOOKUP(D49,'3. Input (des)investeringen '!$B$11:$B$89,'3. Input (des)investeringen '!$E$11:$E$89)</f>
        <v>1</v>
      </c>
    </row>
    <row r="927" spans="2:6">
      <c r="B927">
        <v>33</v>
      </c>
      <c r="D927" s="127">
        <f t="shared" si="21"/>
        <v>7181.457765698261</v>
      </c>
      <c r="E927" s="126">
        <f t="shared" si="22"/>
        <v>2020</v>
      </c>
      <c r="F927" s="125">
        <f>_xlfn.XLOOKUP(D50,'3. Input (des)investeringen '!$B$11:$B$89,'3. Input (des)investeringen '!$E$11:$E$89)</f>
        <v>1</v>
      </c>
    </row>
    <row r="928" spans="2:6">
      <c r="B928">
        <v>34</v>
      </c>
      <c r="D928" s="127">
        <f t="shared" si="21"/>
        <v>884026.28992311645</v>
      </c>
      <c r="E928" s="126">
        <f t="shared" si="22"/>
        <v>2020</v>
      </c>
      <c r="F928" s="125">
        <f>_xlfn.XLOOKUP(D51,'3. Input (des)investeringen '!$B$11:$B$89,'3. Input (des)investeringen '!$E$11:$E$89)</f>
        <v>1</v>
      </c>
    </row>
    <row r="929" spans="2:6">
      <c r="B929">
        <v>35</v>
      </c>
      <c r="D929" s="127">
        <f t="shared" si="21"/>
        <v>1116.3576548659616</v>
      </c>
      <c r="E929" s="126">
        <f t="shared" si="22"/>
        <v>2020</v>
      </c>
      <c r="F929" s="125">
        <f>_xlfn.XLOOKUP(D52,'3. Input (des)investeringen '!$B$11:$B$89,'3. Input (des)investeringen '!$E$11:$E$89)</f>
        <v>0</v>
      </c>
    </row>
    <row r="930" spans="2:6">
      <c r="B930">
        <v>36</v>
      </c>
      <c r="D930" s="127">
        <f t="shared" si="21"/>
        <v>88537.809838823887</v>
      </c>
      <c r="E930" s="126">
        <f t="shared" si="22"/>
        <v>2020</v>
      </c>
      <c r="F930" s="125">
        <f>_xlfn.XLOOKUP(D53,'3. Input (des)investeringen '!$B$11:$B$89,'3. Input (des)investeringen '!$E$11:$E$89)</f>
        <v>0</v>
      </c>
    </row>
    <row r="931" spans="2:6">
      <c r="B931">
        <v>37</v>
      </c>
      <c r="D931" s="127">
        <f t="shared" si="21"/>
        <v>98402.82977106719</v>
      </c>
      <c r="E931" s="126">
        <f t="shared" si="22"/>
        <v>2020</v>
      </c>
      <c r="F931" s="125">
        <f>_xlfn.XLOOKUP(D54,'3. Input (des)investeringen '!$B$11:$B$89,'3. Input (des)investeringen '!$E$11:$E$89)</f>
        <v>0</v>
      </c>
    </row>
    <row r="932" spans="2:6">
      <c r="B932">
        <v>38</v>
      </c>
      <c r="D932" s="127">
        <f t="shared" si="21"/>
        <v>178982.44585064959</v>
      </c>
      <c r="E932" s="126">
        <f t="shared" si="22"/>
        <v>2020</v>
      </c>
      <c r="F932" s="125">
        <f>_xlfn.XLOOKUP(D55,'3. Input (des)investeringen '!$B$11:$B$89,'3. Input (des)investeringen '!$E$11:$E$89)</f>
        <v>0</v>
      </c>
    </row>
    <row r="933" spans="2:6">
      <c r="B933">
        <v>39</v>
      </c>
      <c r="D933" s="127">
        <f t="shared" si="21"/>
        <v>50003.305627282651</v>
      </c>
      <c r="E933" s="126">
        <f t="shared" si="22"/>
        <v>2020</v>
      </c>
      <c r="F933" s="125">
        <f>_xlfn.XLOOKUP(D56,'3. Input (des)investeringen '!$B$11:$B$89,'3. Input (des)investeringen '!$E$11:$E$89)</f>
        <v>0</v>
      </c>
    </row>
    <row r="934" spans="2:6">
      <c r="B934">
        <v>40</v>
      </c>
      <c r="D934" s="127">
        <f t="shared" si="21"/>
        <v>45774.93431054215</v>
      </c>
      <c r="E934" s="126">
        <f t="shared" si="22"/>
        <v>2020</v>
      </c>
      <c r="F934" s="125">
        <f>_xlfn.XLOOKUP(D57,'3. Input (des)investeringen '!$B$11:$B$89,'3. Input (des)investeringen '!$E$11:$E$89)</f>
        <v>0</v>
      </c>
    </row>
    <row r="935" spans="2:6">
      <c r="B935">
        <v>41</v>
      </c>
      <c r="D935" s="127">
        <f t="shared" si="21"/>
        <v>118717.77880424444</v>
      </c>
      <c r="E935" s="126">
        <f t="shared" si="22"/>
        <v>2020</v>
      </c>
      <c r="F935" s="125">
        <f>_xlfn.XLOOKUP(D58,'3. Input (des)investeringen '!$B$11:$B$89,'3. Input (des)investeringen '!$E$11:$E$89)</f>
        <v>0</v>
      </c>
    </row>
    <row r="936" spans="2:6">
      <c r="B936">
        <v>42</v>
      </c>
      <c r="D936" s="127">
        <f t="shared" si="21"/>
        <v>1020378.4183405952</v>
      </c>
      <c r="E936" s="126">
        <f t="shared" si="22"/>
        <v>2020</v>
      </c>
      <c r="F936" s="125">
        <f>_xlfn.XLOOKUP(D59,'3. Input (des)investeringen '!$B$11:$B$89,'3. Input (des)investeringen '!$E$11:$E$89)</f>
        <v>0</v>
      </c>
    </row>
    <row r="937" spans="2:6">
      <c r="B937">
        <v>43</v>
      </c>
      <c r="D937" s="127">
        <f t="shared" si="21"/>
        <v>1695531.0999208845</v>
      </c>
      <c r="E937" s="126">
        <f t="shared" si="22"/>
        <v>2020</v>
      </c>
      <c r="F937" s="125">
        <f>_xlfn.XLOOKUP(D60,'3. Input (des)investeringen '!$B$11:$B$89,'3. Input (des)investeringen '!$E$11:$E$89)</f>
        <v>0</v>
      </c>
    </row>
    <row r="938" spans="2:6">
      <c r="B938">
        <v>44</v>
      </c>
      <c r="D938" s="127">
        <f t="shared" si="21"/>
        <v>2217785.5845449823</v>
      </c>
      <c r="E938" s="126">
        <f t="shared" si="22"/>
        <v>2020</v>
      </c>
      <c r="F938" s="125">
        <f>_xlfn.XLOOKUP(D61,'3. Input (des)investeringen '!$B$11:$B$89,'3. Input (des)investeringen '!$E$11:$E$89)</f>
        <v>0</v>
      </c>
    </row>
    <row r="939" spans="2:6">
      <c r="B939">
        <v>45</v>
      </c>
      <c r="D939" s="127">
        <f t="shared" si="21"/>
        <v>1848040.6593128797</v>
      </c>
      <c r="E939" s="126">
        <f t="shared" si="22"/>
        <v>2020</v>
      </c>
      <c r="F939" s="125">
        <f>_xlfn.XLOOKUP(D62,'3. Input (des)investeringen '!$B$11:$B$89,'3. Input (des)investeringen '!$E$11:$E$89)</f>
        <v>0</v>
      </c>
    </row>
    <row r="940" spans="2:6">
      <c r="B940">
        <v>46</v>
      </c>
      <c r="D940" s="127">
        <f t="shared" si="21"/>
        <v>104452.05756534761</v>
      </c>
      <c r="E940" s="126">
        <f t="shared" si="22"/>
        <v>2020</v>
      </c>
      <c r="F940" s="125">
        <f>_xlfn.XLOOKUP(D63,'3. Input (des)investeringen '!$B$11:$B$89,'3. Input (des)investeringen '!$E$11:$E$89)</f>
        <v>0</v>
      </c>
    </row>
    <row r="941" spans="2:6">
      <c r="B941">
        <v>47</v>
      </c>
      <c r="D941" s="127">
        <f t="shared" si="21"/>
        <v>838717.57884401153</v>
      </c>
      <c r="E941" s="126">
        <f t="shared" si="22"/>
        <v>2020</v>
      </c>
      <c r="F941" s="125">
        <f>_xlfn.XLOOKUP(D64,'3. Input (des)investeringen '!$B$11:$B$89,'3. Input (des)investeringen '!$E$11:$E$89)</f>
        <v>0</v>
      </c>
    </row>
    <row r="942" spans="2:6">
      <c r="B942">
        <v>48</v>
      </c>
      <c r="D942" s="127">
        <f t="shared" si="21"/>
        <v>946547.48386907566</v>
      </c>
      <c r="E942" s="126">
        <f t="shared" si="22"/>
        <v>2020</v>
      </c>
      <c r="F942" s="125">
        <f>_xlfn.XLOOKUP(D65,'3. Input (des)investeringen '!$B$11:$B$89,'3. Input (des)investeringen '!$E$11:$E$89)</f>
        <v>0</v>
      </c>
    </row>
    <row r="943" spans="2:6">
      <c r="B943">
        <v>49</v>
      </c>
      <c r="D943" s="127">
        <f t="shared" si="21"/>
        <v>644836.48467939708</v>
      </c>
      <c r="E943" s="126">
        <f t="shared" si="22"/>
        <v>2020</v>
      </c>
      <c r="F943" s="125">
        <f>_xlfn.XLOOKUP(D66,'3. Input (des)investeringen '!$B$11:$B$89,'3. Input (des)investeringen '!$E$11:$E$89)</f>
        <v>0</v>
      </c>
    </row>
    <row r="944" spans="2:6">
      <c r="B944">
        <v>50</v>
      </c>
      <c r="D944" s="127">
        <f t="shared" si="21"/>
        <v>103187.86270413175</v>
      </c>
      <c r="E944" s="126">
        <f t="shared" si="22"/>
        <v>2020</v>
      </c>
      <c r="F944" s="125">
        <f>_xlfn.XLOOKUP(D67,'3. Input (des)investeringen '!$B$11:$B$89,'3. Input (des)investeringen '!$E$11:$E$89)</f>
        <v>0</v>
      </c>
    </row>
    <row r="945" spans="2:6">
      <c r="B945">
        <v>51</v>
      </c>
      <c r="D945" s="127">
        <f t="shared" si="21"/>
        <v>102765.71921635757</v>
      </c>
      <c r="E945" s="126">
        <f t="shared" si="22"/>
        <v>2020</v>
      </c>
      <c r="F945" s="125">
        <f>_xlfn.XLOOKUP(D68,'3. Input (des)investeringen '!$B$11:$B$89,'3. Input (des)investeringen '!$E$11:$E$89)</f>
        <v>0</v>
      </c>
    </row>
    <row r="946" spans="2:6">
      <c r="B946">
        <v>52</v>
      </c>
      <c r="D946" s="127">
        <f t="shared" si="21"/>
        <v>222798.30724413577</v>
      </c>
      <c r="E946" s="126">
        <f t="shared" si="22"/>
        <v>2020</v>
      </c>
      <c r="F946" s="125">
        <f>_xlfn.XLOOKUP(D69,'3. Input (des)investeringen '!$B$11:$B$89,'3. Input (des)investeringen '!$E$11:$E$89)</f>
        <v>0</v>
      </c>
    </row>
    <row r="947" spans="2:6">
      <c r="B947">
        <v>53</v>
      </c>
      <c r="D947" s="127">
        <f t="shared" si="21"/>
        <v>298662.93665395869</v>
      </c>
      <c r="E947" s="126">
        <f t="shared" si="22"/>
        <v>2020</v>
      </c>
      <c r="F947" s="125">
        <f>_xlfn.XLOOKUP(D70,'3. Input (des)investeringen '!$B$11:$B$89,'3. Input (des)investeringen '!$E$11:$E$89)</f>
        <v>0</v>
      </c>
    </row>
    <row r="948" spans="2:6">
      <c r="B948">
        <v>54</v>
      </c>
      <c r="D948" s="127">
        <f t="shared" si="21"/>
        <v>262349.11477001454</v>
      </c>
      <c r="E948" s="126">
        <f t="shared" si="22"/>
        <v>2020</v>
      </c>
      <c r="F948" s="125">
        <f>_xlfn.XLOOKUP(D71,'3. Input (des)investeringen '!$B$11:$B$89,'3. Input (des)investeringen '!$E$11:$E$89)</f>
        <v>0</v>
      </c>
    </row>
    <row r="949" spans="2:6">
      <c r="B949">
        <v>55</v>
      </c>
      <c r="D949" s="127">
        <f t="shared" si="21"/>
        <v>189333.02773128528</v>
      </c>
      <c r="E949" s="126">
        <f t="shared" si="22"/>
        <v>2020</v>
      </c>
      <c r="F949" s="125">
        <f>_xlfn.XLOOKUP(D72,'3. Input (des)investeringen '!$B$11:$B$89,'3. Input (des)investeringen '!$E$11:$E$89)</f>
        <v>0</v>
      </c>
    </row>
    <row r="950" spans="2:6">
      <c r="B950">
        <v>56</v>
      </c>
      <c r="D950" s="127">
        <f t="shared" si="21"/>
        <v>61490.61044017315</v>
      </c>
      <c r="E950" s="126">
        <f t="shared" si="22"/>
        <v>2020</v>
      </c>
      <c r="F950" s="125">
        <f>_xlfn.XLOOKUP(D73,'3. Input (des)investeringen '!$B$11:$B$89,'3. Input (des)investeringen '!$E$11:$E$89)</f>
        <v>0</v>
      </c>
    </row>
    <row r="951" spans="2:6">
      <c r="B951">
        <v>57</v>
      </c>
      <c r="D951" s="127">
        <f t="shared" si="21"/>
        <v>75038.027032218612</v>
      </c>
      <c r="E951" s="126">
        <f t="shared" si="22"/>
        <v>2020</v>
      </c>
      <c r="F951" s="125">
        <f>_xlfn.XLOOKUP(D74,'3. Input (des)investeringen '!$B$11:$B$89,'3. Input (des)investeringen '!$E$11:$E$89)</f>
        <v>0</v>
      </c>
    </row>
    <row r="952" spans="2:6">
      <c r="B952">
        <v>58</v>
      </c>
      <c r="D952" s="127">
        <f t="shared" si="21"/>
        <v>15568.327853298582</v>
      </c>
      <c r="E952" s="126">
        <f t="shared" si="22"/>
        <v>2020</v>
      </c>
      <c r="F952" s="125">
        <f>_xlfn.XLOOKUP(D75,'3. Input (des)investeringen '!$B$11:$B$89,'3. Input (des)investeringen '!$E$11:$E$89)</f>
        <v>0</v>
      </c>
    </row>
    <row r="953" spans="2:6">
      <c r="B953">
        <v>59</v>
      </c>
      <c r="D953" s="127">
        <f t="shared" si="21"/>
        <v>139159.19469639403</v>
      </c>
      <c r="E953" s="126">
        <f t="shared" si="22"/>
        <v>2020</v>
      </c>
      <c r="F953" s="125">
        <f>_xlfn.XLOOKUP(D76,'3. Input (des)investeringen '!$B$11:$B$89,'3. Input (des)investeringen '!$E$11:$E$89)</f>
        <v>0</v>
      </c>
    </row>
    <row r="954" spans="2:6">
      <c r="B954">
        <v>60</v>
      </c>
      <c r="D954" s="127">
        <f t="shared" si="21"/>
        <v>195602.61673343295</v>
      </c>
      <c r="E954" s="126">
        <f t="shared" si="22"/>
        <v>2020</v>
      </c>
      <c r="F954" s="125">
        <f>_xlfn.XLOOKUP(D77,'3. Input (des)investeringen '!$B$11:$B$89,'3. Input (des)investeringen '!$E$11:$E$89)</f>
        <v>0</v>
      </c>
    </row>
    <row r="955" spans="2:6">
      <c r="B955">
        <v>61</v>
      </c>
      <c r="D955" s="127">
        <f t="shared" si="21"/>
        <v>68987.421631756384</v>
      </c>
      <c r="E955" s="126">
        <f t="shared" si="22"/>
        <v>2020</v>
      </c>
      <c r="F955" s="125">
        <f>_xlfn.XLOOKUP(D78,'3. Input (des)investeringen '!$B$11:$B$89,'3. Input (des)investeringen '!$E$11:$E$89)</f>
        <v>0</v>
      </c>
    </row>
    <row r="956" spans="2:6">
      <c r="B956">
        <v>62</v>
      </c>
      <c r="D956" s="127">
        <f t="shared" si="21"/>
        <v>14017.585527295665</v>
      </c>
      <c r="E956" s="126">
        <f t="shared" si="22"/>
        <v>2020</v>
      </c>
      <c r="F956" s="125">
        <f>_xlfn.XLOOKUP(D79,'3. Input (des)investeringen '!$B$11:$B$89,'3. Input (des)investeringen '!$E$11:$E$89)</f>
        <v>0</v>
      </c>
    </row>
    <row r="957" spans="2:6">
      <c r="B957">
        <v>63</v>
      </c>
      <c r="D957" s="127">
        <f t="shared" si="21"/>
        <v>13850.760694758967</v>
      </c>
      <c r="E957" s="126">
        <f t="shared" si="22"/>
        <v>2020</v>
      </c>
      <c r="F957" s="125">
        <f>_xlfn.XLOOKUP(D80,'3. Input (des)investeringen '!$B$11:$B$89,'3. Input (des)investeringen '!$E$11:$E$89)</f>
        <v>0</v>
      </c>
    </row>
    <row r="958" spans="2:6">
      <c r="B958">
        <v>64</v>
      </c>
      <c r="D958" s="127">
        <f t="shared" si="21"/>
        <v>84133.673674020334</v>
      </c>
      <c r="E958" s="126">
        <f t="shared" si="22"/>
        <v>2020</v>
      </c>
      <c r="F958" s="125">
        <f>_xlfn.XLOOKUP(D81,'3. Input (des)investeringen '!$B$11:$B$89,'3. Input (des)investeringen '!$E$11:$E$89)</f>
        <v>0</v>
      </c>
    </row>
    <row r="959" spans="2:6">
      <c r="B959">
        <v>65</v>
      </c>
      <c r="D959" s="127">
        <f t="shared" ref="D959:D1022" si="23">F82*INDEX($E$810:$CG$890,E82-1945,G82-1945)</f>
        <v>35929.792062961962</v>
      </c>
      <c r="E959" s="126">
        <f t="shared" ref="E959:E1022" si="24">G82</f>
        <v>2020</v>
      </c>
      <c r="F959" s="125">
        <f>_xlfn.XLOOKUP(D82,'3. Input (des)investeringen '!$B$11:$B$89,'3. Input (des)investeringen '!$E$11:$E$89)</f>
        <v>0</v>
      </c>
    </row>
    <row r="960" spans="2:6">
      <c r="B960">
        <v>66</v>
      </c>
      <c r="D960" s="127">
        <f t="shared" si="23"/>
        <v>194556.62172449686</v>
      </c>
      <c r="E960" s="126">
        <f t="shared" si="24"/>
        <v>2020</v>
      </c>
      <c r="F960" s="125">
        <f>_xlfn.XLOOKUP(D83,'3. Input (des)investeringen '!$B$11:$B$89,'3. Input (des)investeringen '!$E$11:$E$89)</f>
        <v>0</v>
      </c>
    </row>
    <row r="961" spans="2:6">
      <c r="B961">
        <v>67</v>
      </c>
      <c r="D961" s="127">
        <f t="shared" si="23"/>
        <v>62778.725667823048</v>
      </c>
      <c r="E961" s="126">
        <f t="shared" si="24"/>
        <v>2020</v>
      </c>
      <c r="F961" s="125">
        <f>_xlfn.XLOOKUP(D84,'3. Input (des)investeringen '!$B$11:$B$89,'3. Input (des)investeringen '!$E$11:$E$89)</f>
        <v>0</v>
      </c>
    </row>
    <row r="962" spans="2:6">
      <c r="B962">
        <v>68</v>
      </c>
      <c r="D962" s="127">
        <f t="shared" si="23"/>
        <v>19044.179567605603</v>
      </c>
      <c r="E962" s="126">
        <f t="shared" si="24"/>
        <v>2020</v>
      </c>
      <c r="F962" s="125">
        <f>_xlfn.XLOOKUP(D85,'3. Input (des)investeringen '!$B$11:$B$89,'3. Input (des)investeringen '!$E$11:$E$89)</f>
        <v>0</v>
      </c>
    </row>
    <row r="963" spans="2:6">
      <c r="B963">
        <v>69</v>
      </c>
      <c r="D963" s="127">
        <f t="shared" si="23"/>
        <v>16243.59232368206</v>
      </c>
      <c r="E963" s="126">
        <f t="shared" si="24"/>
        <v>2020</v>
      </c>
      <c r="F963" s="125">
        <f>_xlfn.XLOOKUP(D86,'3. Input (des)investeringen '!$B$11:$B$89,'3. Input (des)investeringen '!$E$11:$E$89)</f>
        <v>0</v>
      </c>
    </row>
    <row r="964" spans="2:6">
      <c r="B964">
        <v>70</v>
      </c>
      <c r="D964" s="127">
        <f t="shared" si="23"/>
        <v>420548.3780368499</v>
      </c>
      <c r="E964" s="126">
        <f t="shared" si="24"/>
        <v>2020</v>
      </c>
      <c r="F964" s="125">
        <f>_xlfn.XLOOKUP(D87,'3. Input (des)investeringen '!$B$11:$B$89,'3. Input (des)investeringen '!$E$11:$E$89)</f>
        <v>0</v>
      </c>
    </row>
    <row r="965" spans="2:6">
      <c r="B965">
        <v>71</v>
      </c>
      <c r="D965" s="127">
        <f t="shared" si="23"/>
        <v>678889.94025137217</v>
      </c>
      <c r="E965" s="126">
        <f t="shared" si="24"/>
        <v>2020</v>
      </c>
      <c r="F965" s="125">
        <f>_xlfn.XLOOKUP(D88,'3. Input (des)investeringen '!$B$11:$B$89,'3. Input (des)investeringen '!$E$11:$E$89)</f>
        <v>0</v>
      </c>
    </row>
    <row r="966" spans="2:6">
      <c r="B966">
        <v>72</v>
      </c>
      <c r="D966" s="127">
        <f t="shared" si="23"/>
        <v>839133.50408215157</v>
      </c>
      <c r="E966" s="126">
        <f t="shared" si="24"/>
        <v>2020</v>
      </c>
      <c r="F966" s="125">
        <f>_xlfn.XLOOKUP(D89,'3. Input (des)investeringen '!$B$11:$B$89,'3. Input (des)investeringen '!$E$11:$E$89)</f>
        <v>0</v>
      </c>
    </row>
    <row r="967" spans="2:6">
      <c r="B967">
        <v>73</v>
      </c>
      <c r="D967" s="127">
        <f t="shared" si="23"/>
        <v>466144.55323262321</v>
      </c>
      <c r="E967" s="126">
        <f t="shared" si="24"/>
        <v>2020</v>
      </c>
      <c r="F967" s="125">
        <f>_xlfn.XLOOKUP(D90,'3. Input (des)investeringen '!$B$11:$B$89,'3. Input (des)investeringen '!$E$11:$E$89)</f>
        <v>0</v>
      </c>
    </row>
    <row r="968" spans="2:6">
      <c r="B968">
        <v>74</v>
      </c>
      <c r="D968" s="127">
        <f t="shared" si="23"/>
        <v>52695.014543283847</v>
      </c>
      <c r="E968" s="126">
        <f t="shared" si="24"/>
        <v>2020</v>
      </c>
      <c r="F968" s="125">
        <f>_xlfn.XLOOKUP(D91,'3. Input (des)investeringen '!$B$11:$B$89,'3. Input (des)investeringen '!$E$11:$E$89)</f>
        <v>0</v>
      </c>
    </row>
    <row r="969" spans="2:6">
      <c r="B969">
        <v>75</v>
      </c>
      <c r="D969" s="127">
        <f t="shared" si="23"/>
        <v>236374.02269672992</v>
      </c>
      <c r="E969" s="126">
        <f t="shared" si="24"/>
        <v>2020</v>
      </c>
      <c r="F969" s="125">
        <f>_xlfn.XLOOKUP(D92,'3. Input (des)investeringen '!$B$11:$B$89,'3. Input (des)investeringen '!$E$11:$E$89)</f>
        <v>0</v>
      </c>
    </row>
    <row r="970" spans="2:6">
      <c r="B970">
        <v>76</v>
      </c>
      <c r="D970" s="127">
        <f t="shared" si="23"/>
        <v>285825.23173650069</v>
      </c>
      <c r="E970" s="126">
        <f t="shared" si="24"/>
        <v>2020</v>
      </c>
      <c r="F970" s="125">
        <f>_xlfn.XLOOKUP(D93,'3. Input (des)investeringen '!$B$11:$B$89,'3. Input (des)investeringen '!$E$11:$E$89)</f>
        <v>0</v>
      </c>
    </row>
    <row r="971" spans="2:6">
      <c r="B971">
        <v>77</v>
      </c>
      <c r="D971" s="127">
        <f t="shared" si="23"/>
        <v>176761.46807564</v>
      </c>
      <c r="E971" s="126">
        <f t="shared" si="24"/>
        <v>2020</v>
      </c>
      <c r="F971" s="125">
        <f>_xlfn.XLOOKUP(D94,'3. Input (des)investeringen '!$B$11:$B$89,'3. Input (des)investeringen '!$E$11:$E$89)</f>
        <v>0</v>
      </c>
    </row>
    <row r="972" spans="2:6">
      <c r="B972">
        <v>78</v>
      </c>
      <c r="D972" s="127">
        <f t="shared" si="23"/>
        <v>43746.070987545623</v>
      </c>
      <c r="E972" s="126">
        <f t="shared" si="24"/>
        <v>2020</v>
      </c>
      <c r="F972" s="125">
        <f>_xlfn.XLOOKUP(D95,'3. Input (des)investeringen '!$B$11:$B$89,'3. Input (des)investeringen '!$E$11:$E$89)</f>
        <v>0</v>
      </c>
    </row>
    <row r="973" spans="2:6">
      <c r="B973">
        <v>79</v>
      </c>
      <c r="D973" s="127">
        <f t="shared" si="23"/>
        <v>7279.2095916837961</v>
      </c>
      <c r="E973" s="126">
        <f t="shared" si="24"/>
        <v>2020</v>
      </c>
      <c r="F973" s="125">
        <f>_xlfn.XLOOKUP(D96,'3. Input (des)investeringen '!$B$11:$B$89,'3. Input (des)investeringen '!$E$11:$E$89)</f>
        <v>1</v>
      </c>
    </row>
    <row r="974" spans="2:6">
      <c r="B974">
        <v>80</v>
      </c>
      <c r="D974" s="127">
        <f t="shared" si="23"/>
        <v>556191.94794048101</v>
      </c>
      <c r="E974" s="126">
        <f t="shared" si="24"/>
        <v>2020</v>
      </c>
      <c r="F974" s="125">
        <f>_xlfn.XLOOKUP(D97,'3. Input (des)investeringen '!$B$11:$B$89,'3. Input (des)investeringen '!$E$11:$E$89)</f>
        <v>1</v>
      </c>
    </row>
    <row r="975" spans="2:6">
      <c r="B975">
        <v>81</v>
      </c>
      <c r="D975" s="127">
        <f t="shared" si="23"/>
        <v>400794.95961332711</v>
      </c>
      <c r="E975" s="126">
        <f t="shared" si="24"/>
        <v>2020</v>
      </c>
      <c r="F975" s="125">
        <f>_xlfn.XLOOKUP(D98,'3. Input (des)investeringen '!$B$11:$B$89,'3. Input (des)investeringen '!$E$11:$E$89)</f>
        <v>1</v>
      </c>
    </row>
    <row r="976" spans="2:6">
      <c r="B976">
        <v>82</v>
      </c>
      <c r="D976" s="127">
        <f t="shared" si="23"/>
        <v>134478.71159135591</v>
      </c>
      <c r="E976" s="126">
        <f t="shared" si="24"/>
        <v>2020</v>
      </c>
      <c r="F976" s="125">
        <f>_xlfn.XLOOKUP(D99,'3. Input (des)investeringen '!$B$11:$B$89,'3. Input (des)investeringen '!$E$11:$E$89)</f>
        <v>1</v>
      </c>
    </row>
    <row r="977" spans="2:6">
      <c r="B977">
        <v>83</v>
      </c>
      <c r="D977" s="127">
        <f t="shared" si="23"/>
        <v>3474396.3025643122</v>
      </c>
      <c r="E977" s="126">
        <f t="shared" si="24"/>
        <v>2020</v>
      </c>
      <c r="F977" s="125">
        <f>_xlfn.XLOOKUP(D100,'3. Input (des)investeringen '!$B$11:$B$89,'3. Input (des)investeringen '!$E$11:$E$89)</f>
        <v>1</v>
      </c>
    </row>
    <row r="978" spans="2:6">
      <c r="B978">
        <v>84</v>
      </c>
      <c r="D978" s="127">
        <f t="shared" si="23"/>
        <v>194769.36815296905</v>
      </c>
      <c r="E978" s="126">
        <f t="shared" si="24"/>
        <v>2020</v>
      </c>
      <c r="F978" s="125">
        <f>_xlfn.XLOOKUP(D101,'3. Input (des)investeringen '!$B$11:$B$89,'3. Input (des)investeringen '!$E$11:$E$89)</f>
        <v>1</v>
      </c>
    </row>
    <row r="979" spans="2:6">
      <c r="B979">
        <v>85</v>
      </c>
      <c r="D979" s="127">
        <f t="shared" si="23"/>
        <v>621379.6226425051</v>
      </c>
      <c r="E979" s="126">
        <f t="shared" si="24"/>
        <v>2020</v>
      </c>
      <c r="F979" s="125">
        <f>_xlfn.XLOOKUP(D102,'3. Input (des)investeringen '!$B$11:$B$89,'3. Input (des)investeringen '!$E$11:$E$89)</f>
        <v>1</v>
      </c>
    </row>
    <row r="980" spans="2:6">
      <c r="B980">
        <v>86</v>
      </c>
      <c r="D980" s="127">
        <f t="shared" si="23"/>
        <v>1917866.939989456</v>
      </c>
      <c r="E980" s="126">
        <f t="shared" si="24"/>
        <v>2020</v>
      </c>
      <c r="F980" s="125">
        <f>_xlfn.XLOOKUP(D103,'3. Input (des)investeringen '!$B$11:$B$89,'3. Input (des)investeringen '!$E$11:$E$89)</f>
        <v>1</v>
      </c>
    </row>
    <row r="981" spans="2:6">
      <c r="B981">
        <v>87</v>
      </c>
      <c r="D981" s="127">
        <f t="shared" si="23"/>
        <v>95593.658163605258</v>
      </c>
      <c r="E981" s="126">
        <f t="shared" si="24"/>
        <v>2020</v>
      </c>
      <c r="F981" s="125">
        <f>_xlfn.XLOOKUP(D104,'3. Input (des)investeringen '!$B$11:$B$89,'3. Input (des)investeringen '!$E$11:$E$89)</f>
        <v>1</v>
      </c>
    </row>
    <row r="982" spans="2:6">
      <c r="B982">
        <v>88</v>
      </c>
      <c r="D982" s="127">
        <f t="shared" si="23"/>
        <v>177648.51548607223</v>
      </c>
      <c r="E982" s="126">
        <f t="shared" si="24"/>
        <v>2020</v>
      </c>
      <c r="F982" s="125">
        <f>_xlfn.XLOOKUP(D105,'3. Input (des)investeringen '!$B$11:$B$89,'3. Input (des)investeringen '!$E$11:$E$89)</f>
        <v>1</v>
      </c>
    </row>
    <row r="983" spans="2:6">
      <c r="B983">
        <v>89</v>
      </c>
      <c r="D983" s="127">
        <f t="shared" si="23"/>
        <v>640974.00509533472</v>
      </c>
      <c r="E983" s="126">
        <f t="shared" si="24"/>
        <v>2020</v>
      </c>
      <c r="F983" s="125">
        <f>_xlfn.XLOOKUP(D106,'3. Input (des)investeringen '!$B$11:$B$89,'3. Input (des)investeringen '!$E$11:$E$89)</f>
        <v>1</v>
      </c>
    </row>
    <row r="984" spans="2:6">
      <c r="B984">
        <v>90</v>
      </c>
      <c r="D984" s="127">
        <f t="shared" si="23"/>
        <v>574221.57553211425</v>
      </c>
      <c r="E984" s="126">
        <f t="shared" si="24"/>
        <v>2020</v>
      </c>
      <c r="F984" s="125">
        <f>_xlfn.XLOOKUP(D107,'3. Input (des)investeringen '!$B$11:$B$89,'3. Input (des)investeringen '!$E$11:$E$89)</f>
        <v>1</v>
      </c>
    </row>
    <row r="985" spans="2:6">
      <c r="B985">
        <v>91</v>
      </c>
      <c r="D985" s="127">
        <f t="shared" si="23"/>
        <v>101299.14611083685</v>
      </c>
      <c r="E985" s="126">
        <f t="shared" si="24"/>
        <v>2020</v>
      </c>
      <c r="F985" s="125">
        <f>_xlfn.XLOOKUP(D108,'3. Input (des)investeringen '!$B$11:$B$89,'3. Input (des)investeringen '!$E$11:$E$89)</f>
        <v>1</v>
      </c>
    </row>
    <row r="986" spans="2:6">
      <c r="B986">
        <v>92</v>
      </c>
      <c r="D986" s="127">
        <f t="shared" si="23"/>
        <v>193795.32414373165</v>
      </c>
      <c r="E986" s="126">
        <f t="shared" si="24"/>
        <v>2020</v>
      </c>
      <c r="F986" s="125">
        <f>_xlfn.XLOOKUP(D109,'3. Input (des)investeringen '!$B$11:$B$89,'3. Input (des)investeringen '!$E$11:$E$89)</f>
        <v>0</v>
      </c>
    </row>
    <row r="987" spans="2:6">
      <c r="B987">
        <v>93</v>
      </c>
      <c r="D987" s="127">
        <f t="shared" si="23"/>
        <v>417533.58819327998</v>
      </c>
      <c r="E987" s="126">
        <f t="shared" si="24"/>
        <v>2020</v>
      </c>
      <c r="F987" s="125">
        <f>_xlfn.XLOOKUP(D110,'3. Input (des)investeringen '!$B$11:$B$89,'3. Input (des)investeringen '!$E$11:$E$89)</f>
        <v>0</v>
      </c>
    </row>
    <row r="988" spans="2:6">
      <c r="B988">
        <v>94</v>
      </c>
      <c r="D988" s="127">
        <f t="shared" si="23"/>
        <v>3823402.407878554</v>
      </c>
      <c r="E988" s="126">
        <f t="shared" si="24"/>
        <v>2020</v>
      </c>
      <c r="F988" s="125">
        <f>_xlfn.XLOOKUP(D111,'3. Input (des)investeringen '!$B$11:$B$89,'3. Input (des)investeringen '!$E$11:$E$89)</f>
        <v>0</v>
      </c>
    </row>
    <row r="989" spans="2:6">
      <c r="B989">
        <v>95</v>
      </c>
      <c r="D989" s="127">
        <f t="shared" si="23"/>
        <v>7488.7980339025535</v>
      </c>
      <c r="E989" s="126">
        <f t="shared" si="24"/>
        <v>2020</v>
      </c>
      <c r="F989" s="125">
        <f>_xlfn.XLOOKUP(D112,'3. Input (des)investeringen '!$B$11:$B$89,'3. Input (des)investeringen '!$E$11:$E$89)</f>
        <v>0</v>
      </c>
    </row>
    <row r="990" spans="2:6">
      <c r="B990">
        <v>96</v>
      </c>
      <c r="D990" s="127">
        <f t="shared" si="23"/>
        <v>742382.84893713472</v>
      </c>
      <c r="E990" s="126">
        <f t="shared" si="24"/>
        <v>2020</v>
      </c>
      <c r="F990" s="125">
        <f>_xlfn.XLOOKUP(D113,'3. Input (des)investeringen '!$B$11:$B$89,'3. Input (des)investeringen '!$E$11:$E$89)</f>
        <v>1</v>
      </c>
    </row>
    <row r="991" spans="2:6">
      <c r="B991">
        <v>97</v>
      </c>
      <c r="D991" s="127">
        <f t="shared" si="23"/>
        <v>497559.24646460399</v>
      </c>
      <c r="E991" s="126">
        <f t="shared" si="24"/>
        <v>2020</v>
      </c>
      <c r="F991" s="125">
        <f>_xlfn.XLOOKUP(D114,'3. Input (des)investeringen '!$B$11:$B$89,'3. Input (des)investeringen '!$E$11:$E$89)</f>
        <v>1</v>
      </c>
    </row>
    <row r="992" spans="2:6">
      <c r="B992">
        <v>98</v>
      </c>
      <c r="D992" s="127">
        <f t="shared" si="23"/>
        <v>847051.65790449153</v>
      </c>
      <c r="E992" s="126">
        <f t="shared" si="24"/>
        <v>2020</v>
      </c>
      <c r="F992" s="125">
        <f>_xlfn.XLOOKUP(D115,'3. Input (des)investeringen '!$B$11:$B$89,'3. Input (des)investeringen '!$E$11:$E$89)</f>
        <v>1</v>
      </c>
    </row>
    <row r="993" spans="2:6">
      <c r="B993">
        <v>99</v>
      </c>
      <c r="D993" s="127">
        <f t="shared" si="23"/>
        <v>8144.057006494264</v>
      </c>
      <c r="E993" s="126">
        <f t="shared" si="24"/>
        <v>2020</v>
      </c>
      <c r="F993" s="125">
        <f>_xlfn.XLOOKUP(D116,'3. Input (des)investeringen '!$B$11:$B$89,'3. Input (des)investeringen '!$E$11:$E$89)</f>
        <v>1</v>
      </c>
    </row>
    <row r="994" spans="2:6">
      <c r="B994">
        <v>100</v>
      </c>
      <c r="D994" s="127">
        <f t="shared" si="23"/>
        <v>491817.1821266273</v>
      </c>
      <c r="E994" s="126">
        <f t="shared" si="24"/>
        <v>2020</v>
      </c>
      <c r="F994" s="125">
        <f>_xlfn.XLOOKUP(D117,'3. Input (des)investeringen '!$B$11:$B$89,'3. Input (des)investeringen '!$E$11:$E$89)</f>
        <v>1</v>
      </c>
    </row>
    <row r="995" spans="2:6">
      <c r="B995">
        <v>101</v>
      </c>
      <c r="D995" s="127">
        <f t="shared" si="23"/>
        <v>29842.132392463594</v>
      </c>
      <c r="E995" s="126">
        <f t="shared" si="24"/>
        <v>2020</v>
      </c>
      <c r="F995" s="125">
        <f>_xlfn.XLOOKUP(D118,'3. Input (des)investeringen '!$B$11:$B$89,'3. Input (des)investeringen '!$E$11:$E$89)</f>
        <v>1</v>
      </c>
    </row>
    <row r="996" spans="2:6">
      <c r="B996">
        <v>102</v>
      </c>
      <c r="D996" s="127">
        <f t="shared" si="23"/>
        <v>296132.66621760983</v>
      </c>
      <c r="E996" s="126">
        <f t="shared" si="24"/>
        <v>2020</v>
      </c>
      <c r="F996" s="125">
        <f>_xlfn.XLOOKUP(D119,'3. Input (des)investeringen '!$B$11:$B$89,'3. Input (des)investeringen '!$E$11:$E$89)</f>
        <v>1</v>
      </c>
    </row>
    <row r="997" spans="2:6">
      <c r="B997">
        <v>103</v>
      </c>
      <c r="D997" s="127">
        <f t="shared" si="23"/>
        <v>30464.280867373902</v>
      </c>
      <c r="E997" s="126">
        <f t="shared" si="24"/>
        <v>2020</v>
      </c>
      <c r="F997" s="125">
        <f>_xlfn.XLOOKUP(D120,'3. Input (des)investeringen '!$B$11:$B$89,'3. Input (des)investeringen '!$E$11:$E$89)</f>
        <v>1</v>
      </c>
    </row>
    <row r="998" spans="2:6">
      <c r="B998">
        <v>104</v>
      </c>
      <c r="D998" s="127">
        <f t="shared" si="23"/>
        <v>466951.00937448401</v>
      </c>
      <c r="E998" s="126">
        <f t="shared" si="24"/>
        <v>2020</v>
      </c>
      <c r="F998" s="125">
        <f>_xlfn.XLOOKUP(D121,'3. Input (des)investeringen '!$B$11:$B$89,'3. Input (des)investeringen '!$E$11:$E$89)</f>
        <v>1</v>
      </c>
    </row>
    <row r="999" spans="2:6">
      <c r="B999">
        <v>105</v>
      </c>
      <c r="D999" s="127">
        <f t="shared" si="23"/>
        <v>29207.343065497258</v>
      </c>
      <c r="E999" s="126">
        <f t="shared" si="24"/>
        <v>2020</v>
      </c>
      <c r="F999" s="125">
        <f>_xlfn.XLOOKUP(D122,'3. Input (des)investeringen '!$B$11:$B$89,'3. Input (des)investeringen '!$E$11:$E$89)</f>
        <v>1</v>
      </c>
    </row>
    <row r="1000" spans="2:6">
      <c r="B1000">
        <v>106</v>
      </c>
      <c r="D1000" s="127">
        <f t="shared" si="23"/>
        <v>85681.109144716596</v>
      </c>
      <c r="E1000" s="126">
        <f t="shared" si="24"/>
        <v>2020</v>
      </c>
      <c r="F1000" s="125">
        <f>_xlfn.XLOOKUP(D123,'3. Input (des)investeringen '!$B$11:$B$89,'3. Input (des)investeringen '!$E$11:$E$89)</f>
        <v>1</v>
      </c>
    </row>
    <row r="1001" spans="2:6">
      <c r="B1001">
        <v>107</v>
      </c>
      <c r="D1001" s="127">
        <f t="shared" si="23"/>
        <v>12094.992137610618</v>
      </c>
      <c r="E1001" s="126">
        <f t="shared" si="24"/>
        <v>2020</v>
      </c>
      <c r="F1001" s="125">
        <f>_xlfn.XLOOKUP(D124,'3. Input (des)investeringen '!$B$11:$B$89,'3. Input (des)investeringen '!$E$11:$E$89)</f>
        <v>1</v>
      </c>
    </row>
    <row r="1002" spans="2:6">
      <c r="B1002">
        <v>108</v>
      </c>
      <c r="D1002" s="127">
        <f t="shared" si="23"/>
        <v>241190.94996912093</v>
      </c>
      <c r="E1002" s="126">
        <f t="shared" si="24"/>
        <v>2020</v>
      </c>
      <c r="F1002" s="125">
        <f>_xlfn.XLOOKUP(D125,'3. Input (des)investeringen '!$B$11:$B$89,'3. Input (des)investeringen '!$E$11:$E$89)</f>
        <v>1</v>
      </c>
    </row>
    <row r="1003" spans="2:6">
      <c r="B1003">
        <v>109</v>
      </c>
      <c r="D1003" s="127">
        <f t="shared" si="23"/>
        <v>103365.52678590667</v>
      </c>
      <c r="E1003" s="126">
        <f t="shared" si="24"/>
        <v>2020</v>
      </c>
      <c r="F1003" s="125">
        <f>_xlfn.XLOOKUP(D126,'3. Input (des)investeringen '!$B$11:$B$89,'3. Input (des)investeringen '!$E$11:$E$89)</f>
        <v>0</v>
      </c>
    </row>
    <row r="1004" spans="2:6">
      <c r="B1004">
        <v>110</v>
      </c>
      <c r="D1004" s="127">
        <f t="shared" si="23"/>
        <v>2605.9297428298378</v>
      </c>
      <c r="E1004" s="126">
        <f t="shared" si="24"/>
        <v>2020</v>
      </c>
      <c r="F1004" s="125">
        <f>_xlfn.XLOOKUP(D127,'3. Input (des)investeringen '!$B$11:$B$89,'3. Input (des)investeringen '!$E$11:$E$89)</f>
        <v>1</v>
      </c>
    </row>
    <row r="1005" spans="2:6">
      <c r="B1005">
        <v>111</v>
      </c>
      <c r="D1005" s="127">
        <f t="shared" si="23"/>
        <v>699507.92606819642</v>
      </c>
      <c r="E1005" s="126">
        <f t="shared" si="24"/>
        <v>2020</v>
      </c>
      <c r="F1005" s="125">
        <f>_xlfn.XLOOKUP(D128,'3. Input (des)investeringen '!$B$11:$B$89,'3. Input (des)investeringen '!$E$11:$E$89)</f>
        <v>1</v>
      </c>
    </row>
    <row r="1006" spans="2:6">
      <c r="B1006">
        <v>112</v>
      </c>
      <c r="D1006" s="127">
        <f t="shared" si="23"/>
        <v>758579.68905049388</v>
      </c>
      <c r="E1006" s="126">
        <f t="shared" si="24"/>
        <v>2020</v>
      </c>
      <c r="F1006" s="125">
        <f>_xlfn.XLOOKUP(D129,'3. Input (des)investeringen '!$B$11:$B$89,'3. Input (des)investeringen '!$E$11:$E$89)</f>
        <v>1</v>
      </c>
    </row>
    <row r="1007" spans="2:6">
      <c r="B1007">
        <v>113</v>
      </c>
      <c r="D1007" s="127">
        <f t="shared" si="23"/>
        <v>58484.431866942861</v>
      </c>
      <c r="E1007" s="126">
        <f t="shared" si="24"/>
        <v>2020</v>
      </c>
      <c r="F1007" s="125">
        <f>_xlfn.XLOOKUP(D130,'3. Input (des)investeringen '!$B$11:$B$89,'3. Input (des)investeringen '!$E$11:$E$89)</f>
        <v>1</v>
      </c>
    </row>
    <row r="1008" spans="2:6">
      <c r="B1008">
        <v>114</v>
      </c>
      <c r="D1008" s="127">
        <f t="shared" si="23"/>
        <v>12654.139058755578</v>
      </c>
      <c r="E1008" s="126">
        <f t="shared" si="24"/>
        <v>2020</v>
      </c>
      <c r="F1008" s="125">
        <f>_xlfn.XLOOKUP(D131,'3. Input (des)investeringen '!$B$11:$B$89,'3. Input (des)investeringen '!$E$11:$E$89)</f>
        <v>1</v>
      </c>
    </row>
    <row r="1009" spans="2:6">
      <c r="B1009">
        <v>115</v>
      </c>
      <c r="D1009" s="127">
        <f t="shared" si="23"/>
        <v>903016.7979884313</v>
      </c>
      <c r="E1009" s="126">
        <f t="shared" si="24"/>
        <v>2020</v>
      </c>
      <c r="F1009" s="125">
        <f>_xlfn.XLOOKUP(D132,'3. Input (des)investeringen '!$B$11:$B$89,'3. Input (des)investeringen '!$E$11:$E$89)</f>
        <v>1</v>
      </c>
    </row>
    <row r="1010" spans="2:6">
      <c r="B1010">
        <v>116</v>
      </c>
      <c r="D1010" s="127">
        <f t="shared" si="23"/>
        <v>821582.77845572378</v>
      </c>
      <c r="E1010" s="126">
        <f t="shared" si="24"/>
        <v>2020</v>
      </c>
      <c r="F1010" s="125">
        <f>_xlfn.XLOOKUP(D133,'3. Input (des)investeringen '!$B$11:$B$89,'3. Input (des)investeringen '!$E$11:$E$89)</f>
        <v>1</v>
      </c>
    </row>
    <row r="1011" spans="2:6">
      <c r="B1011">
        <v>117</v>
      </c>
      <c r="D1011" s="127">
        <f t="shared" si="23"/>
        <v>5515976.1618402852</v>
      </c>
      <c r="E1011" s="126">
        <f t="shared" si="24"/>
        <v>2020</v>
      </c>
      <c r="F1011" s="125">
        <f>_xlfn.XLOOKUP(D134,'3. Input (des)investeringen '!$B$11:$B$89,'3. Input (des)investeringen '!$E$11:$E$89)</f>
        <v>0</v>
      </c>
    </row>
    <row r="1012" spans="2:6">
      <c r="B1012">
        <v>118</v>
      </c>
      <c r="D1012" s="127">
        <f t="shared" si="23"/>
        <v>382268.73025159683</v>
      </c>
      <c r="E1012" s="126">
        <f t="shared" si="24"/>
        <v>2020</v>
      </c>
      <c r="F1012" s="125">
        <f>_xlfn.XLOOKUP(D135,'3. Input (des)investeringen '!$B$11:$B$89,'3. Input (des)investeringen '!$E$11:$E$89)</f>
        <v>1</v>
      </c>
    </row>
    <row r="1013" spans="2:6">
      <c r="B1013">
        <v>119</v>
      </c>
      <c r="D1013" s="127">
        <f t="shared" si="23"/>
        <v>2577767.7699642316</v>
      </c>
      <c r="E1013" s="126">
        <f t="shared" si="24"/>
        <v>2020</v>
      </c>
      <c r="F1013" s="125">
        <f>_xlfn.XLOOKUP(D136,'3. Input (des)investeringen '!$B$11:$B$89,'3. Input (des)investeringen '!$E$11:$E$89)</f>
        <v>0</v>
      </c>
    </row>
    <row r="1014" spans="2:6">
      <c r="B1014">
        <v>120</v>
      </c>
      <c r="D1014" s="127">
        <f t="shared" si="23"/>
        <v>1082540.7671306636</v>
      </c>
      <c r="E1014" s="126">
        <f t="shared" si="24"/>
        <v>2021</v>
      </c>
      <c r="F1014" s="125">
        <f>_xlfn.XLOOKUP(D137,'3. Input (des)investeringen '!$B$11:$B$89,'3. Input (des)investeringen '!$E$11:$E$89)</f>
        <v>1</v>
      </c>
    </row>
    <row r="1015" spans="2:6">
      <c r="B1015">
        <v>121</v>
      </c>
      <c r="D1015" s="127">
        <f t="shared" si="23"/>
        <v>511401.65758878307</v>
      </c>
      <c r="E1015" s="126">
        <f t="shared" si="24"/>
        <v>2021</v>
      </c>
      <c r="F1015" s="125">
        <f>_xlfn.XLOOKUP(D138,'3. Input (des)investeringen '!$B$11:$B$89,'3. Input (des)investeringen '!$E$11:$E$89)</f>
        <v>1</v>
      </c>
    </row>
    <row r="1016" spans="2:6">
      <c r="B1016">
        <v>122</v>
      </c>
      <c r="D1016" s="127">
        <f t="shared" si="23"/>
        <v>292220.68125933275</v>
      </c>
      <c r="E1016" s="126">
        <f t="shared" si="24"/>
        <v>2021</v>
      </c>
      <c r="F1016" s="125">
        <f>_xlfn.XLOOKUP(D139,'3. Input (des)investeringen '!$B$11:$B$89,'3. Input (des)investeringen '!$E$11:$E$89)</f>
        <v>1</v>
      </c>
    </row>
    <row r="1017" spans="2:6">
      <c r="B1017">
        <v>123</v>
      </c>
      <c r="D1017" s="127">
        <f t="shared" si="23"/>
        <v>163737.84090666575</v>
      </c>
      <c r="E1017" s="126">
        <f t="shared" si="24"/>
        <v>2021</v>
      </c>
      <c r="F1017" s="125">
        <f>_xlfn.XLOOKUP(D140,'3. Input (des)investeringen '!$B$11:$B$89,'3. Input (des)investeringen '!$E$11:$E$89)</f>
        <v>1</v>
      </c>
    </row>
    <row r="1018" spans="2:6">
      <c r="B1018">
        <v>124</v>
      </c>
      <c r="D1018" s="127">
        <f t="shared" si="23"/>
        <v>668403.90783952852</v>
      </c>
      <c r="E1018" s="126">
        <f t="shared" si="24"/>
        <v>2021</v>
      </c>
      <c r="F1018" s="125">
        <f>_xlfn.XLOOKUP(D141,'3. Input (des)investeringen '!$B$11:$B$89,'3. Input (des)investeringen '!$E$11:$E$89)</f>
        <v>1</v>
      </c>
    </row>
    <row r="1019" spans="2:6">
      <c r="B1019">
        <v>125</v>
      </c>
      <c r="D1019" s="127">
        <f t="shared" si="23"/>
        <v>1100763.5582718961</v>
      </c>
      <c r="E1019" s="126">
        <f t="shared" si="24"/>
        <v>2021</v>
      </c>
      <c r="F1019" s="125">
        <f>_xlfn.XLOOKUP(D142,'3. Input (des)investeringen '!$B$11:$B$89,'3. Input (des)investeringen '!$E$11:$E$89)</f>
        <v>1</v>
      </c>
    </row>
    <row r="1020" spans="2:6">
      <c r="B1020">
        <v>126</v>
      </c>
      <c r="D1020" s="127">
        <f t="shared" si="23"/>
        <v>550425.76082445181</v>
      </c>
      <c r="E1020" s="126">
        <f t="shared" si="24"/>
        <v>2021</v>
      </c>
      <c r="F1020" s="125">
        <f>_xlfn.XLOOKUP(D143,'3. Input (des)investeringen '!$B$11:$B$89,'3. Input (des)investeringen '!$E$11:$E$89)</f>
        <v>1</v>
      </c>
    </row>
    <row r="1021" spans="2:6">
      <c r="B1021">
        <v>127</v>
      </c>
      <c r="D1021" s="127">
        <f t="shared" si="23"/>
        <v>493535.1567090468</v>
      </c>
      <c r="E1021" s="126">
        <f t="shared" si="24"/>
        <v>2021</v>
      </c>
      <c r="F1021" s="125">
        <f>_xlfn.XLOOKUP(D144,'3. Input (des)investeringen '!$B$11:$B$89,'3. Input (des)investeringen '!$E$11:$E$89)</f>
        <v>1</v>
      </c>
    </row>
    <row r="1022" spans="2:6">
      <c r="B1022">
        <v>128</v>
      </c>
      <c r="D1022" s="127">
        <f t="shared" si="23"/>
        <v>1141043.6057034757</v>
      </c>
      <c r="E1022" s="126">
        <f t="shared" si="24"/>
        <v>2021</v>
      </c>
      <c r="F1022" s="125">
        <f>_xlfn.XLOOKUP(D145,'3. Input (des)investeringen '!$B$11:$B$89,'3. Input (des)investeringen '!$E$11:$E$89)</f>
        <v>1</v>
      </c>
    </row>
    <row r="1023" spans="2:6">
      <c r="B1023">
        <v>129</v>
      </c>
      <c r="D1023" s="127">
        <f t="shared" ref="D1023:D1086" si="25">F146*INDEX($E$810:$CG$890,E146-1945,G146-1945)</f>
        <v>1340871.0177292731</v>
      </c>
      <c r="E1023" s="126">
        <f t="shared" ref="E1023:E1086" si="26">G146</f>
        <v>2021</v>
      </c>
      <c r="F1023" s="125">
        <f>_xlfn.XLOOKUP(D146,'3. Input (des)investeringen '!$B$11:$B$89,'3. Input (des)investeringen '!$E$11:$E$89)</f>
        <v>1</v>
      </c>
    </row>
    <row r="1024" spans="2:6">
      <c r="B1024">
        <v>130</v>
      </c>
      <c r="D1024" s="127">
        <f t="shared" si="25"/>
        <v>503640.04308366589</v>
      </c>
      <c r="E1024" s="126">
        <f t="shared" si="26"/>
        <v>2021</v>
      </c>
      <c r="F1024" s="125">
        <f>_xlfn.XLOOKUP(D147,'3. Input (des)investeringen '!$B$11:$B$89,'3. Input (des)investeringen '!$E$11:$E$89)</f>
        <v>1</v>
      </c>
    </row>
    <row r="1025" spans="2:6">
      <c r="B1025">
        <v>131</v>
      </c>
      <c r="D1025" s="127">
        <f t="shared" si="25"/>
        <v>294963.8965371729</v>
      </c>
      <c r="E1025" s="126">
        <f t="shared" si="26"/>
        <v>2021</v>
      </c>
      <c r="F1025" s="125">
        <f>_xlfn.XLOOKUP(D148,'3. Input (des)investeringen '!$B$11:$B$89,'3. Input (des)investeringen '!$E$11:$E$89)</f>
        <v>1</v>
      </c>
    </row>
    <row r="1026" spans="2:6">
      <c r="B1026">
        <v>132</v>
      </c>
      <c r="D1026" s="127">
        <f t="shared" si="25"/>
        <v>66815.699025118025</v>
      </c>
      <c r="E1026" s="126">
        <f t="shared" si="26"/>
        <v>2021</v>
      </c>
      <c r="F1026" s="125">
        <f>_xlfn.XLOOKUP(D149,'3. Input (des)investeringen '!$B$11:$B$89,'3. Input (des)investeringen '!$E$11:$E$89)</f>
        <v>1</v>
      </c>
    </row>
    <row r="1027" spans="2:6">
      <c r="B1027">
        <v>133</v>
      </c>
      <c r="D1027" s="127">
        <f t="shared" si="25"/>
        <v>109772.84528112932</v>
      </c>
      <c r="E1027" s="126">
        <f t="shared" si="26"/>
        <v>2021</v>
      </c>
      <c r="F1027" s="125">
        <f>_xlfn.XLOOKUP(D150,'3. Input (des)investeringen '!$B$11:$B$89,'3. Input (des)investeringen '!$E$11:$E$89)</f>
        <v>1</v>
      </c>
    </row>
    <row r="1028" spans="2:6">
      <c r="B1028">
        <v>134</v>
      </c>
      <c r="D1028" s="127">
        <f t="shared" si="25"/>
        <v>71760.577142878115</v>
      </c>
      <c r="E1028" s="126">
        <f t="shared" si="26"/>
        <v>2021</v>
      </c>
      <c r="F1028" s="125">
        <f>_xlfn.XLOOKUP(D151,'3. Input (des)investeringen '!$B$11:$B$89,'3. Input (des)investeringen '!$E$11:$E$89)</f>
        <v>1</v>
      </c>
    </row>
    <row r="1029" spans="2:6">
      <c r="B1029">
        <v>135</v>
      </c>
      <c r="D1029" s="127">
        <f t="shared" si="25"/>
        <v>98357.91620714216</v>
      </c>
      <c r="E1029" s="126">
        <f t="shared" si="26"/>
        <v>2021</v>
      </c>
      <c r="F1029" s="125">
        <f>_xlfn.XLOOKUP(D152,'3. Input (des)investeringen '!$B$11:$B$89,'3. Input (des)investeringen '!$E$11:$E$89)</f>
        <v>1</v>
      </c>
    </row>
    <row r="1030" spans="2:6">
      <c r="B1030">
        <v>136</v>
      </c>
      <c r="D1030" s="127">
        <f t="shared" si="25"/>
        <v>38685.240317018492</v>
      </c>
      <c r="E1030" s="126">
        <f t="shared" si="26"/>
        <v>2021</v>
      </c>
      <c r="F1030" s="125">
        <f>_xlfn.XLOOKUP(D153,'3. Input (des)investeringen '!$B$11:$B$89,'3. Input (des)investeringen '!$E$11:$E$89)</f>
        <v>1</v>
      </c>
    </row>
    <row r="1031" spans="2:6">
      <c r="B1031">
        <v>137</v>
      </c>
      <c r="D1031" s="127">
        <f t="shared" si="25"/>
        <v>43273.531147319729</v>
      </c>
      <c r="E1031" s="126">
        <f t="shared" si="26"/>
        <v>2021</v>
      </c>
      <c r="F1031" s="125">
        <f>_xlfn.XLOOKUP(D154,'3. Input (des)investeringen '!$B$11:$B$89,'3. Input (des)investeringen '!$E$11:$E$89)</f>
        <v>1</v>
      </c>
    </row>
    <row r="1032" spans="2:6">
      <c r="B1032">
        <v>138</v>
      </c>
      <c r="D1032" s="127">
        <f t="shared" si="25"/>
        <v>197935.88660477666</v>
      </c>
      <c r="E1032" s="126">
        <f t="shared" si="26"/>
        <v>2021</v>
      </c>
      <c r="F1032" s="125">
        <f>_xlfn.XLOOKUP(D155,'3. Input (des)investeringen '!$B$11:$B$89,'3. Input (des)investeringen '!$E$11:$E$89)</f>
        <v>1</v>
      </c>
    </row>
    <row r="1033" spans="2:6">
      <c r="B1033">
        <v>139</v>
      </c>
      <c r="D1033" s="127">
        <f t="shared" si="25"/>
        <v>3536.1721082700515</v>
      </c>
      <c r="E1033" s="126">
        <f t="shared" si="26"/>
        <v>2021</v>
      </c>
      <c r="F1033" s="125">
        <f>_xlfn.XLOOKUP(D156,'3. Input (des)investeringen '!$B$11:$B$89,'3. Input (des)investeringen '!$E$11:$E$89)</f>
        <v>1</v>
      </c>
    </row>
    <row r="1034" spans="2:6">
      <c r="B1034">
        <v>140</v>
      </c>
      <c r="D1034" s="127">
        <f t="shared" si="25"/>
        <v>149008.91551010619</v>
      </c>
      <c r="E1034" s="126">
        <f t="shared" si="26"/>
        <v>2021</v>
      </c>
      <c r="F1034" s="125">
        <f>_xlfn.XLOOKUP(D157,'3. Input (des)investeringen '!$B$11:$B$89,'3. Input (des)investeringen '!$E$11:$E$89)</f>
        <v>1</v>
      </c>
    </row>
    <row r="1035" spans="2:6">
      <c r="B1035">
        <v>141</v>
      </c>
      <c r="D1035" s="127">
        <f t="shared" si="25"/>
        <v>320750.25625020906</v>
      </c>
      <c r="E1035" s="126">
        <f t="shared" si="26"/>
        <v>2021</v>
      </c>
      <c r="F1035" s="125">
        <f>_xlfn.XLOOKUP(D158,'3. Input (des)investeringen '!$B$11:$B$89,'3. Input (des)investeringen '!$E$11:$E$89)</f>
        <v>1</v>
      </c>
    </row>
    <row r="1036" spans="2:6">
      <c r="B1036">
        <v>142</v>
      </c>
      <c r="D1036" s="127">
        <f t="shared" si="25"/>
        <v>75796.301285625028</v>
      </c>
      <c r="E1036" s="126">
        <f t="shared" si="26"/>
        <v>2021</v>
      </c>
      <c r="F1036" s="125">
        <f>_xlfn.XLOOKUP(D159,'3. Input (des)investeringen '!$B$11:$B$89,'3. Input (des)investeringen '!$E$11:$E$89)</f>
        <v>1</v>
      </c>
    </row>
    <row r="1037" spans="2:6">
      <c r="B1037">
        <v>143</v>
      </c>
      <c r="D1037" s="127">
        <f t="shared" si="25"/>
        <v>447507.68906529818</v>
      </c>
      <c r="E1037" s="126">
        <f t="shared" si="26"/>
        <v>2021</v>
      </c>
      <c r="F1037" s="125">
        <f>_xlfn.XLOOKUP(D160,'3. Input (des)investeringen '!$B$11:$B$89,'3. Input (des)investeringen '!$E$11:$E$89)</f>
        <v>1</v>
      </c>
    </row>
    <row r="1038" spans="2:6">
      <c r="B1038">
        <v>144</v>
      </c>
      <c r="D1038" s="127">
        <f t="shared" si="25"/>
        <v>585.89540720010632</v>
      </c>
      <c r="E1038" s="126">
        <f t="shared" si="26"/>
        <v>2021</v>
      </c>
      <c r="F1038" s="125">
        <f>_xlfn.XLOOKUP(D161,'3. Input (des)investeringen '!$B$11:$B$89,'3. Input (des)investeringen '!$E$11:$E$89)</f>
        <v>1</v>
      </c>
    </row>
    <row r="1039" spans="2:6">
      <c r="B1039">
        <v>145</v>
      </c>
      <c r="D1039" s="127">
        <f t="shared" si="25"/>
        <v>1076368.1896706892</v>
      </c>
      <c r="E1039" s="126">
        <f t="shared" si="26"/>
        <v>2021</v>
      </c>
      <c r="F1039" s="125">
        <f>_xlfn.XLOOKUP(D162,'3. Input (des)investeringen '!$B$11:$B$89,'3. Input (des)investeringen '!$E$11:$E$89)</f>
        <v>1</v>
      </c>
    </row>
    <row r="1040" spans="2:6">
      <c r="B1040">
        <v>146</v>
      </c>
      <c r="D1040" s="127">
        <f t="shared" si="25"/>
        <v>12458.301884420251</v>
      </c>
      <c r="E1040" s="126">
        <f t="shared" si="26"/>
        <v>2021</v>
      </c>
      <c r="F1040" s="125">
        <f>_xlfn.XLOOKUP(D163,'3. Input (des)investeringen '!$B$11:$B$89,'3. Input (des)investeringen '!$E$11:$E$89)</f>
        <v>1</v>
      </c>
    </row>
    <row r="1041" spans="2:6">
      <c r="B1041">
        <v>147</v>
      </c>
      <c r="D1041" s="127">
        <f t="shared" si="25"/>
        <v>236253.64868884979</v>
      </c>
      <c r="E1041" s="126">
        <f t="shared" si="26"/>
        <v>2021</v>
      </c>
      <c r="F1041" s="125">
        <f>_xlfn.XLOOKUP(D164,'3. Input (des)investeringen '!$B$11:$B$89,'3. Input (des)investeringen '!$E$11:$E$89)</f>
        <v>0</v>
      </c>
    </row>
    <row r="1042" spans="2:6">
      <c r="B1042">
        <v>148</v>
      </c>
      <c r="D1042" s="127">
        <f t="shared" si="25"/>
        <v>1167992.7901493718</v>
      </c>
      <c r="E1042" s="126">
        <f t="shared" si="26"/>
        <v>2021</v>
      </c>
      <c r="F1042" s="125">
        <f>_xlfn.XLOOKUP(D165,'3. Input (des)investeringen '!$B$11:$B$89,'3. Input (des)investeringen '!$E$11:$E$89)</f>
        <v>0</v>
      </c>
    </row>
    <row r="1043" spans="2:6">
      <c r="B1043">
        <v>149</v>
      </c>
      <c r="D1043" s="127">
        <f t="shared" si="25"/>
        <v>1278744.1282753907</v>
      </c>
      <c r="E1043" s="126">
        <f t="shared" si="26"/>
        <v>2021</v>
      </c>
      <c r="F1043" s="125">
        <f>_xlfn.XLOOKUP(D166,'3. Input (des)investeringen '!$B$11:$B$89,'3. Input (des)investeringen '!$E$11:$E$89)</f>
        <v>0</v>
      </c>
    </row>
    <row r="1044" spans="2:6">
      <c r="B1044">
        <v>150</v>
      </c>
      <c r="D1044" s="127">
        <f t="shared" si="25"/>
        <v>770495.64099103538</v>
      </c>
      <c r="E1044" s="126">
        <f t="shared" si="26"/>
        <v>2021</v>
      </c>
      <c r="F1044" s="125">
        <f>_xlfn.XLOOKUP(D167,'3. Input (des)investeringen '!$B$11:$B$89,'3. Input (des)investeringen '!$E$11:$E$89)</f>
        <v>0</v>
      </c>
    </row>
    <row r="1045" spans="2:6">
      <c r="B1045">
        <v>151</v>
      </c>
      <c r="D1045" s="127">
        <f t="shared" si="25"/>
        <v>1359018.3003866887</v>
      </c>
      <c r="E1045" s="126">
        <f t="shared" si="26"/>
        <v>2021</v>
      </c>
      <c r="F1045" s="125">
        <f>_xlfn.XLOOKUP(D168,'3. Input (des)investeringen '!$B$11:$B$89,'3. Input (des)investeringen '!$E$11:$E$89)</f>
        <v>0</v>
      </c>
    </row>
    <row r="1046" spans="2:6">
      <c r="B1046">
        <v>152</v>
      </c>
      <c r="D1046" s="127">
        <f t="shared" si="25"/>
        <v>563287.27093052329</v>
      </c>
      <c r="E1046" s="126">
        <f t="shared" si="26"/>
        <v>2021</v>
      </c>
      <c r="F1046" s="125">
        <f>_xlfn.XLOOKUP(D169,'3. Input (des)investeringen '!$B$11:$B$89,'3. Input (des)investeringen '!$E$11:$E$89)</f>
        <v>0</v>
      </c>
    </row>
    <row r="1047" spans="2:6">
      <c r="B1047">
        <v>153</v>
      </c>
      <c r="D1047" s="127">
        <f t="shared" si="25"/>
        <v>758025.33866394043</v>
      </c>
      <c r="E1047" s="126">
        <f t="shared" si="26"/>
        <v>2021</v>
      </c>
      <c r="F1047" s="125">
        <f>_xlfn.XLOOKUP(D170,'3. Input (des)investeringen '!$B$11:$B$89,'3. Input (des)investeringen '!$E$11:$E$89)</f>
        <v>0</v>
      </c>
    </row>
    <row r="1048" spans="2:6">
      <c r="B1048">
        <v>154</v>
      </c>
      <c r="D1048" s="127">
        <f t="shared" si="25"/>
        <v>1072746.2175645537</v>
      </c>
      <c r="E1048" s="126">
        <f t="shared" si="26"/>
        <v>2021</v>
      </c>
      <c r="F1048" s="125">
        <f>_xlfn.XLOOKUP(D171,'3. Input (des)investeringen '!$B$11:$B$89,'3. Input (des)investeringen '!$E$11:$E$89)</f>
        <v>0</v>
      </c>
    </row>
    <row r="1049" spans="2:6">
      <c r="B1049">
        <v>155</v>
      </c>
      <c r="D1049" s="127">
        <f t="shared" si="25"/>
        <v>69883.751406690964</v>
      </c>
      <c r="E1049" s="126">
        <f t="shared" si="26"/>
        <v>2021</v>
      </c>
      <c r="F1049" s="125">
        <f>_xlfn.XLOOKUP(D172,'3. Input (des)investeringen '!$B$11:$B$89,'3. Input (des)investeringen '!$E$11:$E$89)</f>
        <v>0</v>
      </c>
    </row>
    <row r="1050" spans="2:6">
      <c r="B1050">
        <v>156</v>
      </c>
      <c r="D1050" s="127">
        <f t="shared" si="25"/>
        <v>74510.976145309935</v>
      </c>
      <c r="E1050" s="126">
        <f t="shared" si="26"/>
        <v>2021</v>
      </c>
      <c r="F1050" s="125">
        <f>_xlfn.XLOOKUP(D173,'3. Input (des)investeringen '!$B$11:$B$89,'3. Input (des)investeringen '!$E$11:$E$89)</f>
        <v>0</v>
      </c>
    </row>
    <row r="1051" spans="2:6">
      <c r="B1051">
        <v>157</v>
      </c>
      <c r="D1051" s="127">
        <f t="shared" si="25"/>
        <v>474585.39415796031</v>
      </c>
      <c r="E1051" s="126">
        <f t="shared" si="26"/>
        <v>2021</v>
      </c>
      <c r="F1051" s="125">
        <f>_xlfn.XLOOKUP(D174,'3. Input (des)investeringen '!$B$11:$B$89,'3. Input (des)investeringen '!$E$11:$E$89)</f>
        <v>0</v>
      </c>
    </row>
    <row r="1052" spans="2:6">
      <c r="B1052">
        <v>158</v>
      </c>
      <c r="D1052" s="127">
        <f t="shared" si="25"/>
        <v>300052.12258130778</v>
      </c>
      <c r="E1052" s="126">
        <f t="shared" si="26"/>
        <v>2021</v>
      </c>
      <c r="F1052" s="125">
        <f>_xlfn.XLOOKUP(D175,'3. Input (des)investeringen '!$B$11:$B$89,'3. Input (des)investeringen '!$E$11:$E$89)</f>
        <v>0</v>
      </c>
    </row>
    <row r="1053" spans="2:6">
      <c r="B1053">
        <v>159</v>
      </c>
      <c r="D1053" s="127">
        <f t="shared" si="25"/>
        <v>174219.76869315104</v>
      </c>
      <c r="E1053" s="126">
        <f t="shared" si="26"/>
        <v>2021</v>
      </c>
      <c r="F1053" s="125">
        <f>_xlfn.XLOOKUP(D176,'3. Input (des)investeringen '!$B$11:$B$89,'3. Input (des)investeringen '!$E$11:$E$89)</f>
        <v>0</v>
      </c>
    </row>
    <row r="1054" spans="2:6">
      <c r="B1054">
        <v>160</v>
      </c>
      <c r="D1054" s="127">
        <f t="shared" si="25"/>
        <v>44878.31143522395</v>
      </c>
      <c r="E1054" s="126">
        <f t="shared" si="26"/>
        <v>2021</v>
      </c>
      <c r="F1054" s="125">
        <f>_xlfn.XLOOKUP(D177,'3. Input (des)investeringen '!$B$11:$B$89,'3. Input (des)investeringen '!$E$11:$E$89)</f>
        <v>0</v>
      </c>
    </row>
    <row r="1055" spans="2:6">
      <c r="B1055">
        <v>161</v>
      </c>
      <c r="D1055" s="127">
        <f t="shared" si="25"/>
        <v>99537.263491634294</v>
      </c>
      <c r="E1055" s="126">
        <f t="shared" si="26"/>
        <v>2021</v>
      </c>
      <c r="F1055" s="125">
        <f>_xlfn.XLOOKUP(D178,'3. Input (des)investeringen '!$B$11:$B$89,'3. Input (des)investeringen '!$E$11:$E$89)</f>
        <v>0</v>
      </c>
    </row>
    <row r="1056" spans="2:6">
      <c r="B1056">
        <v>162</v>
      </c>
      <c r="D1056" s="127">
        <f t="shared" si="25"/>
        <v>211807.13784127281</v>
      </c>
      <c r="E1056" s="126">
        <f t="shared" si="26"/>
        <v>2021</v>
      </c>
      <c r="F1056" s="125">
        <f>_xlfn.XLOOKUP(D179,'3. Input (des)investeringen '!$B$11:$B$89,'3. Input (des)investeringen '!$E$11:$E$89)</f>
        <v>0</v>
      </c>
    </row>
    <row r="1057" spans="2:6">
      <c r="B1057">
        <v>163</v>
      </c>
      <c r="D1057" s="127">
        <f t="shared" si="25"/>
        <v>25424.944825862574</v>
      </c>
      <c r="E1057" s="126">
        <f t="shared" si="26"/>
        <v>2021</v>
      </c>
      <c r="F1057" s="125">
        <f>_xlfn.XLOOKUP(D180,'3. Input (des)investeringen '!$B$11:$B$89,'3. Input (des)investeringen '!$E$11:$E$89)</f>
        <v>0</v>
      </c>
    </row>
    <row r="1058" spans="2:6">
      <c r="B1058">
        <v>164</v>
      </c>
      <c r="D1058" s="127">
        <f t="shared" si="25"/>
        <v>15024.675380202731</v>
      </c>
      <c r="E1058" s="126">
        <f t="shared" si="26"/>
        <v>2021</v>
      </c>
      <c r="F1058" s="125">
        <f>_xlfn.XLOOKUP(D181,'3. Input (des)investeringen '!$B$11:$B$89,'3. Input (des)investeringen '!$E$11:$E$89)</f>
        <v>0</v>
      </c>
    </row>
    <row r="1059" spans="2:6">
      <c r="B1059">
        <v>165</v>
      </c>
      <c r="D1059" s="127">
        <f t="shared" si="25"/>
        <v>1553156.491253328</v>
      </c>
      <c r="E1059" s="126">
        <f t="shared" si="26"/>
        <v>2021</v>
      </c>
      <c r="F1059" s="125">
        <f>_xlfn.XLOOKUP(D182,'3. Input (des)investeringen '!$B$11:$B$89,'3. Input (des)investeringen '!$E$11:$E$89)</f>
        <v>0</v>
      </c>
    </row>
    <row r="1060" spans="2:6">
      <c r="B1060">
        <v>166</v>
      </c>
      <c r="D1060" s="127">
        <f t="shared" si="25"/>
        <v>10601.673798685901</v>
      </c>
      <c r="E1060" s="126">
        <f t="shared" si="26"/>
        <v>2021</v>
      </c>
      <c r="F1060" s="125">
        <f>_xlfn.XLOOKUP(D183,'3. Input (des)investeringen '!$B$11:$B$89,'3. Input (des)investeringen '!$E$11:$E$89)</f>
        <v>0</v>
      </c>
    </row>
    <row r="1061" spans="2:6">
      <c r="B1061">
        <v>167</v>
      </c>
      <c r="D1061" s="127">
        <f t="shared" si="25"/>
        <v>13806.096316082207</v>
      </c>
      <c r="E1061" s="126">
        <f t="shared" si="26"/>
        <v>2021</v>
      </c>
      <c r="F1061" s="125">
        <f>_xlfn.XLOOKUP(D184,'3. Input (des)investeringen '!$B$11:$B$89,'3. Input (des)investeringen '!$E$11:$E$89)</f>
        <v>0</v>
      </c>
    </row>
    <row r="1062" spans="2:6">
      <c r="B1062">
        <v>168</v>
      </c>
      <c r="D1062" s="127">
        <f t="shared" si="25"/>
        <v>10690.975721830873</v>
      </c>
      <c r="E1062" s="126">
        <f t="shared" si="26"/>
        <v>2021</v>
      </c>
      <c r="F1062" s="125">
        <f>_xlfn.XLOOKUP(D185,'3. Input (des)investeringen '!$B$11:$B$89,'3. Input (des)investeringen '!$E$11:$E$89)</f>
        <v>0</v>
      </c>
    </row>
    <row r="1063" spans="2:6">
      <c r="B1063">
        <v>169</v>
      </c>
      <c r="D1063" s="127">
        <f t="shared" si="25"/>
        <v>15986.781599403323</v>
      </c>
      <c r="E1063" s="126">
        <f t="shared" si="26"/>
        <v>2021</v>
      </c>
      <c r="F1063" s="125">
        <f>_xlfn.XLOOKUP(D186,'3. Input (des)investeringen '!$B$11:$B$89,'3. Input (des)investeringen '!$E$11:$E$89)</f>
        <v>0</v>
      </c>
    </row>
    <row r="1064" spans="2:6">
      <c r="B1064">
        <v>170</v>
      </c>
      <c r="D1064" s="127">
        <f t="shared" si="25"/>
        <v>7180.1720234295535</v>
      </c>
      <c r="E1064" s="126">
        <f t="shared" si="26"/>
        <v>2021</v>
      </c>
      <c r="F1064" s="125">
        <f>_xlfn.XLOOKUP(D187,'3. Input (des)investeringen '!$B$11:$B$89,'3. Input (des)investeringen '!$E$11:$E$89)</f>
        <v>0</v>
      </c>
    </row>
    <row r="1065" spans="2:6">
      <c r="B1065">
        <v>171</v>
      </c>
      <c r="D1065" s="127">
        <f t="shared" si="25"/>
        <v>68385.256874844577</v>
      </c>
      <c r="E1065" s="126">
        <f t="shared" si="26"/>
        <v>2021</v>
      </c>
      <c r="F1065" s="125">
        <f>_xlfn.XLOOKUP(D188,'3. Input (des)investeringen '!$B$11:$B$89,'3. Input (des)investeringen '!$E$11:$E$89)</f>
        <v>0</v>
      </c>
    </row>
    <row r="1066" spans="2:6">
      <c r="B1066">
        <v>172</v>
      </c>
      <c r="D1066" s="127">
        <f t="shared" si="25"/>
        <v>57231.902287510849</v>
      </c>
      <c r="E1066" s="126">
        <f t="shared" si="26"/>
        <v>2021</v>
      </c>
      <c r="F1066" s="125">
        <f>_xlfn.XLOOKUP(D189,'3. Input (des)investeringen '!$B$11:$B$89,'3. Input (des)investeringen '!$E$11:$E$89)</f>
        <v>0</v>
      </c>
    </row>
    <row r="1067" spans="2:6">
      <c r="B1067">
        <v>173</v>
      </c>
      <c r="D1067" s="127">
        <f t="shared" si="25"/>
        <v>139666.15519997373</v>
      </c>
      <c r="E1067" s="126">
        <f t="shared" si="26"/>
        <v>2021</v>
      </c>
      <c r="F1067" s="125">
        <f>_xlfn.XLOOKUP(D190,'3. Input (des)investeringen '!$B$11:$B$89,'3. Input (des)investeringen '!$E$11:$E$89)</f>
        <v>0</v>
      </c>
    </row>
    <row r="1068" spans="2:6">
      <c r="B1068">
        <v>174</v>
      </c>
      <c r="D1068" s="127">
        <f t="shared" si="25"/>
        <v>261877.80964518842</v>
      </c>
      <c r="E1068" s="126">
        <f t="shared" si="26"/>
        <v>2021</v>
      </c>
      <c r="F1068" s="125">
        <f>_xlfn.XLOOKUP(D191,'3. Input (des)investeringen '!$B$11:$B$89,'3. Input (des)investeringen '!$E$11:$E$89)</f>
        <v>0</v>
      </c>
    </row>
    <row r="1069" spans="2:6">
      <c r="B1069">
        <v>175</v>
      </c>
      <c r="D1069" s="127">
        <f t="shared" si="25"/>
        <v>384106.38797041745</v>
      </c>
      <c r="E1069" s="126">
        <f t="shared" si="26"/>
        <v>2021</v>
      </c>
      <c r="F1069" s="125">
        <f>_xlfn.XLOOKUP(D192,'3. Input (des)investeringen '!$B$11:$B$89,'3. Input (des)investeringen '!$E$11:$E$89)</f>
        <v>0</v>
      </c>
    </row>
    <row r="1070" spans="2:6">
      <c r="B1070">
        <v>176</v>
      </c>
      <c r="D1070" s="127">
        <f t="shared" si="25"/>
        <v>349737.18217299768</v>
      </c>
      <c r="E1070" s="126">
        <f t="shared" si="26"/>
        <v>2021</v>
      </c>
      <c r="F1070" s="125">
        <f>_xlfn.XLOOKUP(D193,'3. Input (des)investeringen '!$B$11:$B$89,'3. Input (des)investeringen '!$E$11:$E$89)</f>
        <v>0</v>
      </c>
    </row>
    <row r="1071" spans="2:6">
      <c r="B1071">
        <v>177</v>
      </c>
      <c r="D1071" s="127">
        <f t="shared" si="25"/>
        <v>43685.695437945156</v>
      </c>
      <c r="E1071" s="126">
        <f t="shared" si="26"/>
        <v>2021</v>
      </c>
      <c r="F1071" s="125">
        <f>_xlfn.XLOOKUP(D194,'3. Input (des)investeringen '!$B$11:$B$89,'3. Input (des)investeringen '!$E$11:$E$89)</f>
        <v>0</v>
      </c>
    </row>
    <row r="1072" spans="2:6">
      <c r="B1072">
        <v>178</v>
      </c>
      <c r="D1072" s="127">
        <f t="shared" si="25"/>
        <v>26142.883444457802</v>
      </c>
      <c r="E1072" s="126">
        <f t="shared" si="26"/>
        <v>2021</v>
      </c>
      <c r="F1072" s="125">
        <f>_xlfn.XLOOKUP(D195,'3. Input (des)investeringen '!$B$11:$B$89,'3. Input (des)investeringen '!$E$11:$E$89)</f>
        <v>0</v>
      </c>
    </row>
    <row r="1073" spans="2:6">
      <c r="B1073">
        <v>179</v>
      </c>
      <c r="D1073" s="127">
        <f t="shared" si="25"/>
        <v>91685.903273300093</v>
      </c>
      <c r="E1073" s="126">
        <f t="shared" si="26"/>
        <v>2021</v>
      </c>
      <c r="F1073" s="125">
        <f>_xlfn.XLOOKUP(D196,'3. Input (des)investeringen '!$B$11:$B$89,'3. Input (des)investeringen '!$E$11:$E$89)</f>
        <v>0</v>
      </c>
    </row>
    <row r="1074" spans="2:6">
      <c r="B1074">
        <v>180</v>
      </c>
      <c r="D1074" s="127">
        <f t="shared" si="25"/>
        <v>406564.28543185152</v>
      </c>
      <c r="E1074" s="126">
        <f t="shared" si="26"/>
        <v>2021</v>
      </c>
      <c r="F1074" s="125">
        <f>_xlfn.XLOOKUP(D197,'3. Input (des)investeringen '!$B$11:$B$89,'3. Input (des)investeringen '!$E$11:$E$89)</f>
        <v>0</v>
      </c>
    </row>
    <row r="1075" spans="2:6">
      <c r="B1075">
        <v>181</v>
      </c>
      <c r="D1075" s="127">
        <f t="shared" si="25"/>
        <v>4343.1703706661292</v>
      </c>
      <c r="E1075" s="126">
        <f t="shared" si="26"/>
        <v>2021</v>
      </c>
      <c r="F1075" s="125">
        <f>_xlfn.XLOOKUP(D198,'3. Input (des)investeringen '!$B$11:$B$89,'3. Input (des)investeringen '!$E$11:$E$89)</f>
        <v>0</v>
      </c>
    </row>
    <row r="1076" spans="2:6">
      <c r="B1076">
        <v>182</v>
      </c>
      <c r="D1076" s="127">
        <f t="shared" si="25"/>
        <v>417969.94669647992</v>
      </c>
      <c r="E1076" s="126">
        <f t="shared" si="26"/>
        <v>2021</v>
      </c>
      <c r="F1076" s="125">
        <f>_xlfn.XLOOKUP(D199,'3. Input (des)investeringen '!$B$11:$B$89,'3. Input (des)investeringen '!$E$11:$E$89)</f>
        <v>0</v>
      </c>
    </row>
    <row r="1077" spans="2:6">
      <c r="B1077">
        <v>183</v>
      </c>
      <c r="D1077" s="127">
        <f t="shared" si="25"/>
        <v>565140.25960966269</v>
      </c>
      <c r="E1077" s="126">
        <f t="shared" si="26"/>
        <v>2021</v>
      </c>
      <c r="F1077" s="125">
        <f>_xlfn.XLOOKUP(D200,'3. Input (des)investeringen '!$B$11:$B$89,'3. Input (des)investeringen '!$E$11:$E$89)</f>
        <v>0</v>
      </c>
    </row>
    <row r="1078" spans="2:6">
      <c r="B1078">
        <v>184</v>
      </c>
      <c r="D1078" s="127">
        <f t="shared" si="25"/>
        <v>146891.26988423668</v>
      </c>
      <c r="E1078" s="126">
        <f t="shared" si="26"/>
        <v>2021</v>
      </c>
      <c r="F1078" s="125">
        <f>_xlfn.XLOOKUP(D201,'3. Input (des)investeringen '!$B$11:$B$89,'3. Input (des)investeringen '!$E$11:$E$89)</f>
        <v>0</v>
      </c>
    </row>
    <row r="1079" spans="2:6">
      <c r="B1079">
        <v>185</v>
      </c>
      <c r="D1079" s="127">
        <f t="shared" si="25"/>
        <v>17125.53813751788</v>
      </c>
      <c r="E1079" s="126">
        <f t="shared" si="26"/>
        <v>2021</v>
      </c>
      <c r="F1079" s="125">
        <f>_xlfn.XLOOKUP(D202,'3. Input (des)investeringen '!$B$11:$B$89,'3. Input (des)investeringen '!$E$11:$E$89)</f>
        <v>0</v>
      </c>
    </row>
    <row r="1080" spans="2:6">
      <c r="B1080">
        <v>186</v>
      </c>
      <c r="D1080" s="127">
        <f t="shared" si="25"/>
        <v>34968.302630908467</v>
      </c>
      <c r="E1080" s="126">
        <f t="shared" si="26"/>
        <v>2021</v>
      </c>
      <c r="F1080" s="125">
        <f>_xlfn.XLOOKUP(D203,'3. Input (des)investeringen '!$B$11:$B$89,'3. Input (des)investeringen '!$E$11:$E$89)</f>
        <v>0</v>
      </c>
    </row>
    <row r="1081" spans="2:6">
      <c r="B1081">
        <v>187</v>
      </c>
      <c r="D1081" s="127">
        <f t="shared" si="25"/>
        <v>568322.42919150752</v>
      </c>
      <c r="E1081" s="126">
        <f t="shared" si="26"/>
        <v>2021</v>
      </c>
      <c r="F1081" s="125">
        <f>_xlfn.XLOOKUP(D204,'3. Input (des)investeringen '!$B$11:$B$89,'3. Input (des)investeringen '!$E$11:$E$89)</f>
        <v>0</v>
      </c>
    </row>
    <row r="1082" spans="2:6">
      <c r="B1082">
        <v>188</v>
      </c>
      <c r="D1082" s="127">
        <f t="shared" si="25"/>
        <v>39042.787781114006</v>
      </c>
      <c r="E1082" s="126">
        <f t="shared" si="26"/>
        <v>2021</v>
      </c>
      <c r="F1082" s="125">
        <f>_xlfn.XLOOKUP(D205,'3. Input (des)investeringen '!$B$11:$B$89,'3. Input (des)investeringen '!$E$11:$E$89)</f>
        <v>0</v>
      </c>
    </row>
    <row r="1083" spans="2:6">
      <c r="B1083">
        <v>189</v>
      </c>
      <c r="D1083" s="127">
        <f t="shared" si="25"/>
        <v>123253.28439898259</v>
      </c>
      <c r="E1083" s="126">
        <f t="shared" si="26"/>
        <v>2021</v>
      </c>
      <c r="F1083" s="125">
        <f>_xlfn.XLOOKUP(D206,'3. Input (des)investeringen '!$B$11:$B$89,'3. Input (des)investeringen '!$E$11:$E$89)</f>
        <v>0</v>
      </c>
    </row>
    <row r="1084" spans="2:6">
      <c r="B1084">
        <v>190</v>
      </c>
      <c r="D1084" s="127">
        <f t="shared" si="25"/>
        <v>55481.291015903735</v>
      </c>
      <c r="E1084" s="126">
        <f t="shared" si="26"/>
        <v>2021</v>
      </c>
      <c r="F1084" s="125">
        <f>_xlfn.XLOOKUP(D207,'3. Input (des)investeringen '!$B$11:$B$89,'3. Input (des)investeringen '!$E$11:$E$89)</f>
        <v>0</v>
      </c>
    </row>
    <row r="1085" spans="2:6">
      <c r="B1085">
        <v>191</v>
      </c>
      <c r="D1085" s="127">
        <f t="shared" si="25"/>
        <v>10091.637804543583</v>
      </c>
      <c r="E1085" s="126">
        <f t="shared" si="26"/>
        <v>2021</v>
      </c>
      <c r="F1085" s="125">
        <f>_xlfn.XLOOKUP(D208,'3. Input (des)investeringen '!$B$11:$B$89,'3. Input (des)investeringen '!$E$11:$E$89)</f>
        <v>0</v>
      </c>
    </row>
    <row r="1086" spans="2:6">
      <c r="B1086">
        <v>192</v>
      </c>
      <c r="D1086" s="127">
        <f t="shared" si="25"/>
        <v>270121.01778384193</v>
      </c>
      <c r="E1086" s="126">
        <f t="shared" si="26"/>
        <v>2021</v>
      </c>
      <c r="F1086" s="125">
        <f>_xlfn.XLOOKUP(D209,'3. Input (des)investeringen '!$B$11:$B$89,'3. Input (des)investeringen '!$E$11:$E$89)</f>
        <v>0</v>
      </c>
    </row>
    <row r="1087" spans="2:6">
      <c r="B1087">
        <v>193</v>
      </c>
      <c r="D1087" s="127">
        <f t="shared" ref="D1087:D1150" si="27">F210*INDEX($E$810:$CG$890,E210-1945,G210-1945)</f>
        <v>35012.560970798419</v>
      </c>
      <c r="E1087" s="126">
        <f t="shared" ref="E1087:E1150" si="28">G210</f>
        <v>2021</v>
      </c>
      <c r="F1087" s="125">
        <f>_xlfn.XLOOKUP(D210,'3. Input (des)investeringen '!$B$11:$B$89,'3. Input (des)investeringen '!$E$11:$E$89)</f>
        <v>0</v>
      </c>
    </row>
    <row r="1088" spans="2:6">
      <c r="B1088">
        <v>194</v>
      </c>
      <c r="D1088" s="127">
        <f t="shared" si="27"/>
        <v>62541.855255277696</v>
      </c>
      <c r="E1088" s="126">
        <f t="shared" si="28"/>
        <v>2021</v>
      </c>
      <c r="F1088" s="125">
        <f>_xlfn.XLOOKUP(D211,'3. Input (des)investeringen '!$B$11:$B$89,'3. Input (des)investeringen '!$E$11:$E$89)</f>
        <v>0</v>
      </c>
    </row>
    <row r="1089" spans="2:6">
      <c r="B1089">
        <v>195</v>
      </c>
      <c r="D1089" s="127">
        <f t="shared" si="27"/>
        <v>33394.539172533448</v>
      </c>
      <c r="E1089" s="126">
        <f t="shared" si="28"/>
        <v>2021</v>
      </c>
      <c r="F1089" s="125">
        <f>_xlfn.XLOOKUP(D212,'3. Input (des)investeringen '!$B$11:$B$89,'3. Input (des)investeringen '!$E$11:$E$89)</f>
        <v>0</v>
      </c>
    </row>
    <row r="1090" spans="2:6">
      <c r="B1090">
        <v>196</v>
      </c>
      <c r="D1090" s="127">
        <f t="shared" si="27"/>
        <v>90699.603627050601</v>
      </c>
      <c r="E1090" s="126">
        <f t="shared" si="28"/>
        <v>2021</v>
      </c>
      <c r="F1090" s="125">
        <f>_xlfn.XLOOKUP(D213,'3. Input (des)investeringen '!$B$11:$B$89,'3. Input (des)investeringen '!$E$11:$E$89)</f>
        <v>0</v>
      </c>
    </row>
    <row r="1091" spans="2:6">
      <c r="B1091">
        <v>197</v>
      </c>
      <c r="D1091" s="127">
        <f t="shared" si="27"/>
        <v>52450.485618818253</v>
      </c>
      <c r="E1091" s="126">
        <f t="shared" si="28"/>
        <v>2021</v>
      </c>
      <c r="F1091" s="125">
        <f>_xlfn.XLOOKUP(D214,'3. Input (des)investeringen '!$B$11:$B$89,'3. Input (des)investeringen '!$E$11:$E$89)</f>
        <v>0</v>
      </c>
    </row>
    <row r="1092" spans="2:6">
      <c r="B1092">
        <v>198</v>
      </c>
      <c r="D1092" s="127">
        <f t="shared" si="27"/>
        <v>97120.363411276601</v>
      </c>
      <c r="E1092" s="126">
        <f t="shared" si="28"/>
        <v>2021</v>
      </c>
      <c r="F1092" s="125">
        <f>_xlfn.XLOOKUP(D215,'3. Input (des)investeringen '!$B$11:$B$89,'3. Input (des)investeringen '!$E$11:$E$89)</f>
        <v>0</v>
      </c>
    </row>
    <row r="1093" spans="2:6">
      <c r="B1093">
        <v>199</v>
      </c>
      <c r="D1093" s="127">
        <f t="shared" si="27"/>
        <v>35812.951397548226</v>
      </c>
      <c r="E1093" s="126">
        <f t="shared" si="28"/>
        <v>2021</v>
      </c>
      <c r="F1093" s="125">
        <f>_xlfn.XLOOKUP(D216,'3. Input (des)investeringen '!$B$11:$B$89,'3. Input (des)investeringen '!$E$11:$E$89)</f>
        <v>1</v>
      </c>
    </row>
    <row r="1094" spans="2:6">
      <c r="B1094">
        <v>200</v>
      </c>
      <c r="D1094" s="127">
        <f t="shared" si="27"/>
        <v>7395.676945150738</v>
      </c>
      <c r="E1094" s="126">
        <f t="shared" si="28"/>
        <v>2021</v>
      </c>
      <c r="F1094" s="125">
        <f>_xlfn.XLOOKUP(D217,'3. Input (des)investeringen '!$B$11:$B$89,'3. Input (des)investeringen '!$E$11:$E$89)</f>
        <v>1</v>
      </c>
    </row>
    <row r="1095" spans="2:6">
      <c r="B1095">
        <v>201</v>
      </c>
      <c r="D1095" s="127">
        <f t="shared" si="27"/>
        <v>9234.2532207256827</v>
      </c>
      <c r="E1095" s="126">
        <f t="shared" si="28"/>
        <v>2021</v>
      </c>
      <c r="F1095" s="125">
        <f>_xlfn.XLOOKUP(D218,'3. Input (des)investeringen '!$B$11:$B$89,'3. Input (des)investeringen '!$E$11:$E$89)</f>
        <v>1</v>
      </c>
    </row>
    <row r="1096" spans="2:6">
      <c r="B1096">
        <v>202</v>
      </c>
      <c r="D1096" s="127">
        <f t="shared" si="27"/>
        <v>38374.048222204416</v>
      </c>
      <c r="E1096" s="126">
        <f t="shared" si="28"/>
        <v>2021</v>
      </c>
      <c r="F1096" s="125">
        <f>_xlfn.XLOOKUP(D219,'3. Input (des)investeringen '!$B$11:$B$89,'3. Input (des)investeringen '!$E$11:$E$89)</f>
        <v>1</v>
      </c>
    </row>
    <row r="1097" spans="2:6">
      <c r="B1097">
        <v>203</v>
      </c>
      <c r="D1097" s="127">
        <f t="shared" si="27"/>
        <v>54618.312856535376</v>
      </c>
      <c r="E1097" s="126">
        <f t="shared" si="28"/>
        <v>2021</v>
      </c>
      <c r="F1097" s="125">
        <f>_xlfn.XLOOKUP(D220,'3. Input (des)investeringen '!$B$11:$B$89,'3. Input (des)investeringen '!$E$11:$E$89)</f>
        <v>1</v>
      </c>
    </row>
    <row r="1098" spans="2:6">
      <c r="B1098">
        <v>204</v>
      </c>
      <c r="D1098" s="127">
        <f t="shared" si="27"/>
        <v>32933.043087597522</v>
      </c>
      <c r="E1098" s="126">
        <f t="shared" si="28"/>
        <v>2021</v>
      </c>
      <c r="F1098" s="125">
        <f>_xlfn.XLOOKUP(D221,'3. Input (des)investeringen '!$B$11:$B$89,'3. Input (des)investeringen '!$E$11:$E$89)</f>
        <v>1</v>
      </c>
    </row>
    <row r="1099" spans="2:6">
      <c r="B1099">
        <v>205</v>
      </c>
      <c r="D1099" s="127">
        <f t="shared" si="27"/>
        <v>15991.4120397446</v>
      </c>
      <c r="E1099" s="126">
        <f t="shared" si="28"/>
        <v>2021</v>
      </c>
      <c r="F1099" s="125">
        <f>_xlfn.XLOOKUP(D222,'3. Input (des)investeringen '!$B$11:$B$89,'3. Input (des)investeringen '!$E$11:$E$89)</f>
        <v>1</v>
      </c>
    </row>
    <row r="1100" spans="2:6">
      <c r="B1100">
        <v>206</v>
      </c>
      <c r="D1100" s="127">
        <f t="shared" si="27"/>
        <v>385081.50137901091</v>
      </c>
      <c r="E1100" s="126">
        <f t="shared" si="28"/>
        <v>2021</v>
      </c>
      <c r="F1100" s="125">
        <f>_xlfn.XLOOKUP(D223,'3. Input (des)investeringen '!$B$11:$B$89,'3. Input (des)investeringen '!$E$11:$E$89)</f>
        <v>1</v>
      </c>
    </row>
    <row r="1101" spans="2:6">
      <c r="B1101">
        <v>207</v>
      </c>
      <c r="D1101" s="127">
        <f t="shared" si="27"/>
        <v>240431.96093370012</v>
      </c>
      <c r="E1101" s="126">
        <f t="shared" si="28"/>
        <v>2021</v>
      </c>
      <c r="F1101" s="125">
        <f>_xlfn.XLOOKUP(D224,'3. Input (des)investeringen '!$B$11:$B$89,'3. Input (des)investeringen '!$E$11:$E$89)</f>
        <v>1</v>
      </c>
    </row>
    <row r="1102" spans="2:6">
      <c r="B1102">
        <v>208</v>
      </c>
      <c r="D1102" s="127">
        <f t="shared" si="27"/>
        <v>1009696.3117501126</v>
      </c>
      <c r="E1102" s="126">
        <f t="shared" si="28"/>
        <v>2021</v>
      </c>
      <c r="F1102" s="125">
        <f>_xlfn.XLOOKUP(D225,'3. Input (des)investeringen '!$B$11:$B$89,'3. Input (des)investeringen '!$E$11:$E$89)</f>
        <v>1</v>
      </c>
    </row>
    <row r="1103" spans="2:6">
      <c r="B1103">
        <v>209</v>
      </c>
      <c r="D1103" s="127">
        <f t="shared" si="27"/>
        <v>150181.49791814786</v>
      </c>
      <c r="E1103" s="126">
        <f t="shared" si="28"/>
        <v>2021</v>
      </c>
      <c r="F1103" s="125">
        <f>_xlfn.XLOOKUP(D226,'3. Input (des)investeringen '!$B$11:$B$89,'3. Input (des)investeringen '!$E$11:$E$89)</f>
        <v>1</v>
      </c>
    </row>
    <row r="1104" spans="2:6">
      <c r="B1104">
        <v>210</v>
      </c>
      <c r="D1104" s="127">
        <f t="shared" si="27"/>
        <v>142565.19188129232</v>
      </c>
      <c r="E1104" s="126">
        <f t="shared" si="28"/>
        <v>2021</v>
      </c>
      <c r="F1104" s="125">
        <f>_xlfn.XLOOKUP(D227,'3. Input (des)investeringen '!$B$11:$B$89,'3. Input (des)investeringen '!$E$11:$E$89)</f>
        <v>1</v>
      </c>
    </row>
    <row r="1105" spans="2:6">
      <c r="B1105">
        <v>211</v>
      </c>
      <c r="D1105" s="127">
        <f t="shared" si="27"/>
        <v>165452.03127582563</v>
      </c>
      <c r="E1105" s="126">
        <f t="shared" si="28"/>
        <v>2021</v>
      </c>
      <c r="F1105" s="125">
        <f>_xlfn.XLOOKUP(D228,'3. Input (des)investeringen '!$B$11:$B$89,'3. Input (des)investeringen '!$E$11:$E$89)</f>
        <v>1</v>
      </c>
    </row>
    <row r="1106" spans="2:6">
      <c r="B1106">
        <v>212</v>
      </c>
      <c r="D1106" s="127">
        <f t="shared" si="27"/>
        <v>58464.304990344099</v>
      </c>
      <c r="E1106" s="126">
        <f t="shared" si="28"/>
        <v>2021</v>
      </c>
      <c r="F1106" s="125">
        <f>_xlfn.XLOOKUP(D229,'3. Input (des)investeringen '!$B$11:$B$89,'3. Input (des)investeringen '!$E$11:$E$89)</f>
        <v>1</v>
      </c>
    </row>
    <row r="1107" spans="2:6">
      <c r="B1107">
        <v>213</v>
      </c>
      <c r="D1107" s="127">
        <f t="shared" si="27"/>
        <v>280032.44418820832</v>
      </c>
      <c r="E1107" s="126">
        <f t="shared" si="28"/>
        <v>2021</v>
      </c>
      <c r="F1107" s="125">
        <f>_xlfn.XLOOKUP(D230,'3. Input (des)investeringen '!$B$11:$B$89,'3. Input (des)investeringen '!$E$11:$E$89)</f>
        <v>1</v>
      </c>
    </row>
    <row r="1108" spans="2:6">
      <c r="B1108">
        <v>214</v>
      </c>
      <c r="D1108" s="127">
        <f t="shared" si="27"/>
        <v>148341.65621620402</v>
      </c>
      <c r="E1108" s="126">
        <f t="shared" si="28"/>
        <v>2021</v>
      </c>
      <c r="F1108" s="125">
        <f>_xlfn.XLOOKUP(D231,'3. Input (des)investeringen '!$B$11:$B$89,'3. Input (des)investeringen '!$E$11:$E$89)</f>
        <v>1</v>
      </c>
    </row>
    <row r="1109" spans="2:6">
      <c r="B1109">
        <v>215</v>
      </c>
      <c r="D1109" s="127">
        <f t="shared" si="27"/>
        <v>44049.749833951413</v>
      </c>
      <c r="E1109" s="126">
        <f t="shared" si="28"/>
        <v>2021</v>
      </c>
      <c r="F1109" s="125">
        <f>_xlfn.XLOOKUP(D232,'3. Input (des)investeringen '!$B$11:$B$89,'3. Input (des)investeringen '!$E$11:$E$89)</f>
        <v>1</v>
      </c>
    </row>
    <row r="1110" spans="2:6">
      <c r="B1110">
        <v>216</v>
      </c>
      <c r="D1110" s="127">
        <f t="shared" si="27"/>
        <v>20139.757063131787</v>
      </c>
      <c r="E1110" s="126">
        <f t="shared" si="28"/>
        <v>2021</v>
      </c>
      <c r="F1110" s="125">
        <f>_xlfn.XLOOKUP(D233,'3. Input (des)investeringen '!$B$11:$B$89,'3. Input (des)investeringen '!$E$11:$E$89)</f>
        <v>1</v>
      </c>
    </row>
    <row r="1111" spans="2:6">
      <c r="B1111">
        <v>217</v>
      </c>
      <c r="D1111" s="127">
        <f t="shared" si="27"/>
        <v>189844.78929481862</v>
      </c>
      <c r="E1111" s="126">
        <f t="shared" si="28"/>
        <v>2021</v>
      </c>
      <c r="F1111" s="125">
        <f>_xlfn.XLOOKUP(D234,'3. Input (des)investeringen '!$B$11:$B$89,'3. Input (des)investeringen '!$E$11:$E$89)</f>
        <v>1</v>
      </c>
    </row>
    <row r="1112" spans="2:6">
      <c r="B1112">
        <v>218</v>
      </c>
      <c r="D1112" s="127">
        <f t="shared" si="27"/>
        <v>104010926.97902162</v>
      </c>
      <c r="E1112" s="126">
        <f t="shared" si="28"/>
        <v>2021</v>
      </c>
      <c r="F1112" s="125">
        <f>_xlfn.XLOOKUP(D235,'3. Input (des)investeringen '!$B$11:$B$89,'3. Input (des)investeringen '!$E$11:$E$89)</f>
        <v>0</v>
      </c>
    </row>
    <row r="1113" spans="2:6">
      <c r="B1113">
        <v>219</v>
      </c>
      <c r="D1113" s="127">
        <f t="shared" si="27"/>
        <v>116891.95984626604</v>
      </c>
      <c r="E1113" s="126">
        <f t="shared" si="28"/>
        <v>2021</v>
      </c>
      <c r="F1113" s="125">
        <f>_xlfn.XLOOKUP(D236,'3. Input (des)investeringen '!$B$11:$B$89,'3. Input (des)investeringen '!$E$11:$E$89)</f>
        <v>0</v>
      </c>
    </row>
    <row r="1114" spans="2:6">
      <c r="B1114">
        <v>220</v>
      </c>
      <c r="D1114" s="127">
        <f t="shared" si="27"/>
        <v>911799.99730978173</v>
      </c>
      <c r="E1114" s="126">
        <f t="shared" si="28"/>
        <v>2021</v>
      </c>
      <c r="F1114" s="125">
        <f>_xlfn.XLOOKUP(D237,'3. Input (des)investeringen '!$B$11:$B$89,'3. Input (des)investeringen '!$E$11:$E$89)</f>
        <v>0</v>
      </c>
    </row>
    <row r="1115" spans="2:6">
      <c r="B1115">
        <v>221</v>
      </c>
      <c r="D1115" s="127">
        <f t="shared" si="27"/>
        <v>170454.15687331129</v>
      </c>
      <c r="E1115" s="126">
        <f t="shared" si="28"/>
        <v>2021</v>
      </c>
      <c r="F1115" s="125">
        <f>_xlfn.XLOOKUP(D238,'3. Input (des)investeringen '!$B$11:$B$89,'3. Input (des)investeringen '!$E$11:$E$89)</f>
        <v>0</v>
      </c>
    </row>
    <row r="1116" spans="2:6">
      <c r="B1116">
        <v>222</v>
      </c>
      <c r="D1116" s="127">
        <f t="shared" si="27"/>
        <v>369982.18838464137</v>
      </c>
      <c r="E1116" s="126">
        <f t="shared" si="28"/>
        <v>2021</v>
      </c>
      <c r="F1116" s="125">
        <f>_xlfn.XLOOKUP(D239,'3. Input (des)investeringen '!$B$11:$B$89,'3. Input (des)investeringen '!$E$11:$E$89)</f>
        <v>0</v>
      </c>
    </row>
    <row r="1117" spans="2:6">
      <c r="B1117">
        <v>223</v>
      </c>
      <c r="D1117" s="127">
        <f t="shared" si="27"/>
        <v>522874.68696638738</v>
      </c>
      <c r="E1117" s="126">
        <f t="shared" si="28"/>
        <v>2021</v>
      </c>
      <c r="F1117" s="125">
        <f>_xlfn.XLOOKUP(D240,'3. Input (des)investeringen '!$B$11:$B$89,'3. Input (des)investeringen '!$E$11:$E$89)</f>
        <v>0</v>
      </c>
    </row>
    <row r="1118" spans="2:6">
      <c r="B1118">
        <v>224</v>
      </c>
      <c r="D1118" s="127">
        <f t="shared" si="27"/>
        <v>8992226.8388336189</v>
      </c>
      <c r="E1118" s="126">
        <f t="shared" si="28"/>
        <v>2021</v>
      </c>
      <c r="F1118" s="125">
        <f>_xlfn.XLOOKUP(D241,'3. Input (des)investeringen '!$B$11:$B$89,'3. Input (des)investeringen '!$E$11:$E$89)</f>
        <v>0</v>
      </c>
    </row>
    <row r="1119" spans="2:6">
      <c r="B1119">
        <v>225</v>
      </c>
      <c r="D1119" s="127">
        <f t="shared" si="27"/>
        <v>1248165.1609976974</v>
      </c>
      <c r="E1119" s="126">
        <f t="shared" si="28"/>
        <v>2021</v>
      </c>
      <c r="F1119" s="125">
        <f>_xlfn.XLOOKUP(D242,'3. Input (des)investeringen '!$B$11:$B$89,'3. Input (des)investeringen '!$E$11:$E$89)</f>
        <v>0</v>
      </c>
    </row>
    <row r="1120" spans="2:6">
      <c r="B1120">
        <v>226</v>
      </c>
      <c r="D1120" s="127">
        <f t="shared" si="27"/>
        <v>65321.486835707648</v>
      </c>
      <c r="E1120" s="126">
        <f t="shared" si="28"/>
        <v>2021</v>
      </c>
      <c r="F1120" s="125">
        <f>_xlfn.XLOOKUP(D243,'3. Input (des)investeringen '!$B$11:$B$89,'3. Input (des)investeringen '!$E$11:$E$89)</f>
        <v>0</v>
      </c>
    </row>
    <row r="1121" spans="2:6">
      <c r="B1121">
        <v>227</v>
      </c>
      <c r="D1121" s="127">
        <f t="shared" si="27"/>
        <v>4156569.4731986006</v>
      </c>
      <c r="E1121" s="126">
        <f t="shared" si="28"/>
        <v>2021</v>
      </c>
      <c r="F1121" s="125">
        <f>_xlfn.XLOOKUP(D244,'3. Input (des)investeringen '!$B$11:$B$89,'3. Input (des)investeringen '!$E$11:$E$89)</f>
        <v>0</v>
      </c>
    </row>
    <row r="1122" spans="2:6">
      <c r="B1122">
        <v>228</v>
      </c>
      <c r="D1122" s="127">
        <f t="shared" si="27"/>
        <v>4146788.7842293433</v>
      </c>
      <c r="E1122" s="126">
        <f t="shared" si="28"/>
        <v>2021</v>
      </c>
      <c r="F1122" s="125">
        <f>_xlfn.XLOOKUP(D245,'3. Input (des)investeringen '!$B$11:$B$89,'3. Input (des)investeringen '!$E$11:$E$89)</f>
        <v>0</v>
      </c>
    </row>
    <row r="1123" spans="2:6">
      <c r="B1123">
        <v>229</v>
      </c>
      <c r="D1123" s="127">
        <f t="shared" si="27"/>
        <v>-230531.07145305187</v>
      </c>
      <c r="E1123" s="126">
        <f t="shared" si="28"/>
        <v>2021</v>
      </c>
      <c r="F1123" s="125">
        <f>_xlfn.XLOOKUP(D246,'3. Input (des)investeringen '!$B$11:$B$89,'3. Input (des)investeringen '!$E$11:$E$89)</f>
        <v>0</v>
      </c>
    </row>
    <row r="1124" spans="2:6">
      <c r="B1124">
        <v>230</v>
      </c>
      <c r="D1124" s="127">
        <f t="shared" si="27"/>
        <v>1523751.932813362</v>
      </c>
      <c r="E1124" s="126">
        <f t="shared" si="28"/>
        <v>2021</v>
      </c>
      <c r="F1124" s="125">
        <f>_xlfn.XLOOKUP(D247,'3. Input (des)investeringen '!$B$11:$B$89,'3. Input (des)investeringen '!$E$11:$E$89)</f>
        <v>0</v>
      </c>
    </row>
    <row r="1125" spans="2:6">
      <c r="B1125">
        <v>231</v>
      </c>
      <c r="D1125" s="127">
        <f t="shared" si="27"/>
        <v>1297007.6448952188</v>
      </c>
      <c r="E1125" s="126">
        <f t="shared" si="28"/>
        <v>2021</v>
      </c>
      <c r="F1125" s="125">
        <f>_xlfn.XLOOKUP(D248,'3. Input (des)investeringen '!$B$11:$B$89,'3. Input (des)investeringen '!$E$11:$E$89)</f>
        <v>0</v>
      </c>
    </row>
    <row r="1126" spans="2:6">
      <c r="B1126">
        <v>232</v>
      </c>
      <c r="D1126" s="127">
        <f t="shared" si="27"/>
        <v>4783603.0620347345</v>
      </c>
      <c r="E1126" s="126">
        <f t="shared" si="28"/>
        <v>2021</v>
      </c>
      <c r="F1126" s="125">
        <f>_xlfn.XLOOKUP(D249,'3. Input (des)investeringen '!$B$11:$B$89,'3. Input (des)investeringen '!$E$11:$E$89)</f>
        <v>0</v>
      </c>
    </row>
    <row r="1127" spans="2:6">
      <c r="B1127">
        <v>233</v>
      </c>
      <c r="D1127" s="127">
        <f t="shared" si="27"/>
        <v>12349.860653952734</v>
      </c>
      <c r="E1127" s="126">
        <f t="shared" si="28"/>
        <v>2021</v>
      </c>
      <c r="F1127" s="125">
        <f>_xlfn.XLOOKUP(D250,'3. Input (des)investeringen '!$B$11:$B$89,'3. Input (des)investeringen '!$E$11:$E$89)</f>
        <v>0</v>
      </c>
    </row>
    <row r="1128" spans="2:6">
      <c r="B1128">
        <v>234</v>
      </c>
      <c r="D1128" s="127">
        <f t="shared" si="27"/>
        <v>114981.28949244491</v>
      </c>
      <c r="E1128" s="126">
        <f t="shared" si="28"/>
        <v>2021</v>
      </c>
      <c r="F1128" s="125">
        <f>_xlfn.XLOOKUP(D251,'3. Input (des)investeringen '!$B$11:$B$89,'3. Input (des)investeringen '!$E$11:$E$89)</f>
        <v>0</v>
      </c>
    </row>
    <row r="1129" spans="2:6">
      <c r="B1129">
        <v>235</v>
      </c>
      <c r="D1129" s="127">
        <f t="shared" si="27"/>
        <v>19331.1200477034</v>
      </c>
      <c r="E1129" s="126">
        <f t="shared" si="28"/>
        <v>2021</v>
      </c>
      <c r="F1129" s="125">
        <f>_xlfn.XLOOKUP(D252,'3. Input (des)investeringen '!$B$11:$B$89,'3. Input (des)investeringen '!$E$11:$E$89)</f>
        <v>0</v>
      </c>
    </row>
    <row r="1130" spans="2:6">
      <c r="B1130">
        <v>236</v>
      </c>
      <c r="D1130" s="127">
        <f t="shared" si="27"/>
        <v>20851.224859054288</v>
      </c>
      <c r="E1130" s="126">
        <f t="shared" si="28"/>
        <v>2021</v>
      </c>
      <c r="F1130" s="125">
        <f>_xlfn.XLOOKUP(D253,'3. Input (des)investeringen '!$B$11:$B$89,'3. Input (des)investeringen '!$E$11:$E$89)</f>
        <v>0</v>
      </c>
    </row>
    <row r="1131" spans="2:6">
      <c r="B1131">
        <v>237</v>
      </c>
      <c r="D1131" s="127">
        <f t="shared" si="27"/>
        <v>1765293.8649986126</v>
      </c>
      <c r="E1131" s="126">
        <f t="shared" si="28"/>
        <v>2021</v>
      </c>
      <c r="F1131" s="125">
        <f>_xlfn.XLOOKUP(D254,'3. Input (des)investeringen '!$B$11:$B$89,'3. Input (des)investeringen '!$E$11:$E$89)</f>
        <v>0</v>
      </c>
    </row>
    <row r="1132" spans="2:6">
      <c r="B1132">
        <v>238</v>
      </c>
      <c r="D1132" s="127">
        <f t="shared" si="27"/>
        <v>285321.61534912506</v>
      </c>
      <c r="E1132" s="126">
        <f t="shared" si="28"/>
        <v>2021</v>
      </c>
      <c r="F1132" s="125">
        <f>_xlfn.XLOOKUP(D255,'3. Input (des)investeringen '!$B$11:$B$89,'3. Input (des)investeringen '!$E$11:$E$89)</f>
        <v>0</v>
      </c>
    </row>
    <row r="1133" spans="2:6">
      <c r="B1133">
        <v>239</v>
      </c>
      <c r="D1133" s="127">
        <f t="shared" si="27"/>
        <v>149378.05172204439</v>
      </c>
      <c r="E1133" s="126">
        <f t="shared" si="28"/>
        <v>2021</v>
      </c>
      <c r="F1133" s="125">
        <f>_xlfn.XLOOKUP(D256,'3. Input (des)investeringen '!$B$11:$B$89,'3. Input (des)investeringen '!$E$11:$E$89)</f>
        <v>0</v>
      </c>
    </row>
    <row r="1134" spans="2:6">
      <c r="B1134">
        <v>240</v>
      </c>
      <c r="D1134" s="127">
        <f t="shared" si="27"/>
        <v>243984.22373602603</v>
      </c>
      <c r="E1134" s="126">
        <f t="shared" si="28"/>
        <v>2021</v>
      </c>
      <c r="F1134" s="125">
        <f>_xlfn.XLOOKUP(D257,'3. Input (des)investeringen '!$B$11:$B$89,'3. Input (des)investeringen '!$E$11:$E$89)</f>
        <v>0</v>
      </c>
    </row>
    <row r="1135" spans="2:6">
      <c r="B1135">
        <v>241</v>
      </c>
      <c r="D1135" s="127">
        <f t="shared" si="27"/>
        <v>104610.26629596196</v>
      </c>
      <c r="E1135" s="126">
        <f t="shared" si="28"/>
        <v>2021</v>
      </c>
      <c r="F1135" s="125">
        <f>_xlfn.XLOOKUP(D258,'3. Input (des)investeringen '!$B$11:$B$89,'3. Input (des)investeringen '!$E$11:$E$89)</f>
        <v>0</v>
      </c>
    </row>
    <row r="1136" spans="2:6">
      <c r="B1136">
        <v>242</v>
      </c>
      <c r="D1136" s="127">
        <f t="shared" si="27"/>
        <v>195391.21351023228</v>
      </c>
      <c r="E1136" s="126">
        <f t="shared" si="28"/>
        <v>2021</v>
      </c>
      <c r="F1136" s="125">
        <f>_xlfn.XLOOKUP(D259,'3. Input (des)investeringen '!$B$11:$B$89,'3. Input (des)investeringen '!$E$11:$E$89)</f>
        <v>0</v>
      </c>
    </row>
    <row r="1137" spans="2:6">
      <c r="B1137">
        <v>243</v>
      </c>
      <c r="D1137" s="127">
        <f t="shared" si="27"/>
        <v>163915.44571076255</v>
      </c>
      <c r="E1137" s="126">
        <f t="shared" si="28"/>
        <v>2021</v>
      </c>
      <c r="F1137" s="125">
        <f>_xlfn.XLOOKUP(D260,'3. Input (des)investeringen '!$B$11:$B$89,'3. Input (des)investeringen '!$E$11:$E$89)</f>
        <v>0</v>
      </c>
    </row>
    <row r="1138" spans="2:6">
      <c r="B1138">
        <v>244</v>
      </c>
      <c r="D1138" s="127">
        <f t="shared" si="27"/>
        <v>32969.87889546567</v>
      </c>
      <c r="E1138" s="126">
        <f t="shared" si="28"/>
        <v>2021</v>
      </c>
      <c r="F1138" s="125">
        <f>_xlfn.XLOOKUP(D261,'3. Input (des)investeringen '!$B$11:$B$89,'3. Input (des)investeringen '!$E$11:$E$89)</f>
        <v>0</v>
      </c>
    </row>
    <row r="1139" spans="2:6">
      <c r="B1139">
        <v>245</v>
      </c>
      <c r="D1139" s="127">
        <f t="shared" si="27"/>
        <v>480037.33780433988</v>
      </c>
      <c r="E1139" s="126">
        <f t="shared" si="28"/>
        <v>2021</v>
      </c>
      <c r="F1139" s="125">
        <f>_xlfn.XLOOKUP(D262,'3. Input (des)investeringen '!$B$11:$B$89,'3. Input (des)investeringen '!$E$11:$E$89)</f>
        <v>0</v>
      </c>
    </row>
    <row r="1140" spans="2:6">
      <c r="B1140">
        <v>246</v>
      </c>
      <c r="D1140" s="127">
        <f t="shared" si="27"/>
        <v>39584.037201071034</v>
      </c>
      <c r="E1140" s="126">
        <f t="shared" si="28"/>
        <v>2021</v>
      </c>
      <c r="F1140" s="125">
        <f>_xlfn.XLOOKUP(D263,'3. Input (des)investeringen '!$B$11:$B$89,'3. Input (des)investeringen '!$E$11:$E$89)</f>
        <v>0</v>
      </c>
    </row>
    <row r="1141" spans="2:6">
      <c r="B1141">
        <v>247</v>
      </c>
      <c r="D1141" s="127">
        <f t="shared" si="27"/>
        <v>130083.06844424587</v>
      </c>
      <c r="E1141" s="126">
        <f t="shared" si="28"/>
        <v>2021</v>
      </c>
      <c r="F1141" s="125">
        <f>_xlfn.XLOOKUP(D264,'3. Input (des)investeringen '!$B$11:$B$89,'3. Input (des)investeringen '!$E$11:$E$89)</f>
        <v>0</v>
      </c>
    </row>
    <row r="1142" spans="2:6">
      <c r="B1142">
        <v>248</v>
      </c>
      <c r="D1142" s="127">
        <f t="shared" si="27"/>
        <v>93719.44025903086</v>
      </c>
      <c r="E1142" s="126">
        <f t="shared" si="28"/>
        <v>2021</v>
      </c>
      <c r="F1142" s="125">
        <f>_xlfn.XLOOKUP(D265,'3. Input (des)investeringen '!$B$11:$B$89,'3. Input (des)investeringen '!$E$11:$E$89)</f>
        <v>0</v>
      </c>
    </row>
    <row r="1143" spans="2:6">
      <c r="B1143">
        <v>249</v>
      </c>
      <c r="D1143" s="127">
        <f t="shared" si="27"/>
        <v>935644.29138639243</v>
      </c>
      <c r="E1143" s="126">
        <f t="shared" si="28"/>
        <v>2021</v>
      </c>
      <c r="F1143" s="125">
        <f>_xlfn.XLOOKUP(D266,'3. Input (des)investeringen '!$B$11:$B$89,'3. Input (des)investeringen '!$E$11:$E$89)</f>
        <v>0</v>
      </c>
    </row>
    <row r="1144" spans="2:6">
      <c r="B1144">
        <v>250</v>
      </c>
      <c r="D1144" s="127">
        <f t="shared" si="27"/>
        <v>335934.63931652613</v>
      </c>
      <c r="E1144" s="126">
        <f t="shared" si="28"/>
        <v>2021</v>
      </c>
      <c r="F1144" s="125">
        <f>_xlfn.XLOOKUP(D267,'3. Input (des)investeringen '!$B$11:$B$89,'3. Input (des)investeringen '!$E$11:$E$89)</f>
        <v>0</v>
      </c>
    </row>
    <row r="1145" spans="2:6">
      <c r="B1145">
        <v>251</v>
      </c>
      <c r="D1145" s="127">
        <f t="shared" si="27"/>
        <v>490147.87998982042</v>
      </c>
      <c r="E1145" s="126">
        <f t="shared" si="28"/>
        <v>2021</v>
      </c>
      <c r="F1145" s="125">
        <f>_xlfn.XLOOKUP(D268,'3. Input (des)investeringen '!$B$11:$B$89,'3. Input (des)investeringen '!$E$11:$E$89)</f>
        <v>0</v>
      </c>
    </row>
    <row r="1146" spans="2:6">
      <c r="B1146">
        <v>252</v>
      </c>
      <c r="D1146" s="127">
        <f t="shared" si="27"/>
        <v>13148.18159183512</v>
      </c>
      <c r="E1146" s="126">
        <f t="shared" si="28"/>
        <v>2021</v>
      </c>
      <c r="F1146" s="125">
        <f>_xlfn.XLOOKUP(D269,'3. Input (des)investeringen '!$B$11:$B$89,'3. Input (des)investeringen '!$E$11:$E$89)</f>
        <v>1</v>
      </c>
    </row>
    <row r="1147" spans="2:6">
      <c r="B1147">
        <v>253</v>
      </c>
      <c r="D1147" s="127">
        <f t="shared" si="27"/>
        <v>2198.8097783725052</v>
      </c>
      <c r="E1147" s="126">
        <f t="shared" si="28"/>
        <v>2021</v>
      </c>
      <c r="F1147" s="125">
        <f>_xlfn.XLOOKUP(D270,'3. Input (des)investeringen '!$B$11:$B$89,'3. Input (des)investeringen '!$E$11:$E$89)</f>
        <v>1</v>
      </c>
    </row>
    <row r="1148" spans="2:6">
      <c r="B1148">
        <v>254</v>
      </c>
      <c r="D1148" s="127">
        <f t="shared" si="27"/>
        <v>969.85938554552843</v>
      </c>
      <c r="E1148" s="126">
        <f t="shared" si="28"/>
        <v>2021</v>
      </c>
      <c r="F1148" s="125">
        <f>_xlfn.XLOOKUP(D271,'3. Input (des)investeringen '!$B$11:$B$89,'3. Input (des)investeringen '!$E$11:$E$89)</f>
        <v>1</v>
      </c>
    </row>
    <row r="1149" spans="2:6">
      <c r="B1149">
        <v>255</v>
      </c>
      <c r="D1149" s="127">
        <f t="shared" si="27"/>
        <v>59918.898744918304</v>
      </c>
      <c r="E1149" s="126">
        <f t="shared" si="28"/>
        <v>2021</v>
      </c>
      <c r="F1149" s="125">
        <f>_xlfn.XLOOKUP(D272,'3. Input (des)investeringen '!$B$11:$B$89,'3. Input (des)investeringen '!$E$11:$E$89)</f>
        <v>1</v>
      </c>
    </row>
    <row r="1150" spans="2:6">
      <c r="B1150">
        <v>256</v>
      </c>
      <c r="D1150" s="127">
        <f t="shared" si="27"/>
        <v>2839.9947986221796</v>
      </c>
      <c r="E1150" s="126">
        <f t="shared" si="28"/>
        <v>2021</v>
      </c>
      <c r="F1150" s="125">
        <f>_xlfn.XLOOKUP(D273,'3. Input (des)investeringen '!$B$11:$B$89,'3. Input (des)investeringen '!$E$11:$E$89)</f>
        <v>1</v>
      </c>
    </row>
    <row r="1151" spans="2:6">
      <c r="B1151">
        <v>257</v>
      </c>
      <c r="D1151" s="127">
        <f t="shared" ref="D1151:D1214" si="29">F274*INDEX($E$810:$CG$890,E274-1945,G274-1945)</f>
        <v>637836.07775882166</v>
      </c>
      <c r="E1151" s="126">
        <f t="shared" ref="E1151:E1214" si="30">G274</f>
        <v>2021</v>
      </c>
      <c r="F1151" s="125">
        <f>_xlfn.XLOOKUP(D274,'3. Input (des)investeringen '!$B$11:$B$89,'3. Input (des)investeringen '!$E$11:$E$89)</f>
        <v>1</v>
      </c>
    </row>
    <row r="1152" spans="2:6">
      <c r="B1152">
        <v>258</v>
      </c>
      <c r="D1152" s="127">
        <f t="shared" si="29"/>
        <v>64198.222918813022</v>
      </c>
      <c r="E1152" s="126">
        <f t="shared" si="30"/>
        <v>2021</v>
      </c>
      <c r="F1152" s="125">
        <f>_xlfn.XLOOKUP(D275,'3. Input (des)investeringen '!$B$11:$B$89,'3. Input (des)investeringen '!$E$11:$E$89)</f>
        <v>1</v>
      </c>
    </row>
    <row r="1153" spans="2:6">
      <c r="B1153">
        <v>259</v>
      </c>
      <c r="D1153" s="127">
        <f t="shared" si="29"/>
        <v>13522.842733938553</v>
      </c>
      <c r="E1153" s="126">
        <f t="shared" si="30"/>
        <v>2021</v>
      </c>
      <c r="F1153" s="125">
        <f>_xlfn.XLOOKUP(D276,'3. Input (des)investeringen '!$B$11:$B$89,'3. Input (des)investeringen '!$E$11:$E$89)</f>
        <v>1</v>
      </c>
    </row>
    <row r="1154" spans="2:6">
      <c r="B1154">
        <v>260</v>
      </c>
      <c r="D1154" s="127">
        <f t="shared" si="29"/>
        <v>892.28276518311873</v>
      </c>
      <c r="E1154" s="126">
        <f t="shared" si="30"/>
        <v>2021</v>
      </c>
      <c r="F1154" s="125">
        <f>_xlfn.XLOOKUP(D277,'3. Input (des)investeringen '!$B$11:$B$89,'3. Input (des)investeringen '!$E$11:$E$89)</f>
        <v>1</v>
      </c>
    </row>
    <row r="1155" spans="2:6">
      <c r="B1155">
        <v>261</v>
      </c>
      <c r="D1155" s="127">
        <f t="shared" si="29"/>
        <v>14093.341376277704</v>
      </c>
      <c r="E1155" s="126">
        <f t="shared" si="30"/>
        <v>2021</v>
      </c>
      <c r="F1155" s="125">
        <f>_xlfn.XLOOKUP(D278,'3. Input (des)investeringen '!$B$11:$B$89,'3. Input (des)investeringen '!$E$11:$E$89)</f>
        <v>1</v>
      </c>
    </row>
    <row r="1156" spans="2:6">
      <c r="B1156">
        <v>262</v>
      </c>
      <c r="D1156" s="127">
        <f t="shared" si="29"/>
        <v>15593.002667778068</v>
      </c>
      <c r="E1156" s="126">
        <f t="shared" si="30"/>
        <v>2021</v>
      </c>
      <c r="F1156" s="125">
        <f>_xlfn.XLOOKUP(D279,'3. Input (des)investeringen '!$B$11:$B$89,'3. Input (des)investeringen '!$E$11:$E$89)</f>
        <v>1</v>
      </c>
    </row>
    <row r="1157" spans="2:6">
      <c r="B1157">
        <v>263</v>
      </c>
      <c r="D1157" s="127">
        <f t="shared" si="29"/>
        <v>2163.7971819391896</v>
      </c>
      <c r="E1157" s="126">
        <f t="shared" si="30"/>
        <v>2021</v>
      </c>
      <c r="F1157" s="125">
        <f>_xlfn.XLOOKUP(D280,'3. Input (des)investeringen '!$B$11:$B$89,'3. Input (des)investeringen '!$E$11:$E$89)</f>
        <v>1</v>
      </c>
    </row>
    <row r="1158" spans="2:6">
      <c r="B1158">
        <v>264</v>
      </c>
      <c r="D1158" s="127">
        <f t="shared" si="29"/>
        <v>70198.665179236268</v>
      </c>
      <c r="E1158" s="126">
        <f t="shared" si="30"/>
        <v>2021</v>
      </c>
      <c r="F1158" s="125">
        <f>_xlfn.XLOOKUP(D281,'3. Input (des)investeringen '!$B$11:$B$89,'3. Input (des)investeringen '!$E$11:$E$89)</f>
        <v>1</v>
      </c>
    </row>
    <row r="1159" spans="2:6">
      <c r="B1159">
        <v>265</v>
      </c>
      <c r="D1159" s="127">
        <f t="shared" si="29"/>
        <v>4210.7603497279788</v>
      </c>
      <c r="E1159" s="126">
        <f t="shared" si="30"/>
        <v>2021</v>
      </c>
      <c r="F1159" s="125">
        <f>_xlfn.XLOOKUP(D282,'3. Input (des)investeringen '!$B$11:$B$89,'3. Input (des)investeringen '!$E$11:$E$89)</f>
        <v>1</v>
      </c>
    </row>
    <row r="1160" spans="2:6">
      <c r="B1160">
        <v>266</v>
      </c>
      <c r="D1160" s="127">
        <f t="shared" si="29"/>
        <v>5034.7947985725787</v>
      </c>
      <c r="E1160" s="126">
        <f t="shared" si="30"/>
        <v>2021</v>
      </c>
      <c r="F1160" s="125">
        <f>_xlfn.XLOOKUP(D283,'3. Input (des)investeringen '!$B$11:$B$89,'3. Input (des)investeringen '!$E$11:$E$89)</f>
        <v>1</v>
      </c>
    </row>
    <row r="1161" spans="2:6">
      <c r="B1161">
        <v>267</v>
      </c>
      <c r="D1161" s="127">
        <f t="shared" si="29"/>
        <v>99834.624732352502</v>
      </c>
      <c r="E1161" s="126">
        <f t="shared" si="30"/>
        <v>2021</v>
      </c>
      <c r="F1161" s="125">
        <f>_xlfn.XLOOKUP(D284,'3. Input (des)investeringen '!$B$11:$B$89,'3. Input (des)investeringen '!$E$11:$E$89)</f>
        <v>1</v>
      </c>
    </row>
    <row r="1162" spans="2:6">
      <c r="B1162">
        <v>268</v>
      </c>
      <c r="D1162" s="127">
        <f t="shared" si="29"/>
        <v>6147.3001511106786</v>
      </c>
      <c r="E1162" s="126">
        <f t="shared" si="30"/>
        <v>2021</v>
      </c>
      <c r="F1162" s="125">
        <f>_xlfn.XLOOKUP(D285,'3. Input (des)investeringen '!$B$11:$B$89,'3. Input (des)investeringen '!$E$11:$E$89)</f>
        <v>1</v>
      </c>
    </row>
    <row r="1163" spans="2:6">
      <c r="B1163">
        <v>269</v>
      </c>
      <c r="D1163" s="127">
        <f t="shared" si="29"/>
        <v>10192.952624599267</v>
      </c>
      <c r="E1163" s="126">
        <f t="shared" si="30"/>
        <v>2021</v>
      </c>
      <c r="F1163" s="125">
        <f>_xlfn.XLOOKUP(D286,'3. Input (des)investeringen '!$B$11:$B$89,'3. Input (des)investeringen '!$E$11:$E$89)</f>
        <v>1</v>
      </c>
    </row>
    <row r="1164" spans="2:6">
      <c r="B1164">
        <v>270</v>
      </c>
      <c r="D1164" s="127">
        <f t="shared" si="29"/>
        <v>11818921.881351909</v>
      </c>
      <c r="E1164" s="126">
        <f t="shared" si="30"/>
        <v>2021</v>
      </c>
      <c r="F1164" s="125">
        <f>_xlfn.XLOOKUP(D287,'3. Input (des)investeringen '!$B$11:$B$89,'3. Input (des)investeringen '!$E$11:$E$89)</f>
        <v>1</v>
      </c>
    </row>
    <row r="1165" spans="2:6">
      <c r="B1165">
        <v>271</v>
      </c>
      <c r="D1165" s="127">
        <f t="shared" si="29"/>
        <v>11191.738605549699</v>
      </c>
      <c r="E1165" s="126">
        <f t="shared" si="30"/>
        <v>2021</v>
      </c>
      <c r="F1165" s="125">
        <f>_xlfn.XLOOKUP(D288,'3. Input (des)investeringen '!$B$11:$B$89,'3. Input (des)investeringen '!$E$11:$E$89)</f>
        <v>1</v>
      </c>
    </row>
    <row r="1166" spans="2:6">
      <c r="B1166">
        <v>272</v>
      </c>
      <c r="D1166" s="127">
        <f t="shared" si="29"/>
        <v>4358.6895977904169</v>
      </c>
      <c r="E1166" s="126">
        <f t="shared" si="30"/>
        <v>2021</v>
      </c>
      <c r="F1166" s="125">
        <f>_xlfn.XLOOKUP(D289,'3. Input (des)investeringen '!$B$11:$B$89,'3. Input (des)investeringen '!$E$11:$E$89)</f>
        <v>1</v>
      </c>
    </row>
    <row r="1167" spans="2:6">
      <c r="B1167">
        <v>273</v>
      </c>
      <c r="D1167" s="127">
        <f t="shared" si="29"/>
        <v>4298.2967550578487</v>
      </c>
      <c r="E1167" s="126">
        <f t="shared" si="30"/>
        <v>2021</v>
      </c>
      <c r="F1167" s="125">
        <f>_xlfn.XLOOKUP(D290,'3. Input (des)investeringen '!$B$11:$B$89,'3. Input (des)investeringen '!$E$11:$E$89)</f>
        <v>1</v>
      </c>
    </row>
    <row r="1168" spans="2:6">
      <c r="B1168">
        <v>274</v>
      </c>
      <c r="D1168" s="127">
        <f t="shared" si="29"/>
        <v>392969.28707945748</v>
      </c>
      <c r="E1168" s="126">
        <f t="shared" si="30"/>
        <v>2021</v>
      </c>
      <c r="F1168" s="125">
        <f>_xlfn.XLOOKUP(D291,'3. Input (des)investeringen '!$B$11:$B$89,'3. Input (des)investeringen '!$E$11:$E$89)</f>
        <v>1</v>
      </c>
    </row>
    <row r="1169" spans="2:6">
      <c r="B1169">
        <v>275</v>
      </c>
      <c r="D1169" s="127">
        <f t="shared" si="29"/>
        <v>30500.195074069827</v>
      </c>
      <c r="E1169" s="126">
        <f t="shared" si="30"/>
        <v>2021</v>
      </c>
      <c r="F1169" s="125">
        <f>_xlfn.XLOOKUP(D292,'3. Input (des)investeringen '!$B$11:$B$89,'3. Input (des)investeringen '!$E$11:$E$89)</f>
        <v>1</v>
      </c>
    </row>
    <row r="1170" spans="2:6">
      <c r="B1170">
        <v>276</v>
      </c>
      <c r="D1170" s="127">
        <f t="shared" si="29"/>
        <v>1634.829629192873</v>
      </c>
      <c r="E1170" s="126">
        <f t="shared" si="30"/>
        <v>2021</v>
      </c>
      <c r="F1170" s="125">
        <f>_xlfn.XLOOKUP(D293,'3. Input (des)investeringen '!$B$11:$B$89,'3. Input (des)investeringen '!$E$11:$E$89)</f>
        <v>1</v>
      </c>
    </row>
    <row r="1171" spans="2:6">
      <c r="B1171">
        <v>277</v>
      </c>
      <c r="D1171" s="127">
        <f t="shared" si="29"/>
        <v>3718.1735391030879</v>
      </c>
      <c r="E1171" s="126">
        <f t="shared" si="30"/>
        <v>2021</v>
      </c>
      <c r="F1171" s="125">
        <f>_xlfn.XLOOKUP(D294,'3. Input (des)investeringen '!$B$11:$B$89,'3. Input (des)investeringen '!$E$11:$E$89)</f>
        <v>1</v>
      </c>
    </row>
    <row r="1172" spans="2:6">
      <c r="B1172">
        <v>278</v>
      </c>
      <c r="D1172" s="127">
        <f t="shared" si="29"/>
        <v>3603.5041513126812</v>
      </c>
      <c r="E1172" s="126">
        <f t="shared" si="30"/>
        <v>2021</v>
      </c>
      <c r="F1172" s="125">
        <f>_xlfn.XLOOKUP(D295,'3. Input (des)investeringen '!$B$11:$B$89,'3. Input (des)investeringen '!$E$11:$E$89)</f>
        <v>1</v>
      </c>
    </row>
    <row r="1173" spans="2:6">
      <c r="B1173">
        <v>279</v>
      </c>
      <c r="D1173" s="127">
        <f t="shared" si="29"/>
        <v>41793.8888539033</v>
      </c>
      <c r="E1173" s="126">
        <f t="shared" si="30"/>
        <v>2021</v>
      </c>
      <c r="F1173" s="125">
        <f>_xlfn.XLOOKUP(D296,'3. Input (des)investeringen '!$B$11:$B$89,'3. Input (des)investeringen '!$E$11:$E$89)</f>
        <v>1</v>
      </c>
    </row>
    <row r="1174" spans="2:6">
      <c r="B1174">
        <v>280</v>
      </c>
      <c r="D1174" s="127">
        <f t="shared" si="29"/>
        <v>336.29464010461714</v>
      </c>
      <c r="E1174" s="126">
        <f t="shared" si="30"/>
        <v>2021</v>
      </c>
      <c r="F1174" s="125">
        <f>_xlfn.XLOOKUP(D297,'3. Input (des)investeringen '!$B$11:$B$89,'3. Input (des)investeringen '!$E$11:$E$89)</f>
        <v>1</v>
      </c>
    </row>
    <row r="1175" spans="2:6">
      <c r="B1175">
        <v>281</v>
      </c>
      <c r="D1175" s="127">
        <f t="shared" si="29"/>
        <v>4928.815060077477</v>
      </c>
      <c r="E1175" s="126">
        <f t="shared" si="30"/>
        <v>2021</v>
      </c>
      <c r="F1175" s="125">
        <f>_xlfn.XLOOKUP(D298,'3. Input (des)investeringen '!$B$11:$B$89,'3. Input (des)investeringen '!$E$11:$E$89)</f>
        <v>1</v>
      </c>
    </row>
    <row r="1176" spans="2:6">
      <c r="B1176">
        <v>282</v>
      </c>
      <c r="D1176" s="127">
        <f t="shared" si="29"/>
        <v>10568.050386272796</v>
      </c>
      <c r="E1176" s="126">
        <f t="shared" si="30"/>
        <v>2021</v>
      </c>
      <c r="F1176" s="125">
        <f>_xlfn.XLOOKUP(D299,'3. Input (des)investeringen '!$B$11:$B$89,'3. Input (des)investeringen '!$E$11:$E$89)</f>
        <v>1</v>
      </c>
    </row>
    <row r="1177" spans="2:6">
      <c r="B1177">
        <v>283</v>
      </c>
      <c r="D1177" s="127">
        <f t="shared" si="29"/>
        <v>42378.464875823673</v>
      </c>
      <c r="E1177" s="126">
        <f t="shared" si="30"/>
        <v>2021</v>
      </c>
      <c r="F1177" s="125">
        <f>_xlfn.XLOOKUP(D300,'3. Input (des)investeringen '!$B$11:$B$89,'3. Input (des)investeringen '!$E$11:$E$89)</f>
        <v>1</v>
      </c>
    </row>
    <row r="1178" spans="2:6">
      <c r="B1178">
        <v>284</v>
      </c>
      <c r="D1178" s="127">
        <f t="shared" si="29"/>
        <v>45895.075538151323</v>
      </c>
      <c r="E1178" s="126">
        <f t="shared" si="30"/>
        <v>2021</v>
      </c>
      <c r="F1178" s="125">
        <f>_xlfn.XLOOKUP(D301,'3. Input (des)investeringen '!$B$11:$B$89,'3. Input (des)investeringen '!$E$11:$E$89)</f>
        <v>1</v>
      </c>
    </row>
    <row r="1179" spans="2:6">
      <c r="B1179">
        <v>285</v>
      </c>
      <c r="D1179" s="127">
        <f t="shared" si="29"/>
        <v>1019.0795676930163</v>
      </c>
      <c r="E1179" s="126">
        <f t="shared" si="30"/>
        <v>2021</v>
      </c>
      <c r="F1179" s="125">
        <f>_xlfn.XLOOKUP(D302,'3. Input (des)investeringen '!$B$11:$B$89,'3. Input (des)investeringen '!$E$11:$E$89)</f>
        <v>1</v>
      </c>
    </row>
    <row r="1180" spans="2:6">
      <c r="B1180">
        <v>286</v>
      </c>
      <c r="D1180" s="127">
        <f t="shared" si="29"/>
        <v>2100.2142001328425</v>
      </c>
      <c r="E1180" s="126">
        <f t="shared" si="30"/>
        <v>2021</v>
      </c>
      <c r="F1180" s="125">
        <f>_xlfn.XLOOKUP(D303,'3. Input (des)investeringen '!$B$11:$B$89,'3. Input (des)investeringen '!$E$11:$E$89)</f>
        <v>1</v>
      </c>
    </row>
    <row r="1181" spans="2:6">
      <c r="B1181">
        <v>287</v>
      </c>
      <c r="D1181" s="127">
        <f t="shared" si="29"/>
        <v>366.99055079584537</v>
      </c>
      <c r="E1181" s="126">
        <f t="shared" si="30"/>
        <v>2021</v>
      </c>
      <c r="F1181" s="125">
        <f>_xlfn.XLOOKUP(D304,'3. Input (des)investeringen '!$B$11:$B$89,'3. Input (des)investeringen '!$E$11:$E$89)</f>
        <v>1</v>
      </c>
    </row>
    <row r="1182" spans="2:6">
      <c r="B1182">
        <v>288</v>
      </c>
      <c r="D1182" s="127">
        <f t="shared" si="29"/>
        <v>124607.29559635933</v>
      </c>
      <c r="E1182" s="126">
        <f t="shared" si="30"/>
        <v>2021</v>
      </c>
      <c r="F1182" s="125">
        <f>_xlfn.XLOOKUP(D305,'3. Input (des)investeringen '!$B$11:$B$89,'3. Input (des)investeringen '!$E$11:$E$89)</f>
        <v>1</v>
      </c>
    </row>
    <row r="1183" spans="2:6">
      <c r="B1183">
        <v>289</v>
      </c>
      <c r="D1183" s="127">
        <f t="shared" si="29"/>
        <v>11394.787114572611</v>
      </c>
      <c r="E1183" s="126">
        <f t="shared" si="30"/>
        <v>2021</v>
      </c>
      <c r="F1183" s="125">
        <f>_xlfn.XLOOKUP(D306,'3. Input (des)investeringen '!$B$11:$B$89,'3. Input (des)investeringen '!$E$11:$E$89)</f>
        <v>1</v>
      </c>
    </row>
    <row r="1184" spans="2:6">
      <c r="B1184">
        <v>290</v>
      </c>
      <c r="D1184" s="127">
        <f t="shared" si="29"/>
        <v>25202.921441979426</v>
      </c>
      <c r="E1184" s="126">
        <f t="shared" si="30"/>
        <v>2021</v>
      </c>
      <c r="F1184" s="125">
        <f>_xlfn.XLOOKUP(D307,'3. Input (des)investeringen '!$B$11:$B$89,'3. Input (des)investeringen '!$E$11:$E$89)</f>
        <v>1</v>
      </c>
    </row>
    <row r="1185" spans="2:6">
      <c r="B1185">
        <v>291</v>
      </c>
      <c r="D1185" s="127">
        <f t="shared" si="29"/>
        <v>1593.8026855964886</v>
      </c>
      <c r="E1185" s="126">
        <f t="shared" si="30"/>
        <v>2021</v>
      </c>
      <c r="F1185" s="125">
        <f>_xlfn.XLOOKUP(D308,'3. Input (des)investeringen '!$B$11:$B$89,'3. Input (des)investeringen '!$E$11:$E$89)</f>
        <v>1</v>
      </c>
    </row>
    <row r="1186" spans="2:6">
      <c r="B1186">
        <v>292</v>
      </c>
      <c r="D1186" s="127">
        <f t="shared" si="29"/>
        <v>5358.9077232865529</v>
      </c>
      <c r="E1186" s="126">
        <f t="shared" si="30"/>
        <v>2021</v>
      </c>
      <c r="F1186" s="125">
        <f>_xlfn.XLOOKUP(D309,'3. Input (des)investeringen '!$B$11:$B$89,'3. Input (des)investeringen '!$E$11:$E$89)</f>
        <v>1</v>
      </c>
    </row>
    <row r="1187" spans="2:6">
      <c r="B1187">
        <v>293</v>
      </c>
      <c r="D1187" s="127">
        <f t="shared" si="29"/>
        <v>42724.477449178637</v>
      </c>
      <c r="E1187" s="126">
        <f t="shared" si="30"/>
        <v>2021</v>
      </c>
      <c r="F1187" s="125">
        <f>_xlfn.XLOOKUP(D310,'3. Input (des)investeringen '!$B$11:$B$89,'3. Input (des)investeringen '!$E$11:$E$89)</f>
        <v>1</v>
      </c>
    </row>
    <row r="1188" spans="2:6">
      <c r="B1188">
        <v>294</v>
      </c>
      <c r="D1188" s="127">
        <f t="shared" si="29"/>
        <v>5769.3714682024574</v>
      </c>
      <c r="E1188" s="126">
        <f t="shared" si="30"/>
        <v>2021</v>
      </c>
      <c r="F1188" s="125">
        <f>_xlfn.XLOOKUP(D311,'3. Input (des)investeringen '!$B$11:$B$89,'3. Input (des)investeringen '!$E$11:$E$89)</f>
        <v>1</v>
      </c>
    </row>
    <row r="1189" spans="2:6">
      <c r="B1189">
        <v>295</v>
      </c>
      <c r="D1189" s="127">
        <f t="shared" si="29"/>
        <v>32593.798813292055</v>
      </c>
      <c r="E1189" s="126">
        <f t="shared" si="30"/>
        <v>2021</v>
      </c>
      <c r="F1189" s="125">
        <f>_xlfn.XLOOKUP(D312,'3. Input (des)investeringen '!$B$11:$B$89,'3. Input (des)investeringen '!$E$11:$E$89)</f>
        <v>1</v>
      </c>
    </row>
    <row r="1190" spans="2:6">
      <c r="B1190">
        <v>296</v>
      </c>
      <c r="D1190" s="127">
        <f t="shared" si="29"/>
        <v>147471.83523486831</v>
      </c>
      <c r="E1190" s="126">
        <f t="shared" si="30"/>
        <v>2021</v>
      </c>
      <c r="F1190" s="125">
        <f>_xlfn.XLOOKUP(D313,'3. Input (des)investeringen '!$B$11:$B$89,'3. Input (des)investeringen '!$E$11:$E$89)</f>
        <v>1</v>
      </c>
    </row>
    <row r="1191" spans="2:6">
      <c r="B1191">
        <v>297</v>
      </c>
      <c r="D1191" s="127">
        <f t="shared" si="29"/>
        <v>521013.98608091858</v>
      </c>
      <c r="E1191" s="126">
        <f t="shared" si="30"/>
        <v>2021</v>
      </c>
      <c r="F1191" s="125">
        <f>_xlfn.XLOOKUP(D314,'3. Input (des)investeringen '!$B$11:$B$89,'3. Input (des)investeringen '!$E$11:$E$89)</f>
        <v>1</v>
      </c>
    </row>
    <row r="1192" spans="2:6">
      <c r="B1192">
        <v>298</v>
      </c>
      <c r="D1192" s="127">
        <f t="shared" si="29"/>
        <v>47308.343375890465</v>
      </c>
      <c r="E1192" s="126">
        <f t="shared" si="30"/>
        <v>2021</v>
      </c>
      <c r="F1192" s="125">
        <f>_xlfn.XLOOKUP(D315,'3. Input (des)investeringen '!$B$11:$B$89,'3. Input (des)investeringen '!$E$11:$E$89)</f>
        <v>1</v>
      </c>
    </row>
    <row r="1193" spans="2:6">
      <c r="B1193">
        <v>299</v>
      </c>
      <c r="D1193" s="127">
        <f t="shared" si="29"/>
        <v>6986.0961518104068</v>
      </c>
      <c r="E1193" s="126">
        <f t="shared" si="30"/>
        <v>2021</v>
      </c>
      <c r="F1193" s="125">
        <f>_xlfn.XLOOKUP(D316,'3. Input (des)investeringen '!$B$11:$B$89,'3. Input (des)investeringen '!$E$11:$E$89)</f>
        <v>1</v>
      </c>
    </row>
    <row r="1194" spans="2:6">
      <c r="B1194">
        <v>300</v>
      </c>
      <c r="D1194" s="127">
        <f t="shared" si="29"/>
        <v>4256.1290103364654</v>
      </c>
      <c r="E1194" s="126">
        <f t="shared" si="30"/>
        <v>2021</v>
      </c>
      <c r="F1194" s="125">
        <f>_xlfn.XLOOKUP(D317,'3. Input (des)investeringen '!$B$11:$B$89,'3. Input (des)investeringen '!$E$11:$E$89)</f>
        <v>1</v>
      </c>
    </row>
    <row r="1195" spans="2:6">
      <c r="B1195">
        <v>301</v>
      </c>
      <c r="D1195" s="127">
        <f t="shared" si="29"/>
        <v>8389.0335760579055</v>
      </c>
      <c r="E1195" s="126">
        <f t="shared" si="30"/>
        <v>2021</v>
      </c>
      <c r="F1195" s="125">
        <f>_xlfn.XLOOKUP(D318,'3. Input (des)investeringen '!$B$11:$B$89,'3. Input (des)investeringen '!$E$11:$E$89)</f>
        <v>1</v>
      </c>
    </row>
    <row r="1196" spans="2:6">
      <c r="B1196">
        <v>302</v>
      </c>
      <c r="D1196" s="127">
        <f t="shared" si="29"/>
        <v>59207.289824187035</v>
      </c>
      <c r="E1196" s="126">
        <f t="shared" si="30"/>
        <v>2021</v>
      </c>
      <c r="F1196" s="125">
        <f>_xlfn.XLOOKUP(D319,'3. Input (des)investeringen '!$B$11:$B$89,'3. Input (des)investeringen '!$E$11:$E$89)</f>
        <v>1</v>
      </c>
    </row>
    <row r="1197" spans="2:6">
      <c r="B1197">
        <v>303</v>
      </c>
      <c r="D1197" s="127">
        <f t="shared" si="29"/>
        <v>144489.30413571815</v>
      </c>
      <c r="E1197" s="126">
        <f t="shared" si="30"/>
        <v>2021</v>
      </c>
      <c r="F1197" s="125">
        <f>_xlfn.XLOOKUP(D320,'3. Input (des)investeringen '!$B$11:$B$89,'3. Input (des)investeringen '!$E$11:$E$89)</f>
        <v>1</v>
      </c>
    </row>
    <row r="1198" spans="2:6">
      <c r="B1198">
        <v>304</v>
      </c>
      <c r="D1198" s="127">
        <f t="shared" si="29"/>
        <v>24627.505284401475</v>
      </c>
      <c r="E1198" s="126">
        <f t="shared" si="30"/>
        <v>2021</v>
      </c>
      <c r="F1198" s="125">
        <f>_xlfn.XLOOKUP(D321,'3. Input (des)investeringen '!$B$11:$B$89,'3. Input (des)investeringen '!$E$11:$E$89)</f>
        <v>1</v>
      </c>
    </row>
    <row r="1199" spans="2:6">
      <c r="B1199">
        <v>305</v>
      </c>
      <c r="D1199" s="127">
        <f t="shared" si="29"/>
        <v>129644.58151460749</v>
      </c>
      <c r="E1199" s="126">
        <f t="shared" si="30"/>
        <v>2021</v>
      </c>
      <c r="F1199" s="125">
        <f>_xlfn.XLOOKUP(D322,'3. Input (des)investeringen '!$B$11:$B$89,'3. Input (des)investeringen '!$E$11:$E$89)</f>
        <v>1</v>
      </c>
    </row>
    <row r="1200" spans="2:6">
      <c r="B1200">
        <v>306</v>
      </c>
      <c r="D1200" s="127">
        <f t="shared" si="29"/>
        <v>22146.107560498778</v>
      </c>
      <c r="E1200" s="126">
        <f t="shared" si="30"/>
        <v>2021</v>
      </c>
      <c r="F1200" s="125">
        <f>_xlfn.XLOOKUP(D323,'3. Input (des)investeringen '!$B$11:$B$89,'3. Input (des)investeringen '!$E$11:$E$89)</f>
        <v>1</v>
      </c>
    </row>
    <row r="1201" spans="2:6">
      <c r="B1201">
        <v>307</v>
      </c>
      <c r="D1201" s="127">
        <f t="shared" si="29"/>
        <v>4986.3759054118091</v>
      </c>
      <c r="E1201" s="126">
        <f t="shared" si="30"/>
        <v>2021</v>
      </c>
      <c r="F1201" s="125">
        <f>_xlfn.XLOOKUP(D324,'3. Input (des)investeringen '!$B$11:$B$89,'3. Input (des)investeringen '!$E$11:$E$89)</f>
        <v>1</v>
      </c>
    </row>
    <row r="1202" spans="2:6">
      <c r="B1202">
        <v>308</v>
      </c>
      <c r="D1202" s="127">
        <f t="shared" si="29"/>
        <v>49793.54833839096</v>
      </c>
      <c r="E1202" s="126">
        <f t="shared" si="30"/>
        <v>2021</v>
      </c>
      <c r="F1202" s="125">
        <f>_xlfn.XLOOKUP(D325,'3. Input (des)investeringen '!$B$11:$B$89,'3. Input (des)investeringen '!$E$11:$E$89)</f>
        <v>1</v>
      </c>
    </row>
    <row r="1203" spans="2:6">
      <c r="B1203">
        <v>309</v>
      </c>
      <c r="D1203" s="127">
        <f t="shared" si="29"/>
        <v>2281.2143132879228</v>
      </c>
      <c r="E1203" s="126">
        <f t="shared" si="30"/>
        <v>2021</v>
      </c>
      <c r="F1203" s="125">
        <f>_xlfn.XLOOKUP(D326,'3. Input (des)investeringen '!$B$11:$B$89,'3. Input (des)investeringen '!$E$11:$E$89)</f>
        <v>1</v>
      </c>
    </row>
    <row r="1204" spans="2:6">
      <c r="B1204">
        <v>310</v>
      </c>
      <c r="D1204" s="127">
        <f t="shared" si="29"/>
        <v>425378.17598325771</v>
      </c>
      <c r="E1204" s="126">
        <f t="shared" si="30"/>
        <v>2021</v>
      </c>
      <c r="F1204" s="125">
        <f>_xlfn.XLOOKUP(D327,'3. Input (des)investeringen '!$B$11:$B$89,'3. Input (des)investeringen '!$E$11:$E$89)</f>
        <v>1</v>
      </c>
    </row>
    <row r="1205" spans="2:6">
      <c r="B1205">
        <v>311</v>
      </c>
      <c r="D1205" s="127">
        <f t="shared" si="29"/>
        <v>7185524.2223373363</v>
      </c>
      <c r="E1205" s="126">
        <f t="shared" si="30"/>
        <v>2021</v>
      </c>
      <c r="F1205" s="125">
        <f>_xlfn.XLOOKUP(D328,'3. Input (des)investeringen '!$B$11:$B$89,'3. Input (des)investeringen '!$E$11:$E$89)</f>
        <v>1</v>
      </c>
    </row>
    <row r="1206" spans="2:6">
      <c r="B1206">
        <v>312</v>
      </c>
      <c r="D1206" s="127">
        <f t="shared" si="29"/>
        <v>732448.55317733798</v>
      </c>
      <c r="E1206" s="126">
        <f t="shared" si="30"/>
        <v>2021</v>
      </c>
      <c r="F1206" s="125">
        <f>_xlfn.XLOOKUP(D329,'3. Input (des)investeringen '!$B$11:$B$89,'3. Input (des)investeringen '!$E$11:$E$89)</f>
        <v>1</v>
      </c>
    </row>
    <row r="1207" spans="2:6">
      <c r="B1207">
        <v>313</v>
      </c>
      <c r="D1207" s="127">
        <f t="shared" si="29"/>
        <v>521090.13683721371</v>
      </c>
      <c r="E1207" s="126">
        <f t="shared" si="30"/>
        <v>2021</v>
      </c>
      <c r="F1207" s="125">
        <f>_xlfn.XLOOKUP(D330,'3. Input (des)investeringen '!$B$11:$B$89,'3. Input (des)investeringen '!$E$11:$E$89)</f>
        <v>1</v>
      </c>
    </row>
    <row r="1208" spans="2:6">
      <c r="B1208">
        <v>314</v>
      </c>
      <c r="D1208" s="127">
        <f t="shared" si="29"/>
        <v>928647.3485637689</v>
      </c>
      <c r="E1208" s="126">
        <f t="shared" si="30"/>
        <v>2021</v>
      </c>
      <c r="F1208" s="125">
        <f>_xlfn.XLOOKUP(D331,'3. Input (des)investeringen '!$B$11:$B$89,'3. Input (des)investeringen '!$E$11:$E$89)</f>
        <v>1</v>
      </c>
    </row>
    <row r="1209" spans="2:6">
      <c r="B1209">
        <v>315</v>
      </c>
      <c r="D1209" s="127">
        <f t="shared" si="29"/>
        <v>220417.58622530752</v>
      </c>
      <c r="E1209" s="126">
        <f t="shared" si="30"/>
        <v>2021</v>
      </c>
      <c r="F1209" s="125">
        <f>_xlfn.XLOOKUP(D332,'3. Input (des)investeringen '!$B$11:$B$89,'3. Input (des)investeringen '!$E$11:$E$89)</f>
        <v>1</v>
      </c>
    </row>
    <row r="1210" spans="2:6">
      <c r="B1210">
        <v>316</v>
      </c>
      <c r="D1210" s="127">
        <f t="shared" si="29"/>
        <v>1794467.5130827182</v>
      </c>
      <c r="E1210" s="126">
        <f t="shared" si="30"/>
        <v>2022</v>
      </c>
      <c r="F1210" s="125">
        <f>_xlfn.XLOOKUP(D333,'3. Input (des)investeringen '!$B$11:$B$89,'3. Input (des)investeringen '!$E$11:$E$89)</f>
        <v>1</v>
      </c>
    </row>
    <row r="1211" spans="2:6">
      <c r="B1211">
        <v>317</v>
      </c>
      <c r="D1211" s="127">
        <f t="shared" si="29"/>
        <v>788860.63503546279</v>
      </c>
      <c r="E1211" s="126">
        <f t="shared" si="30"/>
        <v>2022</v>
      </c>
      <c r="F1211" s="125">
        <f>_xlfn.XLOOKUP(D334,'3. Input (des)investeringen '!$B$11:$B$89,'3. Input (des)investeringen '!$E$11:$E$89)</f>
        <v>1</v>
      </c>
    </row>
    <row r="1212" spans="2:6">
      <c r="B1212">
        <v>318</v>
      </c>
      <c r="D1212" s="127">
        <f t="shared" si="29"/>
        <v>1273.3351239778597</v>
      </c>
      <c r="E1212" s="126">
        <f t="shared" si="30"/>
        <v>2022</v>
      </c>
      <c r="F1212" s="125">
        <f>_xlfn.XLOOKUP(D335,'3. Input (des)investeringen '!$B$11:$B$89,'3. Input (des)investeringen '!$E$11:$E$89)</f>
        <v>1</v>
      </c>
    </row>
    <row r="1213" spans="2:6">
      <c r="B1213">
        <v>319</v>
      </c>
      <c r="D1213" s="127">
        <f t="shared" si="29"/>
        <v>7.7062133580083972E-2</v>
      </c>
      <c r="E1213" s="126">
        <f t="shared" si="30"/>
        <v>2022</v>
      </c>
      <c r="F1213" s="125">
        <f>_xlfn.XLOOKUP(D336,'3. Input (des)investeringen '!$B$11:$B$89,'3. Input (des)investeringen '!$E$11:$E$89)</f>
        <v>1</v>
      </c>
    </row>
    <row r="1214" spans="2:6">
      <c r="B1214">
        <v>320</v>
      </c>
      <c r="D1214" s="127">
        <f t="shared" si="29"/>
        <v>210895.72784382594</v>
      </c>
      <c r="E1214" s="126">
        <f t="shared" si="30"/>
        <v>2022</v>
      </c>
      <c r="F1214" s="125">
        <f>_xlfn.XLOOKUP(D337,'3. Input (des)investeringen '!$B$11:$B$89,'3. Input (des)investeringen '!$E$11:$E$89)</f>
        <v>1</v>
      </c>
    </row>
    <row r="1215" spans="2:6">
      <c r="B1215">
        <v>321</v>
      </c>
      <c r="D1215" s="127">
        <f t="shared" ref="D1215:D1278" si="31">F338*INDEX($E$810:$CG$890,E338-1945,G338-1945)</f>
        <v>897712.16634437081</v>
      </c>
      <c r="E1215" s="126">
        <f t="shared" ref="E1215:E1278" si="32">G338</f>
        <v>2022</v>
      </c>
      <c r="F1215" s="125">
        <f>_xlfn.XLOOKUP(D338,'3. Input (des)investeringen '!$B$11:$B$89,'3. Input (des)investeringen '!$E$11:$E$89)</f>
        <v>1</v>
      </c>
    </row>
    <row r="1216" spans="2:6">
      <c r="B1216">
        <v>322</v>
      </c>
      <c r="D1216" s="127">
        <f t="shared" si="31"/>
        <v>1456756.073943085</v>
      </c>
      <c r="E1216" s="126">
        <f t="shared" si="32"/>
        <v>2022</v>
      </c>
      <c r="F1216" s="125">
        <f>_xlfn.XLOOKUP(D339,'3. Input (des)investeringen '!$B$11:$B$89,'3. Input (des)investeringen '!$E$11:$E$89)</f>
        <v>1</v>
      </c>
    </row>
    <row r="1217" spans="2:6">
      <c r="B1217">
        <v>323</v>
      </c>
      <c r="D1217" s="127">
        <f t="shared" si="31"/>
        <v>537510.92809868616</v>
      </c>
      <c r="E1217" s="126">
        <f t="shared" si="32"/>
        <v>2022</v>
      </c>
      <c r="F1217" s="125">
        <f>_xlfn.XLOOKUP(D340,'3. Input (des)investeringen '!$B$11:$B$89,'3. Input (des)investeringen '!$E$11:$E$89)</f>
        <v>1</v>
      </c>
    </row>
    <row r="1218" spans="2:6">
      <c r="B1218">
        <v>324</v>
      </c>
      <c r="D1218" s="127">
        <f t="shared" si="31"/>
        <v>274815.80469335237</v>
      </c>
      <c r="E1218" s="126">
        <f t="shared" si="32"/>
        <v>2022</v>
      </c>
      <c r="F1218" s="125">
        <f>_xlfn.XLOOKUP(D341,'3. Input (des)investeringen '!$B$11:$B$89,'3. Input (des)investeringen '!$E$11:$E$89)</f>
        <v>1</v>
      </c>
    </row>
    <row r="1219" spans="2:6">
      <c r="B1219">
        <v>325</v>
      </c>
      <c r="D1219" s="127">
        <f t="shared" si="31"/>
        <v>427908.4118906298</v>
      </c>
      <c r="E1219" s="126">
        <f t="shared" si="32"/>
        <v>2022</v>
      </c>
      <c r="F1219" s="125">
        <f>_xlfn.XLOOKUP(D342,'3. Input (des)investeringen '!$B$11:$B$89,'3. Input (des)investeringen '!$E$11:$E$89)</f>
        <v>1</v>
      </c>
    </row>
    <row r="1220" spans="2:6">
      <c r="B1220">
        <v>326</v>
      </c>
      <c r="D1220" s="127">
        <f t="shared" si="31"/>
        <v>549678.59229549393</v>
      </c>
      <c r="E1220" s="126">
        <f t="shared" si="32"/>
        <v>2022</v>
      </c>
      <c r="F1220" s="125">
        <f>_xlfn.XLOOKUP(D343,'3. Input (des)investeringen '!$B$11:$B$89,'3. Input (des)investeringen '!$E$11:$E$89)</f>
        <v>1</v>
      </c>
    </row>
    <row r="1221" spans="2:6">
      <c r="B1221">
        <v>327</v>
      </c>
      <c r="D1221" s="127">
        <f t="shared" si="31"/>
        <v>307195.76641828933</v>
      </c>
      <c r="E1221" s="126">
        <f t="shared" si="32"/>
        <v>2022</v>
      </c>
      <c r="F1221" s="125">
        <f>_xlfn.XLOOKUP(D344,'3. Input (des)investeringen '!$B$11:$B$89,'3. Input (des)investeringen '!$E$11:$E$89)</f>
        <v>1</v>
      </c>
    </row>
    <row r="1222" spans="2:6">
      <c r="B1222">
        <v>328</v>
      </c>
      <c r="D1222" s="127">
        <f t="shared" si="31"/>
        <v>863222.8872694883</v>
      </c>
      <c r="E1222" s="126">
        <f t="shared" si="32"/>
        <v>2022</v>
      </c>
      <c r="F1222" s="125">
        <f>_xlfn.XLOOKUP(D345,'3. Input (des)investeringen '!$B$11:$B$89,'3. Input (des)investeringen '!$E$11:$E$89)</f>
        <v>1</v>
      </c>
    </row>
    <row r="1223" spans="2:6">
      <c r="B1223">
        <v>329</v>
      </c>
      <c r="D1223" s="127">
        <f t="shared" si="31"/>
        <v>630047.23089903092</v>
      </c>
      <c r="E1223" s="126">
        <f t="shared" si="32"/>
        <v>2022</v>
      </c>
      <c r="F1223" s="125">
        <f>_xlfn.XLOOKUP(D346,'3. Input (des)investeringen '!$B$11:$B$89,'3. Input (des)investeringen '!$E$11:$E$89)</f>
        <v>1</v>
      </c>
    </row>
    <row r="1224" spans="2:6">
      <c r="B1224">
        <v>330</v>
      </c>
      <c r="D1224" s="127">
        <f t="shared" si="31"/>
        <v>213886.93735114989</v>
      </c>
      <c r="E1224" s="126">
        <f t="shared" si="32"/>
        <v>2022</v>
      </c>
      <c r="F1224" s="125">
        <f>_xlfn.XLOOKUP(D347,'3. Input (des)investeringen '!$B$11:$B$89,'3. Input (des)investeringen '!$E$11:$E$89)</f>
        <v>1</v>
      </c>
    </row>
    <row r="1225" spans="2:6">
      <c r="B1225">
        <v>331</v>
      </c>
      <c r="D1225" s="127">
        <f t="shared" si="31"/>
        <v>150944.69489504979</v>
      </c>
      <c r="E1225" s="126">
        <f t="shared" si="32"/>
        <v>2022</v>
      </c>
      <c r="F1225" s="125">
        <f>_xlfn.XLOOKUP(D348,'3. Input (des)investeringen '!$B$11:$B$89,'3. Input (des)investeringen '!$E$11:$E$89)</f>
        <v>1</v>
      </c>
    </row>
    <row r="1226" spans="2:6">
      <c r="B1226">
        <v>332</v>
      </c>
      <c r="D1226" s="127">
        <f t="shared" si="31"/>
        <v>308372.44933566521</v>
      </c>
      <c r="E1226" s="126">
        <f t="shared" si="32"/>
        <v>2022</v>
      </c>
      <c r="F1226" s="125">
        <f>_xlfn.XLOOKUP(D349,'3. Input (des)investeringen '!$B$11:$B$89,'3. Input (des)investeringen '!$E$11:$E$89)</f>
        <v>1</v>
      </c>
    </row>
    <row r="1227" spans="2:6">
      <c r="B1227">
        <v>333</v>
      </c>
      <c r="D1227" s="127">
        <f t="shared" si="31"/>
        <v>118209.50836304629</v>
      </c>
      <c r="E1227" s="126">
        <f t="shared" si="32"/>
        <v>2022</v>
      </c>
      <c r="F1227" s="125">
        <f>_xlfn.XLOOKUP(D350,'3. Input (des)investeringen '!$B$11:$B$89,'3. Input (des)investeringen '!$E$11:$E$89)</f>
        <v>1</v>
      </c>
    </row>
    <row r="1228" spans="2:6">
      <c r="B1228">
        <v>334</v>
      </c>
      <c r="D1228" s="127">
        <f t="shared" si="31"/>
        <v>308127.28612936393</v>
      </c>
      <c r="E1228" s="126">
        <f t="shared" si="32"/>
        <v>2022</v>
      </c>
      <c r="F1228" s="125">
        <f>_xlfn.XLOOKUP(D351,'3. Input (des)investeringen '!$B$11:$B$89,'3. Input (des)investeringen '!$E$11:$E$89)</f>
        <v>1</v>
      </c>
    </row>
    <row r="1229" spans="2:6">
      <c r="B1229">
        <v>335</v>
      </c>
      <c r="D1229" s="127">
        <f t="shared" si="31"/>
        <v>1026.437999083824</v>
      </c>
      <c r="E1229" s="126">
        <f t="shared" si="32"/>
        <v>2022</v>
      </c>
      <c r="F1229" s="125">
        <f>_xlfn.XLOOKUP(D352,'3. Input (des)investeringen '!$B$11:$B$89,'3. Input (des)investeringen '!$E$11:$E$89)</f>
        <v>1</v>
      </c>
    </row>
    <row r="1230" spans="2:6">
      <c r="B1230">
        <v>336</v>
      </c>
      <c r="D1230" s="127">
        <f t="shared" si="31"/>
        <v>106287.18474987785</v>
      </c>
      <c r="E1230" s="126">
        <f t="shared" si="32"/>
        <v>2022</v>
      </c>
      <c r="F1230" s="125">
        <f>_xlfn.XLOOKUP(D353,'3. Input (des)investeringen '!$B$11:$B$89,'3. Input (des)investeringen '!$E$11:$E$89)</f>
        <v>1</v>
      </c>
    </row>
    <row r="1231" spans="2:6">
      <c r="B1231">
        <v>337</v>
      </c>
      <c r="D1231" s="127">
        <f t="shared" si="31"/>
        <v>51523.01013098735</v>
      </c>
      <c r="E1231" s="126">
        <f t="shared" si="32"/>
        <v>2022</v>
      </c>
      <c r="F1231" s="125">
        <f>_xlfn.XLOOKUP(D354,'3. Input (des)investeringen '!$B$11:$B$89,'3. Input (des)investeringen '!$E$11:$E$89)</f>
        <v>1</v>
      </c>
    </row>
    <row r="1232" spans="2:6">
      <c r="B1232">
        <v>338</v>
      </c>
      <c r="D1232" s="127">
        <f t="shared" si="31"/>
        <v>185537.31457817764</v>
      </c>
      <c r="E1232" s="126">
        <f t="shared" si="32"/>
        <v>2022</v>
      </c>
      <c r="F1232" s="125">
        <f>_xlfn.XLOOKUP(D355,'3. Input (des)investeringen '!$B$11:$B$89,'3. Input (des)investeringen '!$E$11:$E$89)</f>
        <v>1</v>
      </c>
    </row>
    <row r="1233" spans="2:6">
      <c r="B1233">
        <v>339</v>
      </c>
      <c r="D1233" s="127">
        <f t="shared" si="31"/>
        <v>38260.827551339469</v>
      </c>
      <c r="E1233" s="126">
        <f t="shared" si="32"/>
        <v>2022</v>
      </c>
      <c r="F1233" s="125">
        <f>_xlfn.XLOOKUP(D356,'3. Input (des)investeringen '!$B$11:$B$89,'3. Input (des)investeringen '!$E$11:$E$89)</f>
        <v>1</v>
      </c>
    </row>
    <row r="1234" spans="2:6">
      <c r="B1234">
        <v>340</v>
      </c>
      <c r="D1234" s="127">
        <f t="shared" si="31"/>
        <v>7830.8705971603458</v>
      </c>
      <c r="E1234" s="126">
        <f t="shared" si="32"/>
        <v>2022</v>
      </c>
      <c r="F1234" s="125">
        <f>_xlfn.XLOOKUP(D357,'3. Input (des)investeringen '!$B$11:$B$89,'3. Input (des)investeringen '!$E$11:$E$89)</f>
        <v>1</v>
      </c>
    </row>
    <row r="1235" spans="2:6">
      <c r="B1235">
        <v>341</v>
      </c>
      <c r="D1235" s="127">
        <f t="shared" si="31"/>
        <v>9842.9371162809311</v>
      </c>
      <c r="E1235" s="126">
        <f t="shared" si="32"/>
        <v>2022</v>
      </c>
      <c r="F1235" s="125">
        <f>_xlfn.XLOOKUP(D358,'3. Input (des)investeringen '!$B$11:$B$89,'3. Input (des)investeringen '!$E$11:$E$89)</f>
        <v>1</v>
      </c>
    </row>
    <row r="1236" spans="2:6">
      <c r="B1236">
        <v>342</v>
      </c>
      <c r="D1236" s="127">
        <f t="shared" si="31"/>
        <v>6250.3975099607405</v>
      </c>
      <c r="E1236" s="126">
        <f t="shared" si="32"/>
        <v>2022</v>
      </c>
      <c r="F1236" s="125">
        <f>_xlfn.XLOOKUP(D359,'3. Input (des)investeringen '!$B$11:$B$89,'3. Input (des)investeringen '!$E$11:$E$89)</f>
        <v>1</v>
      </c>
    </row>
    <row r="1237" spans="2:6">
      <c r="B1237">
        <v>343</v>
      </c>
      <c r="D1237" s="127">
        <f t="shared" si="31"/>
        <v>148391.15704561133</v>
      </c>
      <c r="E1237" s="126">
        <f t="shared" si="32"/>
        <v>2022</v>
      </c>
      <c r="F1237" s="125">
        <f>_xlfn.XLOOKUP(D360,'3. Input (des)investeringen '!$B$11:$B$89,'3. Input (des)investeringen '!$E$11:$E$89)</f>
        <v>1</v>
      </c>
    </row>
    <row r="1238" spans="2:6">
      <c r="B1238">
        <v>344</v>
      </c>
      <c r="D1238" s="127">
        <f t="shared" si="31"/>
        <v>31594.263591809497</v>
      </c>
      <c r="E1238" s="126">
        <f t="shared" si="32"/>
        <v>2022</v>
      </c>
      <c r="F1238" s="125">
        <f>_xlfn.XLOOKUP(D361,'3. Input (des)investeringen '!$B$11:$B$89,'3. Input (des)investeringen '!$E$11:$E$89)</f>
        <v>1</v>
      </c>
    </row>
    <row r="1239" spans="2:6">
      <c r="B1239">
        <v>345</v>
      </c>
      <c r="D1239" s="127">
        <f t="shared" si="31"/>
        <v>466562.22269198875</v>
      </c>
      <c r="E1239" s="126">
        <f t="shared" si="32"/>
        <v>2022</v>
      </c>
      <c r="F1239" s="125">
        <f>_xlfn.XLOOKUP(D362,'3. Input (des)investeringen '!$B$11:$B$89,'3. Input (des)investeringen '!$E$11:$E$89)</f>
        <v>1</v>
      </c>
    </row>
    <row r="1240" spans="2:6">
      <c r="B1240">
        <v>346</v>
      </c>
      <c r="D1240" s="127">
        <f t="shared" si="31"/>
        <v>196256.8092562297</v>
      </c>
      <c r="E1240" s="126">
        <f t="shared" si="32"/>
        <v>2022</v>
      </c>
      <c r="F1240" s="125">
        <f>_xlfn.XLOOKUP(D363,'3. Input (des)investeringen '!$B$11:$B$89,'3. Input (des)investeringen '!$E$11:$E$89)</f>
        <v>1</v>
      </c>
    </row>
    <row r="1241" spans="2:6">
      <c r="B1241">
        <v>347</v>
      </c>
      <c r="D1241" s="127">
        <f t="shared" si="31"/>
        <v>70571.308074204644</v>
      </c>
      <c r="E1241" s="126">
        <f t="shared" si="32"/>
        <v>2022</v>
      </c>
      <c r="F1241" s="125">
        <f>_xlfn.XLOOKUP(D364,'3. Input (des)investeringen '!$B$11:$B$89,'3. Input (des)investeringen '!$E$11:$E$89)</f>
        <v>1</v>
      </c>
    </row>
    <row r="1242" spans="2:6">
      <c r="B1242">
        <v>348</v>
      </c>
      <c r="D1242" s="127">
        <f t="shared" si="31"/>
        <v>109759.1915322928</v>
      </c>
      <c r="E1242" s="126">
        <f t="shared" si="32"/>
        <v>2022</v>
      </c>
      <c r="F1242" s="125">
        <f>_xlfn.XLOOKUP(D365,'3. Input (des)investeringen '!$B$11:$B$89,'3. Input (des)investeringen '!$E$11:$E$89)</f>
        <v>1</v>
      </c>
    </row>
    <row r="1243" spans="2:6">
      <c r="B1243">
        <v>349</v>
      </c>
      <c r="D1243" s="127">
        <f t="shared" si="31"/>
        <v>192941.64705577045</v>
      </c>
      <c r="E1243" s="126">
        <f t="shared" si="32"/>
        <v>2022</v>
      </c>
      <c r="F1243" s="125">
        <f>_xlfn.XLOOKUP(D366,'3. Input (des)investeringen '!$B$11:$B$89,'3. Input (des)investeringen '!$E$11:$E$89)</f>
        <v>1</v>
      </c>
    </row>
    <row r="1244" spans="2:6">
      <c r="B1244">
        <v>350</v>
      </c>
      <c r="D1244" s="127">
        <f t="shared" si="31"/>
        <v>388863.18766669295</v>
      </c>
      <c r="E1244" s="126">
        <f t="shared" si="32"/>
        <v>2022</v>
      </c>
      <c r="F1244" s="125">
        <f>_xlfn.XLOOKUP(D367,'3. Input (des)investeringen '!$B$11:$B$89,'3. Input (des)investeringen '!$E$11:$E$89)</f>
        <v>0</v>
      </c>
    </row>
    <row r="1245" spans="2:6">
      <c r="B1245">
        <v>351</v>
      </c>
      <c r="D1245" s="127">
        <f t="shared" si="31"/>
        <v>1977539.2597640657</v>
      </c>
      <c r="E1245" s="126">
        <f t="shared" si="32"/>
        <v>2022</v>
      </c>
      <c r="F1245" s="125">
        <f>_xlfn.XLOOKUP(D368,'3. Input (des)investeringen '!$B$11:$B$89,'3. Input (des)investeringen '!$E$11:$E$89)</f>
        <v>0</v>
      </c>
    </row>
    <row r="1246" spans="2:6">
      <c r="B1246">
        <v>352</v>
      </c>
      <c r="D1246" s="127">
        <f t="shared" si="31"/>
        <v>643355.23241316131</v>
      </c>
      <c r="E1246" s="126">
        <f t="shared" si="32"/>
        <v>2022</v>
      </c>
      <c r="F1246" s="125">
        <f>_xlfn.XLOOKUP(D369,'3. Input (des)investeringen '!$B$11:$B$89,'3. Input (des)investeringen '!$E$11:$E$89)</f>
        <v>0</v>
      </c>
    </row>
    <row r="1247" spans="2:6">
      <c r="B1247">
        <v>353</v>
      </c>
      <c r="D1247" s="127">
        <f t="shared" si="31"/>
        <v>1160431.8736152633</v>
      </c>
      <c r="E1247" s="126">
        <f t="shared" si="32"/>
        <v>2022</v>
      </c>
      <c r="F1247" s="125">
        <f>_xlfn.XLOOKUP(D370,'3. Input (des)investeringen '!$B$11:$B$89,'3. Input (des)investeringen '!$E$11:$E$89)</f>
        <v>0</v>
      </c>
    </row>
    <row r="1248" spans="2:6">
      <c r="B1248">
        <v>354</v>
      </c>
      <c r="D1248" s="127">
        <f t="shared" si="31"/>
        <v>2103852.2340272423</v>
      </c>
      <c r="E1248" s="126">
        <f t="shared" si="32"/>
        <v>2022</v>
      </c>
      <c r="F1248" s="125">
        <f>_xlfn.XLOOKUP(D371,'3. Input (des)investeringen '!$B$11:$B$89,'3. Input (des)investeringen '!$E$11:$E$89)</f>
        <v>0</v>
      </c>
    </row>
    <row r="1249" spans="2:6">
      <c r="B1249">
        <v>355</v>
      </c>
      <c r="D1249" s="127">
        <f t="shared" si="31"/>
        <v>813729.55566402408</v>
      </c>
      <c r="E1249" s="126">
        <f t="shared" si="32"/>
        <v>2022</v>
      </c>
      <c r="F1249" s="125">
        <f>_xlfn.XLOOKUP(D372,'3. Input (des)investeringen '!$B$11:$B$89,'3. Input (des)investeringen '!$E$11:$E$89)</f>
        <v>0</v>
      </c>
    </row>
    <row r="1250" spans="2:6">
      <c r="B1250">
        <v>356</v>
      </c>
      <c r="D1250" s="127">
        <f t="shared" si="31"/>
        <v>1277165.2332752666</v>
      </c>
      <c r="E1250" s="126">
        <f t="shared" si="32"/>
        <v>2022</v>
      </c>
      <c r="F1250" s="125">
        <f>_xlfn.XLOOKUP(D373,'3. Input (des)investeringen '!$B$11:$B$89,'3. Input (des)investeringen '!$E$11:$E$89)</f>
        <v>0</v>
      </c>
    </row>
    <row r="1251" spans="2:6">
      <c r="B1251">
        <v>357</v>
      </c>
      <c r="D1251" s="127">
        <f t="shared" si="31"/>
        <v>519332.19948556297</v>
      </c>
      <c r="E1251" s="126">
        <f t="shared" si="32"/>
        <v>2022</v>
      </c>
      <c r="F1251" s="125">
        <f>_xlfn.XLOOKUP(D374,'3. Input (des)investeringen '!$B$11:$B$89,'3. Input (des)investeringen '!$E$11:$E$89)</f>
        <v>0</v>
      </c>
    </row>
    <row r="1252" spans="2:6">
      <c r="B1252">
        <v>358</v>
      </c>
      <c r="D1252" s="127">
        <f t="shared" si="31"/>
        <v>505021.85753779247</v>
      </c>
      <c r="E1252" s="126">
        <f t="shared" si="32"/>
        <v>2022</v>
      </c>
      <c r="F1252" s="125">
        <f>_xlfn.XLOOKUP(D375,'3. Input (des)investeringen '!$B$11:$B$89,'3. Input (des)investeringen '!$E$11:$E$89)</f>
        <v>0</v>
      </c>
    </row>
    <row r="1253" spans="2:6">
      <c r="B1253">
        <v>359</v>
      </c>
      <c r="D1253" s="127">
        <f t="shared" si="31"/>
        <v>362464.81670923793</v>
      </c>
      <c r="E1253" s="126">
        <f t="shared" si="32"/>
        <v>2022</v>
      </c>
      <c r="F1253" s="125">
        <f>_xlfn.XLOOKUP(D376,'3. Input (des)investeringen '!$B$11:$B$89,'3. Input (des)investeringen '!$E$11:$E$89)</f>
        <v>0</v>
      </c>
    </row>
    <row r="1254" spans="2:6">
      <c r="B1254">
        <v>360</v>
      </c>
      <c r="D1254" s="127">
        <f t="shared" si="31"/>
        <v>17338.166812593641</v>
      </c>
      <c r="E1254" s="126">
        <f t="shared" si="32"/>
        <v>2022</v>
      </c>
      <c r="F1254" s="125">
        <f>_xlfn.XLOOKUP(D377,'3. Input (des)investeringen '!$B$11:$B$89,'3. Input (des)investeringen '!$E$11:$E$89)</f>
        <v>0</v>
      </c>
    </row>
    <row r="1255" spans="2:6">
      <c r="B1255">
        <v>361</v>
      </c>
      <c r="D1255" s="127">
        <f t="shared" si="31"/>
        <v>70506.165110192131</v>
      </c>
      <c r="E1255" s="126">
        <f t="shared" si="32"/>
        <v>2022</v>
      </c>
      <c r="F1255" s="125">
        <f>_xlfn.XLOOKUP(D378,'3. Input (des)investeringen '!$B$11:$B$89,'3. Input (des)investeringen '!$E$11:$E$89)</f>
        <v>0</v>
      </c>
    </row>
    <row r="1256" spans="2:6">
      <c r="B1256">
        <v>362</v>
      </c>
      <c r="D1256" s="127">
        <f t="shared" si="31"/>
        <v>138478.44947640147</v>
      </c>
      <c r="E1256" s="126">
        <f t="shared" si="32"/>
        <v>2022</v>
      </c>
      <c r="F1256" s="125">
        <f>_xlfn.XLOOKUP(D379,'3. Input (des)investeringen '!$B$11:$B$89,'3. Input (des)investeringen '!$E$11:$E$89)</f>
        <v>0</v>
      </c>
    </row>
    <row r="1257" spans="2:6">
      <c r="B1257">
        <v>363</v>
      </c>
      <c r="D1257" s="127">
        <f t="shared" si="31"/>
        <v>15682.711488823004</v>
      </c>
      <c r="E1257" s="126">
        <f t="shared" si="32"/>
        <v>2022</v>
      </c>
      <c r="F1257" s="125">
        <f>_xlfn.XLOOKUP(D380,'3. Input (des)investeringen '!$B$11:$B$89,'3. Input (des)investeringen '!$E$11:$E$89)</f>
        <v>0</v>
      </c>
    </row>
    <row r="1258" spans="2:6">
      <c r="B1258">
        <v>364</v>
      </c>
      <c r="D1258" s="127">
        <f t="shared" si="31"/>
        <v>385836.14338180138</v>
      </c>
      <c r="E1258" s="126">
        <f t="shared" si="32"/>
        <v>2022</v>
      </c>
      <c r="F1258" s="125">
        <f>_xlfn.XLOOKUP(D381,'3. Input (des)investeringen '!$B$11:$B$89,'3. Input (des)investeringen '!$E$11:$E$89)</f>
        <v>0</v>
      </c>
    </row>
    <row r="1259" spans="2:6">
      <c r="B1259">
        <v>365</v>
      </c>
      <c r="D1259" s="127">
        <f t="shared" si="31"/>
        <v>77193.88157794677</v>
      </c>
      <c r="E1259" s="126">
        <f t="shared" si="32"/>
        <v>2022</v>
      </c>
      <c r="F1259" s="125">
        <f>_xlfn.XLOOKUP(D382,'3. Input (des)investeringen '!$B$11:$B$89,'3. Input (des)investeringen '!$E$11:$E$89)</f>
        <v>0</v>
      </c>
    </row>
    <row r="1260" spans="2:6">
      <c r="B1260">
        <v>366</v>
      </c>
      <c r="D1260" s="127">
        <f t="shared" si="31"/>
        <v>19862.696379872996</v>
      </c>
      <c r="E1260" s="126">
        <f t="shared" si="32"/>
        <v>2022</v>
      </c>
      <c r="F1260" s="125">
        <f>_xlfn.XLOOKUP(D383,'3. Input (des)investeringen '!$B$11:$B$89,'3. Input (des)investeringen '!$E$11:$E$89)</f>
        <v>0</v>
      </c>
    </row>
    <row r="1261" spans="2:6">
      <c r="B1261">
        <v>367</v>
      </c>
      <c r="D1261" s="127">
        <f t="shared" si="31"/>
        <v>10229.85170534904</v>
      </c>
      <c r="E1261" s="126">
        <f t="shared" si="32"/>
        <v>2022</v>
      </c>
      <c r="F1261" s="125">
        <f>_xlfn.XLOOKUP(D384,'3. Input (des)investeringen '!$B$11:$B$89,'3. Input (des)investeringen '!$E$11:$E$89)</f>
        <v>0</v>
      </c>
    </row>
    <row r="1262" spans="2:6">
      <c r="B1262">
        <v>368</v>
      </c>
      <c r="D1262" s="127">
        <f t="shared" si="31"/>
        <v>99628.511605417822</v>
      </c>
      <c r="E1262" s="126">
        <f t="shared" si="32"/>
        <v>2022</v>
      </c>
      <c r="F1262" s="125">
        <f>_xlfn.XLOOKUP(D385,'3. Input (des)investeringen '!$B$11:$B$89,'3. Input (des)investeringen '!$E$11:$E$89)</f>
        <v>0</v>
      </c>
    </row>
    <row r="1263" spans="2:6">
      <c r="B1263">
        <v>369</v>
      </c>
      <c r="D1263" s="127">
        <f t="shared" si="31"/>
        <v>309186.17603035166</v>
      </c>
      <c r="E1263" s="126">
        <f t="shared" si="32"/>
        <v>2022</v>
      </c>
      <c r="F1263" s="125">
        <f>_xlfn.XLOOKUP(D386,'3. Input (des)investeringen '!$B$11:$B$89,'3. Input (des)investeringen '!$E$11:$E$89)</f>
        <v>0</v>
      </c>
    </row>
    <row r="1264" spans="2:6">
      <c r="B1264">
        <v>370</v>
      </c>
      <c r="D1264" s="127">
        <f t="shared" si="31"/>
        <v>15157.227938060447</v>
      </c>
      <c r="E1264" s="126">
        <f t="shared" si="32"/>
        <v>2022</v>
      </c>
      <c r="F1264" s="125">
        <f>_xlfn.XLOOKUP(D387,'3. Input (des)investeringen '!$B$11:$B$89,'3. Input (des)investeringen '!$E$11:$E$89)</f>
        <v>0</v>
      </c>
    </row>
    <row r="1265" spans="2:6">
      <c r="B1265">
        <v>371</v>
      </c>
      <c r="D1265" s="127">
        <f t="shared" si="31"/>
        <v>39512.042797715359</v>
      </c>
      <c r="E1265" s="126">
        <f t="shared" si="32"/>
        <v>2022</v>
      </c>
      <c r="F1265" s="125">
        <f>_xlfn.XLOOKUP(D388,'3. Input (des)investeringen '!$B$11:$B$89,'3. Input (des)investeringen '!$E$11:$E$89)</f>
        <v>0</v>
      </c>
    </row>
    <row r="1266" spans="2:6">
      <c r="B1266">
        <v>372</v>
      </c>
      <c r="D1266" s="127">
        <f t="shared" si="31"/>
        <v>27643.942446618013</v>
      </c>
      <c r="E1266" s="126">
        <f t="shared" si="32"/>
        <v>2022</v>
      </c>
      <c r="F1266" s="125">
        <f>_xlfn.XLOOKUP(D389,'3. Input (des)investeringen '!$B$11:$B$89,'3. Input (des)investeringen '!$E$11:$E$89)</f>
        <v>0</v>
      </c>
    </row>
    <row r="1267" spans="2:6">
      <c r="B1267">
        <v>373</v>
      </c>
      <c r="D1267" s="127">
        <f t="shared" si="31"/>
        <v>87900.92410999391</v>
      </c>
      <c r="E1267" s="126">
        <f t="shared" si="32"/>
        <v>2022</v>
      </c>
      <c r="F1267" s="125">
        <f>_xlfn.XLOOKUP(D390,'3. Input (des)investeringen '!$B$11:$B$89,'3. Input (des)investeringen '!$E$11:$E$89)</f>
        <v>0</v>
      </c>
    </row>
    <row r="1268" spans="2:6">
      <c r="B1268">
        <v>374</v>
      </c>
      <c r="D1268" s="127">
        <f t="shared" si="31"/>
        <v>104111.78172504251</v>
      </c>
      <c r="E1268" s="126">
        <f t="shared" si="32"/>
        <v>2022</v>
      </c>
      <c r="F1268" s="125">
        <f>_xlfn.XLOOKUP(D391,'3. Input (des)investeringen '!$B$11:$B$89,'3. Input (des)investeringen '!$E$11:$E$89)</f>
        <v>0</v>
      </c>
    </row>
    <row r="1269" spans="2:6">
      <c r="B1269">
        <v>375</v>
      </c>
      <c r="D1269" s="127">
        <f t="shared" si="31"/>
        <v>27205.276684575805</v>
      </c>
      <c r="E1269" s="126">
        <f t="shared" si="32"/>
        <v>2022</v>
      </c>
      <c r="F1269" s="125">
        <f>_xlfn.XLOOKUP(D392,'3. Input (des)investeringen '!$B$11:$B$89,'3. Input (des)investeringen '!$E$11:$E$89)</f>
        <v>0</v>
      </c>
    </row>
    <row r="1270" spans="2:6">
      <c r="B1270">
        <v>376</v>
      </c>
      <c r="D1270" s="127">
        <f t="shared" si="31"/>
        <v>26002.568135894431</v>
      </c>
      <c r="E1270" s="126">
        <f t="shared" si="32"/>
        <v>2022</v>
      </c>
      <c r="F1270" s="125">
        <f>_xlfn.XLOOKUP(D393,'3. Input (des)investeringen '!$B$11:$B$89,'3. Input (des)investeringen '!$E$11:$E$89)</f>
        <v>0</v>
      </c>
    </row>
    <row r="1271" spans="2:6">
      <c r="B1271">
        <v>377</v>
      </c>
      <c r="D1271" s="127">
        <f t="shared" si="31"/>
        <v>16624.018660402588</v>
      </c>
      <c r="E1271" s="126">
        <f t="shared" si="32"/>
        <v>2022</v>
      </c>
      <c r="F1271" s="125">
        <f>_xlfn.XLOOKUP(D394,'3. Input (des)investeringen '!$B$11:$B$89,'3. Input (des)investeringen '!$E$11:$E$89)</f>
        <v>0</v>
      </c>
    </row>
    <row r="1272" spans="2:6">
      <c r="B1272">
        <v>378</v>
      </c>
      <c r="D1272" s="127">
        <f t="shared" si="31"/>
        <v>13413.383324644565</v>
      </c>
      <c r="E1272" s="126">
        <f t="shared" si="32"/>
        <v>2022</v>
      </c>
      <c r="F1272" s="125">
        <f>_xlfn.XLOOKUP(D395,'3. Input (des)investeringen '!$B$11:$B$89,'3. Input (des)investeringen '!$E$11:$E$89)</f>
        <v>0</v>
      </c>
    </row>
    <row r="1273" spans="2:6">
      <c r="B1273">
        <v>379</v>
      </c>
      <c r="D1273" s="127">
        <f t="shared" si="31"/>
        <v>50682.596958467213</v>
      </c>
      <c r="E1273" s="126">
        <f t="shared" si="32"/>
        <v>2022</v>
      </c>
      <c r="F1273" s="125">
        <f>_xlfn.XLOOKUP(D396,'3. Input (des)investeringen '!$B$11:$B$89,'3. Input (des)investeringen '!$E$11:$E$89)</f>
        <v>0</v>
      </c>
    </row>
    <row r="1274" spans="2:6">
      <c r="B1274">
        <v>380</v>
      </c>
      <c r="D1274" s="127">
        <f t="shared" si="31"/>
        <v>17898.901808781233</v>
      </c>
      <c r="E1274" s="126">
        <f t="shared" si="32"/>
        <v>2022</v>
      </c>
      <c r="F1274" s="125">
        <f>_xlfn.XLOOKUP(D397,'3. Input (des)investeringen '!$B$11:$B$89,'3. Input (des)investeringen '!$E$11:$E$89)</f>
        <v>0</v>
      </c>
    </row>
    <row r="1275" spans="2:6">
      <c r="B1275">
        <v>381</v>
      </c>
      <c r="D1275" s="127">
        <f t="shared" si="31"/>
        <v>403437.44663486362</v>
      </c>
      <c r="E1275" s="126">
        <f t="shared" si="32"/>
        <v>2022</v>
      </c>
      <c r="F1275" s="125">
        <f>_xlfn.XLOOKUP(D398,'3. Input (des)investeringen '!$B$11:$B$89,'3. Input (des)investeringen '!$E$11:$E$89)</f>
        <v>0</v>
      </c>
    </row>
    <row r="1276" spans="2:6">
      <c r="B1276">
        <v>382</v>
      </c>
      <c r="D1276" s="127">
        <f t="shared" si="31"/>
        <v>188217.0689445266</v>
      </c>
      <c r="E1276" s="126">
        <f t="shared" si="32"/>
        <v>2022</v>
      </c>
      <c r="F1276" s="125">
        <f>_xlfn.XLOOKUP(D399,'3. Input (des)investeringen '!$B$11:$B$89,'3. Input (des)investeringen '!$E$11:$E$89)</f>
        <v>0</v>
      </c>
    </row>
    <row r="1277" spans="2:6">
      <c r="B1277">
        <v>383</v>
      </c>
      <c r="D1277" s="127">
        <f t="shared" si="31"/>
        <v>48823.521113041956</v>
      </c>
      <c r="E1277" s="126">
        <f t="shared" si="32"/>
        <v>2022</v>
      </c>
      <c r="F1277" s="125">
        <f>_xlfn.XLOOKUP(D400,'3. Input (des)investeringen '!$B$11:$B$89,'3. Input (des)investeringen '!$E$11:$E$89)</f>
        <v>0</v>
      </c>
    </row>
    <row r="1278" spans="2:6">
      <c r="B1278">
        <v>384</v>
      </c>
      <c r="D1278" s="127">
        <f t="shared" si="31"/>
        <v>120450.03732565988</v>
      </c>
      <c r="E1278" s="126">
        <f t="shared" si="32"/>
        <v>2022</v>
      </c>
      <c r="F1278" s="125">
        <f>_xlfn.XLOOKUP(D401,'3. Input (des)investeringen '!$B$11:$B$89,'3. Input (des)investeringen '!$E$11:$E$89)</f>
        <v>0</v>
      </c>
    </row>
    <row r="1279" spans="2:6">
      <c r="B1279">
        <v>385</v>
      </c>
      <c r="D1279" s="127">
        <f t="shared" ref="D1279:D1342" si="33">F402*INDEX($E$810:$CG$890,E402-1945,G402-1945)</f>
        <v>416421.94666146499</v>
      </c>
      <c r="E1279" s="126">
        <f t="shared" ref="E1279:E1342" si="34">G402</f>
        <v>2022</v>
      </c>
      <c r="F1279" s="125">
        <f>_xlfn.XLOOKUP(D402,'3. Input (des)investeringen '!$B$11:$B$89,'3. Input (des)investeringen '!$E$11:$E$89)</f>
        <v>1</v>
      </c>
    </row>
    <row r="1280" spans="2:6">
      <c r="B1280">
        <v>386</v>
      </c>
      <c r="D1280" s="127">
        <f t="shared" si="33"/>
        <v>421406.95898024359</v>
      </c>
      <c r="E1280" s="126">
        <f t="shared" si="34"/>
        <v>2022</v>
      </c>
      <c r="F1280" s="125">
        <f>_xlfn.XLOOKUP(D403,'3. Input (des)investeringen '!$B$11:$B$89,'3. Input (des)investeringen '!$E$11:$E$89)</f>
        <v>1</v>
      </c>
    </row>
    <row r="1281" spans="2:6">
      <c r="B1281">
        <v>387</v>
      </c>
      <c r="D1281" s="127">
        <f t="shared" si="33"/>
        <v>692157.2316583636</v>
      </c>
      <c r="E1281" s="126">
        <f t="shared" si="34"/>
        <v>2022</v>
      </c>
      <c r="F1281" s="125">
        <f>_xlfn.XLOOKUP(D404,'3. Input (des)investeringen '!$B$11:$B$89,'3. Input (des)investeringen '!$E$11:$E$89)</f>
        <v>1</v>
      </c>
    </row>
    <row r="1282" spans="2:6">
      <c r="B1282">
        <v>388</v>
      </c>
      <c r="D1282" s="127">
        <f t="shared" si="33"/>
        <v>25209.605468598776</v>
      </c>
      <c r="E1282" s="126">
        <f t="shared" si="34"/>
        <v>2022</v>
      </c>
      <c r="F1282" s="125">
        <f>_xlfn.XLOOKUP(D405,'3. Input (des)investeringen '!$B$11:$B$89,'3. Input (des)investeringen '!$E$11:$E$89)</f>
        <v>1</v>
      </c>
    </row>
    <row r="1283" spans="2:6">
      <c r="B1283">
        <v>389</v>
      </c>
      <c r="D1283" s="127">
        <f t="shared" si="33"/>
        <v>140714.3745480834</v>
      </c>
      <c r="E1283" s="126">
        <f t="shared" si="34"/>
        <v>2022</v>
      </c>
      <c r="F1283" s="125">
        <f>_xlfn.XLOOKUP(D406,'3. Input (des)investeringen '!$B$11:$B$89,'3. Input (des)investeringen '!$E$11:$E$89)</f>
        <v>1</v>
      </c>
    </row>
    <row r="1284" spans="2:6">
      <c r="B1284">
        <v>390</v>
      </c>
      <c r="D1284" s="127">
        <f t="shared" si="33"/>
        <v>3286060.4941140958</v>
      </c>
      <c r="E1284" s="126">
        <f t="shared" si="34"/>
        <v>2022</v>
      </c>
      <c r="F1284" s="125">
        <f>_xlfn.XLOOKUP(D407,'3. Input (des)investeringen '!$B$11:$B$89,'3. Input (des)investeringen '!$E$11:$E$89)</f>
        <v>0</v>
      </c>
    </row>
    <row r="1285" spans="2:6">
      <c r="B1285">
        <v>391</v>
      </c>
      <c r="D1285" s="127">
        <f t="shared" si="33"/>
        <v>2889336.0511362744</v>
      </c>
      <c r="E1285" s="126">
        <f t="shared" si="34"/>
        <v>2022</v>
      </c>
      <c r="F1285" s="125">
        <f>_xlfn.XLOOKUP(D408,'3. Input (des)investeringen '!$B$11:$B$89,'3. Input (des)investeringen '!$E$11:$E$89)</f>
        <v>0</v>
      </c>
    </row>
    <row r="1286" spans="2:6">
      <c r="B1286">
        <v>392</v>
      </c>
      <c r="D1286" s="127">
        <f t="shared" si="33"/>
        <v>68228.736381040857</v>
      </c>
      <c r="E1286" s="126">
        <f t="shared" si="34"/>
        <v>2022</v>
      </c>
      <c r="F1286" s="125">
        <f>_xlfn.XLOOKUP(D409,'3. Input (des)investeringen '!$B$11:$B$89,'3. Input (des)investeringen '!$E$11:$E$89)</f>
        <v>0</v>
      </c>
    </row>
    <row r="1287" spans="2:6">
      <c r="B1287">
        <v>393</v>
      </c>
      <c r="D1287" s="127">
        <f t="shared" si="33"/>
        <v>10160.534376059844</v>
      </c>
      <c r="E1287" s="126">
        <f t="shared" si="34"/>
        <v>2022</v>
      </c>
      <c r="F1287" s="125">
        <f>_xlfn.XLOOKUP(D410,'3. Input (des)investeringen '!$B$11:$B$89,'3. Input (des)investeringen '!$E$11:$E$89)</f>
        <v>1</v>
      </c>
    </row>
    <row r="1288" spans="2:6">
      <c r="B1288">
        <v>394</v>
      </c>
      <c r="D1288" s="127">
        <f t="shared" si="33"/>
        <v>147761.88545380786</v>
      </c>
      <c r="E1288" s="126">
        <f t="shared" si="34"/>
        <v>2022</v>
      </c>
      <c r="F1288" s="125">
        <f>_xlfn.XLOOKUP(D411,'3. Input (des)investeringen '!$B$11:$B$89,'3. Input (des)investeringen '!$E$11:$E$89)</f>
        <v>1</v>
      </c>
    </row>
    <row r="1289" spans="2:6">
      <c r="B1289">
        <v>395</v>
      </c>
      <c r="D1289" s="127">
        <f t="shared" si="33"/>
        <v>45540.794182929996</v>
      </c>
      <c r="E1289" s="126">
        <f t="shared" si="34"/>
        <v>2022</v>
      </c>
      <c r="F1289" s="125">
        <f>_xlfn.XLOOKUP(D412,'3. Input (des)investeringen '!$B$11:$B$89,'3. Input (des)investeringen '!$E$11:$E$89)</f>
        <v>1</v>
      </c>
    </row>
    <row r="1290" spans="2:6">
      <c r="B1290">
        <v>396</v>
      </c>
      <c r="D1290" s="127">
        <f t="shared" si="33"/>
        <v>93894.172378139556</v>
      </c>
      <c r="E1290" s="126">
        <f t="shared" si="34"/>
        <v>2022</v>
      </c>
      <c r="F1290" s="125">
        <f>_xlfn.XLOOKUP(D413,'3. Input (des)investeringen '!$B$11:$B$89,'3. Input (des)investeringen '!$E$11:$E$89)</f>
        <v>1</v>
      </c>
    </row>
    <row r="1291" spans="2:6">
      <c r="B1291">
        <v>397</v>
      </c>
      <c r="D1291" s="127">
        <f t="shared" si="33"/>
        <v>177718.38388286164</v>
      </c>
      <c r="E1291" s="126">
        <f t="shared" si="34"/>
        <v>2022</v>
      </c>
      <c r="F1291" s="125">
        <f>_xlfn.XLOOKUP(D414,'3. Input (des)investeringen '!$B$11:$B$89,'3. Input (des)investeringen '!$E$11:$E$89)</f>
        <v>1</v>
      </c>
    </row>
    <row r="1292" spans="2:6">
      <c r="B1292">
        <v>398</v>
      </c>
      <c r="D1292" s="127">
        <f t="shared" si="33"/>
        <v>1294499.6997653714</v>
      </c>
      <c r="E1292" s="126">
        <f t="shared" si="34"/>
        <v>2022</v>
      </c>
      <c r="F1292" s="125">
        <f>_xlfn.XLOOKUP(D415,'3. Input (des)investeringen '!$B$11:$B$89,'3. Input (des)investeringen '!$E$11:$E$89)</f>
        <v>1</v>
      </c>
    </row>
    <row r="1293" spans="2:6">
      <c r="B1293">
        <v>399</v>
      </c>
      <c r="D1293" s="127">
        <f t="shared" si="33"/>
        <v>2808385.7094326685</v>
      </c>
      <c r="E1293" s="126">
        <f t="shared" si="34"/>
        <v>2022</v>
      </c>
      <c r="F1293" s="125">
        <f>_xlfn.XLOOKUP(D416,'3. Input (des)investeringen '!$B$11:$B$89,'3. Input (des)investeringen '!$E$11:$E$89)</f>
        <v>1</v>
      </c>
    </row>
    <row r="1294" spans="2:6">
      <c r="B1294">
        <v>400</v>
      </c>
      <c r="D1294" s="127">
        <f t="shared" si="33"/>
        <v>45194.667709534398</v>
      </c>
      <c r="E1294" s="126">
        <f t="shared" si="34"/>
        <v>2022</v>
      </c>
      <c r="F1294" s="125">
        <f>_xlfn.XLOOKUP(D417,'3. Input (des)investeringen '!$B$11:$B$89,'3. Input (des)investeringen '!$E$11:$E$89)</f>
        <v>1</v>
      </c>
    </row>
    <row r="1295" spans="2:6">
      <c r="B1295">
        <v>401</v>
      </c>
      <c r="D1295" s="127">
        <f t="shared" si="33"/>
        <v>352203.69724490831</v>
      </c>
      <c r="E1295" s="126">
        <f t="shared" si="34"/>
        <v>2022</v>
      </c>
      <c r="F1295" s="125">
        <f>_xlfn.XLOOKUP(D418,'3. Input (des)investeringen '!$B$11:$B$89,'3. Input (des)investeringen '!$E$11:$E$89)</f>
        <v>1</v>
      </c>
    </row>
    <row r="1296" spans="2:6">
      <c r="B1296">
        <v>402</v>
      </c>
      <c r="D1296" s="127">
        <f t="shared" si="33"/>
        <v>263048.27140793024</v>
      </c>
      <c r="E1296" s="126">
        <f t="shared" si="34"/>
        <v>2022</v>
      </c>
      <c r="F1296" s="125">
        <f>_xlfn.XLOOKUP(D419,'3. Input (des)investeringen '!$B$11:$B$89,'3. Input (des)investeringen '!$E$11:$E$89)</f>
        <v>1</v>
      </c>
    </row>
    <row r="1297" spans="2:9">
      <c r="B1297">
        <v>403</v>
      </c>
      <c r="D1297" s="127">
        <f t="shared" si="33"/>
        <v>458832.76437743992</v>
      </c>
      <c r="E1297" s="126">
        <f t="shared" si="34"/>
        <v>2022</v>
      </c>
      <c r="F1297" s="125">
        <f>_xlfn.XLOOKUP(D420,'3. Input (des)investeringen '!$B$11:$B$89,'3. Input (des)investeringen '!$E$11:$E$89)</f>
        <v>1</v>
      </c>
    </row>
    <row r="1298" spans="2:9">
      <c r="B1298">
        <v>404</v>
      </c>
      <c r="D1298" s="127">
        <f t="shared" si="33"/>
        <v>3568467.7964144056</v>
      </c>
      <c r="E1298" s="126">
        <f t="shared" si="34"/>
        <v>2022</v>
      </c>
      <c r="F1298" s="125">
        <f>_xlfn.XLOOKUP(D421,'3. Input (des)investeringen '!$B$11:$B$89,'3. Input (des)investeringen '!$E$11:$E$89)</f>
        <v>1</v>
      </c>
    </row>
    <row r="1299" spans="2:9">
      <c r="B1299">
        <v>405</v>
      </c>
      <c r="D1299" s="127">
        <f t="shared" si="33"/>
        <v>26233.757086429297</v>
      </c>
      <c r="E1299" s="126">
        <f t="shared" si="34"/>
        <v>2022</v>
      </c>
      <c r="F1299" s="125">
        <f>_xlfn.XLOOKUP(D422,'3. Input (des)investeringen '!$B$11:$B$89,'3. Input (des)investeringen '!$E$11:$E$89)</f>
        <v>1</v>
      </c>
    </row>
    <row r="1300" spans="2:9">
      <c r="B1300">
        <v>406</v>
      </c>
      <c r="D1300" s="127">
        <f t="shared" si="33"/>
        <v>452051.40390749951</v>
      </c>
      <c r="E1300" s="126">
        <f t="shared" si="34"/>
        <v>2022</v>
      </c>
      <c r="F1300" s="125">
        <f>_xlfn.XLOOKUP(D423,'3. Input (des)investeringen '!$B$11:$B$89,'3. Input (des)investeringen '!$E$11:$E$89)</f>
        <v>1</v>
      </c>
    </row>
    <row r="1301" spans="2:9">
      <c r="B1301">
        <v>407</v>
      </c>
      <c r="D1301" s="127">
        <f t="shared" si="33"/>
        <v>57956.278680094474</v>
      </c>
      <c r="E1301" s="126">
        <f t="shared" si="34"/>
        <v>2022</v>
      </c>
      <c r="F1301" s="125">
        <f>_xlfn.XLOOKUP(D424,'3. Input (des)investeringen '!$B$11:$B$89,'3. Input (des)investeringen '!$E$11:$E$89)</f>
        <v>1</v>
      </c>
    </row>
    <row r="1302" spans="2:9">
      <c r="B1302">
        <v>408</v>
      </c>
      <c r="D1302" s="127">
        <f t="shared" si="33"/>
        <v>285635.79568697215</v>
      </c>
      <c r="E1302" s="126">
        <f t="shared" si="34"/>
        <v>2023</v>
      </c>
      <c r="F1302" s="125">
        <f>_xlfn.XLOOKUP(D425,'3. Input (des)investeringen '!$B$11:$B$89,'3. Input (des)investeringen '!$E$11:$E$89)</f>
        <v>1</v>
      </c>
    </row>
    <row r="1303" spans="2:9">
      <c r="B1303">
        <v>409</v>
      </c>
      <c r="D1303" s="127">
        <f t="shared" si="33"/>
        <v>249266.83112068888</v>
      </c>
      <c r="E1303" s="126">
        <f t="shared" si="34"/>
        <v>2023</v>
      </c>
      <c r="F1303" s="125">
        <f>_xlfn.XLOOKUP(D426,'3. Input (des)investeringen '!$B$11:$B$89,'3. Input (des)investeringen '!$E$11:$E$89)</f>
        <v>1</v>
      </c>
    </row>
    <row r="1304" spans="2:9">
      <c r="B1304">
        <v>410</v>
      </c>
      <c r="D1304" s="127">
        <f t="shared" si="33"/>
        <v>347574.85703515873</v>
      </c>
      <c r="E1304" s="126">
        <f t="shared" si="34"/>
        <v>2023</v>
      </c>
      <c r="F1304" s="125">
        <f>_xlfn.XLOOKUP(D427,'3. Input (des)investeringen '!$B$11:$B$89,'3. Input (des)investeringen '!$E$11:$E$89)</f>
        <v>1</v>
      </c>
      <c r="I1304" s="323"/>
    </row>
    <row r="1305" spans="2:9">
      <c r="B1305">
        <v>411</v>
      </c>
      <c r="D1305" s="127">
        <f t="shared" si="33"/>
        <v>321100.81484869617</v>
      </c>
      <c r="E1305" s="126">
        <f t="shared" si="34"/>
        <v>2023</v>
      </c>
      <c r="F1305" s="125">
        <f>_xlfn.XLOOKUP(D428,'3. Input (des)investeringen '!$B$11:$B$89,'3. Input (des)investeringen '!$E$11:$E$89)</f>
        <v>1</v>
      </c>
    </row>
    <row r="1306" spans="2:9">
      <c r="B1306">
        <v>412</v>
      </c>
      <c r="D1306" s="127">
        <f t="shared" si="33"/>
        <v>861524.88487694261</v>
      </c>
      <c r="E1306" s="126">
        <f t="shared" si="34"/>
        <v>2023</v>
      </c>
      <c r="F1306" s="125">
        <f>_xlfn.XLOOKUP(D429,'3. Input (des)investeringen '!$B$11:$B$89,'3. Input (des)investeringen '!$E$11:$E$89)</f>
        <v>1</v>
      </c>
    </row>
    <row r="1307" spans="2:9">
      <c r="B1307">
        <v>413</v>
      </c>
      <c r="D1307" s="127">
        <f t="shared" si="33"/>
        <v>469490.76539010642</v>
      </c>
      <c r="E1307" s="126">
        <f t="shared" si="34"/>
        <v>2023</v>
      </c>
      <c r="F1307" s="125">
        <f>_xlfn.XLOOKUP(D430,'3. Input (des)investeringen '!$B$11:$B$89,'3. Input (des)investeringen '!$E$11:$E$89)</f>
        <v>1</v>
      </c>
    </row>
    <row r="1308" spans="2:9">
      <c r="B1308">
        <v>414</v>
      </c>
      <c r="D1308" s="127">
        <f t="shared" si="33"/>
        <v>483622.21037156548</v>
      </c>
      <c r="E1308" s="126">
        <f t="shared" si="34"/>
        <v>2023</v>
      </c>
      <c r="F1308" s="125">
        <f>_xlfn.XLOOKUP(D431,'3. Input (des)investeringen '!$B$11:$B$89,'3. Input (des)investeringen '!$E$11:$E$89)</f>
        <v>1</v>
      </c>
    </row>
    <row r="1309" spans="2:9">
      <c r="B1309">
        <v>415</v>
      </c>
      <c r="D1309" s="127">
        <f t="shared" si="33"/>
        <v>2866585.2646686863</v>
      </c>
      <c r="E1309" s="126">
        <f t="shared" si="34"/>
        <v>2023</v>
      </c>
      <c r="F1309" s="125">
        <f>_xlfn.XLOOKUP(D432,'3. Input (des)investeringen '!$B$11:$B$89,'3. Input (des)investeringen '!$E$11:$E$89)</f>
        <v>1</v>
      </c>
    </row>
    <row r="1310" spans="2:9">
      <c r="B1310">
        <v>416</v>
      </c>
      <c r="D1310" s="127">
        <f t="shared" si="33"/>
        <v>932820.72214634728</v>
      </c>
      <c r="E1310" s="126">
        <f t="shared" si="34"/>
        <v>2023</v>
      </c>
      <c r="F1310" s="125">
        <f>_xlfn.XLOOKUP(D433,'3. Input (des)investeringen '!$B$11:$B$89,'3. Input (des)investeringen '!$E$11:$E$89)</f>
        <v>1</v>
      </c>
    </row>
    <row r="1311" spans="2:9">
      <c r="B1311">
        <v>417</v>
      </c>
      <c r="D1311" s="127">
        <f t="shared" si="33"/>
        <v>1185977.7434346818</v>
      </c>
      <c r="E1311" s="126">
        <f t="shared" si="34"/>
        <v>2023</v>
      </c>
      <c r="F1311" s="125">
        <f>_xlfn.XLOOKUP(D434,'3. Input (des)investeringen '!$B$11:$B$89,'3. Input (des)investeringen '!$E$11:$E$89)</f>
        <v>1</v>
      </c>
    </row>
    <row r="1312" spans="2:9">
      <c r="B1312">
        <v>418</v>
      </c>
      <c r="D1312" s="127">
        <f t="shared" si="33"/>
        <v>509869.90481401538</v>
      </c>
      <c r="E1312" s="126">
        <f t="shared" si="34"/>
        <v>2023</v>
      </c>
      <c r="F1312" s="125">
        <f>_xlfn.XLOOKUP(D435,'3. Input (des)investeringen '!$B$11:$B$89,'3. Input (des)investeringen '!$E$11:$E$89)</f>
        <v>1</v>
      </c>
    </row>
    <row r="1313" spans="2:6">
      <c r="B1313">
        <v>419</v>
      </c>
      <c r="D1313" s="127">
        <f t="shared" si="33"/>
        <v>236808.48168715212</v>
      </c>
      <c r="E1313" s="126">
        <f t="shared" si="34"/>
        <v>2023</v>
      </c>
      <c r="F1313" s="125">
        <f>_xlfn.XLOOKUP(D436,'3. Input (des)investeringen '!$B$11:$B$89,'3. Input (des)investeringen '!$E$11:$E$89)</f>
        <v>1</v>
      </c>
    </row>
    <row r="1314" spans="2:6">
      <c r="B1314">
        <v>420</v>
      </c>
      <c r="D1314" s="127">
        <f t="shared" si="33"/>
        <v>157003.07208654779</v>
      </c>
      <c r="E1314" s="126">
        <f t="shared" si="34"/>
        <v>2023</v>
      </c>
      <c r="F1314" s="125">
        <f>_xlfn.XLOOKUP(D437,'3. Input (des)investeringen '!$B$11:$B$89,'3. Input (des)investeringen '!$E$11:$E$89)</f>
        <v>1</v>
      </c>
    </row>
    <row r="1315" spans="2:6">
      <c r="B1315">
        <v>421</v>
      </c>
      <c r="D1315" s="127">
        <f t="shared" si="33"/>
        <v>9486.0875217443881</v>
      </c>
      <c r="E1315" s="126">
        <f t="shared" si="34"/>
        <v>2023</v>
      </c>
      <c r="F1315" s="125">
        <f>_xlfn.XLOOKUP(D438,'3. Input (des)investeringen '!$B$11:$B$89,'3. Input (des)investeringen '!$E$11:$E$89)</f>
        <v>1</v>
      </c>
    </row>
    <row r="1316" spans="2:6">
      <c r="B1316">
        <v>422</v>
      </c>
      <c r="D1316" s="127">
        <f t="shared" si="33"/>
        <v>2884.0040012863105</v>
      </c>
      <c r="E1316" s="126">
        <f t="shared" si="34"/>
        <v>2023</v>
      </c>
      <c r="F1316" s="125">
        <f>_xlfn.XLOOKUP(D439,'3. Input (des)investeringen '!$B$11:$B$89,'3. Input (des)investeringen '!$E$11:$E$89)</f>
        <v>1</v>
      </c>
    </row>
    <row r="1317" spans="2:6">
      <c r="B1317">
        <v>423</v>
      </c>
      <c r="D1317" s="127">
        <f t="shared" si="33"/>
        <v>4183.7080719061742</v>
      </c>
      <c r="E1317" s="126">
        <f t="shared" si="34"/>
        <v>2023</v>
      </c>
      <c r="F1317" s="125">
        <f>_xlfn.XLOOKUP(D440,'3. Input (des)investeringen '!$B$11:$B$89,'3. Input (des)investeringen '!$E$11:$E$89)</f>
        <v>1</v>
      </c>
    </row>
    <row r="1318" spans="2:6">
      <c r="B1318">
        <v>424</v>
      </c>
      <c r="D1318" s="127">
        <f t="shared" si="33"/>
        <v>17193.152762402715</v>
      </c>
      <c r="E1318" s="126">
        <f t="shared" si="34"/>
        <v>2023</v>
      </c>
      <c r="F1318" s="125">
        <f>_xlfn.XLOOKUP(D441,'3. Input (des)investeringen '!$B$11:$B$89,'3. Input (des)investeringen '!$E$11:$E$89)</f>
        <v>1</v>
      </c>
    </row>
    <row r="1319" spans="2:6">
      <c r="B1319">
        <v>425</v>
      </c>
      <c r="D1319" s="127">
        <f t="shared" si="33"/>
        <v>310985.27946651384</v>
      </c>
      <c r="E1319" s="126">
        <f t="shared" si="34"/>
        <v>2023</v>
      </c>
      <c r="F1319" s="125">
        <f>_xlfn.XLOOKUP(D442,'3. Input (des)investeringen '!$B$11:$B$89,'3. Input (des)investeringen '!$E$11:$E$89)</f>
        <v>1</v>
      </c>
    </row>
    <row r="1320" spans="2:6">
      <c r="B1320">
        <v>426</v>
      </c>
      <c r="D1320" s="127">
        <f t="shared" si="33"/>
        <v>0</v>
      </c>
      <c r="E1320" s="126">
        <f t="shared" si="34"/>
        <v>2023</v>
      </c>
      <c r="F1320" s="125">
        <f>_xlfn.XLOOKUP(D443,'3. Input (des)investeringen '!$B$11:$B$89,'3. Input (des)investeringen '!$E$11:$E$89)</f>
        <v>1</v>
      </c>
    </row>
    <row r="1321" spans="2:6">
      <c r="B1321">
        <v>427</v>
      </c>
      <c r="D1321" s="127">
        <f t="shared" si="33"/>
        <v>56189.66023157903</v>
      </c>
      <c r="E1321" s="126">
        <f t="shared" si="34"/>
        <v>2023</v>
      </c>
      <c r="F1321" s="125">
        <f>_xlfn.XLOOKUP(D444,'3. Input (des)investeringen '!$B$11:$B$89,'3. Input (des)investeringen '!$E$11:$E$89)</f>
        <v>1</v>
      </c>
    </row>
    <row r="1322" spans="2:6">
      <c r="B1322">
        <v>428</v>
      </c>
      <c r="D1322" s="127">
        <f t="shared" si="33"/>
        <v>23066.943191521783</v>
      </c>
      <c r="E1322" s="126">
        <f t="shared" si="34"/>
        <v>2023</v>
      </c>
      <c r="F1322" s="125">
        <f>_xlfn.XLOOKUP(D445,'3. Input (des)investeringen '!$B$11:$B$89,'3. Input (des)investeringen '!$E$11:$E$89)</f>
        <v>1</v>
      </c>
    </row>
    <row r="1323" spans="2:6">
      <c r="B1323">
        <v>429</v>
      </c>
      <c r="D1323" s="127">
        <f t="shared" si="33"/>
        <v>61765.863576058793</v>
      </c>
      <c r="E1323" s="126">
        <f t="shared" si="34"/>
        <v>2023</v>
      </c>
      <c r="F1323" s="125">
        <f>_xlfn.XLOOKUP(D446,'3. Input (des)investeringen '!$B$11:$B$89,'3. Input (des)investeringen '!$E$11:$E$89)</f>
        <v>1</v>
      </c>
    </row>
    <row r="1324" spans="2:6">
      <c r="B1324">
        <v>430</v>
      </c>
      <c r="D1324" s="127">
        <f t="shared" si="33"/>
        <v>76760.168932161934</v>
      </c>
      <c r="E1324" s="126">
        <f t="shared" si="34"/>
        <v>2023</v>
      </c>
      <c r="F1324" s="125">
        <f>_xlfn.XLOOKUP(D447,'3. Input (des)investeringen '!$B$11:$B$89,'3. Input (des)investeringen '!$E$11:$E$89)</f>
        <v>1</v>
      </c>
    </row>
    <row r="1325" spans="2:6">
      <c r="B1325">
        <v>431</v>
      </c>
      <c r="D1325" s="127">
        <f t="shared" si="33"/>
        <v>13814.065455958173</v>
      </c>
      <c r="E1325" s="126">
        <f t="shared" si="34"/>
        <v>2023</v>
      </c>
      <c r="F1325" s="125">
        <f>_xlfn.XLOOKUP(D448,'3. Input (des)investeringen '!$B$11:$B$89,'3. Input (des)investeringen '!$E$11:$E$89)</f>
        <v>1</v>
      </c>
    </row>
    <row r="1326" spans="2:6">
      <c r="B1326">
        <v>432</v>
      </c>
      <c r="D1326" s="127">
        <f t="shared" si="33"/>
        <v>489924.0047235713</v>
      </c>
      <c r="E1326" s="126">
        <f t="shared" si="34"/>
        <v>2023</v>
      </c>
      <c r="F1326" s="125">
        <f>_xlfn.XLOOKUP(D449,'3. Input (des)investeringen '!$B$11:$B$89,'3. Input (des)investeringen '!$E$11:$E$89)</f>
        <v>1</v>
      </c>
    </row>
    <row r="1327" spans="2:6">
      <c r="B1327">
        <v>433</v>
      </c>
      <c r="D1327" s="127">
        <f t="shared" si="33"/>
        <v>22437.577813218642</v>
      </c>
      <c r="E1327" s="126">
        <f t="shared" si="34"/>
        <v>2023</v>
      </c>
      <c r="F1327" s="125">
        <f>_xlfn.XLOOKUP(D450,'3. Input (des)investeringen '!$B$11:$B$89,'3. Input (des)investeringen '!$E$11:$E$89)</f>
        <v>1</v>
      </c>
    </row>
    <row r="1328" spans="2:6">
      <c r="B1328">
        <v>434</v>
      </c>
      <c r="D1328" s="127">
        <f t="shared" si="33"/>
        <v>482022.08869529201</v>
      </c>
      <c r="E1328" s="126">
        <f t="shared" si="34"/>
        <v>2023</v>
      </c>
      <c r="F1328" s="125">
        <f>_xlfn.XLOOKUP(D451,'3. Input (des)investeringen '!$B$11:$B$89,'3. Input (des)investeringen '!$E$11:$E$89)</f>
        <v>1</v>
      </c>
    </row>
    <row r="1329" spans="2:6">
      <c r="B1329">
        <v>435</v>
      </c>
      <c r="D1329" s="127">
        <f t="shared" si="33"/>
        <v>109148.11117929975</v>
      </c>
      <c r="E1329" s="126">
        <f t="shared" si="34"/>
        <v>2023</v>
      </c>
      <c r="F1329" s="125">
        <f>_xlfn.XLOOKUP(D452,'3. Input (des)investeringen '!$B$11:$B$89,'3. Input (des)investeringen '!$E$11:$E$89)</f>
        <v>0</v>
      </c>
    </row>
    <row r="1330" spans="2:6">
      <c r="B1330">
        <v>436</v>
      </c>
      <c r="D1330" s="127">
        <f t="shared" si="33"/>
        <v>798682.37055175169</v>
      </c>
      <c r="E1330" s="126">
        <f t="shared" si="34"/>
        <v>2023</v>
      </c>
      <c r="F1330" s="125">
        <f>_xlfn.XLOOKUP(D453,'3. Input (des)investeringen '!$B$11:$B$89,'3. Input (des)investeringen '!$E$11:$E$89)</f>
        <v>0</v>
      </c>
    </row>
    <row r="1331" spans="2:6">
      <c r="B1331">
        <v>437</v>
      </c>
      <c r="D1331" s="127">
        <f t="shared" si="33"/>
        <v>1030761.6522493181</v>
      </c>
      <c r="E1331" s="126">
        <f t="shared" si="34"/>
        <v>2023</v>
      </c>
      <c r="F1331" s="125">
        <f>_xlfn.XLOOKUP(D454,'3. Input (des)investeringen '!$B$11:$B$89,'3. Input (des)investeringen '!$E$11:$E$89)</f>
        <v>0</v>
      </c>
    </row>
    <row r="1332" spans="2:6">
      <c r="B1332">
        <v>438</v>
      </c>
      <c r="D1332" s="127">
        <f t="shared" si="33"/>
        <v>173319.41485069564</v>
      </c>
      <c r="E1332" s="126">
        <f t="shared" si="34"/>
        <v>2023</v>
      </c>
      <c r="F1332" s="125">
        <f>_xlfn.XLOOKUP(D455,'3. Input (des)investeringen '!$B$11:$B$89,'3. Input (des)investeringen '!$E$11:$E$89)</f>
        <v>0</v>
      </c>
    </row>
    <row r="1333" spans="2:6">
      <c r="B1333">
        <v>439</v>
      </c>
      <c r="D1333" s="127">
        <f t="shared" si="33"/>
        <v>522403.79514717701</v>
      </c>
      <c r="E1333" s="126">
        <f t="shared" si="34"/>
        <v>2023</v>
      </c>
      <c r="F1333" s="125">
        <f>_xlfn.XLOOKUP(D456,'3. Input (des)investeringen '!$B$11:$B$89,'3. Input (des)investeringen '!$E$11:$E$89)</f>
        <v>0</v>
      </c>
    </row>
    <row r="1334" spans="2:6">
      <c r="B1334">
        <v>440</v>
      </c>
      <c r="D1334" s="127">
        <f t="shared" si="33"/>
        <v>393499.97479407035</v>
      </c>
      <c r="E1334" s="126">
        <f t="shared" si="34"/>
        <v>2023</v>
      </c>
      <c r="F1334" s="125">
        <f>_xlfn.XLOOKUP(D457,'3. Input (des)investeringen '!$B$11:$B$89,'3. Input (des)investeringen '!$E$11:$E$89)</f>
        <v>0</v>
      </c>
    </row>
    <row r="1335" spans="2:6">
      <c r="B1335">
        <v>441</v>
      </c>
      <c r="D1335" s="127">
        <f t="shared" si="33"/>
        <v>720079.2458849001</v>
      </c>
      <c r="E1335" s="126">
        <f t="shared" si="34"/>
        <v>2023</v>
      </c>
      <c r="F1335" s="125">
        <f>_xlfn.XLOOKUP(D458,'3. Input (des)investeringen '!$B$11:$B$89,'3. Input (des)investeringen '!$E$11:$E$89)</f>
        <v>0</v>
      </c>
    </row>
    <row r="1336" spans="2:6">
      <c r="B1336">
        <v>442</v>
      </c>
      <c r="D1336" s="127">
        <f t="shared" si="33"/>
        <v>324939.5513944648</v>
      </c>
      <c r="E1336" s="126">
        <f t="shared" si="34"/>
        <v>2023</v>
      </c>
      <c r="F1336" s="125">
        <f>_xlfn.XLOOKUP(D459,'3. Input (des)investeringen '!$B$11:$B$89,'3. Input (des)investeringen '!$E$11:$E$89)</f>
        <v>0</v>
      </c>
    </row>
    <row r="1337" spans="2:6">
      <c r="B1337">
        <v>443</v>
      </c>
      <c r="D1337" s="127">
        <f t="shared" si="33"/>
        <v>198849.71653117737</v>
      </c>
      <c r="E1337" s="126">
        <f t="shared" si="34"/>
        <v>2023</v>
      </c>
      <c r="F1337" s="125">
        <f>_xlfn.XLOOKUP(D460,'3. Input (des)investeringen '!$B$11:$B$89,'3. Input (des)investeringen '!$E$11:$E$89)</f>
        <v>0</v>
      </c>
    </row>
    <row r="1338" spans="2:6">
      <c r="B1338">
        <v>444</v>
      </c>
      <c r="D1338" s="127">
        <f t="shared" si="33"/>
        <v>164251.35459825987</v>
      </c>
      <c r="E1338" s="126">
        <f t="shared" si="34"/>
        <v>2023</v>
      </c>
      <c r="F1338" s="125">
        <f>_xlfn.XLOOKUP(D461,'3. Input (des)investeringen '!$B$11:$B$89,'3. Input (des)investeringen '!$E$11:$E$89)</f>
        <v>0</v>
      </c>
    </row>
    <row r="1339" spans="2:6">
      <c r="B1339">
        <v>445</v>
      </c>
      <c r="D1339" s="127">
        <f t="shared" si="33"/>
        <v>11733.192073654014</v>
      </c>
      <c r="E1339" s="126">
        <f t="shared" si="34"/>
        <v>2023</v>
      </c>
      <c r="F1339" s="125">
        <f>_xlfn.XLOOKUP(D462,'3. Input (des)investeringen '!$B$11:$B$89,'3. Input (des)investeringen '!$E$11:$E$89)</f>
        <v>0</v>
      </c>
    </row>
    <row r="1340" spans="2:6">
      <c r="B1340">
        <v>446</v>
      </c>
      <c r="D1340" s="127">
        <f t="shared" si="33"/>
        <v>125422.19335400098</v>
      </c>
      <c r="E1340" s="126">
        <f t="shared" si="34"/>
        <v>2023</v>
      </c>
      <c r="F1340" s="125">
        <f>_xlfn.XLOOKUP(D463,'3. Input (des)investeringen '!$B$11:$B$89,'3. Input (des)investeringen '!$E$11:$E$89)</f>
        <v>0</v>
      </c>
    </row>
    <row r="1341" spans="2:6">
      <c r="B1341">
        <v>447</v>
      </c>
      <c r="D1341" s="127">
        <f t="shared" si="33"/>
        <v>150583.87798958004</v>
      </c>
      <c r="E1341" s="126">
        <f t="shared" si="34"/>
        <v>2023</v>
      </c>
      <c r="F1341" s="125">
        <f>_xlfn.XLOOKUP(D464,'3. Input (des)investeringen '!$B$11:$B$89,'3. Input (des)investeringen '!$E$11:$E$89)</f>
        <v>0</v>
      </c>
    </row>
    <row r="1342" spans="2:6">
      <c r="B1342">
        <v>448</v>
      </c>
      <c r="D1342" s="127">
        <f t="shared" si="33"/>
        <v>187073.7124672959</v>
      </c>
      <c r="E1342" s="126">
        <f t="shared" si="34"/>
        <v>2023</v>
      </c>
      <c r="F1342" s="125">
        <f>_xlfn.XLOOKUP(D465,'3. Input (des)investeringen '!$B$11:$B$89,'3. Input (des)investeringen '!$E$11:$E$89)</f>
        <v>0</v>
      </c>
    </row>
    <row r="1343" spans="2:6">
      <c r="B1343">
        <v>449</v>
      </c>
      <c r="D1343" s="127">
        <f t="shared" ref="D1343:D1406" si="35">F466*INDEX($E$810:$CG$890,E466-1945,G466-1945)</f>
        <v>16141.872193424901</v>
      </c>
      <c r="E1343" s="126">
        <f t="shared" ref="E1343:E1406" si="36">G466</f>
        <v>2023</v>
      </c>
      <c r="F1343" s="125">
        <f>_xlfn.XLOOKUP(D466,'3. Input (des)investeringen '!$B$11:$B$89,'3. Input (des)investeringen '!$E$11:$E$89)</f>
        <v>0</v>
      </c>
    </row>
    <row r="1344" spans="2:6">
      <c r="B1344">
        <v>450</v>
      </c>
      <c r="D1344" s="127">
        <f t="shared" si="35"/>
        <v>6130.344945733591</v>
      </c>
      <c r="E1344" s="126">
        <f t="shared" si="36"/>
        <v>2023</v>
      </c>
      <c r="F1344" s="125">
        <f>_xlfn.XLOOKUP(D467,'3. Input (des)investeringen '!$B$11:$B$89,'3. Input (des)investeringen '!$E$11:$E$89)</f>
        <v>0</v>
      </c>
    </row>
    <row r="1345" spans="2:6">
      <c r="B1345">
        <v>451</v>
      </c>
      <c r="D1345" s="127">
        <f t="shared" si="35"/>
        <v>12506.026558124702</v>
      </c>
      <c r="E1345" s="126">
        <f t="shared" si="36"/>
        <v>2023</v>
      </c>
      <c r="F1345" s="125">
        <f>_xlfn.XLOOKUP(D468,'3. Input (des)investeringen '!$B$11:$B$89,'3. Input (des)investeringen '!$E$11:$E$89)</f>
        <v>0</v>
      </c>
    </row>
    <row r="1346" spans="2:6">
      <c r="B1346">
        <v>452</v>
      </c>
      <c r="D1346" s="127">
        <f t="shared" si="35"/>
        <v>378094.79162456573</v>
      </c>
      <c r="E1346" s="126">
        <f t="shared" si="36"/>
        <v>2023</v>
      </c>
      <c r="F1346" s="125">
        <f>_xlfn.XLOOKUP(D469,'3. Input (des)investeringen '!$B$11:$B$89,'3. Input (des)investeringen '!$E$11:$E$89)</f>
        <v>0</v>
      </c>
    </row>
    <row r="1347" spans="2:6">
      <c r="B1347">
        <v>453</v>
      </c>
      <c r="D1347" s="127">
        <f t="shared" si="35"/>
        <v>16053.69375893263</v>
      </c>
      <c r="E1347" s="126">
        <f t="shared" si="36"/>
        <v>2023</v>
      </c>
      <c r="F1347" s="125">
        <f>_xlfn.XLOOKUP(D470,'3. Input (des)investeringen '!$B$11:$B$89,'3. Input (des)investeringen '!$E$11:$E$89)</f>
        <v>0</v>
      </c>
    </row>
    <row r="1348" spans="2:6">
      <c r="B1348">
        <v>454</v>
      </c>
      <c r="D1348" s="127">
        <f t="shared" si="35"/>
        <v>16819.273813158587</v>
      </c>
      <c r="E1348" s="126">
        <f t="shared" si="36"/>
        <v>2023</v>
      </c>
      <c r="F1348" s="125">
        <f>_xlfn.XLOOKUP(D471,'3. Input (des)investeringen '!$B$11:$B$89,'3. Input (des)investeringen '!$E$11:$E$89)</f>
        <v>0</v>
      </c>
    </row>
    <row r="1349" spans="2:6">
      <c r="B1349">
        <v>455</v>
      </c>
      <c r="D1349" s="127">
        <f t="shared" si="35"/>
        <v>26274.547039751084</v>
      </c>
      <c r="E1349" s="126">
        <f t="shared" si="36"/>
        <v>2023</v>
      </c>
      <c r="F1349" s="125">
        <f>_xlfn.XLOOKUP(D472,'3. Input (des)investeringen '!$B$11:$B$89,'3. Input (des)investeringen '!$E$11:$E$89)</f>
        <v>0</v>
      </c>
    </row>
    <row r="1350" spans="2:6">
      <c r="B1350">
        <v>456</v>
      </c>
      <c r="D1350" s="127">
        <f t="shared" si="35"/>
        <v>34137.96127349008</v>
      </c>
      <c r="E1350" s="126">
        <f t="shared" si="36"/>
        <v>2023</v>
      </c>
      <c r="F1350" s="125">
        <f>_xlfn.XLOOKUP(D473,'3. Input (des)investeringen '!$B$11:$B$89,'3. Input (des)investeringen '!$E$11:$E$89)</f>
        <v>0</v>
      </c>
    </row>
    <row r="1351" spans="2:6">
      <c r="B1351">
        <v>457</v>
      </c>
      <c r="D1351" s="127">
        <f t="shared" si="35"/>
        <v>78535.654281385127</v>
      </c>
      <c r="E1351" s="126">
        <f t="shared" si="36"/>
        <v>2023</v>
      </c>
      <c r="F1351" s="125">
        <f>_xlfn.XLOOKUP(D474,'3. Input (des)investeringen '!$B$11:$B$89,'3. Input (des)investeringen '!$E$11:$E$89)</f>
        <v>0</v>
      </c>
    </row>
    <row r="1352" spans="2:6">
      <c r="B1352">
        <v>458</v>
      </c>
      <c r="D1352" s="127">
        <f t="shared" si="35"/>
        <v>34093.287733188481</v>
      </c>
      <c r="E1352" s="126">
        <f t="shared" si="36"/>
        <v>2023</v>
      </c>
      <c r="F1352" s="125">
        <f>_xlfn.XLOOKUP(D475,'3. Input (des)investeringen '!$B$11:$B$89,'3. Input (des)investeringen '!$E$11:$E$89)</f>
        <v>0</v>
      </c>
    </row>
    <row r="1353" spans="2:6">
      <c r="B1353">
        <v>459</v>
      </c>
      <c r="D1353" s="127">
        <f t="shared" si="35"/>
        <v>94879.334151807998</v>
      </c>
      <c r="E1353" s="126">
        <f t="shared" si="36"/>
        <v>2023</v>
      </c>
      <c r="F1353" s="125">
        <f>_xlfn.XLOOKUP(D476,'3. Input (des)investeringen '!$B$11:$B$89,'3. Input (des)investeringen '!$E$11:$E$89)</f>
        <v>0</v>
      </c>
    </row>
    <row r="1354" spans="2:6">
      <c r="B1354">
        <v>460</v>
      </c>
      <c r="D1354" s="127">
        <f t="shared" si="35"/>
        <v>7995.5990827184187</v>
      </c>
      <c r="E1354" s="126">
        <f t="shared" si="36"/>
        <v>2023</v>
      </c>
      <c r="F1354" s="125">
        <f>_xlfn.XLOOKUP(D477,'3. Input (des)investeringen '!$B$11:$B$89,'3. Input (des)investeringen '!$E$11:$E$89)</f>
        <v>1</v>
      </c>
    </row>
    <row r="1355" spans="2:6">
      <c r="B1355">
        <v>461</v>
      </c>
      <c r="D1355" s="127">
        <f t="shared" si="35"/>
        <v>202260.44489470436</v>
      </c>
      <c r="E1355" s="126">
        <f t="shared" si="36"/>
        <v>2023</v>
      </c>
      <c r="F1355" s="125">
        <f>_xlfn.XLOOKUP(D478,'3. Input (des)investeringen '!$B$11:$B$89,'3. Input (des)investeringen '!$E$11:$E$89)</f>
        <v>0</v>
      </c>
    </row>
    <row r="1356" spans="2:6">
      <c r="B1356">
        <v>462</v>
      </c>
      <c r="D1356" s="127">
        <f t="shared" si="35"/>
        <v>27363.85775491851</v>
      </c>
      <c r="E1356" s="126">
        <f t="shared" si="36"/>
        <v>2023</v>
      </c>
      <c r="F1356" s="125">
        <f>_xlfn.XLOOKUP(D479,'3. Input (des)investeringen '!$B$11:$B$89,'3. Input (des)investeringen '!$E$11:$E$89)</f>
        <v>0</v>
      </c>
    </row>
    <row r="1357" spans="2:6">
      <c r="B1357">
        <v>463</v>
      </c>
      <c r="D1357" s="127">
        <f t="shared" si="35"/>
        <v>2099990.2025125339</v>
      </c>
      <c r="E1357" s="126">
        <f t="shared" si="36"/>
        <v>2023</v>
      </c>
      <c r="F1357" s="125">
        <f>_xlfn.XLOOKUP(D480,'3. Input (des)investeringen '!$B$11:$B$89,'3. Input (des)investeringen '!$E$11:$E$89)</f>
        <v>1</v>
      </c>
    </row>
    <row r="1358" spans="2:6">
      <c r="B1358">
        <v>464</v>
      </c>
      <c r="D1358" s="127">
        <f t="shared" si="35"/>
        <v>88584.167202078708</v>
      </c>
      <c r="E1358" s="126">
        <f t="shared" si="36"/>
        <v>2023</v>
      </c>
      <c r="F1358" s="125">
        <f>_xlfn.XLOOKUP(D481,'3. Input (des)investeringen '!$B$11:$B$89,'3. Input (des)investeringen '!$E$11:$E$89)</f>
        <v>1</v>
      </c>
    </row>
    <row r="1359" spans="2:6">
      <c r="B1359">
        <v>465</v>
      </c>
      <c r="D1359" s="127">
        <f t="shared" si="35"/>
        <v>71192.88784331271</v>
      </c>
      <c r="E1359" s="126">
        <f t="shared" si="36"/>
        <v>2023</v>
      </c>
      <c r="F1359" s="125">
        <f>_xlfn.XLOOKUP(D482,'3. Input (des)investeringen '!$B$11:$B$89,'3. Input (des)investeringen '!$E$11:$E$89)</f>
        <v>1</v>
      </c>
    </row>
    <row r="1360" spans="2:6">
      <c r="B1360">
        <v>466</v>
      </c>
      <c r="D1360" s="127">
        <f t="shared" si="35"/>
        <v>59318.38290921889</v>
      </c>
      <c r="E1360" s="126">
        <f t="shared" si="36"/>
        <v>2023</v>
      </c>
      <c r="F1360" s="125">
        <f>_xlfn.XLOOKUP(D483,'3. Input (des)investeringen '!$B$11:$B$89,'3. Input (des)investeringen '!$E$11:$E$89)</f>
        <v>1</v>
      </c>
    </row>
    <row r="1361" spans="2:6">
      <c r="B1361">
        <v>467</v>
      </c>
      <c r="D1361" s="127">
        <f t="shared" si="35"/>
        <v>17242700.130181815</v>
      </c>
      <c r="E1361" s="126">
        <f t="shared" si="36"/>
        <v>2023</v>
      </c>
      <c r="F1361" s="125">
        <f>_xlfn.XLOOKUP(D484,'3. Input (des)investeringen '!$B$11:$B$89,'3. Input (des)investeringen '!$E$11:$E$89)</f>
        <v>1</v>
      </c>
    </row>
    <row r="1362" spans="2:6">
      <c r="B1362">
        <v>468</v>
      </c>
      <c r="D1362" s="127">
        <f t="shared" si="35"/>
        <v>1434168.6087925173</v>
      </c>
      <c r="E1362" s="126">
        <f t="shared" si="36"/>
        <v>2023</v>
      </c>
      <c r="F1362" s="125">
        <f>_xlfn.XLOOKUP(D485,'3. Input (des)investeringen '!$B$11:$B$89,'3. Input (des)investeringen '!$E$11:$E$89)</f>
        <v>1</v>
      </c>
    </row>
    <row r="1363" spans="2:6">
      <c r="B1363">
        <v>469</v>
      </c>
      <c r="D1363" s="127">
        <f t="shared" si="35"/>
        <v>3313494.6652734946</v>
      </c>
      <c r="E1363" s="126">
        <f t="shared" si="36"/>
        <v>2023</v>
      </c>
      <c r="F1363" s="125">
        <f>_xlfn.XLOOKUP(D486,'3. Input (des)investeringen '!$B$11:$B$89,'3. Input (des)investeringen '!$E$11:$E$89)</f>
        <v>1</v>
      </c>
    </row>
    <row r="1364" spans="2:6">
      <c r="B1364">
        <v>470</v>
      </c>
      <c r="D1364" s="127">
        <f t="shared" si="35"/>
        <v>1909058.9733587019</v>
      </c>
      <c r="E1364" s="126">
        <f t="shared" si="36"/>
        <v>2023</v>
      </c>
      <c r="F1364" s="125">
        <f>_xlfn.XLOOKUP(D487,'3. Input (des)investeringen '!$B$11:$B$89,'3. Input (des)investeringen '!$E$11:$E$89)</f>
        <v>1</v>
      </c>
    </row>
    <row r="1365" spans="2:6">
      <c r="B1365">
        <v>471</v>
      </c>
      <c r="D1365" s="127">
        <f t="shared" si="35"/>
        <v>36457.908194673997</v>
      </c>
      <c r="E1365" s="126">
        <f t="shared" si="36"/>
        <v>2023</v>
      </c>
      <c r="F1365" s="125">
        <f>_xlfn.XLOOKUP(D488,'3. Input (des)investeringen '!$B$11:$B$89,'3. Input (des)investeringen '!$E$11:$E$89)</f>
        <v>1</v>
      </c>
    </row>
    <row r="1366" spans="2:6">
      <c r="B1366">
        <v>472</v>
      </c>
      <c r="D1366" s="127">
        <f t="shared" si="35"/>
        <v>1335938.2338781792</v>
      </c>
      <c r="E1366" s="126">
        <f t="shared" si="36"/>
        <v>2023</v>
      </c>
      <c r="F1366" s="125">
        <f>_xlfn.XLOOKUP(D489,'3. Input (des)investeringen '!$B$11:$B$89,'3. Input (des)investeringen '!$E$11:$E$89)</f>
        <v>1</v>
      </c>
    </row>
    <row r="1367" spans="2:6">
      <c r="B1367">
        <v>473</v>
      </c>
      <c r="D1367" s="127">
        <f t="shared" si="35"/>
        <v>30104.760365369744</v>
      </c>
      <c r="E1367" s="126">
        <f t="shared" si="36"/>
        <v>2023</v>
      </c>
      <c r="F1367" s="125">
        <f>_xlfn.XLOOKUP(D490,'3. Input (des)investeringen '!$B$11:$B$89,'3. Input (des)investeringen '!$E$11:$E$89)</f>
        <v>1</v>
      </c>
    </row>
    <row r="1368" spans="2:6">
      <c r="B1368">
        <v>474</v>
      </c>
      <c r="D1368" s="127">
        <f t="shared" si="35"/>
        <v>353019.47498281603</v>
      </c>
      <c r="E1368" s="126">
        <f t="shared" si="36"/>
        <v>2023</v>
      </c>
      <c r="F1368" s="125">
        <f>_xlfn.XLOOKUP(D491,'3. Input (des)investeringen '!$B$11:$B$89,'3. Input (des)investeringen '!$E$11:$E$89)</f>
        <v>1</v>
      </c>
    </row>
    <row r="1369" spans="2:6">
      <c r="B1369">
        <v>475</v>
      </c>
      <c r="D1369" s="127">
        <f t="shared" si="35"/>
        <v>2622997.5830845321</v>
      </c>
      <c r="E1369" s="126">
        <f t="shared" si="36"/>
        <v>2023</v>
      </c>
      <c r="F1369" s="125">
        <f>_xlfn.XLOOKUP(D492,'3. Input (des)investeringen '!$B$11:$B$89,'3. Input (des)investeringen '!$E$11:$E$89)</f>
        <v>1</v>
      </c>
    </row>
    <row r="1370" spans="2:6">
      <c r="B1370">
        <v>476</v>
      </c>
      <c r="D1370" s="127">
        <f t="shared" si="35"/>
        <v>264545.47356776358</v>
      </c>
      <c r="E1370" s="126">
        <f t="shared" si="36"/>
        <v>2023</v>
      </c>
      <c r="F1370" s="125">
        <f>_xlfn.XLOOKUP(D493,'3. Input (des)investeringen '!$B$11:$B$89,'3. Input (des)investeringen '!$E$11:$E$89)</f>
        <v>1</v>
      </c>
    </row>
    <row r="1371" spans="2:6">
      <c r="B1371">
        <v>477</v>
      </c>
      <c r="D1371" s="127">
        <f t="shared" si="35"/>
        <v>59569.387064448449</v>
      </c>
      <c r="E1371" s="126">
        <f t="shared" si="36"/>
        <v>2023</v>
      </c>
      <c r="F1371" s="125">
        <f>_xlfn.XLOOKUP(D494,'3. Input (des)investeringen '!$B$11:$B$89,'3. Input (des)investeringen '!$E$11:$E$89)</f>
        <v>1</v>
      </c>
    </row>
    <row r="1372" spans="2:6">
      <c r="B1372">
        <v>478</v>
      </c>
      <c r="D1372" s="127">
        <f t="shared" si="35"/>
        <v>2874560.047436554</v>
      </c>
      <c r="E1372" s="126">
        <f t="shared" si="36"/>
        <v>2023</v>
      </c>
      <c r="F1372" s="125">
        <f>_xlfn.XLOOKUP(D495,'3. Input (des)investeringen '!$B$11:$B$89,'3. Input (des)investeringen '!$E$11:$E$89)</f>
        <v>1</v>
      </c>
    </row>
    <row r="1373" spans="2:6">
      <c r="B1373">
        <v>479</v>
      </c>
      <c r="D1373" s="127">
        <f t="shared" si="35"/>
        <v>49664.573050075967</v>
      </c>
      <c r="E1373" s="126">
        <f t="shared" si="36"/>
        <v>2023</v>
      </c>
      <c r="F1373" s="125">
        <f>_xlfn.XLOOKUP(D496,'3. Input (des)investeringen '!$B$11:$B$89,'3. Input (des)investeringen '!$E$11:$E$89)</f>
        <v>1</v>
      </c>
    </row>
    <row r="1374" spans="2:6">
      <c r="B1374">
        <v>480</v>
      </c>
      <c r="D1374" s="127">
        <f t="shared" si="35"/>
        <v>251474.2227041962</v>
      </c>
      <c r="E1374" s="126">
        <f t="shared" si="36"/>
        <v>2023</v>
      </c>
      <c r="F1374" s="125">
        <f>_xlfn.XLOOKUP(D497,'3. Input (des)investeringen '!$B$11:$B$89,'3. Input (des)investeringen '!$E$11:$E$89)</f>
        <v>1</v>
      </c>
    </row>
    <row r="1375" spans="2:6">
      <c r="B1375">
        <v>481</v>
      </c>
      <c r="D1375" s="127">
        <f t="shared" si="35"/>
        <v>62681.888254174031</v>
      </c>
      <c r="E1375" s="126">
        <f t="shared" si="36"/>
        <v>2023</v>
      </c>
      <c r="F1375" s="125">
        <f>_xlfn.XLOOKUP(D498,'3. Input (des)investeringen '!$B$11:$B$89,'3. Input (des)investeringen '!$E$11:$E$89)</f>
        <v>1</v>
      </c>
    </row>
    <row r="1376" spans="2:6">
      <c r="B1376">
        <v>482</v>
      </c>
      <c r="D1376" s="127">
        <f t="shared" si="35"/>
        <v>8998910.2149308864</v>
      </c>
      <c r="E1376" s="126">
        <f t="shared" si="36"/>
        <v>2023</v>
      </c>
      <c r="F1376" s="125">
        <f>_xlfn.XLOOKUP(D499,'3. Input (des)investeringen '!$B$11:$B$89,'3. Input (des)investeringen '!$E$11:$E$89)</f>
        <v>1</v>
      </c>
    </row>
    <row r="1377" spans="2:6">
      <c r="B1377">
        <v>483</v>
      </c>
      <c r="D1377" s="127">
        <f t="shared" si="35"/>
        <v>881158.02853810368</v>
      </c>
      <c r="E1377" s="126">
        <f t="shared" si="36"/>
        <v>2023</v>
      </c>
      <c r="F1377" s="125">
        <f>_xlfn.XLOOKUP(D500,'3. Input (des)investeringen '!$B$11:$B$89,'3. Input (des)investeringen '!$E$11:$E$89)</f>
        <v>1</v>
      </c>
    </row>
    <row r="1378" spans="2:6">
      <c r="B1378">
        <v>484</v>
      </c>
      <c r="D1378" s="127">
        <f t="shared" si="35"/>
        <v>480717.66049350589</v>
      </c>
      <c r="E1378" s="126">
        <f t="shared" si="36"/>
        <v>2023</v>
      </c>
      <c r="F1378" s="125">
        <f>_xlfn.XLOOKUP(D501,'3. Input (des)investeringen '!$B$11:$B$89,'3. Input (des)investeringen '!$E$11:$E$89)</f>
        <v>1</v>
      </c>
    </row>
    <row r="1379" spans="2:6">
      <c r="B1379">
        <v>485</v>
      </c>
      <c r="D1379" s="127">
        <f t="shared" si="35"/>
        <v>158468.43405476084</v>
      </c>
      <c r="E1379" s="126">
        <f t="shared" si="36"/>
        <v>2023</v>
      </c>
      <c r="F1379" s="125">
        <f>_xlfn.XLOOKUP(D502,'3. Input (des)investeringen '!$B$11:$B$89,'3. Input (des)investeringen '!$E$11:$E$89)</f>
        <v>1</v>
      </c>
    </row>
    <row r="1380" spans="2:6">
      <c r="B1380">
        <v>486</v>
      </c>
      <c r="D1380" s="127">
        <f t="shared" si="35"/>
        <v>2525665.1004047501</v>
      </c>
      <c r="E1380" s="126">
        <f t="shared" si="36"/>
        <v>2023</v>
      </c>
      <c r="F1380" s="125">
        <f>_xlfn.XLOOKUP(D503,'3. Input (des)investeringen '!$B$11:$B$89,'3. Input (des)investeringen '!$E$11:$E$89)</f>
        <v>0</v>
      </c>
    </row>
    <row r="1381" spans="2:6">
      <c r="B1381">
        <v>487</v>
      </c>
      <c r="D1381" s="127">
        <f t="shared" si="35"/>
        <v>16905407.599479198</v>
      </c>
      <c r="E1381" s="126">
        <f t="shared" si="36"/>
        <v>2023</v>
      </c>
      <c r="F1381" s="125">
        <f>_xlfn.XLOOKUP(D504,'3. Input (des)investeringen '!$B$11:$B$89,'3. Input (des)investeringen '!$E$11:$E$89)</f>
        <v>0</v>
      </c>
    </row>
    <row r="1382" spans="2:6">
      <c r="B1382">
        <v>488</v>
      </c>
      <c r="D1382" s="127">
        <f t="shared" si="35"/>
        <v>791759.55712817342</v>
      </c>
      <c r="E1382" s="126">
        <f t="shared" si="36"/>
        <v>2023</v>
      </c>
      <c r="F1382" s="125">
        <f>_xlfn.XLOOKUP(D505,'3. Input (des)investeringen '!$B$11:$B$89,'3. Input (des)investeringen '!$E$11:$E$89)</f>
        <v>0</v>
      </c>
    </row>
    <row r="1383" spans="2:6">
      <c r="B1383">
        <v>489</v>
      </c>
      <c r="D1383" s="127">
        <f t="shared" si="35"/>
        <v>61276.777943181114</v>
      </c>
      <c r="E1383" s="126">
        <f t="shared" si="36"/>
        <v>2023</v>
      </c>
      <c r="F1383" s="125">
        <f>_xlfn.XLOOKUP(D506,'3. Input (des)investeringen '!$B$11:$B$89,'3. Input (des)investeringen '!$E$11:$E$89)</f>
        <v>0</v>
      </c>
    </row>
    <row r="1384" spans="2:6">
      <c r="B1384">
        <v>490</v>
      </c>
      <c r="D1384" s="127">
        <f t="shared" si="35"/>
        <v>10738035.658221532</v>
      </c>
      <c r="E1384" s="126">
        <f t="shared" si="36"/>
        <v>2023</v>
      </c>
      <c r="F1384" s="125">
        <f>_xlfn.XLOOKUP(D507,'3. Input (des)investeringen '!$B$11:$B$89,'3. Input (des)investeringen '!$E$11:$E$89)</f>
        <v>0</v>
      </c>
    </row>
    <row r="1385" spans="2:6">
      <c r="B1385">
        <v>491</v>
      </c>
      <c r="D1385" s="127">
        <f t="shared" si="35"/>
        <v>4513096.8685017684</v>
      </c>
      <c r="E1385" s="126">
        <f t="shared" si="36"/>
        <v>2023</v>
      </c>
      <c r="F1385" s="125">
        <f>_xlfn.XLOOKUP(D508,'3. Input (des)investeringen '!$B$11:$B$89,'3. Input (des)investeringen '!$E$11:$E$89)</f>
        <v>0</v>
      </c>
    </row>
    <row r="1386" spans="2:6">
      <c r="B1386">
        <v>492</v>
      </c>
      <c r="D1386" s="127">
        <f t="shared" si="35"/>
        <v>20121.628884849415</v>
      </c>
      <c r="E1386" s="126">
        <f t="shared" si="36"/>
        <v>2023</v>
      </c>
      <c r="F1386" s="125">
        <f>_xlfn.XLOOKUP(D509,'3. Input (des)investeringen '!$B$11:$B$89,'3. Input (des)investeringen '!$E$11:$E$89)</f>
        <v>0</v>
      </c>
    </row>
    <row r="1387" spans="2:6">
      <c r="B1387">
        <v>493</v>
      </c>
      <c r="D1387" s="127">
        <f t="shared" si="35"/>
        <v>47146.071159517043</v>
      </c>
      <c r="E1387" s="126">
        <f t="shared" si="36"/>
        <v>2023</v>
      </c>
      <c r="F1387" s="125">
        <f>_xlfn.XLOOKUP(D510,'3. Input (des)investeringen '!$B$11:$B$89,'3. Input (des)investeringen '!$E$11:$E$89)</f>
        <v>0</v>
      </c>
    </row>
    <row r="1388" spans="2:6">
      <c r="B1388">
        <v>494</v>
      </c>
      <c r="D1388" s="127">
        <f t="shared" si="35"/>
        <v>426676.51950934849</v>
      </c>
      <c r="E1388" s="126">
        <f t="shared" si="36"/>
        <v>2023</v>
      </c>
      <c r="F1388" s="125">
        <f>_xlfn.XLOOKUP(D511,'3. Input (des)investeringen '!$B$11:$B$89,'3. Input (des)investeringen '!$E$11:$E$89)</f>
        <v>0</v>
      </c>
    </row>
    <row r="1389" spans="2:6">
      <c r="B1389">
        <v>495</v>
      </c>
      <c r="D1389" s="127">
        <f t="shared" si="35"/>
        <v>50955.736856891977</v>
      </c>
      <c r="E1389" s="126">
        <f t="shared" si="36"/>
        <v>2023</v>
      </c>
      <c r="F1389" s="125">
        <f>_xlfn.XLOOKUP(D512,'3. Input (des)investeringen '!$B$11:$B$89,'3. Input (des)investeringen '!$E$11:$E$89)</f>
        <v>0</v>
      </c>
    </row>
    <row r="1390" spans="2:6">
      <c r="B1390">
        <v>496</v>
      </c>
      <c r="D1390" s="127">
        <f t="shared" si="35"/>
        <v>64205.512183063081</v>
      </c>
      <c r="E1390" s="126">
        <f t="shared" si="36"/>
        <v>2023</v>
      </c>
      <c r="F1390" s="125">
        <f>_xlfn.XLOOKUP(D513,'3. Input (des)investeringen '!$B$11:$B$89,'3. Input (des)investeringen '!$E$11:$E$89)</f>
        <v>0</v>
      </c>
    </row>
    <row r="1391" spans="2:6">
      <c r="B1391">
        <v>497</v>
      </c>
      <c r="D1391" s="127">
        <f t="shared" si="35"/>
        <v>230655.94063060553</v>
      </c>
      <c r="E1391" s="126">
        <f t="shared" si="36"/>
        <v>2023</v>
      </c>
      <c r="F1391" s="125">
        <f>_xlfn.XLOOKUP(D514,'3. Input (des)investeringen '!$B$11:$B$89,'3. Input (des)investeringen '!$E$11:$E$89)</f>
        <v>0</v>
      </c>
    </row>
    <row r="1392" spans="2:6">
      <c r="B1392">
        <v>498</v>
      </c>
      <c r="D1392" s="127">
        <f t="shared" si="35"/>
        <v>574715.02689626382</v>
      </c>
      <c r="E1392" s="126">
        <f t="shared" si="36"/>
        <v>2023</v>
      </c>
      <c r="F1392" s="125">
        <f>_xlfn.XLOOKUP(D515,'3. Input (des)investeringen '!$B$11:$B$89,'3. Input (des)investeringen '!$E$11:$E$89)</f>
        <v>0</v>
      </c>
    </row>
    <row r="1393" spans="2:6">
      <c r="B1393">
        <v>499</v>
      </c>
      <c r="D1393" s="127">
        <f t="shared" si="35"/>
        <v>1469026.1382935997</v>
      </c>
      <c r="E1393" s="126">
        <f t="shared" si="36"/>
        <v>2023</v>
      </c>
      <c r="F1393" s="125">
        <f>_xlfn.XLOOKUP(D516,'3. Input (des)investeringen '!$B$11:$B$89,'3. Input (des)investeringen '!$E$11:$E$89)</f>
        <v>0</v>
      </c>
    </row>
    <row r="1394" spans="2:6">
      <c r="B1394">
        <v>500</v>
      </c>
      <c r="D1394" s="127">
        <f t="shared" si="35"/>
        <v>2050105.43100047</v>
      </c>
      <c r="E1394" s="126">
        <f t="shared" si="36"/>
        <v>2023</v>
      </c>
      <c r="F1394" s="125">
        <f>_xlfn.XLOOKUP(D517,'3. Input (des)investeringen '!$B$11:$B$89,'3. Input (des)investeringen '!$E$11:$E$89)</f>
        <v>0</v>
      </c>
    </row>
    <row r="1395" spans="2:6">
      <c r="B1395">
        <v>501</v>
      </c>
      <c r="D1395" s="127">
        <f t="shared" si="35"/>
        <v>129882.09166575248</v>
      </c>
      <c r="E1395" s="126">
        <f t="shared" si="36"/>
        <v>2023</v>
      </c>
      <c r="F1395" s="125">
        <f>_xlfn.XLOOKUP(D518,'3. Input (des)investeringen '!$B$11:$B$89,'3. Input (des)investeringen '!$E$11:$E$89)</f>
        <v>0</v>
      </c>
    </row>
    <row r="1396" spans="2:6">
      <c r="B1396">
        <v>502</v>
      </c>
      <c r="D1396" s="127">
        <f t="shared" si="35"/>
        <v>1235577.6025156102</v>
      </c>
      <c r="E1396" s="126">
        <f t="shared" si="36"/>
        <v>2023</v>
      </c>
      <c r="F1396" s="125">
        <f>_xlfn.XLOOKUP(D519,'3. Input (des)investeringen '!$B$11:$B$89,'3. Input (des)investeringen '!$E$11:$E$89)</f>
        <v>0</v>
      </c>
    </row>
    <row r="1397" spans="2:6">
      <c r="B1397">
        <v>503</v>
      </c>
      <c r="D1397" s="127">
        <f t="shared" si="35"/>
        <v>1703571.8543817492</v>
      </c>
      <c r="E1397" s="126">
        <f t="shared" si="36"/>
        <v>2023</v>
      </c>
      <c r="F1397" s="125">
        <f>_xlfn.XLOOKUP(D520,'3. Input (des)investeringen '!$B$11:$B$89,'3. Input (des)investeringen '!$E$11:$E$89)</f>
        <v>0</v>
      </c>
    </row>
    <row r="1398" spans="2:6">
      <c r="B1398">
        <v>504</v>
      </c>
      <c r="D1398" s="127">
        <f t="shared" si="35"/>
        <v>595505.82704552368</v>
      </c>
      <c r="E1398" s="126">
        <f t="shared" si="36"/>
        <v>2023</v>
      </c>
      <c r="F1398" s="125">
        <f>_xlfn.XLOOKUP(D521,'3. Input (des)investeringen '!$B$11:$B$89,'3. Input (des)investeringen '!$E$11:$E$89)</f>
        <v>0</v>
      </c>
    </row>
    <row r="1399" spans="2:6">
      <c r="B1399">
        <v>505</v>
      </c>
      <c r="D1399" s="127">
        <f t="shared" si="35"/>
        <v>776768.62070497498</v>
      </c>
      <c r="E1399" s="126">
        <f t="shared" si="36"/>
        <v>2023</v>
      </c>
      <c r="F1399" s="125">
        <f>_xlfn.XLOOKUP(D522,'3. Input (des)investeringen '!$B$11:$B$89,'3. Input (des)investeringen '!$E$11:$E$89)</f>
        <v>0</v>
      </c>
    </row>
    <row r="1400" spans="2:6">
      <c r="B1400">
        <v>506</v>
      </c>
      <c r="D1400" s="127">
        <f t="shared" si="35"/>
        <v>1876.9453947414813</v>
      </c>
      <c r="E1400" s="126">
        <f t="shared" si="36"/>
        <v>2023</v>
      </c>
      <c r="F1400" s="125">
        <f>_xlfn.XLOOKUP(D523,'3. Input (des)investeringen '!$B$11:$B$89,'3. Input (des)investeringen '!$E$11:$E$89)</f>
        <v>0</v>
      </c>
    </row>
    <row r="1401" spans="2:6">
      <c r="B1401">
        <v>507</v>
      </c>
      <c r="D1401" s="127">
        <f t="shared" si="35"/>
        <v>42851.542476290124</v>
      </c>
      <c r="E1401" s="126">
        <f t="shared" si="36"/>
        <v>2023</v>
      </c>
      <c r="F1401" s="125">
        <f>_xlfn.XLOOKUP(D524,'3. Input (des)investeringen '!$B$11:$B$89,'3. Input (des)investeringen '!$E$11:$E$89)</f>
        <v>0</v>
      </c>
    </row>
    <row r="1402" spans="2:6">
      <c r="B1402">
        <v>508</v>
      </c>
      <c r="D1402" s="127">
        <f t="shared" si="35"/>
        <v>22583.7690161561</v>
      </c>
      <c r="E1402" s="126">
        <f t="shared" si="36"/>
        <v>2023</v>
      </c>
      <c r="F1402" s="125">
        <f>_xlfn.XLOOKUP(D525,'3. Input (des)investeringen '!$B$11:$B$89,'3. Input (des)investeringen '!$E$11:$E$89)</f>
        <v>1</v>
      </c>
    </row>
    <row r="1403" spans="2:6">
      <c r="B1403">
        <v>509</v>
      </c>
      <c r="D1403" s="127">
        <f t="shared" si="35"/>
        <v>462227.19518013293</v>
      </c>
      <c r="E1403" s="126">
        <f t="shared" si="36"/>
        <v>2023</v>
      </c>
      <c r="F1403" s="125">
        <f>_xlfn.XLOOKUP(D526,'3. Input (des)investeringen '!$B$11:$B$89,'3. Input (des)investeringen '!$E$11:$E$89)</f>
        <v>1</v>
      </c>
    </row>
    <row r="1404" spans="2:6">
      <c r="B1404">
        <v>510</v>
      </c>
      <c r="D1404" s="127">
        <f t="shared" si="35"/>
        <v>46528.540913690129</v>
      </c>
      <c r="E1404" s="126">
        <f t="shared" si="36"/>
        <v>2023</v>
      </c>
      <c r="F1404" s="125">
        <f>_xlfn.XLOOKUP(D527,'3. Input (des)investeringen '!$B$11:$B$89,'3. Input (des)investeringen '!$E$11:$E$89)</f>
        <v>1</v>
      </c>
    </row>
    <row r="1405" spans="2:6">
      <c r="B1405">
        <v>511</v>
      </c>
      <c r="D1405" s="127">
        <f t="shared" si="35"/>
        <v>98655.140353137496</v>
      </c>
      <c r="E1405" s="126">
        <f t="shared" si="36"/>
        <v>2023</v>
      </c>
      <c r="F1405" s="125">
        <f>_xlfn.XLOOKUP(D528,'3. Input (des)investeringen '!$B$11:$B$89,'3. Input (des)investeringen '!$E$11:$E$89)</f>
        <v>1</v>
      </c>
    </row>
    <row r="1406" spans="2:6">
      <c r="B1406">
        <v>512</v>
      </c>
      <c r="D1406" s="127">
        <f t="shared" si="35"/>
        <v>50825.96589408478</v>
      </c>
      <c r="E1406" s="126">
        <f t="shared" si="36"/>
        <v>2023</v>
      </c>
      <c r="F1406" s="125">
        <f>_xlfn.XLOOKUP(D529,'3. Input (des)investeringen '!$B$11:$B$89,'3. Input (des)investeringen '!$E$11:$E$89)</f>
        <v>1</v>
      </c>
    </row>
    <row r="1407" spans="2:6">
      <c r="B1407">
        <v>513</v>
      </c>
      <c r="D1407" s="127">
        <f t="shared" ref="D1407:D1470" si="37">F530*INDEX($E$810:$CG$890,E530-1945,G530-1945)</f>
        <v>477279.97623645322</v>
      </c>
      <c r="E1407" s="126">
        <f t="shared" ref="E1407:E1470" si="38">G530</f>
        <v>2023</v>
      </c>
      <c r="F1407" s="125">
        <f>_xlfn.XLOOKUP(D530,'3. Input (des)investeringen '!$B$11:$B$89,'3. Input (des)investeringen '!$E$11:$E$89)</f>
        <v>1</v>
      </c>
    </row>
    <row r="1408" spans="2:6">
      <c r="B1408">
        <v>514</v>
      </c>
      <c r="D1408" s="127">
        <f t="shared" si="37"/>
        <v>116050.5147655762</v>
      </c>
      <c r="E1408" s="126">
        <f t="shared" si="38"/>
        <v>2023</v>
      </c>
      <c r="F1408" s="125">
        <f>_xlfn.XLOOKUP(D531,'3. Input (des)investeringen '!$B$11:$B$89,'3. Input (des)investeringen '!$E$11:$E$89)</f>
        <v>1</v>
      </c>
    </row>
    <row r="1409" spans="2:6">
      <c r="B1409">
        <v>515</v>
      </c>
      <c r="D1409" s="127">
        <f t="shared" si="37"/>
        <v>49918.596992368417</v>
      </c>
      <c r="E1409" s="126">
        <f t="shared" si="38"/>
        <v>2023</v>
      </c>
      <c r="F1409" s="125">
        <f>_xlfn.XLOOKUP(D532,'3. Input (des)investeringen '!$B$11:$B$89,'3. Input (des)investeringen '!$E$11:$E$89)</f>
        <v>1</v>
      </c>
    </row>
    <row r="1410" spans="2:6">
      <c r="B1410">
        <v>516</v>
      </c>
      <c r="D1410" s="127">
        <f t="shared" si="37"/>
        <v>50285.190780729419</v>
      </c>
      <c r="E1410" s="126">
        <f t="shared" si="38"/>
        <v>2023</v>
      </c>
      <c r="F1410" s="125">
        <f>_xlfn.XLOOKUP(D533,'3. Input (des)investeringen '!$B$11:$B$89,'3. Input (des)investeringen '!$E$11:$E$89)</f>
        <v>1</v>
      </c>
    </row>
    <row r="1411" spans="2:6">
      <c r="B1411">
        <v>517</v>
      </c>
      <c r="D1411" s="127">
        <f t="shared" si="37"/>
        <v>67645.586060743793</v>
      </c>
      <c r="E1411" s="126">
        <f t="shared" si="38"/>
        <v>2023</v>
      </c>
      <c r="F1411" s="125">
        <f>_xlfn.XLOOKUP(D534,'3. Input (des)investeringen '!$B$11:$B$89,'3. Input (des)investeringen '!$E$11:$E$89)</f>
        <v>1</v>
      </c>
    </row>
    <row r="1412" spans="2:6">
      <c r="B1412">
        <v>518</v>
      </c>
      <c r="D1412" s="127">
        <f t="shared" si="37"/>
        <v>46656.186949971663</v>
      </c>
      <c r="E1412" s="126">
        <f t="shared" si="38"/>
        <v>2023</v>
      </c>
      <c r="F1412" s="125">
        <f>_xlfn.XLOOKUP(D535,'3. Input (des)investeringen '!$B$11:$B$89,'3. Input (des)investeringen '!$E$11:$E$89)</f>
        <v>1</v>
      </c>
    </row>
    <row r="1413" spans="2:6">
      <c r="B1413">
        <v>519</v>
      </c>
      <c r="D1413" s="127">
        <f t="shared" si="37"/>
        <v>46412.506610726836</v>
      </c>
      <c r="E1413" s="126">
        <f t="shared" si="38"/>
        <v>2023</v>
      </c>
      <c r="F1413" s="125">
        <f>_xlfn.XLOOKUP(D536,'3. Input (des)investeringen '!$B$11:$B$89,'3. Input (des)investeringen '!$E$11:$E$89)</f>
        <v>1</v>
      </c>
    </row>
    <row r="1414" spans="2:6">
      <c r="B1414">
        <v>520</v>
      </c>
      <c r="D1414" s="127">
        <f t="shared" si="37"/>
        <v>45345.465415492457</v>
      </c>
      <c r="E1414" s="126">
        <f t="shared" si="38"/>
        <v>2023</v>
      </c>
      <c r="F1414" s="125">
        <f>_xlfn.XLOOKUP(D537,'3. Input (des)investeringen '!$B$11:$B$89,'3. Input (des)investeringen '!$E$11:$E$89)</f>
        <v>1</v>
      </c>
    </row>
    <row r="1415" spans="2:6">
      <c r="B1415">
        <v>521</v>
      </c>
      <c r="D1415" s="127">
        <f t="shared" si="37"/>
        <v>117969.99669176152</v>
      </c>
      <c r="E1415" s="126">
        <f t="shared" si="38"/>
        <v>2023</v>
      </c>
      <c r="F1415" s="125">
        <f>_xlfn.XLOOKUP(D538,'3. Input (des)investeringen '!$B$11:$B$89,'3. Input (des)investeringen '!$E$11:$E$89)</f>
        <v>1</v>
      </c>
    </row>
    <row r="1416" spans="2:6">
      <c r="B1416">
        <v>522</v>
      </c>
      <c r="D1416" s="127">
        <f t="shared" si="37"/>
        <v>414606.72511429584</v>
      </c>
      <c r="E1416" s="126">
        <f t="shared" si="38"/>
        <v>2023</v>
      </c>
      <c r="F1416" s="125">
        <f>_xlfn.XLOOKUP(D539,'3. Input (des)investeringen '!$B$11:$B$89,'3. Input (des)investeringen '!$E$11:$E$89)</f>
        <v>1</v>
      </c>
    </row>
    <row r="1417" spans="2:6">
      <c r="B1417">
        <v>523</v>
      </c>
      <c r="D1417" s="127">
        <f t="shared" si="37"/>
        <v>45563.426169294267</v>
      </c>
      <c r="E1417" s="126">
        <f t="shared" si="38"/>
        <v>2023</v>
      </c>
      <c r="F1417" s="125">
        <f>_xlfn.XLOOKUP(D540,'3. Input (des)investeringen '!$B$11:$B$89,'3. Input (des)investeringen '!$E$11:$E$89)</f>
        <v>1</v>
      </c>
    </row>
    <row r="1418" spans="2:6">
      <c r="B1418">
        <v>524</v>
      </c>
      <c r="D1418" s="127">
        <f t="shared" si="37"/>
        <v>377798.35934785003</v>
      </c>
      <c r="E1418" s="126">
        <f t="shared" si="38"/>
        <v>2023</v>
      </c>
      <c r="F1418" s="125">
        <f>_xlfn.XLOOKUP(D541,'3. Input (des)investeringen '!$B$11:$B$89,'3. Input (des)investeringen '!$E$11:$E$89)</f>
        <v>1</v>
      </c>
    </row>
    <row r="1419" spans="2:6">
      <c r="B1419">
        <v>525</v>
      </c>
      <c r="D1419" s="127">
        <f t="shared" si="37"/>
        <v>37420.593072654476</v>
      </c>
      <c r="E1419" s="126">
        <f t="shared" si="38"/>
        <v>2023</v>
      </c>
      <c r="F1419" s="125">
        <f>_xlfn.XLOOKUP(D542,'3. Input (des)investeringen '!$B$11:$B$89,'3. Input (des)investeringen '!$E$11:$E$89)</f>
        <v>1</v>
      </c>
    </row>
    <row r="1420" spans="2:6">
      <c r="B1420">
        <v>526</v>
      </c>
      <c r="D1420" s="127">
        <f t="shared" si="37"/>
        <v>84225.708870589981</v>
      </c>
      <c r="E1420" s="126">
        <f t="shared" si="38"/>
        <v>2023</v>
      </c>
      <c r="F1420" s="125">
        <f>_xlfn.XLOOKUP(D543,'3. Input (des)investeringen '!$B$11:$B$89,'3. Input (des)investeringen '!$E$11:$E$89)</f>
        <v>1</v>
      </c>
    </row>
    <row r="1421" spans="2:6">
      <c r="B1421">
        <v>527</v>
      </c>
      <c r="D1421" s="127">
        <f t="shared" si="37"/>
        <v>36582.979680944467</v>
      </c>
      <c r="E1421" s="126">
        <f t="shared" si="38"/>
        <v>2023</v>
      </c>
      <c r="F1421" s="125">
        <f>_xlfn.XLOOKUP(D544,'3. Input (des)investeringen '!$B$11:$B$89,'3. Input (des)investeringen '!$E$11:$E$89)</f>
        <v>1</v>
      </c>
    </row>
    <row r="1422" spans="2:6">
      <c r="B1422">
        <v>528</v>
      </c>
      <c r="D1422" s="127">
        <f t="shared" si="37"/>
        <v>51088.669943961613</v>
      </c>
      <c r="E1422" s="126">
        <f t="shared" si="38"/>
        <v>2023</v>
      </c>
      <c r="F1422" s="125">
        <f>_xlfn.XLOOKUP(D545,'3. Input (des)investeringen '!$B$11:$B$89,'3. Input (des)investeringen '!$E$11:$E$89)</f>
        <v>1</v>
      </c>
    </row>
    <row r="1423" spans="2:6">
      <c r="B1423">
        <v>529</v>
      </c>
      <c r="D1423" s="127">
        <f t="shared" si="37"/>
        <v>108379.16888467838</v>
      </c>
      <c r="E1423" s="126">
        <f t="shared" si="38"/>
        <v>2023</v>
      </c>
      <c r="F1423" s="125">
        <f>_xlfn.XLOOKUP(D546,'3. Input (des)investeringen '!$B$11:$B$89,'3. Input (des)investeringen '!$E$11:$E$89)</f>
        <v>1</v>
      </c>
    </row>
    <row r="1424" spans="2:6">
      <c r="B1424">
        <v>530</v>
      </c>
      <c r="D1424" s="127">
        <f t="shared" si="37"/>
        <v>5144.0217812537448</v>
      </c>
      <c r="E1424" s="126">
        <f t="shared" si="38"/>
        <v>2023</v>
      </c>
      <c r="F1424" s="125">
        <f>_xlfn.XLOOKUP(D547,'3. Input (des)investeringen '!$B$11:$B$89,'3. Input (des)investeringen '!$E$11:$E$89)</f>
        <v>1</v>
      </c>
    </row>
    <row r="1425" spans="1:6">
      <c r="B1425">
        <v>531</v>
      </c>
      <c r="D1425" s="127">
        <f t="shared" si="37"/>
        <v>6096028.9926220421</v>
      </c>
      <c r="E1425" s="126">
        <f t="shared" si="38"/>
        <v>2023</v>
      </c>
      <c r="F1425" s="125">
        <f>_xlfn.XLOOKUP(D548,'3. Input (des)investeringen '!$B$11:$B$89,'3. Input (des)investeringen '!$E$11:$E$89)</f>
        <v>0</v>
      </c>
    </row>
    <row r="1426" spans="1:6" s="120" customFormat="1">
      <c r="A1426"/>
      <c r="B1426">
        <v>532</v>
      </c>
      <c r="D1426" s="127">
        <f t="shared" si="37"/>
        <v>12856.158995848822</v>
      </c>
      <c r="E1426" s="126">
        <f t="shared" si="38"/>
        <v>2024</v>
      </c>
      <c r="F1426" s="125">
        <f>_xlfn.XLOOKUP(D549,'3. Input (des)investeringen '!$B$11:$B$89,'3. Input (des)investeringen '!$E$11:$E$89)</f>
        <v>1</v>
      </c>
    </row>
    <row r="1427" spans="1:6" s="120" customFormat="1">
      <c r="A1427"/>
      <c r="B1427">
        <v>533</v>
      </c>
      <c r="D1427" s="127">
        <f t="shared" si="37"/>
        <v>53719.699487000042</v>
      </c>
      <c r="E1427" s="126">
        <f t="shared" si="38"/>
        <v>2024</v>
      </c>
      <c r="F1427" s="125">
        <f>_xlfn.XLOOKUP(D550,'3. Input (des)investeringen '!$B$11:$B$89,'3. Input (des)investeringen '!$E$11:$E$89)</f>
        <v>1</v>
      </c>
    </row>
    <row r="1428" spans="1:6" s="120" customFormat="1">
      <c r="A1428"/>
      <c r="B1428">
        <v>534</v>
      </c>
      <c r="D1428" s="127">
        <f t="shared" si="37"/>
        <v>692826.56726373767</v>
      </c>
      <c r="E1428" s="126">
        <f t="shared" si="38"/>
        <v>2024</v>
      </c>
      <c r="F1428" s="125">
        <f>_xlfn.XLOOKUP(D551,'3. Input (des)investeringen '!$B$11:$B$89,'3. Input (des)investeringen '!$E$11:$E$89)</f>
        <v>1</v>
      </c>
    </row>
    <row r="1429" spans="1:6" s="120" customFormat="1">
      <c r="A1429"/>
      <c r="B1429">
        <v>535</v>
      </c>
      <c r="D1429" s="127">
        <f t="shared" si="37"/>
        <v>381656.1070322321</v>
      </c>
      <c r="E1429" s="126">
        <f t="shared" si="38"/>
        <v>2024</v>
      </c>
      <c r="F1429" s="125">
        <f>_xlfn.XLOOKUP(D552,'3. Input (des)investeringen '!$B$11:$B$89,'3. Input (des)investeringen '!$E$11:$E$89)</f>
        <v>1</v>
      </c>
    </row>
    <row r="1430" spans="1:6" s="120" customFormat="1">
      <c r="A1430"/>
      <c r="B1430">
        <v>536</v>
      </c>
      <c r="D1430" s="127">
        <f t="shared" si="37"/>
        <v>483480.40161451563</v>
      </c>
      <c r="E1430" s="126">
        <f t="shared" si="38"/>
        <v>2024</v>
      </c>
      <c r="F1430" s="125">
        <f>_xlfn.XLOOKUP(D553,'3. Input (des)investeringen '!$B$11:$B$89,'3. Input (des)investeringen '!$E$11:$E$89)</f>
        <v>1</v>
      </c>
    </row>
    <row r="1431" spans="1:6" s="120" customFormat="1">
      <c r="A1431"/>
      <c r="B1431">
        <v>537</v>
      </c>
      <c r="D1431" s="127">
        <f t="shared" si="37"/>
        <v>606092.37218695239</v>
      </c>
      <c r="E1431" s="126">
        <f t="shared" si="38"/>
        <v>2024</v>
      </c>
      <c r="F1431" s="125">
        <f>_xlfn.XLOOKUP(D554,'3. Input (des)investeringen '!$B$11:$B$89,'3. Input (des)investeringen '!$E$11:$E$89)</f>
        <v>1</v>
      </c>
    </row>
    <row r="1432" spans="1:6" s="120" customFormat="1">
      <c r="A1432"/>
      <c r="B1432">
        <v>538</v>
      </c>
      <c r="D1432" s="127">
        <f t="shared" si="37"/>
        <v>202216.59632509193</v>
      </c>
      <c r="E1432" s="126">
        <f t="shared" si="38"/>
        <v>2024</v>
      </c>
      <c r="F1432" s="125">
        <f>_xlfn.XLOOKUP(D555,'3. Input (des)investeringen '!$B$11:$B$89,'3. Input (des)investeringen '!$E$11:$E$89)</f>
        <v>1</v>
      </c>
    </row>
    <row r="1433" spans="1:6" s="120" customFormat="1">
      <c r="A1433"/>
      <c r="B1433">
        <v>539</v>
      </c>
      <c r="D1433" s="127">
        <f t="shared" si="37"/>
        <v>876764.9703866177</v>
      </c>
      <c r="E1433" s="126">
        <f t="shared" si="38"/>
        <v>2024</v>
      </c>
      <c r="F1433" s="125">
        <f>_xlfn.XLOOKUP(D556,'3. Input (des)investeringen '!$B$11:$B$89,'3. Input (des)investeringen '!$E$11:$E$89)</f>
        <v>1</v>
      </c>
    </row>
    <row r="1434" spans="1:6" s="120" customFormat="1">
      <c r="A1434"/>
      <c r="B1434">
        <v>540</v>
      </c>
      <c r="D1434" s="127">
        <f t="shared" si="37"/>
        <v>651799.85873923323</v>
      </c>
      <c r="E1434" s="126">
        <f t="shared" si="38"/>
        <v>2024</v>
      </c>
      <c r="F1434" s="125">
        <f>_xlfn.XLOOKUP(D557,'3. Input (des)investeringen '!$B$11:$B$89,'3. Input (des)investeringen '!$E$11:$E$89)</f>
        <v>1</v>
      </c>
    </row>
    <row r="1435" spans="1:6" s="120" customFormat="1">
      <c r="A1435"/>
      <c r="B1435">
        <v>541</v>
      </c>
      <c r="D1435" s="127">
        <f t="shared" si="37"/>
        <v>358129.25655325659</v>
      </c>
      <c r="E1435" s="126">
        <f t="shared" si="38"/>
        <v>2024</v>
      </c>
      <c r="F1435" s="125">
        <f>_xlfn.XLOOKUP(D558,'3. Input (des)investeringen '!$B$11:$B$89,'3. Input (des)investeringen '!$E$11:$E$89)</f>
        <v>1</v>
      </c>
    </row>
    <row r="1436" spans="1:6" s="120" customFormat="1">
      <c r="A1436"/>
      <c r="B1436">
        <v>542</v>
      </c>
      <c r="D1436" s="127">
        <f t="shared" si="37"/>
        <v>1595481.1571613175</v>
      </c>
      <c r="E1436" s="126">
        <f t="shared" si="38"/>
        <v>2024</v>
      </c>
      <c r="F1436" s="125">
        <f>_xlfn.XLOOKUP(D559,'3. Input (des)investeringen '!$B$11:$B$89,'3. Input (des)investeringen '!$E$11:$E$89)</f>
        <v>1</v>
      </c>
    </row>
    <row r="1437" spans="1:6" s="120" customFormat="1">
      <c r="A1437"/>
      <c r="B1437">
        <v>543</v>
      </c>
      <c r="D1437" s="127">
        <f t="shared" si="37"/>
        <v>370132.64975453209</v>
      </c>
      <c r="E1437" s="126">
        <f t="shared" si="38"/>
        <v>2024</v>
      </c>
      <c r="F1437" s="125">
        <f>_xlfn.XLOOKUP(D560,'3. Input (des)investeringen '!$B$11:$B$89,'3. Input (des)investeringen '!$E$11:$E$89)</f>
        <v>1</v>
      </c>
    </row>
    <row r="1438" spans="1:6" s="120" customFormat="1">
      <c r="A1438"/>
      <c r="B1438">
        <v>544</v>
      </c>
      <c r="D1438" s="127">
        <f t="shared" si="37"/>
        <v>495676.67432364437</v>
      </c>
      <c r="E1438" s="126">
        <f t="shared" si="38"/>
        <v>2024</v>
      </c>
      <c r="F1438" s="125">
        <f>_xlfn.XLOOKUP(D561,'3. Input (des)investeringen '!$B$11:$B$89,'3. Input (des)investeringen '!$E$11:$E$89)</f>
        <v>1</v>
      </c>
    </row>
    <row r="1439" spans="1:6" s="120" customFormat="1">
      <c r="A1439"/>
      <c r="B1439">
        <v>545</v>
      </c>
      <c r="D1439" s="127">
        <f t="shared" si="37"/>
        <v>178457.85529071515</v>
      </c>
      <c r="E1439" s="126">
        <f t="shared" si="38"/>
        <v>2024</v>
      </c>
      <c r="F1439" s="125">
        <f>_xlfn.XLOOKUP(D562,'3. Input (des)investeringen '!$B$11:$B$89,'3. Input (des)investeringen '!$E$11:$E$89)</f>
        <v>1</v>
      </c>
    </row>
    <row r="1440" spans="1:6" s="120" customFormat="1">
      <c r="A1440"/>
      <c r="B1440">
        <v>546</v>
      </c>
      <c r="D1440" s="127">
        <f t="shared" si="37"/>
        <v>162529.92285128887</v>
      </c>
      <c r="E1440" s="126">
        <f t="shared" si="38"/>
        <v>2024</v>
      </c>
      <c r="F1440" s="125">
        <f>_xlfn.XLOOKUP(D563,'3. Input (des)investeringen '!$B$11:$B$89,'3. Input (des)investeringen '!$E$11:$E$89)</f>
        <v>1</v>
      </c>
    </row>
    <row r="1441" spans="1:6" s="120" customFormat="1">
      <c r="A1441"/>
      <c r="B1441">
        <v>547</v>
      </c>
      <c r="D1441" s="127">
        <f t="shared" si="37"/>
        <v>847064.54583361407</v>
      </c>
      <c r="E1441" s="126">
        <f t="shared" si="38"/>
        <v>2024</v>
      </c>
      <c r="F1441" s="125">
        <f>_xlfn.XLOOKUP(D564,'3. Input (des)investeringen '!$B$11:$B$89,'3. Input (des)investeringen '!$E$11:$E$89)</f>
        <v>1</v>
      </c>
    </row>
    <row r="1442" spans="1:6" s="120" customFormat="1">
      <c r="A1442"/>
      <c r="B1442">
        <v>548</v>
      </c>
      <c r="D1442" s="127">
        <f t="shared" si="37"/>
        <v>66882.392285368856</v>
      </c>
      <c r="E1442" s="126">
        <f t="shared" si="38"/>
        <v>2024</v>
      </c>
      <c r="F1442" s="125">
        <f>_xlfn.XLOOKUP(D565,'3. Input (des)investeringen '!$B$11:$B$89,'3. Input (des)investeringen '!$E$11:$E$89)</f>
        <v>1</v>
      </c>
    </row>
    <row r="1443" spans="1:6" s="120" customFormat="1">
      <c r="A1443"/>
      <c r="B1443">
        <v>549</v>
      </c>
      <c r="D1443" s="127">
        <f t="shared" si="37"/>
        <v>3216.3673032260263</v>
      </c>
      <c r="E1443" s="126">
        <f t="shared" si="38"/>
        <v>2024</v>
      </c>
      <c r="F1443" s="125">
        <f>_xlfn.XLOOKUP(D566,'3. Input (des)investeringen '!$B$11:$B$89,'3. Input (des)investeringen '!$E$11:$E$89)</f>
        <v>1</v>
      </c>
    </row>
    <row r="1444" spans="1:6" s="120" customFormat="1">
      <c r="A1444"/>
      <c r="B1444">
        <v>550</v>
      </c>
      <c r="D1444" s="127">
        <f t="shared" si="37"/>
        <v>6284.3835623351079</v>
      </c>
      <c r="E1444" s="126">
        <f t="shared" si="38"/>
        <v>2024</v>
      </c>
      <c r="F1444" s="125">
        <f>_xlfn.XLOOKUP(D567,'3. Input (des)investeringen '!$B$11:$B$89,'3. Input (des)investeringen '!$E$11:$E$89)</f>
        <v>1</v>
      </c>
    </row>
    <row r="1445" spans="1:6" s="120" customFormat="1">
      <c r="A1445"/>
      <c r="B1445">
        <v>551</v>
      </c>
      <c r="D1445" s="127">
        <f t="shared" si="37"/>
        <v>32415.284102353224</v>
      </c>
      <c r="E1445" s="126">
        <f t="shared" si="38"/>
        <v>2024</v>
      </c>
      <c r="F1445" s="125">
        <f>_xlfn.XLOOKUP(D568,'3. Input (des)investeringen '!$B$11:$B$89,'3. Input (des)investeringen '!$E$11:$E$89)</f>
        <v>1</v>
      </c>
    </row>
    <row r="1446" spans="1:6" s="120" customFormat="1">
      <c r="A1446"/>
      <c r="B1446">
        <v>552</v>
      </c>
      <c r="D1446" s="127">
        <f t="shared" si="37"/>
        <v>23015.382994458367</v>
      </c>
      <c r="E1446" s="126">
        <f t="shared" si="38"/>
        <v>2024</v>
      </c>
      <c r="F1446" s="125">
        <f>_xlfn.XLOOKUP(D569,'3. Input (des)investeringen '!$B$11:$B$89,'3. Input (des)investeringen '!$E$11:$E$89)</f>
        <v>1</v>
      </c>
    </row>
    <row r="1447" spans="1:6" s="120" customFormat="1">
      <c r="A1447"/>
      <c r="B1447">
        <v>553</v>
      </c>
      <c r="D1447" s="127">
        <f t="shared" si="37"/>
        <v>263456.56406587327</v>
      </c>
      <c r="E1447" s="126">
        <f t="shared" si="38"/>
        <v>2024</v>
      </c>
      <c r="F1447" s="125">
        <f>_xlfn.XLOOKUP(D570,'3. Input (des)investeringen '!$B$11:$B$89,'3. Input (des)investeringen '!$E$11:$E$89)</f>
        <v>1</v>
      </c>
    </row>
    <row r="1448" spans="1:6" s="120" customFormat="1">
      <c r="A1448"/>
      <c r="B1448">
        <v>554</v>
      </c>
      <c r="D1448" s="127">
        <f t="shared" si="37"/>
        <v>119924.33919369486</v>
      </c>
      <c r="E1448" s="126">
        <f t="shared" si="38"/>
        <v>2024</v>
      </c>
      <c r="F1448" s="125">
        <f>_xlfn.XLOOKUP(D571,'3. Input (des)investeringen '!$B$11:$B$89,'3. Input (des)investeringen '!$E$11:$E$89)</f>
        <v>1</v>
      </c>
    </row>
    <row r="1449" spans="1:6" s="120" customFormat="1">
      <c r="A1449"/>
      <c r="B1449">
        <v>555</v>
      </c>
      <c r="D1449" s="127">
        <f t="shared" si="37"/>
        <v>13764.766335803799</v>
      </c>
      <c r="E1449" s="126">
        <f t="shared" si="38"/>
        <v>2024</v>
      </c>
      <c r="F1449" s="125">
        <f>_xlfn.XLOOKUP(D572,'3. Input (des)investeringen '!$B$11:$B$89,'3. Input (des)investeringen '!$E$11:$E$89)</f>
        <v>1</v>
      </c>
    </row>
    <row r="1450" spans="1:6" s="120" customFormat="1">
      <c r="A1450"/>
      <c r="B1450">
        <v>556</v>
      </c>
      <c r="D1450" s="127">
        <f t="shared" si="37"/>
        <v>118333.76583087603</v>
      </c>
      <c r="E1450" s="126">
        <f t="shared" si="38"/>
        <v>2024</v>
      </c>
      <c r="F1450" s="125">
        <f>_xlfn.XLOOKUP(D573,'3. Input (des)investeringen '!$B$11:$B$89,'3. Input (des)investeringen '!$E$11:$E$89)</f>
        <v>1</v>
      </c>
    </row>
    <row r="1451" spans="1:6" s="120" customFormat="1">
      <c r="A1451"/>
      <c r="B1451">
        <v>557</v>
      </c>
      <c r="D1451" s="127">
        <f t="shared" si="37"/>
        <v>8682.6254684833093</v>
      </c>
      <c r="E1451" s="126">
        <f t="shared" si="38"/>
        <v>2024</v>
      </c>
      <c r="F1451" s="125">
        <f>_xlfn.XLOOKUP(D574,'3. Input (des)investeringen '!$B$11:$B$89,'3. Input (des)investeringen '!$E$11:$E$89)</f>
        <v>1</v>
      </c>
    </row>
    <row r="1452" spans="1:6" s="120" customFormat="1">
      <c r="A1452"/>
      <c r="B1452">
        <v>558</v>
      </c>
      <c r="D1452" s="127">
        <f t="shared" si="37"/>
        <v>9836.0613679468897</v>
      </c>
      <c r="E1452" s="126">
        <f t="shared" si="38"/>
        <v>2024</v>
      </c>
      <c r="F1452" s="125">
        <f>_xlfn.XLOOKUP(D575,'3. Input (des)investeringen '!$B$11:$B$89,'3. Input (des)investeringen '!$E$11:$E$89)</f>
        <v>1</v>
      </c>
    </row>
    <row r="1453" spans="1:6" s="120" customFormat="1">
      <c r="A1453"/>
      <c r="B1453">
        <v>559</v>
      </c>
      <c r="D1453" s="127">
        <f t="shared" si="37"/>
        <v>555220.92492177081</v>
      </c>
      <c r="E1453" s="126">
        <f t="shared" si="38"/>
        <v>2024</v>
      </c>
      <c r="F1453" s="125">
        <f>_xlfn.XLOOKUP(D576,'3. Input (des)investeringen '!$B$11:$B$89,'3. Input (des)investeringen '!$E$11:$E$89)</f>
        <v>1</v>
      </c>
    </row>
    <row r="1454" spans="1:6" s="120" customFormat="1">
      <c r="A1454"/>
      <c r="B1454">
        <v>560</v>
      </c>
      <c r="D1454" s="127">
        <f t="shared" si="37"/>
        <v>728226.26839461981</v>
      </c>
      <c r="E1454" s="126">
        <f t="shared" si="38"/>
        <v>2024</v>
      </c>
      <c r="F1454" s="125">
        <f>_xlfn.XLOOKUP(D577,'3. Input (des)investeringen '!$B$11:$B$89,'3. Input (des)investeringen '!$E$11:$E$89)</f>
        <v>1</v>
      </c>
    </row>
    <row r="1455" spans="1:6" s="120" customFormat="1">
      <c r="A1455"/>
      <c r="B1455">
        <v>561</v>
      </c>
      <c r="D1455" s="127">
        <f t="shared" si="37"/>
        <v>4903.706090913427</v>
      </c>
      <c r="E1455" s="126">
        <f t="shared" si="38"/>
        <v>2024</v>
      </c>
      <c r="F1455" s="125">
        <f>_xlfn.XLOOKUP(D578,'3. Input (des)investeringen '!$B$11:$B$89,'3. Input (des)investeringen '!$E$11:$E$89)</f>
        <v>1</v>
      </c>
    </row>
    <row r="1456" spans="1:6" s="120" customFormat="1">
      <c r="A1456"/>
      <c r="B1456">
        <v>562</v>
      </c>
      <c r="D1456" s="127">
        <f t="shared" si="37"/>
        <v>539292.01560998033</v>
      </c>
      <c r="E1456" s="126">
        <f t="shared" si="38"/>
        <v>2024</v>
      </c>
      <c r="F1456" s="125">
        <f>_xlfn.XLOOKUP(D579,'3. Input (des)investeringen '!$B$11:$B$89,'3. Input (des)investeringen '!$E$11:$E$89)</f>
        <v>1</v>
      </c>
    </row>
    <row r="1457" spans="1:6" s="120" customFormat="1">
      <c r="A1457"/>
      <c r="B1457">
        <v>563</v>
      </c>
      <c r="D1457" s="127">
        <f t="shared" si="37"/>
        <v>472229.67684477632</v>
      </c>
      <c r="E1457" s="126">
        <f t="shared" si="38"/>
        <v>2024</v>
      </c>
      <c r="F1457" s="125">
        <f>_xlfn.XLOOKUP(D580,'3. Input (des)investeringen '!$B$11:$B$89,'3. Input (des)investeringen '!$E$11:$E$89)</f>
        <v>0</v>
      </c>
    </row>
    <row r="1458" spans="1:6" s="120" customFormat="1">
      <c r="A1458"/>
      <c r="B1458">
        <v>564</v>
      </c>
      <c r="D1458" s="127">
        <f t="shared" si="37"/>
        <v>1341668.5157588478</v>
      </c>
      <c r="E1458" s="126">
        <f t="shared" si="38"/>
        <v>2024</v>
      </c>
      <c r="F1458" s="125">
        <f>_xlfn.XLOOKUP(D581,'3. Input (des)investeringen '!$B$11:$B$89,'3. Input (des)investeringen '!$E$11:$E$89)</f>
        <v>0</v>
      </c>
    </row>
    <row r="1459" spans="1:6" s="120" customFormat="1">
      <c r="A1459"/>
      <c r="B1459">
        <v>565</v>
      </c>
      <c r="D1459" s="127">
        <f t="shared" si="37"/>
        <v>251186.46384481736</v>
      </c>
      <c r="E1459" s="126">
        <f t="shared" si="38"/>
        <v>2024</v>
      </c>
      <c r="F1459" s="125">
        <f>_xlfn.XLOOKUP(D582,'3. Input (des)investeringen '!$B$11:$B$89,'3. Input (des)investeringen '!$E$11:$E$89)</f>
        <v>0</v>
      </c>
    </row>
    <row r="1460" spans="1:6" s="120" customFormat="1">
      <c r="A1460"/>
      <c r="B1460">
        <v>566</v>
      </c>
      <c r="D1460" s="127">
        <f t="shared" si="37"/>
        <v>307857.56495191442</v>
      </c>
      <c r="E1460" s="126">
        <f t="shared" si="38"/>
        <v>2024</v>
      </c>
      <c r="F1460" s="125">
        <f>_xlfn.XLOOKUP(D583,'3. Input (des)investeringen '!$B$11:$B$89,'3. Input (des)investeringen '!$E$11:$E$89)</f>
        <v>0</v>
      </c>
    </row>
    <row r="1461" spans="1:6" s="120" customFormat="1">
      <c r="A1461"/>
      <c r="B1461">
        <v>567</v>
      </c>
      <c r="D1461" s="127">
        <f t="shared" si="37"/>
        <v>854488.73977776384</v>
      </c>
      <c r="E1461" s="126">
        <f t="shared" si="38"/>
        <v>2024</v>
      </c>
      <c r="F1461" s="125">
        <f>_xlfn.XLOOKUP(D584,'3. Input (des)investeringen '!$B$11:$B$89,'3. Input (des)investeringen '!$E$11:$E$89)</f>
        <v>0</v>
      </c>
    </row>
    <row r="1462" spans="1:6" s="120" customFormat="1">
      <c r="A1462"/>
      <c r="B1462">
        <v>568</v>
      </c>
      <c r="D1462" s="127">
        <f t="shared" si="37"/>
        <v>124040.61942271306</v>
      </c>
      <c r="E1462" s="126">
        <f t="shared" si="38"/>
        <v>2024</v>
      </c>
      <c r="F1462" s="125">
        <f>_xlfn.XLOOKUP(D585,'3. Input (des)investeringen '!$B$11:$B$89,'3. Input (des)investeringen '!$E$11:$E$89)</f>
        <v>0</v>
      </c>
    </row>
    <row r="1463" spans="1:6" s="120" customFormat="1">
      <c r="A1463"/>
      <c r="B1463">
        <v>569</v>
      </c>
      <c r="D1463" s="127">
        <f t="shared" si="37"/>
        <v>126363.3983644284</v>
      </c>
      <c r="E1463" s="126">
        <f t="shared" si="38"/>
        <v>2024</v>
      </c>
      <c r="F1463" s="125">
        <f>_xlfn.XLOOKUP(D586,'3. Input (des)investeringen '!$B$11:$B$89,'3. Input (des)investeringen '!$E$11:$E$89)</f>
        <v>0</v>
      </c>
    </row>
    <row r="1464" spans="1:6" s="120" customFormat="1">
      <c r="A1464"/>
      <c r="B1464">
        <v>570</v>
      </c>
      <c r="D1464" s="127">
        <f t="shared" si="37"/>
        <v>45614.245736906945</v>
      </c>
      <c r="E1464" s="126">
        <f t="shared" si="38"/>
        <v>2024</v>
      </c>
      <c r="F1464" s="125">
        <f>_xlfn.XLOOKUP(D587,'3. Input (des)investeringen '!$B$11:$B$89,'3. Input (des)investeringen '!$E$11:$E$89)</f>
        <v>0</v>
      </c>
    </row>
    <row r="1465" spans="1:6" s="120" customFormat="1">
      <c r="A1465"/>
      <c r="B1465">
        <v>571</v>
      </c>
      <c r="D1465" s="127">
        <f t="shared" si="37"/>
        <v>95042.794204831822</v>
      </c>
      <c r="E1465" s="126">
        <f t="shared" si="38"/>
        <v>2024</v>
      </c>
      <c r="F1465" s="125">
        <f>_xlfn.XLOOKUP(D588,'3. Input (des)investeringen '!$B$11:$B$89,'3. Input (des)investeringen '!$E$11:$E$89)</f>
        <v>0</v>
      </c>
    </row>
    <row r="1466" spans="1:6" s="120" customFormat="1">
      <c r="A1466"/>
      <c r="B1466">
        <v>572</v>
      </c>
      <c r="D1466" s="127">
        <f t="shared" si="37"/>
        <v>176193.62627460301</v>
      </c>
      <c r="E1466" s="126">
        <f t="shared" si="38"/>
        <v>2024</v>
      </c>
      <c r="F1466" s="125">
        <f>_xlfn.XLOOKUP(D589,'3. Input (des)investeringen '!$B$11:$B$89,'3. Input (des)investeringen '!$E$11:$E$89)</f>
        <v>0</v>
      </c>
    </row>
    <row r="1467" spans="1:6" s="120" customFormat="1">
      <c r="A1467"/>
      <c r="B1467">
        <v>573</v>
      </c>
      <c r="D1467" s="127">
        <f t="shared" si="37"/>
        <v>340269.45129559742</v>
      </c>
      <c r="E1467" s="126">
        <f t="shared" si="38"/>
        <v>2024</v>
      </c>
      <c r="F1467" s="125">
        <f>_xlfn.XLOOKUP(D590,'3. Input (des)investeringen '!$B$11:$B$89,'3. Input (des)investeringen '!$E$11:$E$89)</f>
        <v>0</v>
      </c>
    </row>
    <row r="1468" spans="1:6" s="120" customFormat="1">
      <c r="A1468"/>
      <c r="B1468">
        <v>574</v>
      </c>
      <c r="D1468" s="127">
        <f t="shared" si="37"/>
        <v>37018.006536978632</v>
      </c>
      <c r="E1468" s="126">
        <f t="shared" si="38"/>
        <v>2024</v>
      </c>
      <c r="F1468" s="125">
        <f>_xlfn.XLOOKUP(D591,'3. Input (des)investeringen '!$B$11:$B$89,'3. Input (des)investeringen '!$E$11:$E$89)</f>
        <v>0</v>
      </c>
    </row>
    <row r="1469" spans="1:6" s="120" customFormat="1">
      <c r="A1469"/>
      <c r="B1469">
        <v>575</v>
      </c>
      <c r="D1469" s="127">
        <f t="shared" si="37"/>
        <v>19437.393612553362</v>
      </c>
      <c r="E1469" s="126">
        <f t="shared" si="38"/>
        <v>2024</v>
      </c>
      <c r="F1469" s="125">
        <f>_xlfn.XLOOKUP(D592,'3. Input (des)investeringen '!$B$11:$B$89,'3. Input (des)investeringen '!$E$11:$E$89)</f>
        <v>0</v>
      </c>
    </row>
    <row r="1470" spans="1:6" s="120" customFormat="1">
      <c r="A1470"/>
      <c r="B1470">
        <v>576</v>
      </c>
      <c r="D1470" s="127">
        <f t="shared" si="37"/>
        <v>243100.25504462249</v>
      </c>
      <c r="E1470" s="126">
        <f t="shared" si="38"/>
        <v>2024</v>
      </c>
      <c r="F1470" s="125">
        <f>_xlfn.XLOOKUP(D593,'3. Input (des)investeringen '!$B$11:$B$89,'3. Input (des)investeringen '!$E$11:$E$89)</f>
        <v>0</v>
      </c>
    </row>
    <row r="1471" spans="1:6" s="120" customFormat="1">
      <c r="A1471"/>
      <c r="B1471">
        <v>577</v>
      </c>
      <c r="D1471" s="127">
        <f t="shared" ref="D1471:D1534" si="39">F594*INDEX($E$810:$CG$890,E594-1945,G594-1945)</f>
        <v>56187.916475241742</v>
      </c>
      <c r="E1471" s="126">
        <f t="shared" ref="E1471:E1534" si="40">G594</f>
        <v>2024</v>
      </c>
      <c r="F1471" s="125">
        <f>_xlfn.XLOOKUP(D594,'3. Input (des)investeringen '!$B$11:$B$89,'3. Input (des)investeringen '!$E$11:$E$89)</f>
        <v>0</v>
      </c>
    </row>
    <row r="1472" spans="1:6" s="120" customFormat="1">
      <c r="A1472"/>
      <c r="B1472">
        <v>578</v>
      </c>
      <c r="D1472" s="127">
        <f t="shared" si="39"/>
        <v>40646.939390168955</v>
      </c>
      <c r="E1472" s="126">
        <f t="shared" si="40"/>
        <v>2024</v>
      </c>
      <c r="F1472" s="125">
        <f>_xlfn.XLOOKUP(D595,'3. Input (des)investeringen '!$B$11:$B$89,'3. Input (des)investeringen '!$E$11:$E$89)</f>
        <v>0</v>
      </c>
    </row>
    <row r="1473" spans="1:6" s="120" customFormat="1">
      <c r="A1473"/>
      <c r="B1473">
        <v>579</v>
      </c>
      <c r="D1473" s="127">
        <f t="shared" si="39"/>
        <v>149339.64013513218</v>
      </c>
      <c r="E1473" s="126">
        <f t="shared" si="40"/>
        <v>2024</v>
      </c>
      <c r="F1473" s="125">
        <f>_xlfn.XLOOKUP(D596,'3. Input (des)investeringen '!$B$11:$B$89,'3. Input (des)investeringen '!$E$11:$E$89)</f>
        <v>0</v>
      </c>
    </row>
    <row r="1474" spans="1:6" s="120" customFormat="1">
      <c r="A1474"/>
      <c r="B1474">
        <v>580</v>
      </c>
      <c r="D1474" s="127">
        <f t="shared" si="39"/>
        <v>57528.032366164291</v>
      </c>
      <c r="E1474" s="126">
        <f t="shared" si="40"/>
        <v>2024</v>
      </c>
      <c r="F1474" s="125">
        <f>_xlfn.XLOOKUP(D597,'3. Input (des)investeringen '!$B$11:$B$89,'3. Input (des)investeringen '!$E$11:$E$89)</f>
        <v>0</v>
      </c>
    </row>
    <row r="1475" spans="1:6" s="120" customFormat="1">
      <c r="A1475"/>
      <c r="B1475">
        <v>581</v>
      </c>
      <c r="D1475" s="127">
        <f t="shared" si="39"/>
        <v>20207.212152952325</v>
      </c>
      <c r="E1475" s="126">
        <f t="shared" si="40"/>
        <v>2024</v>
      </c>
      <c r="F1475" s="125">
        <f>_xlfn.XLOOKUP(D598,'3. Input (des)investeringen '!$B$11:$B$89,'3. Input (des)investeringen '!$E$11:$E$89)</f>
        <v>0</v>
      </c>
    </row>
    <row r="1476" spans="1:6" s="120" customFormat="1">
      <c r="A1476"/>
      <c r="B1476">
        <v>582</v>
      </c>
      <c r="D1476" s="127">
        <f t="shared" si="39"/>
        <v>111937.71473003626</v>
      </c>
      <c r="E1476" s="126">
        <f t="shared" si="40"/>
        <v>2024</v>
      </c>
      <c r="F1476" s="125">
        <f>_xlfn.XLOOKUP(D599,'3. Input (des)investeringen '!$B$11:$B$89,'3. Input (des)investeringen '!$E$11:$E$89)</f>
        <v>1</v>
      </c>
    </row>
    <row r="1477" spans="1:6" s="120" customFormat="1">
      <c r="A1477"/>
      <c r="B1477">
        <v>583</v>
      </c>
      <c r="D1477" s="127">
        <f t="shared" si="39"/>
        <v>1216263.6619135251</v>
      </c>
      <c r="E1477" s="126">
        <f t="shared" si="40"/>
        <v>2024</v>
      </c>
      <c r="F1477" s="125">
        <f>_xlfn.XLOOKUP(D600,'3. Input (des)investeringen '!$B$11:$B$89,'3. Input (des)investeringen '!$E$11:$E$89)</f>
        <v>0</v>
      </c>
    </row>
    <row r="1478" spans="1:6" s="120" customFormat="1">
      <c r="A1478"/>
      <c r="B1478">
        <v>584</v>
      </c>
      <c r="D1478" s="127">
        <f t="shared" si="39"/>
        <v>3078943.1772163478</v>
      </c>
      <c r="E1478" s="126">
        <f t="shared" si="40"/>
        <v>2024</v>
      </c>
      <c r="F1478" s="125">
        <f>_xlfn.XLOOKUP(D601,'3. Input (des)investeringen '!$B$11:$B$89,'3. Input (des)investeringen '!$E$11:$E$89)</f>
        <v>0</v>
      </c>
    </row>
    <row r="1479" spans="1:6" s="120" customFormat="1">
      <c r="A1479"/>
      <c r="B1479">
        <v>585</v>
      </c>
      <c r="D1479" s="127">
        <f t="shared" si="39"/>
        <v>43903.651261405612</v>
      </c>
      <c r="E1479" s="126">
        <f t="shared" si="40"/>
        <v>2024</v>
      </c>
      <c r="F1479" s="125">
        <f>_xlfn.XLOOKUP(D602,'3. Input (des)investeringen '!$B$11:$B$89,'3. Input (des)investeringen '!$E$11:$E$89)</f>
        <v>0</v>
      </c>
    </row>
    <row r="1480" spans="1:6" s="120" customFormat="1">
      <c r="A1480"/>
      <c r="B1480">
        <v>586</v>
      </c>
      <c r="D1480" s="127">
        <f t="shared" si="39"/>
        <v>364734.47275620163</v>
      </c>
      <c r="E1480" s="126">
        <f t="shared" si="40"/>
        <v>2024</v>
      </c>
      <c r="F1480" s="125">
        <f>_xlfn.XLOOKUP(D603,'3. Input (des)investeringen '!$B$11:$B$89,'3. Input (des)investeringen '!$E$11:$E$89)</f>
        <v>0</v>
      </c>
    </row>
    <row r="1481" spans="1:6" s="120" customFormat="1">
      <c r="A1481"/>
      <c r="B1481">
        <v>587</v>
      </c>
      <c r="D1481" s="127">
        <f t="shared" si="39"/>
        <v>227352.80382663046</v>
      </c>
      <c r="E1481" s="126">
        <f t="shared" si="40"/>
        <v>2024</v>
      </c>
      <c r="F1481" s="125">
        <f>_xlfn.XLOOKUP(D604,'3. Input (des)investeringen '!$B$11:$B$89,'3. Input (des)investeringen '!$E$11:$E$89)</f>
        <v>0</v>
      </c>
    </row>
    <row r="1482" spans="1:6" s="120" customFormat="1">
      <c r="A1482"/>
      <c r="B1482">
        <v>588</v>
      </c>
      <c r="D1482" s="127">
        <f t="shared" si="39"/>
        <v>135655.54482780391</v>
      </c>
      <c r="E1482" s="126">
        <f t="shared" si="40"/>
        <v>2024</v>
      </c>
      <c r="F1482" s="125">
        <f>_xlfn.XLOOKUP(D605,'3. Input (des)investeringen '!$B$11:$B$89,'3. Input (des)investeringen '!$E$11:$E$89)</f>
        <v>0</v>
      </c>
    </row>
    <row r="1483" spans="1:6" s="120" customFormat="1">
      <c r="A1483"/>
      <c r="B1483">
        <v>589</v>
      </c>
      <c r="D1483" s="127">
        <f t="shared" si="39"/>
        <v>985150.36757394136</v>
      </c>
      <c r="E1483" s="126">
        <f t="shared" si="40"/>
        <v>2024</v>
      </c>
      <c r="F1483" s="125">
        <f>_xlfn.XLOOKUP(D606,'3. Input (des)investeringen '!$B$11:$B$89,'3. Input (des)investeringen '!$E$11:$E$89)</f>
        <v>0</v>
      </c>
    </row>
    <row r="1484" spans="1:6" s="120" customFormat="1">
      <c r="A1484"/>
      <c r="B1484">
        <v>590</v>
      </c>
      <c r="D1484" s="127">
        <f t="shared" si="39"/>
        <v>153937.53000361333</v>
      </c>
      <c r="E1484" s="126">
        <f t="shared" si="40"/>
        <v>2024</v>
      </c>
      <c r="F1484" s="125">
        <f>_xlfn.XLOOKUP(D607,'3. Input (des)investeringen '!$B$11:$B$89,'3. Input (des)investeringen '!$E$11:$E$89)</f>
        <v>0</v>
      </c>
    </row>
    <row r="1485" spans="1:6" s="120" customFormat="1">
      <c r="A1485"/>
      <c r="B1485">
        <v>591</v>
      </c>
      <c r="D1485" s="127">
        <f t="shared" si="39"/>
        <v>37011.186320728681</v>
      </c>
      <c r="E1485" s="126">
        <f t="shared" si="40"/>
        <v>2024</v>
      </c>
      <c r="F1485" s="125">
        <f>_xlfn.XLOOKUP(D608,'3. Input (des)investeringen '!$B$11:$B$89,'3. Input (des)investeringen '!$E$11:$E$89)</f>
        <v>0</v>
      </c>
    </row>
    <row r="1486" spans="1:6" s="120" customFormat="1">
      <c r="A1486"/>
      <c r="B1486">
        <v>592</v>
      </c>
      <c r="D1486" s="127">
        <f t="shared" si="39"/>
        <v>17270.494018671787</v>
      </c>
      <c r="E1486" s="126">
        <f t="shared" si="40"/>
        <v>2024</v>
      </c>
      <c r="F1486" s="125">
        <f>_xlfn.XLOOKUP(D609,'3. Input (des)investeringen '!$B$11:$B$89,'3. Input (des)investeringen '!$E$11:$E$89)</f>
        <v>0</v>
      </c>
    </row>
    <row r="1487" spans="1:6" s="120" customFormat="1">
      <c r="A1487"/>
      <c r="B1487">
        <v>593</v>
      </c>
      <c r="D1487" s="127">
        <f t="shared" si="39"/>
        <v>5301815.8015589137</v>
      </c>
      <c r="E1487" s="126">
        <f t="shared" si="40"/>
        <v>2024</v>
      </c>
      <c r="F1487" s="125">
        <f>_xlfn.XLOOKUP(D610,'3. Input (des)investeringen '!$B$11:$B$89,'3. Input (des)investeringen '!$E$11:$E$89)</f>
        <v>1</v>
      </c>
    </row>
    <row r="1488" spans="1:6" s="120" customFormat="1">
      <c r="A1488"/>
      <c r="B1488">
        <v>594</v>
      </c>
      <c r="D1488" s="127">
        <f t="shared" si="39"/>
        <v>62852922.254831426</v>
      </c>
      <c r="E1488" s="126">
        <f t="shared" si="40"/>
        <v>2024</v>
      </c>
      <c r="F1488" s="125">
        <f>_xlfn.XLOOKUP(D611,'3. Input (des)investeringen '!$B$11:$B$89,'3. Input (des)investeringen '!$E$11:$E$89)</f>
        <v>1</v>
      </c>
    </row>
    <row r="1489" spans="1:6" s="120" customFormat="1">
      <c r="A1489"/>
      <c r="B1489">
        <v>595</v>
      </c>
      <c r="D1489" s="127">
        <f t="shared" si="39"/>
        <v>17159492.824191242</v>
      </c>
      <c r="E1489" s="126">
        <f t="shared" si="40"/>
        <v>2024</v>
      </c>
      <c r="F1489" s="125">
        <f>_xlfn.XLOOKUP(D612,'3. Input (des)investeringen '!$B$11:$B$89,'3. Input (des)investeringen '!$E$11:$E$89)</f>
        <v>1</v>
      </c>
    </row>
    <row r="1490" spans="1:6" s="120" customFormat="1">
      <c r="A1490"/>
      <c r="B1490">
        <v>596</v>
      </c>
      <c r="D1490" s="127">
        <f t="shared" si="39"/>
        <v>211911.94339047861</v>
      </c>
      <c r="E1490" s="126">
        <f t="shared" si="40"/>
        <v>2024</v>
      </c>
      <c r="F1490" s="125">
        <f>_xlfn.XLOOKUP(D613,'3. Input (des)investeringen '!$B$11:$B$89,'3. Input (des)investeringen '!$E$11:$E$89)</f>
        <v>1</v>
      </c>
    </row>
    <row r="1491" spans="1:6" s="120" customFormat="1">
      <c r="A1491"/>
      <c r="B1491">
        <v>597</v>
      </c>
      <c r="D1491" s="127">
        <f t="shared" si="39"/>
        <v>145611.22492333068</v>
      </c>
      <c r="E1491" s="126">
        <f t="shared" si="40"/>
        <v>2024</v>
      </c>
      <c r="F1491" s="125">
        <f>_xlfn.XLOOKUP(D614,'3. Input (des)investeringen '!$B$11:$B$89,'3. Input (des)investeringen '!$E$11:$E$89)</f>
        <v>1</v>
      </c>
    </row>
    <row r="1492" spans="1:6" s="120" customFormat="1">
      <c r="A1492"/>
      <c r="B1492">
        <v>598</v>
      </c>
      <c r="D1492" s="127">
        <f t="shared" si="39"/>
        <v>14127260.808909208</v>
      </c>
      <c r="E1492" s="126">
        <f t="shared" si="40"/>
        <v>2024</v>
      </c>
      <c r="F1492" s="125">
        <f>_xlfn.XLOOKUP(D615,'3. Input (des)investeringen '!$B$11:$B$89,'3. Input (des)investeringen '!$E$11:$E$89)</f>
        <v>1</v>
      </c>
    </row>
    <row r="1493" spans="1:6" s="120" customFormat="1">
      <c r="A1493"/>
      <c r="B1493">
        <v>599</v>
      </c>
      <c r="D1493" s="127">
        <f t="shared" si="39"/>
        <v>411732.03392921865</v>
      </c>
      <c r="E1493" s="126">
        <f t="shared" si="40"/>
        <v>2024</v>
      </c>
      <c r="F1493" s="125">
        <f>_xlfn.XLOOKUP(D616,'3. Input (des)investeringen '!$B$11:$B$89,'3. Input (des)investeringen '!$E$11:$E$89)</f>
        <v>1</v>
      </c>
    </row>
    <row r="1494" spans="1:6" s="120" customFormat="1">
      <c r="A1494"/>
      <c r="B1494">
        <v>600</v>
      </c>
      <c r="D1494" s="127">
        <f t="shared" si="39"/>
        <v>109663.09871307464</v>
      </c>
      <c r="E1494" s="126">
        <f t="shared" si="40"/>
        <v>2024</v>
      </c>
      <c r="F1494" s="125">
        <f>_xlfn.XLOOKUP(D617,'3. Input (des)investeringen '!$B$11:$B$89,'3. Input (des)investeringen '!$E$11:$E$89)</f>
        <v>1</v>
      </c>
    </row>
    <row r="1495" spans="1:6" s="120" customFormat="1">
      <c r="A1495"/>
      <c r="B1495">
        <v>601</v>
      </c>
      <c r="D1495" s="127">
        <f t="shared" si="39"/>
        <v>60347.123344159125</v>
      </c>
      <c r="E1495" s="126">
        <f t="shared" si="40"/>
        <v>2024</v>
      </c>
      <c r="F1495" s="125">
        <f>_xlfn.XLOOKUP(D618,'3. Input (des)investeringen '!$B$11:$B$89,'3. Input (des)investeringen '!$E$11:$E$89)</f>
        <v>1</v>
      </c>
    </row>
    <row r="1496" spans="1:6" s="120" customFormat="1">
      <c r="A1496"/>
      <c r="B1496">
        <v>602</v>
      </c>
      <c r="D1496" s="127">
        <f t="shared" si="39"/>
        <v>143984.07647664379</v>
      </c>
      <c r="E1496" s="126">
        <f t="shared" si="40"/>
        <v>2024</v>
      </c>
      <c r="F1496" s="125">
        <f>_xlfn.XLOOKUP(D619,'3. Input (des)investeringen '!$B$11:$B$89,'3. Input (des)investeringen '!$E$11:$E$89)</f>
        <v>1</v>
      </c>
    </row>
    <row r="1497" spans="1:6" s="120" customFormat="1">
      <c r="A1497"/>
      <c r="B1497">
        <v>603</v>
      </c>
      <c r="D1497" s="127">
        <f t="shared" si="39"/>
        <v>45668.030797308769</v>
      </c>
      <c r="E1497" s="126">
        <f t="shared" si="40"/>
        <v>2024</v>
      </c>
      <c r="F1497" s="125">
        <f>_xlfn.XLOOKUP(D620,'3. Input (des)investeringen '!$B$11:$B$89,'3. Input (des)investeringen '!$E$11:$E$89)</f>
        <v>1</v>
      </c>
    </row>
    <row r="1498" spans="1:6" s="120" customFormat="1">
      <c r="A1498"/>
      <c r="B1498">
        <v>604</v>
      </c>
      <c r="D1498" s="127">
        <f t="shared" si="39"/>
        <v>57799919.186389856</v>
      </c>
      <c r="E1498" s="126">
        <f t="shared" si="40"/>
        <v>2024</v>
      </c>
      <c r="F1498" s="125">
        <f>_xlfn.XLOOKUP(D621,'3. Input (des)investeringen '!$B$11:$B$89,'3. Input (des)investeringen '!$E$11:$E$89)</f>
        <v>1</v>
      </c>
    </row>
    <row r="1499" spans="1:6" s="120" customFormat="1">
      <c r="A1499"/>
      <c r="B1499">
        <v>605</v>
      </c>
      <c r="D1499" s="127">
        <f t="shared" si="39"/>
        <v>470626.14397873112</v>
      </c>
      <c r="E1499" s="126">
        <f t="shared" si="40"/>
        <v>2024</v>
      </c>
      <c r="F1499" s="125">
        <f>_xlfn.XLOOKUP(D622,'3. Input (des)investeringen '!$B$11:$B$89,'3. Input (des)investeringen '!$E$11:$E$89)</f>
        <v>1</v>
      </c>
    </row>
    <row r="1500" spans="1:6" s="120" customFormat="1">
      <c r="A1500"/>
      <c r="B1500">
        <v>606</v>
      </c>
      <c r="D1500" s="127">
        <f t="shared" si="39"/>
        <v>75589.04602804454</v>
      </c>
      <c r="E1500" s="126">
        <f t="shared" si="40"/>
        <v>2024</v>
      </c>
      <c r="F1500" s="125">
        <f>_xlfn.XLOOKUP(D623,'3. Input (des)investeringen '!$B$11:$B$89,'3. Input (des)investeringen '!$E$11:$E$89)</f>
        <v>1</v>
      </c>
    </row>
    <row r="1501" spans="1:6" s="120" customFormat="1">
      <c r="A1501"/>
      <c r="B1501">
        <v>607</v>
      </c>
      <c r="D1501" s="127">
        <f t="shared" si="39"/>
        <v>762522.0659628826</v>
      </c>
      <c r="E1501" s="126">
        <f t="shared" si="40"/>
        <v>2024</v>
      </c>
      <c r="F1501" s="125">
        <f>_xlfn.XLOOKUP(D624,'3. Input (des)investeringen '!$B$11:$B$89,'3. Input (des)investeringen '!$E$11:$E$89)</f>
        <v>1</v>
      </c>
    </row>
    <row r="1502" spans="1:6" s="120" customFormat="1">
      <c r="A1502"/>
      <c r="B1502">
        <v>608</v>
      </c>
      <c r="D1502" s="127">
        <f t="shared" si="39"/>
        <v>874582.48480662529</v>
      </c>
      <c r="E1502" s="126">
        <f t="shared" si="40"/>
        <v>2024</v>
      </c>
      <c r="F1502" s="125">
        <f>_xlfn.XLOOKUP(D625,'3. Input (des)investeringen '!$B$11:$B$89,'3. Input (des)investeringen '!$E$11:$E$89)</f>
        <v>1</v>
      </c>
    </row>
    <row r="1503" spans="1:6" s="120" customFormat="1">
      <c r="A1503"/>
      <c r="B1503">
        <v>609</v>
      </c>
      <c r="D1503" s="127">
        <f t="shared" si="39"/>
        <v>542520.05493636371</v>
      </c>
      <c r="E1503" s="126">
        <f t="shared" si="40"/>
        <v>2024</v>
      </c>
      <c r="F1503" s="125">
        <f>_xlfn.XLOOKUP(D626,'3. Input (des)investeringen '!$B$11:$B$89,'3. Input (des)investeringen '!$E$11:$E$89)</f>
        <v>1</v>
      </c>
    </row>
    <row r="1504" spans="1:6" s="120" customFormat="1">
      <c r="A1504"/>
      <c r="B1504">
        <v>610</v>
      </c>
      <c r="D1504" s="127">
        <f t="shared" si="39"/>
        <v>2078131.7841124595</v>
      </c>
      <c r="E1504" s="126">
        <f t="shared" si="40"/>
        <v>2024</v>
      </c>
      <c r="F1504" s="125">
        <f>_xlfn.XLOOKUP(D627,'3. Input (des)investeringen '!$B$11:$B$89,'3. Input (des)investeringen '!$E$11:$E$89)</f>
        <v>1</v>
      </c>
    </row>
    <row r="1505" spans="1:6" s="120" customFormat="1">
      <c r="A1505"/>
      <c r="B1505">
        <v>611</v>
      </c>
      <c r="D1505" s="127">
        <f t="shared" si="39"/>
        <v>1614100.6668574503</v>
      </c>
      <c r="E1505" s="126">
        <f t="shared" si="40"/>
        <v>2024</v>
      </c>
      <c r="F1505" s="125">
        <f>_xlfn.XLOOKUP(D628,'3. Input (des)investeringen '!$B$11:$B$89,'3. Input (des)investeringen '!$E$11:$E$89)</f>
        <v>1</v>
      </c>
    </row>
    <row r="1506" spans="1:6" s="120" customFormat="1">
      <c r="A1506"/>
      <c r="B1506">
        <v>612</v>
      </c>
      <c r="D1506" s="127">
        <f t="shared" si="39"/>
        <v>4231677.7396503771</v>
      </c>
      <c r="E1506" s="126">
        <f t="shared" si="40"/>
        <v>2024</v>
      </c>
      <c r="F1506" s="125">
        <f>_xlfn.XLOOKUP(D629,'3. Input (des)investeringen '!$B$11:$B$89,'3. Input (des)investeringen '!$E$11:$E$89)</f>
        <v>1</v>
      </c>
    </row>
    <row r="1507" spans="1:6" s="120" customFormat="1">
      <c r="A1507"/>
      <c r="B1507">
        <v>613</v>
      </c>
      <c r="D1507" s="127">
        <f t="shared" si="39"/>
        <v>4414757.8608861342</v>
      </c>
      <c r="E1507" s="126">
        <f t="shared" si="40"/>
        <v>2024</v>
      </c>
      <c r="F1507" s="125">
        <f>_xlfn.XLOOKUP(D630,'3. Input (des)investeringen '!$B$11:$B$89,'3. Input (des)investeringen '!$E$11:$E$89)</f>
        <v>1</v>
      </c>
    </row>
    <row r="1508" spans="1:6" s="120" customFormat="1">
      <c r="A1508"/>
      <c r="B1508">
        <v>614</v>
      </c>
      <c r="D1508" s="127">
        <f t="shared" si="39"/>
        <v>437708.67102006235</v>
      </c>
      <c r="E1508" s="126">
        <f t="shared" si="40"/>
        <v>2024</v>
      </c>
      <c r="F1508" s="125">
        <f>_xlfn.XLOOKUP(D631,'3. Input (des)investeringen '!$B$11:$B$89,'3. Input (des)investeringen '!$E$11:$E$89)</f>
        <v>1</v>
      </c>
    </row>
    <row r="1509" spans="1:6" s="120" customFormat="1">
      <c r="A1509"/>
      <c r="B1509">
        <v>615</v>
      </c>
      <c r="D1509" s="127">
        <f t="shared" si="39"/>
        <v>333386.71316266886</v>
      </c>
      <c r="E1509" s="126">
        <f t="shared" si="40"/>
        <v>2024</v>
      </c>
      <c r="F1509" s="125">
        <f>_xlfn.XLOOKUP(D632,'3. Input (des)investeringen '!$B$11:$B$89,'3. Input (des)investeringen '!$E$11:$E$89)</f>
        <v>1</v>
      </c>
    </row>
    <row r="1510" spans="1:6" s="120" customFormat="1">
      <c r="A1510"/>
      <c r="B1510">
        <v>616</v>
      </c>
      <c r="D1510" s="127">
        <f t="shared" si="39"/>
        <v>1979385.9470383527</v>
      </c>
      <c r="E1510" s="126">
        <f t="shared" si="40"/>
        <v>2024</v>
      </c>
      <c r="F1510" s="125">
        <f>_xlfn.XLOOKUP(D633,'3. Input (des)investeringen '!$B$11:$B$89,'3. Input (des)investeringen '!$E$11:$E$89)</f>
        <v>1</v>
      </c>
    </row>
    <row r="1511" spans="1:6" s="120" customFormat="1">
      <c r="A1511"/>
      <c r="B1511">
        <v>617</v>
      </c>
      <c r="D1511" s="127">
        <f t="shared" si="39"/>
        <v>7159903.0505077969</v>
      </c>
      <c r="E1511" s="126">
        <f t="shared" si="40"/>
        <v>2024</v>
      </c>
      <c r="F1511" s="125">
        <f>_xlfn.XLOOKUP(D634,'3. Input (des)investeringen '!$B$11:$B$89,'3. Input (des)investeringen '!$E$11:$E$89)</f>
        <v>1</v>
      </c>
    </row>
    <row r="1512" spans="1:6" s="120" customFormat="1">
      <c r="A1512"/>
      <c r="B1512">
        <v>618</v>
      </c>
      <c r="D1512" s="127">
        <f t="shared" si="39"/>
        <v>74629.265167178659</v>
      </c>
      <c r="E1512" s="126">
        <f t="shared" si="40"/>
        <v>2024</v>
      </c>
      <c r="F1512" s="125">
        <f>_xlfn.XLOOKUP(D635,'3. Input (des)investeringen '!$B$11:$B$89,'3. Input (des)investeringen '!$E$11:$E$89)</f>
        <v>1</v>
      </c>
    </row>
    <row r="1513" spans="1:6" s="120" customFormat="1">
      <c r="A1513"/>
      <c r="B1513">
        <v>619</v>
      </c>
      <c r="D1513" s="127">
        <f t="shared" si="39"/>
        <v>7239669.4251530087</v>
      </c>
      <c r="E1513" s="126">
        <f t="shared" si="40"/>
        <v>2024</v>
      </c>
      <c r="F1513" s="125">
        <f>_xlfn.XLOOKUP(D636,'3. Input (des)investeringen '!$B$11:$B$89,'3. Input (des)investeringen '!$E$11:$E$89)</f>
        <v>1</v>
      </c>
    </row>
    <row r="1514" spans="1:6" s="120" customFormat="1">
      <c r="A1514"/>
      <c r="B1514">
        <v>620</v>
      </c>
      <c r="D1514" s="127">
        <f t="shared" si="39"/>
        <v>2134110.8715248764</v>
      </c>
      <c r="E1514" s="126">
        <f t="shared" si="40"/>
        <v>2024</v>
      </c>
      <c r="F1514" s="125">
        <f>_xlfn.XLOOKUP(D637,'3. Input (des)investeringen '!$B$11:$B$89,'3. Input (des)investeringen '!$E$11:$E$89)</f>
        <v>1</v>
      </c>
    </row>
    <row r="1515" spans="1:6" s="120" customFormat="1">
      <c r="A1515"/>
      <c r="B1515">
        <v>621</v>
      </c>
      <c r="D1515" s="127">
        <f t="shared" si="39"/>
        <v>548430.84486086131</v>
      </c>
      <c r="E1515" s="126">
        <f t="shared" si="40"/>
        <v>2024</v>
      </c>
      <c r="F1515" s="125">
        <f>_xlfn.XLOOKUP(D638,'3. Input (des)investeringen '!$B$11:$B$89,'3. Input (des)investeringen '!$E$11:$E$89)</f>
        <v>1</v>
      </c>
    </row>
    <row r="1516" spans="1:6" s="120" customFormat="1">
      <c r="A1516"/>
      <c r="B1516">
        <v>622</v>
      </c>
      <c r="D1516" s="127">
        <f t="shared" si="39"/>
        <v>12840682.30635125</v>
      </c>
      <c r="E1516" s="126">
        <f t="shared" si="40"/>
        <v>2024</v>
      </c>
      <c r="F1516" s="125">
        <f>_xlfn.XLOOKUP(D639,'3. Input (des)investeringen '!$B$11:$B$89,'3. Input (des)investeringen '!$E$11:$E$89)</f>
        <v>1</v>
      </c>
    </row>
    <row r="1517" spans="1:6" s="120" customFormat="1">
      <c r="A1517"/>
      <c r="B1517">
        <v>623</v>
      </c>
      <c r="D1517" s="127">
        <f t="shared" si="39"/>
        <v>293349.00595699152</v>
      </c>
      <c r="E1517" s="126">
        <f t="shared" si="40"/>
        <v>2024</v>
      </c>
      <c r="F1517" s="125">
        <f>_xlfn.XLOOKUP(D640,'3. Input (des)investeringen '!$B$11:$B$89,'3. Input (des)investeringen '!$E$11:$E$89)</f>
        <v>1</v>
      </c>
    </row>
    <row r="1518" spans="1:6" s="120" customFormat="1">
      <c r="A1518"/>
      <c r="B1518">
        <v>624</v>
      </c>
      <c r="D1518" s="127">
        <f t="shared" si="39"/>
        <v>20998127.740403332</v>
      </c>
      <c r="E1518" s="126">
        <f t="shared" si="40"/>
        <v>2024</v>
      </c>
      <c r="F1518" s="125">
        <f>_xlfn.XLOOKUP(D641,'3. Input (des)investeringen '!$B$11:$B$89,'3. Input (des)investeringen '!$E$11:$E$89)</f>
        <v>1</v>
      </c>
    </row>
    <row r="1519" spans="1:6" s="120" customFormat="1">
      <c r="A1519"/>
      <c r="B1519">
        <v>625</v>
      </c>
      <c r="D1519" s="127">
        <f t="shared" si="39"/>
        <v>163313.75382603268</v>
      </c>
      <c r="E1519" s="126">
        <f t="shared" si="40"/>
        <v>2024</v>
      </c>
      <c r="F1519" s="125">
        <f>_xlfn.XLOOKUP(D642,'3. Input (des)investeringen '!$B$11:$B$89,'3. Input (des)investeringen '!$E$11:$E$89)</f>
        <v>1</v>
      </c>
    </row>
    <row r="1520" spans="1:6" s="120" customFormat="1">
      <c r="A1520"/>
      <c r="B1520">
        <v>626</v>
      </c>
      <c r="D1520" s="127">
        <f t="shared" si="39"/>
        <v>111126.30477577953</v>
      </c>
      <c r="E1520" s="126">
        <f t="shared" si="40"/>
        <v>2024</v>
      </c>
      <c r="F1520" s="125">
        <f>_xlfn.XLOOKUP(D643,'3. Input (des)investeringen '!$B$11:$B$89,'3. Input (des)investeringen '!$E$11:$E$89)</f>
        <v>0</v>
      </c>
    </row>
    <row r="1521" spans="1:6" s="120" customFormat="1">
      <c r="A1521"/>
      <c r="B1521">
        <v>627</v>
      </c>
      <c r="D1521" s="127">
        <f t="shared" si="39"/>
        <v>209822.27949994101</v>
      </c>
      <c r="E1521" s="126">
        <f t="shared" si="40"/>
        <v>2024</v>
      </c>
      <c r="F1521" s="125">
        <f>_xlfn.XLOOKUP(D644,'3. Input (des)investeringen '!$B$11:$B$89,'3. Input (des)investeringen '!$E$11:$E$89)</f>
        <v>0</v>
      </c>
    </row>
    <row r="1522" spans="1:6" s="120" customFormat="1">
      <c r="A1522"/>
      <c r="B1522">
        <v>628</v>
      </c>
      <c r="D1522" s="127">
        <f t="shared" si="39"/>
        <v>30414.811158507579</v>
      </c>
      <c r="E1522" s="126">
        <f t="shared" si="40"/>
        <v>2024</v>
      </c>
      <c r="F1522" s="125">
        <f>_xlfn.XLOOKUP(D645,'3. Input (des)investeringen '!$B$11:$B$89,'3. Input (des)investeringen '!$E$11:$E$89)</f>
        <v>0</v>
      </c>
    </row>
    <row r="1523" spans="1:6" s="120" customFormat="1">
      <c r="A1523"/>
      <c r="B1523">
        <v>629</v>
      </c>
      <c r="D1523" s="127">
        <f t="shared" si="39"/>
        <v>72299.483968800036</v>
      </c>
      <c r="E1523" s="126">
        <f t="shared" si="40"/>
        <v>2024</v>
      </c>
      <c r="F1523" s="125">
        <f>_xlfn.XLOOKUP(D646,'3. Input (des)investeringen '!$B$11:$B$89,'3. Input (des)investeringen '!$E$11:$E$89)</f>
        <v>0</v>
      </c>
    </row>
    <row r="1524" spans="1:6" s="120" customFormat="1">
      <c r="A1524"/>
      <c r="B1524">
        <v>630</v>
      </c>
      <c r="D1524" s="127">
        <f t="shared" si="39"/>
        <v>229964.43070982173</v>
      </c>
      <c r="E1524" s="126">
        <f t="shared" si="40"/>
        <v>2024</v>
      </c>
      <c r="F1524" s="125">
        <f>_xlfn.XLOOKUP(D647,'3. Input (des)investeringen '!$B$11:$B$89,'3. Input (des)investeringen '!$E$11:$E$89)</f>
        <v>0</v>
      </c>
    </row>
    <row r="1525" spans="1:6" s="120" customFormat="1">
      <c r="A1525"/>
      <c r="B1525">
        <v>631</v>
      </c>
      <c r="D1525" s="127">
        <f t="shared" si="39"/>
        <v>80367.180895925572</v>
      </c>
      <c r="E1525" s="126">
        <f t="shared" si="40"/>
        <v>2024</v>
      </c>
      <c r="F1525" s="125">
        <f>_xlfn.XLOOKUP(D648,'3. Input (des)investeringen '!$B$11:$B$89,'3. Input (des)investeringen '!$E$11:$E$89)</f>
        <v>0</v>
      </c>
    </row>
    <row r="1526" spans="1:6" s="120" customFormat="1">
      <c r="A1526"/>
      <c r="B1526">
        <v>632</v>
      </c>
      <c r="D1526" s="127">
        <f t="shared" si="39"/>
        <v>161474.03145727274</v>
      </c>
      <c r="E1526" s="126">
        <f t="shared" si="40"/>
        <v>2024</v>
      </c>
      <c r="F1526" s="125">
        <f>_xlfn.XLOOKUP(D649,'3. Input (des)investeringen '!$B$11:$B$89,'3. Input (des)investeringen '!$E$11:$E$89)</f>
        <v>0</v>
      </c>
    </row>
    <row r="1527" spans="1:6" s="120" customFormat="1">
      <c r="A1527"/>
      <c r="B1527">
        <v>633</v>
      </c>
      <c r="D1527" s="127">
        <f t="shared" si="39"/>
        <v>145347.34813364185</v>
      </c>
      <c r="E1527" s="126">
        <f t="shared" si="40"/>
        <v>2024</v>
      </c>
      <c r="F1527" s="125">
        <f>_xlfn.XLOOKUP(D650,'3. Input (des)investeringen '!$B$11:$B$89,'3. Input (des)investeringen '!$E$11:$E$89)</f>
        <v>0</v>
      </c>
    </row>
    <row r="1528" spans="1:6" s="120" customFormat="1">
      <c r="A1528"/>
      <c r="B1528">
        <v>634</v>
      </c>
      <c r="D1528" s="127">
        <f t="shared" si="39"/>
        <v>253959.2233117416</v>
      </c>
      <c r="E1528" s="126">
        <f t="shared" si="40"/>
        <v>2024</v>
      </c>
      <c r="F1528" s="125">
        <f>_xlfn.XLOOKUP(D651,'3. Input (des)investeringen '!$B$11:$B$89,'3. Input (des)investeringen '!$E$11:$E$89)</f>
        <v>1</v>
      </c>
    </row>
    <row r="1529" spans="1:6" s="120" customFormat="1">
      <c r="A1529"/>
      <c r="B1529">
        <v>635</v>
      </c>
      <c r="D1529" s="127">
        <f t="shared" si="39"/>
        <v>44400.751979526118</v>
      </c>
      <c r="E1529" s="126">
        <f t="shared" si="40"/>
        <v>2024</v>
      </c>
      <c r="F1529" s="125">
        <f>_xlfn.XLOOKUP(D652,'3. Input (des)investeringen '!$B$11:$B$89,'3. Input (des)investeringen '!$E$11:$E$89)</f>
        <v>1</v>
      </c>
    </row>
    <row r="1530" spans="1:6" s="120" customFormat="1">
      <c r="A1530"/>
      <c r="B1530">
        <v>636</v>
      </c>
      <c r="D1530" s="127">
        <f t="shared" si="39"/>
        <v>135615.51907538407</v>
      </c>
      <c r="E1530" s="126">
        <f t="shared" si="40"/>
        <v>2024</v>
      </c>
      <c r="F1530" s="125">
        <f>_xlfn.XLOOKUP(D653,'3. Input (des)investeringen '!$B$11:$B$89,'3. Input (des)investeringen '!$E$11:$E$89)</f>
        <v>1</v>
      </c>
    </row>
    <row r="1531" spans="1:6" s="120" customFormat="1">
      <c r="A1531" s="3"/>
      <c r="B1531">
        <v>637</v>
      </c>
      <c r="D1531" s="127">
        <f t="shared" si="39"/>
        <v>160731.9399931191</v>
      </c>
      <c r="E1531" s="126">
        <f t="shared" si="40"/>
        <v>2024</v>
      </c>
      <c r="F1531" s="125">
        <f>_xlfn.XLOOKUP(D654,'3. Input (des)investeringen '!$B$11:$B$89,'3. Input (des)investeringen '!$E$11:$E$89)</f>
        <v>1</v>
      </c>
    </row>
    <row r="1532" spans="1:6" s="120" customFormat="1">
      <c r="A1532" s="3"/>
      <c r="B1532">
        <v>638</v>
      </c>
      <c r="D1532" s="127">
        <f t="shared" si="39"/>
        <v>48052.833482000133</v>
      </c>
      <c r="E1532" s="126">
        <f t="shared" si="40"/>
        <v>2024</v>
      </c>
      <c r="F1532" s="125">
        <f>_xlfn.XLOOKUP(D655,'3. Input (des)investeringen '!$B$11:$B$89,'3. Input (des)investeringen '!$E$11:$E$89)</f>
        <v>1</v>
      </c>
    </row>
    <row r="1533" spans="1:6" s="120" customFormat="1">
      <c r="A1533" s="3"/>
      <c r="B1533">
        <v>639</v>
      </c>
      <c r="D1533" s="127">
        <f t="shared" si="39"/>
        <v>260339.04092527876</v>
      </c>
      <c r="E1533" s="126">
        <f t="shared" si="40"/>
        <v>2024</v>
      </c>
      <c r="F1533" s="125">
        <f>_xlfn.XLOOKUP(D656,'3. Input (des)investeringen '!$B$11:$B$89,'3. Input (des)investeringen '!$E$11:$E$89)</f>
        <v>1</v>
      </c>
    </row>
    <row r="1534" spans="1:6" s="120" customFormat="1">
      <c r="A1534" s="3"/>
      <c r="B1534">
        <v>640</v>
      </c>
      <c r="D1534" s="127">
        <f t="shared" si="39"/>
        <v>71917.782611901479</v>
      </c>
      <c r="E1534" s="126">
        <f t="shared" si="40"/>
        <v>2024</v>
      </c>
      <c r="F1534" s="125">
        <f>_xlfn.XLOOKUP(D657,'3. Input (des)investeringen '!$B$11:$B$89,'3. Input (des)investeringen '!$E$11:$E$89)</f>
        <v>1</v>
      </c>
    </row>
    <row r="1535" spans="1:6" s="120" customFormat="1">
      <c r="A1535" s="3"/>
      <c r="B1535">
        <v>641</v>
      </c>
      <c r="D1535" s="127">
        <f t="shared" ref="D1535:D1598" si="41">F658*INDEX($E$810:$CG$890,E658-1945,G658-1945)</f>
        <v>25076.077850351056</v>
      </c>
      <c r="E1535" s="126">
        <f t="shared" ref="E1535:E1598" si="42">G658</f>
        <v>2024</v>
      </c>
      <c r="F1535" s="125">
        <f>_xlfn.XLOOKUP(D658,'3. Input (des)investeringen '!$B$11:$B$89,'3. Input (des)investeringen '!$E$11:$E$89)</f>
        <v>1</v>
      </c>
    </row>
    <row r="1536" spans="1:6" s="120" customFormat="1">
      <c r="A1536" s="3"/>
      <c r="B1536">
        <v>642</v>
      </c>
      <c r="D1536" s="127">
        <f t="shared" si="41"/>
        <v>31332.211305845765</v>
      </c>
      <c r="E1536" s="126">
        <f t="shared" si="42"/>
        <v>2024</v>
      </c>
      <c r="F1536" s="125">
        <f>_xlfn.XLOOKUP(D659,'3. Input (des)investeringen '!$B$11:$B$89,'3. Input (des)investeringen '!$E$11:$E$89)</f>
        <v>1</v>
      </c>
    </row>
    <row r="1537" spans="1:6" s="120" customFormat="1">
      <c r="A1537" s="3"/>
      <c r="B1537">
        <v>643</v>
      </c>
      <c r="D1537" s="127">
        <f t="shared" si="41"/>
        <v>100712.26368000002</v>
      </c>
      <c r="E1537" s="126">
        <f t="shared" si="42"/>
        <v>2024</v>
      </c>
      <c r="F1537" s="125">
        <f>_xlfn.XLOOKUP(D660,'3. Input (des)investeringen '!$B$11:$B$89,'3. Input (des)investeringen '!$E$11:$E$89)</f>
        <v>1</v>
      </c>
    </row>
    <row r="1538" spans="1:6" s="120" customFormat="1">
      <c r="A1538" s="3"/>
      <c r="B1538">
        <v>644</v>
      </c>
      <c r="D1538" s="127">
        <f t="shared" si="41"/>
        <v>518134.22387007735</v>
      </c>
      <c r="E1538" s="126">
        <f t="shared" si="42"/>
        <v>2024</v>
      </c>
      <c r="F1538" s="125">
        <f>_xlfn.XLOOKUP(D661,'3. Input (des)investeringen '!$B$11:$B$89,'3. Input (des)investeringen '!$E$11:$E$89)</f>
        <v>1</v>
      </c>
    </row>
    <row r="1539" spans="1:6" s="120" customFormat="1">
      <c r="A1539" s="3"/>
      <c r="B1539">
        <v>645</v>
      </c>
      <c r="D1539" s="127">
        <f t="shared" si="41"/>
        <v>105239.71077357125</v>
      </c>
      <c r="E1539" s="126">
        <f t="shared" si="42"/>
        <v>2024</v>
      </c>
      <c r="F1539" s="125">
        <f>_xlfn.XLOOKUP(D662,'3. Input (des)investeringen '!$B$11:$B$89,'3. Input (des)investeringen '!$E$11:$E$89)</f>
        <v>1</v>
      </c>
    </row>
    <row r="1540" spans="1:6" s="120" customFormat="1">
      <c r="A1540" s="3"/>
      <c r="B1540">
        <v>646</v>
      </c>
      <c r="D1540" s="127">
        <f t="shared" si="41"/>
        <v>48671.500527957382</v>
      </c>
      <c r="E1540" s="126">
        <f t="shared" si="42"/>
        <v>2024</v>
      </c>
      <c r="F1540" s="125">
        <f>_xlfn.XLOOKUP(D663,'3. Input (des)investeringen '!$B$11:$B$89,'3. Input (des)investeringen '!$E$11:$E$89)</f>
        <v>1</v>
      </c>
    </row>
    <row r="1541" spans="1:6" s="120" customFormat="1">
      <c r="A1541" s="3"/>
      <c r="B1541">
        <v>647</v>
      </c>
      <c r="D1541" s="127">
        <f t="shared" si="41"/>
        <v>47773.672656387018</v>
      </c>
      <c r="E1541" s="126">
        <f t="shared" si="42"/>
        <v>2024</v>
      </c>
      <c r="F1541" s="125">
        <f>_xlfn.XLOOKUP(D664,'3. Input (des)investeringen '!$B$11:$B$89,'3. Input (des)investeringen '!$E$11:$E$89)</f>
        <v>1</v>
      </c>
    </row>
    <row r="1542" spans="1:6" s="120" customFormat="1">
      <c r="A1542" s="3"/>
      <c r="B1542">
        <v>648</v>
      </c>
      <c r="D1542" s="127">
        <f t="shared" si="41"/>
        <v>23708.586158674614</v>
      </c>
      <c r="E1542" s="126">
        <f t="shared" si="42"/>
        <v>2024</v>
      </c>
      <c r="F1542" s="125">
        <f>_xlfn.XLOOKUP(D665,'3. Input (des)investeringen '!$B$11:$B$89,'3. Input (des)investeringen '!$E$11:$E$89)</f>
        <v>1</v>
      </c>
    </row>
    <row r="1543" spans="1:6" s="120" customFormat="1">
      <c r="A1543" s="3"/>
      <c r="B1543">
        <v>649</v>
      </c>
      <c r="D1543" s="127">
        <f t="shared" si="41"/>
        <v>0.10372788852452536</v>
      </c>
      <c r="E1543" s="126">
        <f t="shared" si="42"/>
        <v>2025</v>
      </c>
      <c r="F1543" s="125">
        <f>_xlfn.XLOOKUP(D666,'3. Input (des)investeringen '!$B$11:$B$89,'3. Input (des)investeringen '!$E$11:$E$89)</f>
        <v>1</v>
      </c>
    </row>
    <row r="1544" spans="1:6" s="120" customFormat="1">
      <c r="A1544" s="3"/>
      <c r="B1544">
        <v>650</v>
      </c>
      <c r="D1544" s="127">
        <f t="shared" si="41"/>
        <v>559891.59391123429</v>
      </c>
      <c r="E1544" s="126">
        <f t="shared" si="42"/>
        <v>2025</v>
      </c>
      <c r="F1544" s="125">
        <f>_xlfn.XLOOKUP(D667,'3. Input (des)investeringen '!$B$11:$B$89,'3. Input (des)investeringen '!$E$11:$E$89)</f>
        <v>1</v>
      </c>
    </row>
    <row r="1545" spans="1:6" s="120" customFormat="1">
      <c r="A1545" s="3"/>
      <c r="B1545">
        <v>651</v>
      </c>
      <c r="D1545" s="127">
        <f t="shared" si="41"/>
        <v>418294.60799465654</v>
      </c>
      <c r="E1545" s="126">
        <f t="shared" si="42"/>
        <v>2025</v>
      </c>
      <c r="F1545" s="125">
        <f>_xlfn.XLOOKUP(D668,'3. Input (des)investeringen '!$B$11:$B$89,'3. Input (des)investeringen '!$E$11:$E$89)</f>
        <v>1</v>
      </c>
    </row>
    <row r="1546" spans="1:6" s="120" customFormat="1">
      <c r="A1546" s="3"/>
      <c r="B1546">
        <v>652</v>
      </c>
      <c r="D1546" s="127">
        <f t="shared" si="41"/>
        <v>49779.66951148137</v>
      </c>
      <c r="E1546" s="126">
        <f t="shared" si="42"/>
        <v>2025</v>
      </c>
      <c r="F1546" s="125">
        <f>_xlfn.XLOOKUP(D669,'3. Input (des)investeringen '!$B$11:$B$89,'3. Input (des)investeringen '!$E$11:$E$89)</f>
        <v>1</v>
      </c>
    </row>
    <row r="1547" spans="1:6" s="120" customFormat="1">
      <c r="A1547" s="3"/>
      <c r="B1547">
        <v>653</v>
      </c>
      <c r="D1547" s="127">
        <f t="shared" si="41"/>
        <v>350751.96585377463</v>
      </c>
      <c r="E1547" s="126">
        <f t="shared" si="42"/>
        <v>2025</v>
      </c>
      <c r="F1547" s="125">
        <f>_xlfn.XLOOKUP(D670,'3. Input (des)investeringen '!$B$11:$B$89,'3. Input (des)investeringen '!$E$11:$E$89)</f>
        <v>1</v>
      </c>
    </row>
    <row r="1548" spans="1:6" s="120" customFormat="1">
      <c r="A1548" s="3"/>
      <c r="B1548">
        <v>654</v>
      </c>
      <c r="D1548" s="127">
        <f t="shared" si="41"/>
        <v>79013.464848231029</v>
      </c>
      <c r="E1548" s="126">
        <f t="shared" si="42"/>
        <v>2025</v>
      </c>
      <c r="F1548" s="125">
        <f>_xlfn.XLOOKUP(D671,'3. Input (des)investeringen '!$B$11:$B$89,'3. Input (des)investeringen '!$E$11:$E$89)</f>
        <v>1</v>
      </c>
    </row>
    <row r="1549" spans="1:6" s="120" customFormat="1">
      <c r="A1549" s="3"/>
      <c r="B1549">
        <v>655</v>
      </c>
      <c r="D1549" s="127">
        <f t="shared" si="41"/>
        <v>734762.06077520701</v>
      </c>
      <c r="E1549" s="126">
        <f t="shared" si="42"/>
        <v>2025</v>
      </c>
      <c r="F1549" s="125">
        <f>_xlfn.XLOOKUP(D672,'3. Input (des)investeringen '!$B$11:$B$89,'3. Input (des)investeringen '!$E$11:$E$89)</f>
        <v>1</v>
      </c>
    </row>
    <row r="1550" spans="1:6" s="120" customFormat="1">
      <c r="A1550" s="3"/>
      <c r="B1550">
        <v>656</v>
      </c>
      <c r="D1550" s="127">
        <f t="shared" si="41"/>
        <v>162744.2969813066</v>
      </c>
      <c r="E1550" s="126">
        <f t="shared" si="42"/>
        <v>2025</v>
      </c>
      <c r="F1550" s="125">
        <f>_xlfn.XLOOKUP(D673,'3. Input (des)investeringen '!$B$11:$B$89,'3. Input (des)investeringen '!$E$11:$E$89)</f>
        <v>1</v>
      </c>
    </row>
    <row r="1551" spans="1:6" s="120" customFormat="1">
      <c r="A1551" s="3"/>
      <c r="B1551">
        <v>657</v>
      </c>
      <c r="D1551" s="127">
        <f t="shared" si="41"/>
        <v>883662.25347816164</v>
      </c>
      <c r="E1551" s="126">
        <f t="shared" si="42"/>
        <v>2025</v>
      </c>
      <c r="F1551" s="125">
        <f>_xlfn.XLOOKUP(D674,'3. Input (des)investeringen '!$B$11:$B$89,'3. Input (des)investeringen '!$E$11:$E$89)</f>
        <v>1</v>
      </c>
    </row>
    <row r="1552" spans="1:6" s="120" customFormat="1">
      <c r="A1552" s="3"/>
      <c r="B1552">
        <v>658</v>
      </c>
      <c r="D1552" s="127">
        <f t="shared" si="41"/>
        <v>632300.32831052307</v>
      </c>
      <c r="E1552" s="126">
        <f t="shared" si="42"/>
        <v>2025</v>
      </c>
      <c r="F1552" s="125">
        <f>_xlfn.XLOOKUP(D675,'3. Input (des)investeringen '!$B$11:$B$89,'3. Input (des)investeringen '!$E$11:$E$89)</f>
        <v>1</v>
      </c>
    </row>
    <row r="1553" spans="1:6" s="120" customFormat="1">
      <c r="A1553" s="3"/>
      <c r="B1553">
        <v>659</v>
      </c>
      <c r="D1553" s="127">
        <f t="shared" si="41"/>
        <v>2480841.6192225819</v>
      </c>
      <c r="E1553" s="126">
        <f t="shared" si="42"/>
        <v>2025</v>
      </c>
      <c r="F1553" s="125">
        <f>_xlfn.XLOOKUP(D676,'3. Input (des)investeringen '!$B$11:$B$89,'3. Input (des)investeringen '!$E$11:$E$89)</f>
        <v>1</v>
      </c>
    </row>
    <row r="1554" spans="1:6" s="120" customFormat="1">
      <c r="A1554" s="3"/>
      <c r="B1554">
        <v>660</v>
      </c>
      <c r="D1554" s="127">
        <f t="shared" si="41"/>
        <v>343256.89928464394</v>
      </c>
      <c r="E1554" s="126">
        <f t="shared" si="42"/>
        <v>2025</v>
      </c>
      <c r="F1554" s="125">
        <f>_xlfn.XLOOKUP(D677,'3. Input (des)investeringen '!$B$11:$B$89,'3. Input (des)investeringen '!$E$11:$E$89)</f>
        <v>1</v>
      </c>
    </row>
    <row r="1555" spans="1:6" s="120" customFormat="1">
      <c r="A1555" s="3"/>
      <c r="B1555">
        <v>661</v>
      </c>
      <c r="D1555" s="127">
        <f t="shared" si="41"/>
        <v>229745.30149565075</v>
      </c>
      <c r="E1555" s="126">
        <f t="shared" si="42"/>
        <v>2025</v>
      </c>
      <c r="F1555" s="125">
        <f>_xlfn.XLOOKUP(D678,'3. Input (des)investeringen '!$B$11:$B$89,'3. Input (des)investeringen '!$E$11:$E$89)</f>
        <v>1</v>
      </c>
    </row>
    <row r="1556" spans="1:6" s="120" customFormat="1">
      <c r="A1556" s="3"/>
      <c r="B1556">
        <v>662</v>
      </c>
      <c r="D1556" s="127">
        <f t="shared" si="41"/>
        <v>429279.52207403985</v>
      </c>
      <c r="E1556" s="126">
        <f t="shared" si="42"/>
        <v>2025</v>
      </c>
      <c r="F1556" s="125">
        <f>_xlfn.XLOOKUP(D679,'3. Input (des)investeringen '!$B$11:$B$89,'3. Input (des)investeringen '!$E$11:$E$89)</f>
        <v>1</v>
      </c>
    </row>
    <row r="1557" spans="1:6" s="120" customFormat="1">
      <c r="A1557" s="3"/>
      <c r="B1557">
        <v>663</v>
      </c>
      <c r="D1557" s="127">
        <f t="shared" si="41"/>
        <v>195676.16141037896</v>
      </c>
      <c r="E1557" s="126">
        <f t="shared" si="42"/>
        <v>2025</v>
      </c>
      <c r="F1557" s="125">
        <f>_xlfn.XLOOKUP(D680,'3. Input (des)investeringen '!$B$11:$B$89,'3. Input (des)investeringen '!$E$11:$E$89)</f>
        <v>1</v>
      </c>
    </row>
    <row r="1558" spans="1:6" s="120" customFormat="1">
      <c r="A1558" s="3"/>
      <c r="B1558">
        <v>664</v>
      </c>
      <c r="D1558" s="127">
        <f t="shared" si="41"/>
        <v>183473.0225411093</v>
      </c>
      <c r="E1558" s="126">
        <f t="shared" si="42"/>
        <v>2025</v>
      </c>
      <c r="F1558" s="125">
        <f>_xlfn.XLOOKUP(D681,'3. Input (des)investeringen '!$B$11:$B$89,'3. Input (des)investeringen '!$E$11:$E$89)</f>
        <v>1</v>
      </c>
    </row>
    <row r="1559" spans="1:6" s="120" customFormat="1">
      <c r="A1559" s="3"/>
      <c r="B1559">
        <v>665</v>
      </c>
      <c r="D1559" s="127">
        <f t="shared" si="41"/>
        <v>167097.47043816879</v>
      </c>
      <c r="E1559" s="126">
        <f t="shared" si="42"/>
        <v>2025</v>
      </c>
      <c r="F1559" s="125">
        <f>_xlfn.XLOOKUP(D682,'3. Input (des)investeringen '!$B$11:$B$89,'3. Input (des)investeringen '!$E$11:$E$89)</f>
        <v>1</v>
      </c>
    </row>
    <row r="1560" spans="1:6" s="120" customFormat="1">
      <c r="A1560" s="3"/>
      <c r="B1560">
        <v>666</v>
      </c>
      <c r="D1560" s="127">
        <f t="shared" si="41"/>
        <v>139377.86188801783</v>
      </c>
      <c r="E1560" s="126">
        <f t="shared" si="42"/>
        <v>2025</v>
      </c>
      <c r="F1560" s="125">
        <f>_xlfn.XLOOKUP(D683,'3. Input (des)investeringen '!$B$11:$B$89,'3. Input (des)investeringen '!$E$11:$E$89)</f>
        <v>1</v>
      </c>
    </row>
    <row r="1561" spans="1:6" s="120" customFormat="1">
      <c r="A1561" s="3"/>
      <c r="B1561">
        <v>667</v>
      </c>
      <c r="D1561" s="127">
        <f t="shared" si="41"/>
        <v>130503.61600001677</v>
      </c>
      <c r="E1561" s="126">
        <f t="shared" si="42"/>
        <v>2025</v>
      </c>
      <c r="F1561" s="125">
        <f>_xlfn.XLOOKUP(D684,'3. Input (des)investeringen '!$B$11:$B$89,'3. Input (des)investeringen '!$E$11:$E$89)</f>
        <v>1</v>
      </c>
    </row>
    <row r="1562" spans="1:6" s="120" customFormat="1">
      <c r="A1562" s="3"/>
      <c r="B1562">
        <v>668</v>
      </c>
      <c r="D1562" s="127">
        <f t="shared" si="41"/>
        <v>119488.86374952631</v>
      </c>
      <c r="E1562" s="126">
        <f t="shared" si="42"/>
        <v>2025</v>
      </c>
      <c r="F1562" s="125">
        <f>_xlfn.XLOOKUP(D685,'3. Input (des)investeringen '!$B$11:$B$89,'3. Input (des)investeringen '!$E$11:$E$89)</f>
        <v>1</v>
      </c>
    </row>
    <row r="1563" spans="1:6" s="120" customFormat="1">
      <c r="A1563" s="3"/>
      <c r="B1563">
        <v>669</v>
      </c>
      <c r="D1563" s="127">
        <f t="shared" si="41"/>
        <v>115830.86985540371</v>
      </c>
      <c r="E1563" s="126">
        <f t="shared" si="42"/>
        <v>2025</v>
      </c>
      <c r="F1563" s="125">
        <f>_xlfn.XLOOKUP(D686,'3. Input (des)investeringen '!$B$11:$B$89,'3. Input (des)investeringen '!$E$11:$E$89)</f>
        <v>1</v>
      </c>
    </row>
    <row r="1564" spans="1:6" s="120" customFormat="1">
      <c r="A1564" s="3"/>
      <c r="B1564">
        <v>670</v>
      </c>
      <c r="D1564" s="127">
        <f t="shared" si="41"/>
        <v>48968.681822657381</v>
      </c>
      <c r="E1564" s="126">
        <f t="shared" si="42"/>
        <v>2025</v>
      </c>
      <c r="F1564" s="125">
        <f>_xlfn.XLOOKUP(D687,'3. Input (des)investeringen '!$B$11:$B$89,'3. Input (des)investeringen '!$E$11:$E$89)</f>
        <v>1</v>
      </c>
    </row>
    <row r="1565" spans="1:6" s="120" customFormat="1">
      <c r="A1565" s="3"/>
      <c r="B1565">
        <v>671</v>
      </c>
      <c r="D1565" s="127">
        <f t="shared" si="41"/>
        <v>57308.939516068116</v>
      </c>
      <c r="E1565" s="126">
        <f t="shared" si="42"/>
        <v>2025</v>
      </c>
      <c r="F1565" s="125">
        <f>_xlfn.XLOOKUP(D688,'3. Input (des)investeringen '!$B$11:$B$89,'3. Input (des)investeringen '!$E$11:$E$89)</f>
        <v>1</v>
      </c>
    </row>
    <row r="1566" spans="1:6" s="120" customFormat="1">
      <c r="A1566" s="3"/>
      <c r="B1566">
        <v>672</v>
      </c>
      <c r="D1566" s="127">
        <f t="shared" si="41"/>
        <v>83697.203696818629</v>
      </c>
      <c r="E1566" s="126">
        <f t="shared" si="42"/>
        <v>2025</v>
      </c>
      <c r="F1566" s="125">
        <f>_xlfn.XLOOKUP(D689,'3. Input (des)investeringen '!$B$11:$B$89,'3. Input (des)investeringen '!$E$11:$E$89)</f>
        <v>1</v>
      </c>
    </row>
    <row r="1567" spans="1:6" s="120" customFormat="1">
      <c r="A1567" s="3"/>
      <c r="B1567">
        <v>673</v>
      </c>
      <c r="D1567" s="127">
        <f t="shared" si="41"/>
        <v>34550.718403401741</v>
      </c>
      <c r="E1567" s="126">
        <f t="shared" si="42"/>
        <v>2025</v>
      </c>
      <c r="F1567" s="125">
        <f>_xlfn.XLOOKUP(D690,'3. Input (des)investeringen '!$B$11:$B$89,'3. Input (des)investeringen '!$E$11:$E$89)</f>
        <v>1</v>
      </c>
    </row>
    <row r="1568" spans="1:6" s="120" customFormat="1">
      <c r="A1568" s="3"/>
      <c r="B1568">
        <v>674</v>
      </c>
      <c r="D1568" s="127">
        <f t="shared" si="41"/>
        <v>11546.235880947081</v>
      </c>
      <c r="E1568" s="126">
        <f t="shared" si="42"/>
        <v>2025</v>
      </c>
      <c r="F1568" s="125">
        <f>_xlfn.XLOOKUP(D691,'3. Input (des)investeringen '!$B$11:$B$89,'3. Input (des)investeringen '!$E$11:$E$89)</f>
        <v>1</v>
      </c>
    </row>
    <row r="1569" spans="1:6" s="120" customFormat="1">
      <c r="A1569" s="3"/>
      <c r="B1569">
        <v>675</v>
      </c>
      <c r="D1569" s="127">
        <f t="shared" si="41"/>
        <v>11759.941377619944</v>
      </c>
      <c r="E1569" s="126">
        <f t="shared" si="42"/>
        <v>2025</v>
      </c>
      <c r="F1569" s="125">
        <f>_xlfn.XLOOKUP(D692,'3. Input (des)investeringen '!$B$11:$B$89,'3. Input (des)investeringen '!$E$11:$E$89)</f>
        <v>1</v>
      </c>
    </row>
    <row r="1570" spans="1:6" s="120" customFormat="1">
      <c r="A1570" s="3"/>
      <c r="B1570">
        <v>676</v>
      </c>
      <c r="D1570" s="127">
        <f t="shared" si="41"/>
        <v>776170.58592619933</v>
      </c>
      <c r="E1570" s="126">
        <f t="shared" si="42"/>
        <v>2025</v>
      </c>
      <c r="F1570" s="125">
        <f>_xlfn.XLOOKUP(D693,'3. Input (des)investeringen '!$B$11:$B$89,'3. Input (des)investeringen '!$E$11:$E$89)</f>
        <v>1</v>
      </c>
    </row>
    <row r="1571" spans="1:6" s="120" customFormat="1">
      <c r="A1571" s="3"/>
      <c r="B1571">
        <v>677</v>
      </c>
      <c r="D1571" s="127">
        <f t="shared" si="41"/>
        <v>344500.49143733218</v>
      </c>
      <c r="E1571" s="126">
        <f t="shared" si="42"/>
        <v>2025</v>
      </c>
      <c r="F1571" s="125">
        <f>_xlfn.XLOOKUP(D694,'3. Input (des)investeringen '!$B$11:$B$89,'3. Input (des)investeringen '!$E$11:$E$89)</f>
        <v>1</v>
      </c>
    </row>
    <row r="1572" spans="1:6" s="120" customFormat="1">
      <c r="A1572" s="3"/>
      <c r="B1572">
        <v>678</v>
      </c>
      <c r="D1572" s="127">
        <f t="shared" si="41"/>
        <v>1526987.2787699511</v>
      </c>
      <c r="E1572" s="126">
        <f t="shared" si="42"/>
        <v>2025</v>
      </c>
      <c r="F1572" s="125">
        <f>_xlfn.XLOOKUP(D695,'3. Input (des)investeringen '!$B$11:$B$89,'3. Input (des)investeringen '!$E$11:$E$89)</f>
        <v>1</v>
      </c>
    </row>
    <row r="1573" spans="1:6" s="120" customFormat="1">
      <c r="A1573" s="3"/>
      <c r="B1573">
        <v>679</v>
      </c>
      <c r="D1573" s="127">
        <f t="shared" si="41"/>
        <v>126562.58681388578</v>
      </c>
      <c r="E1573" s="126">
        <f t="shared" si="42"/>
        <v>2025</v>
      </c>
      <c r="F1573" s="125">
        <f>_xlfn.XLOOKUP(D696,'3. Input (des)investeringen '!$B$11:$B$89,'3. Input (des)investeringen '!$E$11:$E$89)</f>
        <v>1</v>
      </c>
    </row>
    <row r="1574" spans="1:6" s="120" customFormat="1">
      <c r="A1574" s="3"/>
      <c r="B1574">
        <v>680</v>
      </c>
      <c r="D1574" s="127">
        <f t="shared" si="41"/>
        <v>839617.63062353432</v>
      </c>
      <c r="E1574" s="126">
        <f t="shared" si="42"/>
        <v>2025</v>
      </c>
      <c r="F1574" s="125">
        <f>_xlfn.XLOOKUP(D697,'3. Input (des)investeringen '!$B$11:$B$89,'3. Input (des)investeringen '!$E$11:$E$89)</f>
        <v>1</v>
      </c>
    </row>
    <row r="1575" spans="1:6" s="120" customFormat="1">
      <c r="A1575" s="3"/>
      <c r="B1575">
        <v>681</v>
      </c>
      <c r="D1575" s="127">
        <f t="shared" si="41"/>
        <v>245051.82372776029</v>
      </c>
      <c r="E1575" s="126">
        <f t="shared" si="42"/>
        <v>2025</v>
      </c>
      <c r="F1575" s="125">
        <f>_xlfn.XLOOKUP(D698,'3. Input (des)investeringen '!$B$11:$B$89,'3. Input (des)investeringen '!$E$11:$E$89)</f>
        <v>1</v>
      </c>
    </row>
    <row r="1576" spans="1:6" s="120" customFormat="1">
      <c r="A1576" s="3"/>
      <c r="B1576">
        <v>682</v>
      </c>
      <c r="D1576" s="127">
        <f t="shared" si="41"/>
        <v>563724.21267183207</v>
      </c>
      <c r="E1576" s="126">
        <f t="shared" si="42"/>
        <v>2025</v>
      </c>
      <c r="F1576" s="125">
        <f>_xlfn.XLOOKUP(D699,'3. Input (des)investeringen '!$B$11:$B$89,'3. Input (des)investeringen '!$E$11:$E$89)</f>
        <v>1</v>
      </c>
    </row>
    <row r="1577" spans="1:6" s="120" customFormat="1">
      <c r="A1577" s="3"/>
      <c r="B1577">
        <v>683</v>
      </c>
      <c r="D1577" s="127">
        <f t="shared" si="41"/>
        <v>-3639.1548202985305</v>
      </c>
      <c r="E1577" s="126">
        <f t="shared" si="42"/>
        <v>2025</v>
      </c>
      <c r="F1577" s="125">
        <f>_xlfn.XLOOKUP(D700,'3. Input (des)investeringen '!$B$11:$B$89,'3. Input (des)investeringen '!$E$11:$E$89)</f>
        <v>1</v>
      </c>
    </row>
    <row r="1578" spans="1:6" s="120" customFormat="1">
      <c r="A1578" s="3"/>
      <c r="B1578">
        <v>684</v>
      </c>
      <c r="D1578" s="127">
        <f t="shared" si="41"/>
        <v>149864.72025350932</v>
      </c>
      <c r="E1578" s="126">
        <f t="shared" si="42"/>
        <v>2025</v>
      </c>
      <c r="F1578" s="125">
        <f>_xlfn.XLOOKUP(D701,'3. Input (des)investeringen '!$B$11:$B$89,'3. Input (des)investeringen '!$E$11:$E$89)</f>
        <v>0</v>
      </c>
    </row>
    <row r="1579" spans="1:6" s="120" customFormat="1">
      <c r="A1579" s="3"/>
      <c r="B1579">
        <v>685</v>
      </c>
      <c r="D1579" s="127">
        <f t="shared" si="41"/>
        <v>490057.65953137679</v>
      </c>
      <c r="E1579" s="126">
        <f t="shared" si="42"/>
        <v>2025</v>
      </c>
      <c r="F1579" s="125">
        <f>_xlfn.XLOOKUP(D702,'3. Input (des)investeringen '!$B$11:$B$89,'3. Input (des)investeringen '!$E$11:$E$89)</f>
        <v>0</v>
      </c>
    </row>
    <row r="1580" spans="1:6" s="120" customFormat="1">
      <c r="A1580" s="3"/>
      <c r="B1580">
        <v>686</v>
      </c>
      <c r="D1580" s="127">
        <f t="shared" si="41"/>
        <v>952246.99572447862</v>
      </c>
      <c r="E1580" s="126">
        <f t="shared" si="42"/>
        <v>2025</v>
      </c>
      <c r="F1580" s="125">
        <f>_xlfn.XLOOKUP(D703,'3. Input (des)investeringen '!$B$11:$B$89,'3. Input (des)investeringen '!$E$11:$E$89)</f>
        <v>0</v>
      </c>
    </row>
    <row r="1581" spans="1:6" s="120" customFormat="1">
      <c r="A1581" s="3"/>
      <c r="B1581">
        <v>687</v>
      </c>
      <c r="D1581" s="127">
        <f t="shared" si="41"/>
        <v>1570980.258812933</v>
      </c>
      <c r="E1581" s="126">
        <f t="shared" si="42"/>
        <v>2025</v>
      </c>
      <c r="F1581" s="125">
        <f>_xlfn.XLOOKUP(D704,'3. Input (des)investeringen '!$B$11:$B$89,'3. Input (des)investeringen '!$E$11:$E$89)</f>
        <v>0</v>
      </c>
    </row>
    <row r="1582" spans="1:6" s="120" customFormat="1">
      <c r="A1582" s="3"/>
      <c r="B1582">
        <v>688</v>
      </c>
      <c r="D1582" s="127">
        <f t="shared" si="41"/>
        <v>1507055.929413344</v>
      </c>
      <c r="E1582" s="126">
        <f t="shared" si="42"/>
        <v>2025</v>
      </c>
      <c r="F1582" s="125">
        <f>_xlfn.XLOOKUP(D705,'3. Input (des)investeringen '!$B$11:$B$89,'3. Input (des)investeringen '!$E$11:$E$89)</f>
        <v>0</v>
      </c>
    </row>
    <row r="1583" spans="1:6" s="120" customFormat="1">
      <c r="A1583" s="3"/>
      <c r="B1583">
        <v>689</v>
      </c>
      <c r="D1583" s="127">
        <f t="shared" si="41"/>
        <v>808807.61200046749</v>
      </c>
      <c r="E1583" s="126">
        <f t="shared" si="42"/>
        <v>2025</v>
      </c>
      <c r="F1583" s="125">
        <f>_xlfn.XLOOKUP(D706,'3. Input (des)investeringen '!$B$11:$B$89,'3. Input (des)investeringen '!$E$11:$E$89)</f>
        <v>0</v>
      </c>
    </row>
    <row r="1584" spans="1:6" s="120" customFormat="1">
      <c r="A1584" s="3"/>
      <c r="B1584">
        <v>690</v>
      </c>
      <c r="D1584" s="127">
        <f t="shared" si="41"/>
        <v>600809.30228666717</v>
      </c>
      <c r="E1584" s="126">
        <f t="shared" si="42"/>
        <v>2025</v>
      </c>
      <c r="F1584" s="125">
        <f>_xlfn.XLOOKUP(D707,'3. Input (des)investeringen '!$B$11:$B$89,'3. Input (des)investeringen '!$E$11:$E$89)</f>
        <v>0</v>
      </c>
    </row>
    <row r="1585" spans="1:6" s="120" customFormat="1">
      <c r="A1585" s="3"/>
      <c r="B1585">
        <v>691</v>
      </c>
      <c r="D1585" s="127">
        <f t="shared" si="41"/>
        <v>104666.93027507057</v>
      </c>
      <c r="E1585" s="126">
        <f t="shared" si="42"/>
        <v>2025</v>
      </c>
      <c r="F1585" s="125">
        <f>_xlfn.XLOOKUP(D708,'3. Input (des)investeringen '!$B$11:$B$89,'3. Input (des)investeringen '!$E$11:$E$89)</f>
        <v>0</v>
      </c>
    </row>
    <row r="1586" spans="1:6" s="120" customFormat="1">
      <c r="A1586" s="3"/>
      <c r="B1586">
        <v>692</v>
      </c>
      <c r="D1586" s="127">
        <f t="shared" si="41"/>
        <v>304271.98165996512</v>
      </c>
      <c r="E1586" s="126">
        <f t="shared" si="42"/>
        <v>2025</v>
      </c>
      <c r="F1586" s="125">
        <f>_xlfn.XLOOKUP(D709,'3. Input (des)investeringen '!$B$11:$B$89,'3. Input (des)investeringen '!$E$11:$E$89)</f>
        <v>0</v>
      </c>
    </row>
    <row r="1587" spans="1:6" s="120" customFormat="1">
      <c r="A1587" s="3"/>
      <c r="B1587">
        <v>693</v>
      </c>
      <c r="D1587" s="127">
        <f t="shared" si="41"/>
        <v>485491.42386366747</v>
      </c>
      <c r="E1587" s="126">
        <f t="shared" si="42"/>
        <v>2025</v>
      </c>
      <c r="F1587" s="125">
        <f>_xlfn.XLOOKUP(D710,'3. Input (des)investeringen '!$B$11:$B$89,'3. Input (des)investeringen '!$E$11:$E$89)</f>
        <v>0</v>
      </c>
    </row>
    <row r="1588" spans="1:6" s="120" customFormat="1">
      <c r="A1588" s="3"/>
      <c r="B1588">
        <v>694</v>
      </c>
      <c r="D1588" s="127">
        <f t="shared" si="41"/>
        <v>426415.19705961761</v>
      </c>
      <c r="E1588" s="126">
        <f t="shared" si="42"/>
        <v>2025</v>
      </c>
      <c r="F1588" s="125">
        <f>_xlfn.XLOOKUP(D711,'3. Input (des)investeringen '!$B$11:$B$89,'3. Input (des)investeringen '!$E$11:$E$89)</f>
        <v>0</v>
      </c>
    </row>
    <row r="1589" spans="1:6" s="120" customFormat="1">
      <c r="A1589" s="3"/>
      <c r="B1589">
        <v>695</v>
      </c>
      <c r="D1589" s="127">
        <f t="shared" si="41"/>
        <v>355488.84670433047</v>
      </c>
      <c r="E1589" s="126">
        <f t="shared" si="42"/>
        <v>2025</v>
      </c>
      <c r="F1589" s="125">
        <f>_xlfn.XLOOKUP(D712,'3. Input (des)investeringen '!$B$11:$B$89,'3. Input (des)investeringen '!$E$11:$E$89)</f>
        <v>0</v>
      </c>
    </row>
    <row r="1590" spans="1:6" s="120" customFormat="1">
      <c r="A1590" s="3"/>
      <c r="B1590">
        <v>696</v>
      </c>
      <c r="D1590" s="127">
        <f t="shared" si="41"/>
        <v>95176.972292796228</v>
      </c>
      <c r="E1590" s="126">
        <f t="shared" si="42"/>
        <v>2025</v>
      </c>
      <c r="F1590" s="125">
        <f>_xlfn.XLOOKUP(D713,'3. Input (des)investeringen '!$B$11:$B$89,'3. Input (des)investeringen '!$E$11:$E$89)</f>
        <v>0</v>
      </c>
    </row>
    <row r="1591" spans="1:6" s="120" customFormat="1">
      <c r="A1591" s="3"/>
      <c r="B1591">
        <v>697</v>
      </c>
      <c r="D1591" s="127">
        <f t="shared" si="41"/>
        <v>45280.282911303584</v>
      </c>
      <c r="E1591" s="126">
        <f t="shared" si="42"/>
        <v>2025</v>
      </c>
      <c r="F1591" s="125">
        <f>_xlfn.XLOOKUP(D714,'3. Input (des)investeringen '!$B$11:$B$89,'3. Input (des)investeringen '!$E$11:$E$89)</f>
        <v>0</v>
      </c>
    </row>
    <row r="1592" spans="1:6" s="120" customFormat="1">
      <c r="A1592" s="3"/>
      <c r="B1592">
        <v>698</v>
      </c>
      <c r="D1592" s="127">
        <f t="shared" si="41"/>
        <v>116935.316001564</v>
      </c>
      <c r="E1592" s="126">
        <f t="shared" si="42"/>
        <v>2025</v>
      </c>
      <c r="F1592" s="125">
        <f>_xlfn.XLOOKUP(D715,'3. Input (des)investeringen '!$B$11:$B$89,'3. Input (des)investeringen '!$E$11:$E$89)</f>
        <v>0</v>
      </c>
    </row>
    <row r="1593" spans="1:6" s="120" customFormat="1">
      <c r="A1593" s="3"/>
      <c r="B1593">
        <v>699</v>
      </c>
      <c r="D1593" s="127">
        <f t="shared" si="41"/>
        <v>41522.537432125864</v>
      </c>
      <c r="E1593" s="126">
        <f t="shared" si="42"/>
        <v>2025</v>
      </c>
      <c r="F1593" s="125">
        <f>_xlfn.XLOOKUP(D716,'3. Input (des)investeringen '!$B$11:$B$89,'3. Input (des)investeringen '!$E$11:$E$89)</f>
        <v>0</v>
      </c>
    </row>
    <row r="1594" spans="1:6" s="120" customFormat="1">
      <c r="A1594" s="3"/>
      <c r="B1594">
        <v>700</v>
      </c>
      <c r="D1594" s="127">
        <f t="shared" si="41"/>
        <v>46618.721559266225</v>
      </c>
      <c r="E1594" s="126">
        <f t="shared" si="42"/>
        <v>2025</v>
      </c>
      <c r="F1594" s="125">
        <f>_xlfn.XLOOKUP(D717,'3. Input (des)investeringen '!$B$11:$B$89,'3. Input (des)investeringen '!$E$11:$E$89)</f>
        <v>0</v>
      </c>
    </row>
    <row r="1595" spans="1:6" s="120" customFormat="1">
      <c r="A1595" s="3"/>
      <c r="B1595">
        <v>701</v>
      </c>
      <c r="D1595" s="127">
        <f t="shared" si="41"/>
        <v>46637.722352015451</v>
      </c>
      <c r="E1595" s="126">
        <f t="shared" si="42"/>
        <v>2025</v>
      </c>
      <c r="F1595" s="125">
        <f>_xlfn.XLOOKUP(D718,'3. Input (des)investeringen '!$B$11:$B$89,'3. Input (des)investeringen '!$E$11:$E$89)</f>
        <v>0</v>
      </c>
    </row>
    <row r="1596" spans="1:6" s="120" customFormat="1">
      <c r="A1596" s="3"/>
      <c r="B1596">
        <v>702</v>
      </c>
      <c r="D1596" s="127">
        <f t="shared" si="41"/>
        <v>171800.97726240935</v>
      </c>
      <c r="E1596" s="126">
        <f t="shared" si="42"/>
        <v>2025</v>
      </c>
      <c r="F1596" s="125">
        <f>_xlfn.XLOOKUP(D719,'3. Input (des)investeringen '!$B$11:$B$89,'3. Input (des)investeringen '!$E$11:$E$89)</f>
        <v>0</v>
      </c>
    </row>
    <row r="1597" spans="1:6" s="120" customFormat="1">
      <c r="A1597" s="3"/>
      <c r="B1597">
        <v>703</v>
      </c>
      <c r="D1597" s="127">
        <f t="shared" si="41"/>
        <v>104030.94098361701</v>
      </c>
      <c r="E1597" s="126">
        <f t="shared" si="42"/>
        <v>2025</v>
      </c>
      <c r="F1597" s="125">
        <f>_xlfn.XLOOKUP(D720,'3. Input (des)investeringen '!$B$11:$B$89,'3. Input (des)investeringen '!$E$11:$E$89)</f>
        <v>0</v>
      </c>
    </row>
    <row r="1598" spans="1:6" s="120" customFormat="1">
      <c r="A1598" s="3"/>
      <c r="B1598">
        <v>704</v>
      </c>
      <c r="D1598" s="127">
        <f t="shared" si="41"/>
        <v>174082.86925249393</v>
      </c>
      <c r="E1598" s="126">
        <f t="shared" si="42"/>
        <v>2025</v>
      </c>
      <c r="F1598" s="125">
        <f>_xlfn.XLOOKUP(D721,'3. Input (des)investeringen '!$B$11:$B$89,'3. Input (des)investeringen '!$E$11:$E$89)</f>
        <v>0</v>
      </c>
    </row>
    <row r="1599" spans="1:6" s="120" customFormat="1">
      <c r="A1599" s="3"/>
      <c r="B1599">
        <v>705</v>
      </c>
      <c r="D1599" s="127">
        <f t="shared" ref="D1599:D1662" si="43">F722*INDEX($E$810:$CG$890,E722-1945,G722-1945)</f>
        <v>323371.97708165855</v>
      </c>
      <c r="E1599" s="126">
        <f t="shared" ref="E1599:E1662" si="44">G722</f>
        <v>2025</v>
      </c>
      <c r="F1599" s="125">
        <f>_xlfn.XLOOKUP(D722,'3. Input (des)investeringen '!$B$11:$B$89,'3. Input (des)investeringen '!$E$11:$E$89)</f>
        <v>0</v>
      </c>
    </row>
    <row r="1600" spans="1:6" s="120" customFormat="1">
      <c r="A1600" s="3"/>
      <c r="B1600">
        <v>706</v>
      </c>
      <c r="D1600" s="127">
        <f t="shared" si="43"/>
        <v>132347.49274265693</v>
      </c>
      <c r="E1600" s="126">
        <f t="shared" si="44"/>
        <v>2025</v>
      </c>
      <c r="F1600" s="125">
        <f>_xlfn.XLOOKUP(D723,'3. Input (des)investeringen '!$B$11:$B$89,'3. Input (des)investeringen '!$E$11:$E$89)</f>
        <v>0</v>
      </c>
    </row>
    <row r="1601" spans="1:6" s="120" customFormat="1">
      <c r="A1601" s="3"/>
      <c r="B1601">
        <v>707</v>
      </c>
      <c r="D1601" s="127">
        <f t="shared" si="43"/>
        <v>306245.07007070532</v>
      </c>
      <c r="E1601" s="126">
        <f t="shared" si="44"/>
        <v>2025</v>
      </c>
      <c r="F1601" s="125">
        <f>_xlfn.XLOOKUP(D724,'3. Input (des)investeringen '!$B$11:$B$89,'3. Input (des)investeringen '!$E$11:$E$89)</f>
        <v>0</v>
      </c>
    </row>
    <row r="1602" spans="1:6" s="120" customFormat="1">
      <c r="A1602" s="3"/>
      <c r="B1602">
        <v>708</v>
      </c>
      <c r="D1602" s="127">
        <f t="shared" si="43"/>
        <v>45033.928675584182</v>
      </c>
      <c r="E1602" s="126">
        <f t="shared" si="44"/>
        <v>2025</v>
      </c>
      <c r="F1602" s="125">
        <f>_xlfn.XLOOKUP(D725,'3. Input (des)investeringen '!$B$11:$B$89,'3. Input (des)investeringen '!$E$11:$E$89)</f>
        <v>0</v>
      </c>
    </row>
    <row r="1603" spans="1:6" s="120" customFormat="1">
      <c r="A1603" s="3"/>
      <c r="B1603">
        <v>709</v>
      </c>
      <c r="D1603" s="127">
        <f t="shared" si="43"/>
        <v>130540.60759928671</v>
      </c>
      <c r="E1603" s="126">
        <f t="shared" si="44"/>
        <v>2025</v>
      </c>
      <c r="F1603" s="125">
        <f>_xlfn.XLOOKUP(D726,'3. Input (des)investeringen '!$B$11:$B$89,'3. Input (des)investeringen '!$E$11:$E$89)</f>
        <v>0</v>
      </c>
    </row>
    <row r="1604" spans="1:6" s="120" customFormat="1">
      <c r="A1604" s="3"/>
      <c r="B1604">
        <v>710</v>
      </c>
      <c r="D1604" s="127">
        <f t="shared" si="43"/>
        <v>44413.5538274309</v>
      </c>
      <c r="E1604" s="126">
        <f t="shared" si="44"/>
        <v>2025</v>
      </c>
      <c r="F1604" s="125">
        <f>_xlfn.XLOOKUP(D727,'3. Input (des)investeringen '!$B$11:$B$89,'3. Input (des)investeringen '!$E$11:$E$89)</f>
        <v>0</v>
      </c>
    </row>
    <row r="1605" spans="1:6" s="120" customFormat="1">
      <c r="A1605" s="3"/>
      <c r="B1605">
        <v>711</v>
      </c>
      <c r="D1605" s="127">
        <f t="shared" si="43"/>
        <v>43458.317428178263</v>
      </c>
      <c r="E1605" s="126">
        <f t="shared" si="44"/>
        <v>2025</v>
      </c>
      <c r="F1605" s="125">
        <f>_xlfn.XLOOKUP(D728,'3. Input (des)investeringen '!$B$11:$B$89,'3. Input (des)investeringen '!$E$11:$E$89)</f>
        <v>0</v>
      </c>
    </row>
    <row r="1606" spans="1:6" s="120" customFormat="1">
      <c r="A1606" s="3"/>
      <c r="B1606">
        <v>712</v>
      </c>
      <c r="D1606" s="127">
        <f t="shared" si="43"/>
        <v>55255.777442748556</v>
      </c>
      <c r="E1606" s="126">
        <f t="shared" si="44"/>
        <v>2025</v>
      </c>
      <c r="F1606" s="125">
        <f>_xlfn.XLOOKUP(D729,'3. Input (des)investeringen '!$B$11:$B$89,'3. Input (des)investeringen '!$E$11:$E$89)</f>
        <v>0</v>
      </c>
    </row>
    <row r="1607" spans="1:6" s="120" customFormat="1">
      <c r="A1607" s="3"/>
      <c r="B1607">
        <v>713</v>
      </c>
      <c r="D1607" s="127">
        <f t="shared" si="43"/>
        <v>144765.92785624959</v>
      </c>
      <c r="E1607" s="126">
        <f t="shared" si="44"/>
        <v>2025</v>
      </c>
      <c r="F1607" s="125">
        <f>_xlfn.XLOOKUP(D730,'3. Input (des)investeringen '!$B$11:$B$89,'3. Input (des)investeringen '!$E$11:$E$89)</f>
        <v>0</v>
      </c>
    </row>
    <row r="1608" spans="1:6" s="120" customFormat="1">
      <c r="A1608" s="3"/>
      <c r="B1608">
        <v>714</v>
      </c>
      <c r="D1608" s="127">
        <f t="shared" si="43"/>
        <v>85009.520432839505</v>
      </c>
      <c r="E1608" s="126">
        <f t="shared" si="44"/>
        <v>2025</v>
      </c>
      <c r="F1608" s="125">
        <f>_xlfn.XLOOKUP(D731,'3. Input (des)investeringen '!$B$11:$B$89,'3. Input (des)investeringen '!$E$11:$E$89)</f>
        <v>0</v>
      </c>
    </row>
    <row r="1609" spans="1:6" s="120" customFormat="1">
      <c r="A1609" s="3"/>
      <c r="B1609">
        <v>715</v>
      </c>
      <c r="D1609" s="127">
        <f t="shared" si="43"/>
        <v>40632.472209608772</v>
      </c>
      <c r="E1609" s="126">
        <f t="shared" si="44"/>
        <v>2025</v>
      </c>
      <c r="F1609" s="125">
        <f>_xlfn.XLOOKUP(D732,'3. Input (des)investeringen '!$B$11:$B$89,'3. Input (des)investeringen '!$E$11:$E$89)</f>
        <v>0</v>
      </c>
    </row>
    <row r="1610" spans="1:6" s="120" customFormat="1">
      <c r="A1610" s="3"/>
      <c r="B1610">
        <v>716</v>
      </c>
      <c r="D1610" s="127">
        <f t="shared" si="43"/>
        <v>121057.00024251235</v>
      </c>
      <c r="E1610" s="126">
        <f t="shared" si="44"/>
        <v>2025</v>
      </c>
      <c r="F1610" s="125">
        <f>_xlfn.XLOOKUP(D733,'3. Input (des)investeringen '!$B$11:$B$89,'3. Input (des)investeringen '!$E$11:$E$89)</f>
        <v>0</v>
      </c>
    </row>
    <row r="1611" spans="1:6" s="120" customFormat="1">
      <c r="A1611" s="3"/>
      <c r="B1611">
        <v>717</v>
      </c>
      <c r="D1611" s="127">
        <f t="shared" si="43"/>
        <v>45810.710612286435</v>
      </c>
      <c r="E1611" s="126">
        <f t="shared" si="44"/>
        <v>2025</v>
      </c>
      <c r="F1611" s="125">
        <f>_xlfn.XLOOKUP(D734,'3. Input (des)investeringen '!$B$11:$B$89,'3. Input (des)investeringen '!$E$11:$E$89)</f>
        <v>0</v>
      </c>
    </row>
    <row r="1612" spans="1:6" s="120" customFormat="1">
      <c r="A1612" s="3"/>
      <c r="B1612">
        <v>718</v>
      </c>
      <c r="D1612" s="127">
        <f t="shared" si="43"/>
        <v>81692.687907044106</v>
      </c>
      <c r="E1612" s="126">
        <f t="shared" si="44"/>
        <v>2025</v>
      </c>
      <c r="F1612" s="125">
        <f>_xlfn.XLOOKUP(D735,'3. Input (des)investeringen '!$B$11:$B$89,'3. Input (des)investeringen '!$E$11:$E$89)</f>
        <v>0</v>
      </c>
    </row>
    <row r="1613" spans="1:6" s="120" customFormat="1">
      <c r="A1613" s="3"/>
      <c r="B1613">
        <v>719</v>
      </c>
      <c r="D1613" s="127">
        <f t="shared" si="43"/>
        <v>-1565.2815240522466</v>
      </c>
      <c r="E1613" s="126">
        <f t="shared" si="44"/>
        <v>2025</v>
      </c>
      <c r="F1613" s="125">
        <f>_xlfn.XLOOKUP(D736,'3. Input (des)investeringen '!$B$11:$B$89,'3. Input (des)investeringen '!$E$11:$E$89)</f>
        <v>0</v>
      </c>
    </row>
    <row r="1614" spans="1:6" s="120" customFormat="1">
      <c r="A1614" s="3"/>
      <c r="B1614">
        <v>720</v>
      </c>
      <c r="D1614" s="127">
        <f t="shared" si="43"/>
        <v>26679.389824626698</v>
      </c>
      <c r="E1614" s="126">
        <f t="shared" si="44"/>
        <v>2025</v>
      </c>
      <c r="F1614" s="125">
        <f>_xlfn.XLOOKUP(D737,'3. Input (des)investeringen '!$B$11:$B$89,'3. Input (des)investeringen '!$E$11:$E$89)</f>
        <v>0</v>
      </c>
    </row>
    <row r="1615" spans="1:6" s="120" customFormat="1">
      <c r="A1615" s="3"/>
      <c r="B1615">
        <v>721</v>
      </c>
      <c r="D1615" s="127">
        <f t="shared" si="43"/>
        <v>70479.297820641819</v>
      </c>
      <c r="E1615" s="126">
        <f t="shared" si="44"/>
        <v>2025</v>
      </c>
      <c r="F1615" s="125">
        <f>_xlfn.XLOOKUP(D738,'3. Input (des)investeringen '!$B$11:$B$89,'3. Input (des)investeringen '!$E$11:$E$89)</f>
        <v>0</v>
      </c>
    </row>
    <row r="1616" spans="1:6" s="120" customFormat="1">
      <c r="A1616" s="3"/>
      <c r="B1616">
        <v>722</v>
      </c>
      <c r="D1616" s="127">
        <f t="shared" si="43"/>
        <v>0</v>
      </c>
      <c r="E1616" s="126">
        <f t="shared" si="44"/>
        <v>2025</v>
      </c>
      <c r="F1616" s="125">
        <f>_xlfn.XLOOKUP(D739,'3. Input (des)investeringen '!$B$11:$B$89,'3. Input (des)investeringen '!$E$11:$E$89)</f>
        <v>0</v>
      </c>
    </row>
    <row r="1617" spans="1:6" s="120" customFormat="1">
      <c r="A1617" s="3"/>
      <c r="B1617">
        <v>723</v>
      </c>
      <c r="D1617" s="127">
        <f t="shared" si="43"/>
        <v>11035.013466163904</v>
      </c>
      <c r="E1617" s="126">
        <f t="shared" si="44"/>
        <v>2025</v>
      </c>
      <c r="F1617" s="125">
        <f>_xlfn.XLOOKUP(D740,'3. Input (des)investeringen '!$B$11:$B$89,'3. Input (des)investeringen '!$E$11:$E$89)</f>
        <v>0</v>
      </c>
    </row>
    <row r="1618" spans="1:6" s="120" customFormat="1">
      <c r="A1618" s="3"/>
      <c r="B1618">
        <v>724</v>
      </c>
      <c r="D1618" s="127">
        <f t="shared" si="43"/>
        <v>113965.06948619294</v>
      </c>
      <c r="E1618" s="126">
        <f t="shared" si="44"/>
        <v>2025</v>
      </c>
      <c r="F1618" s="125">
        <f>_xlfn.XLOOKUP(D741,'3. Input (des)investeringen '!$B$11:$B$89,'3. Input (des)investeringen '!$E$11:$E$89)</f>
        <v>0</v>
      </c>
    </row>
    <row r="1619" spans="1:6" s="120" customFormat="1">
      <c r="A1619" s="3"/>
      <c r="B1619">
        <v>725</v>
      </c>
      <c r="D1619" s="127">
        <f t="shared" si="43"/>
        <v>0</v>
      </c>
      <c r="E1619" s="126">
        <f t="shared" si="44"/>
        <v>2025</v>
      </c>
      <c r="F1619" s="125">
        <f>_xlfn.XLOOKUP(D742,'3. Input (des)investeringen '!$B$11:$B$89,'3. Input (des)investeringen '!$E$11:$E$89)</f>
        <v>0</v>
      </c>
    </row>
    <row r="1620" spans="1:6" s="120" customFormat="1">
      <c r="A1620" s="3"/>
      <c r="B1620">
        <v>726</v>
      </c>
      <c r="D1620" s="127">
        <f t="shared" si="43"/>
        <v>48556.986504079665</v>
      </c>
      <c r="E1620" s="126">
        <f t="shared" si="44"/>
        <v>2025</v>
      </c>
      <c r="F1620" s="125">
        <f>_xlfn.XLOOKUP(D743,'3. Input (des)investeringen '!$B$11:$B$89,'3. Input (des)investeringen '!$E$11:$E$89)</f>
        <v>0</v>
      </c>
    </row>
    <row r="1621" spans="1:6" s="120" customFormat="1">
      <c r="A1621" s="3"/>
      <c r="B1621">
        <v>727</v>
      </c>
      <c r="D1621" s="127">
        <f t="shared" si="43"/>
        <v>75286.356834354607</v>
      </c>
      <c r="E1621" s="126">
        <f t="shared" si="44"/>
        <v>2025</v>
      </c>
      <c r="F1621" s="125">
        <f>_xlfn.XLOOKUP(D744,'3. Input (des)investeringen '!$B$11:$B$89,'3. Input (des)investeringen '!$E$11:$E$89)</f>
        <v>0</v>
      </c>
    </row>
    <row r="1622" spans="1:6" s="120" customFormat="1">
      <c r="A1622" s="3"/>
      <c r="B1622">
        <v>728</v>
      </c>
      <c r="D1622" s="127">
        <f t="shared" si="43"/>
        <v>7405.6550167475652</v>
      </c>
      <c r="E1622" s="126">
        <f t="shared" si="44"/>
        <v>2025</v>
      </c>
      <c r="F1622" s="125">
        <f>_xlfn.XLOOKUP(D745,'3. Input (des)investeringen '!$B$11:$B$89,'3. Input (des)investeringen '!$E$11:$E$89)</f>
        <v>0</v>
      </c>
    </row>
    <row r="1623" spans="1:6" s="120" customFormat="1">
      <c r="A1623" s="3"/>
      <c r="B1623">
        <v>729</v>
      </c>
      <c r="D1623" s="127">
        <f t="shared" si="43"/>
        <v>121165.56375917945</v>
      </c>
      <c r="E1623" s="126">
        <f t="shared" si="44"/>
        <v>2025</v>
      </c>
      <c r="F1623" s="125">
        <f>_xlfn.XLOOKUP(D746,'3. Input (des)investeringen '!$B$11:$B$89,'3. Input (des)investeringen '!$E$11:$E$89)</f>
        <v>0</v>
      </c>
    </row>
    <row r="1624" spans="1:6" s="120" customFormat="1">
      <c r="A1624" s="3"/>
      <c r="B1624">
        <v>730</v>
      </c>
      <c r="D1624" s="127">
        <f t="shared" si="43"/>
        <v>2211.2147513958721</v>
      </c>
      <c r="E1624" s="126">
        <f t="shared" si="44"/>
        <v>2025</v>
      </c>
      <c r="F1624" s="125">
        <f>_xlfn.XLOOKUP(D747,'3. Input (des)investeringen '!$B$11:$B$89,'3. Input (des)investeringen '!$E$11:$E$89)</f>
        <v>0</v>
      </c>
    </row>
    <row r="1625" spans="1:6" s="120" customFormat="1">
      <c r="A1625" s="3"/>
      <c r="B1625">
        <v>731</v>
      </c>
      <c r="D1625" s="127">
        <f t="shared" si="43"/>
        <v>45859.290076719881</v>
      </c>
      <c r="E1625" s="126">
        <f t="shared" si="44"/>
        <v>2025</v>
      </c>
      <c r="F1625" s="125">
        <f>_xlfn.XLOOKUP(D748,'3. Input (des)investeringen '!$B$11:$B$89,'3. Input (des)investeringen '!$E$11:$E$89)</f>
        <v>0</v>
      </c>
    </row>
    <row r="1626" spans="1:6" s="120" customFormat="1">
      <c r="A1626" s="3"/>
      <c r="B1626">
        <v>732</v>
      </c>
      <c r="D1626" s="127">
        <f t="shared" si="43"/>
        <v>119756.22147134213</v>
      </c>
      <c r="E1626" s="126">
        <f t="shared" si="44"/>
        <v>2025</v>
      </c>
      <c r="F1626" s="125">
        <f>_xlfn.XLOOKUP(D749,'3. Input (des)investeringen '!$B$11:$B$89,'3. Input (des)investeringen '!$E$11:$E$89)</f>
        <v>1</v>
      </c>
    </row>
    <row r="1627" spans="1:6" s="120" customFormat="1">
      <c r="A1627" s="3"/>
      <c r="B1627">
        <v>733</v>
      </c>
      <c r="D1627" s="127">
        <f t="shared" si="43"/>
        <v>392247.87307801074</v>
      </c>
      <c r="E1627" s="126">
        <f t="shared" si="44"/>
        <v>2025</v>
      </c>
      <c r="F1627" s="125">
        <f>_xlfn.XLOOKUP(D750,'3. Input (des)investeringen '!$B$11:$B$89,'3. Input (des)investeringen '!$E$11:$E$89)</f>
        <v>1</v>
      </c>
    </row>
    <row r="1628" spans="1:6" s="120" customFormat="1">
      <c r="A1628" s="3"/>
      <c r="B1628">
        <v>734</v>
      </c>
      <c r="D1628" s="127">
        <f t="shared" si="43"/>
        <v>21312.184409282545</v>
      </c>
      <c r="E1628" s="126">
        <f t="shared" si="44"/>
        <v>2025</v>
      </c>
      <c r="F1628" s="125">
        <f>_xlfn.XLOOKUP(D751,'3. Input (des)investeringen '!$B$11:$B$89,'3. Input (des)investeringen '!$E$11:$E$89)</f>
        <v>1</v>
      </c>
    </row>
    <row r="1629" spans="1:6" s="120" customFormat="1">
      <c r="A1629" s="3"/>
      <c r="B1629">
        <v>735</v>
      </c>
      <c r="D1629" s="127">
        <f t="shared" si="43"/>
        <v>751131.90558479563</v>
      </c>
      <c r="E1629" s="126">
        <f t="shared" si="44"/>
        <v>2025</v>
      </c>
      <c r="F1629" s="125">
        <f>_xlfn.XLOOKUP(D752,'3. Input (des)investeringen '!$B$11:$B$89,'3. Input (des)investeringen '!$E$11:$E$89)</f>
        <v>1</v>
      </c>
    </row>
    <row r="1630" spans="1:6" s="120" customFormat="1">
      <c r="A1630" s="3"/>
      <c r="B1630">
        <v>736</v>
      </c>
      <c r="D1630" s="127">
        <f t="shared" si="43"/>
        <v>1448301.2460016331</v>
      </c>
      <c r="E1630" s="126">
        <f t="shared" si="44"/>
        <v>2025</v>
      </c>
      <c r="F1630" s="125">
        <f>_xlfn.XLOOKUP(D753,'3. Input (des)investeringen '!$B$11:$B$89,'3. Input (des)investeringen '!$E$11:$E$89)</f>
        <v>1</v>
      </c>
    </row>
    <row r="1631" spans="1:6" s="120" customFormat="1">
      <c r="A1631" s="3"/>
      <c r="B1631">
        <v>737</v>
      </c>
      <c r="D1631" s="127">
        <f t="shared" si="43"/>
        <v>283034.14794310386</v>
      </c>
      <c r="E1631" s="126">
        <f t="shared" si="44"/>
        <v>2025</v>
      </c>
      <c r="F1631" s="125">
        <f>_xlfn.XLOOKUP(D754,'3. Input (des)investeringen '!$B$11:$B$89,'3. Input (des)investeringen '!$E$11:$E$89)</f>
        <v>1</v>
      </c>
    </row>
    <row r="1632" spans="1:6" s="120" customFormat="1">
      <c r="A1632" s="3"/>
      <c r="B1632">
        <v>738</v>
      </c>
      <c r="D1632" s="127">
        <f t="shared" si="43"/>
        <v>1747558.4142420378</v>
      </c>
      <c r="E1632" s="126">
        <f t="shared" si="44"/>
        <v>2025</v>
      </c>
      <c r="F1632" s="125">
        <f>_xlfn.XLOOKUP(D755,'3. Input (des)investeringen '!$B$11:$B$89,'3. Input (des)investeringen '!$E$11:$E$89)</f>
        <v>0</v>
      </c>
    </row>
    <row r="1633" spans="1:6" s="120" customFormat="1">
      <c r="A1633" s="3"/>
      <c r="B1633">
        <v>739</v>
      </c>
      <c r="D1633" s="127">
        <f t="shared" si="43"/>
        <v>18812067.698736418</v>
      </c>
      <c r="E1633" s="126">
        <f t="shared" si="44"/>
        <v>2025</v>
      </c>
      <c r="F1633" s="125">
        <f>_xlfn.XLOOKUP(D756,'3. Input (des)investeringen '!$B$11:$B$89,'3. Input (des)investeringen '!$E$11:$E$89)</f>
        <v>0</v>
      </c>
    </row>
    <row r="1634" spans="1:6" s="120" customFormat="1">
      <c r="A1634" s="3"/>
      <c r="B1634">
        <v>740</v>
      </c>
      <c r="D1634" s="127">
        <f t="shared" si="43"/>
        <v>37775.035635905042</v>
      </c>
      <c r="E1634" s="126">
        <f t="shared" si="44"/>
        <v>2025</v>
      </c>
      <c r="F1634" s="125">
        <f>_xlfn.XLOOKUP(D757,'3. Input (des)investeringen '!$B$11:$B$89,'3. Input (des)investeringen '!$E$11:$E$89)</f>
        <v>0</v>
      </c>
    </row>
    <row r="1635" spans="1:6" s="120" customFormat="1">
      <c r="A1635" s="3"/>
      <c r="B1635">
        <v>741</v>
      </c>
      <c r="D1635" s="127">
        <f t="shared" si="43"/>
        <v>0</v>
      </c>
      <c r="E1635" s="126">
        <f t="shared" si="44"/>
        <v>2025</v>
      </c>
      <c r="F1635" s="125">
        <f>_xlfn.XLOOKUP(D758,'3. Input (des)investeringen '!$B$11:$B$89,'3. Input (des)investeringen '!$E$11:$E$89)</f>
        <v>0</v>
      </c>
    </row>
    <row r="1636" spans="1:6" s="120" customFormat="1">
      <c r="A1636" s="3"/>
      <c r="B1636">
        <v>742</v>
      </c>
      <c r="D1636" s="127">
        <f t="shared" si="43"/>
        <v>137215.71264563347</v>
      </c>
      <c r="E1636" s="126">
        <f t="shared" si="44"/>
        <v>2025</v>
      </c>
      <c r="F1636" s="125">
        <f>_xlfn.XLOOKUP(D759,'3. Input (des)investeringen '!$B$11:$B$89,'3. Input (des)investeringen '!$E$11:$E$89)</f>
        <v>0</v>
      </c>
    </row>
    <row r="1637" spans="1:6" s="120" customFormat="1">
      <c r="A1637" s="3"/>
      <c r="B1637">
        <v>743</v>
      </c>
      <c r="D1637" s="127">
        <f t="shared" si="43"/>
        <v>1016071.7081169444</v>
      </c>
      <c r="E1637" s="126">
        <f t="shared" si="44"/>
        <v>2025</v>
      </c>
      <c r="F1637" s="125">
        <f>_xlfn.XLOOKUP(D760,'3. Input (des)investeringen '!$B$11:$B$89,'3. Input (des)investeringen '!$E$11:$E$89)</f>
        <v>0</v>
      </c>
    </row>
    <row r="1638" spans="1:6" s="120" customFormat="1">
      <c r="A1638" s="3"/>
      <c r="B1638">
        <v>744</v>
      </c>
      <c r="D1638" s="127">
        <f t="shared" si="43"/>
        <v>1285.3145391478797</v>
      </c>
      <c r="E1638" s="126">
        <f t="shared" si="44"/>
        <v>2025</v>
      </c>
      <c r="F1638" s="125">
        <f>_xlfn.XLOOKUP(D761,'3. Input (des)investeringen '!$B$11:$B$89,'3. Input (des)investeringen '!$E$11:$E$89)</f>
        <v>0</v>
      </c>
    </row>
    <row r="1639" spans="1:6" s="120" customFormat="1">
      <c r="A1639" s="3"/>
      <c r="B1639">
        <v>745</v>
      </c>
      <c r="D1639" s="127">
        <f t="shared" si="43"/>
        <v>551380.01983804617</v>
      </c>
      <c r="E1639" s="126">
        <f t="shared" si="44"/>
        <v>2025</v>
      </c>
      <c r="F1639" s="125">
        <f>_xlfn.XLOOKUP(D762,'3. Input (des)investeringen '!$B$11:$B$89,'3. Input (des)investeringen '!$E$11:$E$89)</f>
        <v>0</v>
      </c>
    </row>
    <row r="1640" spans="1:6" s="120" customFormat="1">
      <c r="A1640" s="3"/>
      <c r="B1640">
        <v>746</v>
      </c>
      <c r="D1640" s="127">
        <f t="shared" si="43"/>
        <v>1568751.9957950138</v>
      </c>
      <c r="E1640" s="126">
        <f t="shared" si="44"/>
        <v>2025</v>
      </c>
      <c r="F1640" s="125">
        <f>_xlfn.XLOOKUP(D763,'3. Input (des)investeringen '!$B$11:$B$89,'3. Input (des)investeringen '!$E$11:$E$89)</f>
        <v>0</v>
      </c>
    </row>
    <row r="1641" spans="1:6" s="120" customFormat="1">
      <c r="A1641" s="3"/>
      <c r="B1641">
        <v>747</v>
      </c>
      <c r="D1641" s="127">
        <f t="shared" si="43"/>
        <v>153674.39865564601</v>
      </c>
      <c r="E1641" s="126">
        <f t="shared" si="44"/>
        <v>2025</v>
      </c>
      <c r="F1641" s="125">
        <f>_xlfn.XLOOKUP(D764,'3. Input (des)investeringen '!$B$11:$B$89,'3. Input (des)investeringen '!$E$11:$E$89)</f>
        <v>0</v>
      </c>
    </row>
    <row r="1642" spans="1:6" s="120" customFormat="1">
      <c r="A1642" s="3"/>
      <c r="B1642">
        <v>748</v>
      </c>
      <c r="D1642" s="127">
        <f t="shared" si="43"/>
        <v>120671.41948586627</v>
      </c>
      <c r="E1642" s="126">
        <f t="shared" si="44"/>
        <v>2025</v>
      </c>
      <c r="F1642" s="125">
        <f>_xlfn.XLOOKUP(D765,'3. Input (des)investeringen '!$B$11:$B$89,'3. Input (des)investeringen '!$E$11:$E$89)</f>
        <v>0</v>
      </c>
    </row>
    <row r="1643" spans="1:6" s="120" customFormat="1">
      <c r="A1643" s="3"/>
      <c r="B1643">
        <v>749</v>
      </c>
      <c r="D1643" s="127">
        <f t="shared" si="43"/>
        <v>645405.49169296678</v>
      </c>
      <c r="E1643" s="126">
        <f t="shared" si="44"/>
        <v>2025</v>
      </c>
      <c r="F1643" s="125">
        <f>_xlfn.XLOOKUP(D766,'3. Input (des)investeringen '!$B$11:$B$89,'3. Input (des)investeringen '!$E$11:$E$89)</f>
        <v>1</v>
      </c>
    </row>
    <row r="1644" spans="1:6" s="120" customFormat="1">
      <c r="A1644" s="3"/>
      <c r="B1644">
        <v>750</v>
      </c>
      <c r="D1644" s="127">
        <f t="shared" si="43"/>
        <v>727066.48274273693</v>
      </c>
      <c r="E1644" s="126">
        <f t="shared" si="44"/>
        <v>2025</v>
      </c>
      <c r="F1644" s="125">
        <f>_xlfn.XLOOKUP(D767,'3. Input (des)investeringen '!$B$11:$B$89,'3. Input (des)investeringen '!$E$11:$E$89)</f>
        <v>1</v>
      </c>
    </row>
    <row r="1645" spans="1:6" s="120" customFormat="1">
      <c r="A1645" s="3"/>
      <c r="B1645">
        <v>751</v>
      </c>
      <c r="D1645" s="127">
        <f t="shared" si="43"/>
        <v>52237.03309386687</v>
      </c>
      <c r="E1645" s="126">
        <f t="shared" si="44"/>
        <v>2025</v>
      </c>
      <c r="F1645" s="125">
        <f>_xlfn.XLOOKUP(D768,'3. Input (des)investeringen '!$B$11:$B$89,'3. Input (des)investeringen '!$E$11:$E$89)</f>
        <v>1</v>
      </c>
    </row>
    <row r="1646" spans="1:6" s="120" customFormat="1">
      <c r="A1646" s="3"/>
      <c r="B1646">
        <v>752</v>
      </c>
      <c r="D1646" s="127">
        <f t="shared" si="43"/>
        <v>422759.25296629441</v>
      </c>
      <c r="E1646" s="126">
        <f t="shared" si="44"/>
        <v>2025</v>
      </c>
      <c r="F1646" s="125">
        <f>_xlfn.XLOOKUP(D769,'3. Input (des)investeringen '!$B$11:$B$89,'3. Input (des)investeringen '!$E$11:$E$89)</f>
        <v>1</v>
      </c>
    </row>
    <row r="1647" spans="1:6" s="120" customFormat="1">
      <c r="A1647" s="3"/>
      <c r="B1647">
        <v>753</v>
      </c>
      <c r="D1647" s="127">
        <f t="shared" si="43"/>
        <v>16086.969405026726</v>
      </c>
      <c r="E1647" s="126">
        <f t="shared" si="44"/>
        <v>2025</v>
      </c>
      <c r="F1647" s="125">
        <f>_xlfn.XLOOKUP(D770,'3. Input (des)investeringen '!$B$11:$B$89,'3. Input (des)investeringen '!$E$11:$E$89)</f>
        <v>1</v>
      </c>
    </row>
    <row r="1648" spans="1:6" s="120" customFormat="1">
      <c r="A1648" s="3"/>
      <c r="B1648">
        <v>754</v>
      </c>
      <c r="D1648" s="127">
        <f t="shared" si="43"/>
        <v>910145.37481254141</v>
      </c>
      <c r="E1648" s="126">
        <f t="shared" si="44"/>
        <v>2025</v>
      </c>
      <c r="F1648" s="125">
        <f>_xlfn.XLOOKUP(D771,'3. Input (des)investeringen '!$B$11:$B$89,'3. Input (des)investeringen '!$E$11:$E$89)</f>
        <v>1</v>
      </c>
    </row>
    <row r="1649" spans="1:6" s="120" customFormat="1">
      <c r="A1649" s="3"/>
      <c r="B1649">
        <v>755</v>
      </c>
      <c r="D1649" s="127">
        <f t="shared" si="43"/>
        <v>737791.7357776037</v>
      </c>
      <c r="E1649" s="126">
        <f t="shared" si="44"/>
        <v>2025</v>
      </c>
      <c r="F1649" s="125">
        <f>_xlfn.XLOOKUP(D772,'3. Input (des)investeringen '!$B$11:$B$89,'3. Input (des)investeringen '!$E$11:$E$89)</f>
        <v>1</v>
      </c>
    </row>
    <row r="1650" spans="1:6" s="120" customFormat="1">
      <c r="A1650" s="3"/>
      <c r="B1650">
        <v>756</v>
      </c>
      <c r="D1650" s="127">
        <f t="shared" si="43"/>
        <v>77552.734912983971</v>
      </c>
      <c r="E1650" s="126">
        <f t="shared" si="44"/>
        <v>2025</v>
      </c>
      <c r="F1650" s="125">
        <f>_xlfn.XLOOKUP(D773,'3. Input (des)investeringen '!$B$11:$B$89,'3. Input (des)investeringen '!$E$11:$E$89)</f>
        <v>1</v>
      </c>
    </row>
    <row r="1651" spans="1:6" s="120" customFormat="1">
      <c r="A1651" s="3"/>
      <c r="B1651">
        <v>757</v>
      </c>
      <c r="D1651" s="127">
        <f t="shared" si="43"/>
        <v>291173.86060832546</v>
      </c>
      <c r="E1651" s="126">
        <f t="shared" si="44"/>
        <v>2025</v>
      </c>
      <c r="F1651" s="125">
        <f>_xlfn.XLOOKUP(D774,'3. Input (des)investeringen '!$B$11:$B$89,'3. Input (des)investeringen '!$E$11:$E$89)</f>
        <v>1</v>
      </c>
    </row>
    <row r="1652" spans="1:6" s="120" customFormat="1">
      <c r="A1652" s="3"/>
      <c r="B1652">
        <v>758</v>
      </c>
      <c r="D1652" s="127">
        <f t="shared" si="43"/>
        <v>285662.20808746852</v>
      </c>
      <c r="E1652" s="126">
        <f t="shared" si="44"/>
        <v>2025</v>
      </c>
      <c r="F1652" s="125">
        <f>_xlfn.XLOOKUP(D775,'3. Input (des)investeringen '!$B$11:$B$89,'3. Input (des)investeringen '!$E$11:$E$89)</f>
        <v>1</v>
      </c>
    </row>
    <row r="1653" spans="1:6" s="120" customFormat="1">
      <c r="A1653" s="3"/>
      <c r="B1653">
        <v>759</v>
      </c>
      <c r="D1653" s="127">
        <f t="shared" si="43"/>
        <v>701807.62956765539</v>
      </c>
      <c r="E1653" s="126">
        <f t="shared" si="44"/>
        <v>2025</v>
      </c>
      <c r="F1653" s="125">
        <f>_xlfn.XLOOKUP(D776,'3. Input (des)investeringen '!$B$11:$B$89,'3. Input (des)investeringen '!$E$11:$E$89)</f>
        <v>1</v>
      </c>
    </row>
    <row r="1654" spans="1:6" s="120" customFormat="1">
      <c r="A1654" s="3"/>
      <c r="B1654">
        <v>760</v>
      </c>
      <c r="D1654" s="127">
        <f t="shared" si="43"/>
        <v>637462.56989208166</v>
      </c>
      <c r="E1654" s="126">
        <f t="shared" si="44"/>
        <v>2025</v>
      </c>
      <c r="F1654" s="125">
        <f>_xlfn.XLOOKUP(D777,'3. Input (des)investeringen '!$B$11:$B$89,'3. Input (des)investeringen '!$E$11:$E$89)</f>
        <v>1</v>
      </c>
    </row>
    <row r="1655" spans="1:6" s="120" customFormat="1">
      <c r="A1655" s="3"/>
      <c r="B1655">
        <v>761</v>
      </c>
      <c r="D1655" s="127">
        <f t="shared" si="43"/>
        <v>64826.49427190132</v>
      </c>
      <c r="E1655" s="126">
        <f t="shared" si="44"/>
        <v>2025</v>
      </c>
      <c r="F1655" s="125">
        <f>_xlfn.XLOOKUP(D778,'3. Input (des)investeringen '!$B$11:$B$89,'3. Input (des)investeringen '!$E$11:$E$89)</f>
        <v>1</v>
      </c>
    </row>
    <row r="1656" spans="1:6" s="120" customFormat="1">
      <c r="A1656" s="3"/>
      <c r="B1656">
        <v>762</v>
      </c>
      <c r="D1656" s="127">
        <f t="shared" si="43"/>
        <v>17870.535099253397</v>
      </c>
      <c r="E1656" s="126">
        <f t="shared" si="44"/>
        <v>2025</v>
      </c>
      <c r="F1656" s="125">
        <f>_xlfn.XLOOKUP(D779,'3. Input (des)investeringen '!$B$11:$B$89,'3. Input (des)investeringen '!$E$11:$E$89)</f>
        <v>1</v>
      </c>
    </row>
    <row r="1657" spans="1:6" s="120" customFormat="1">
      <c r="A1657" s="3"/>
      <c r="B1657">
        <v>763</v>
      </c>
      <c r="D1657" s="127">
        <f t="shared" si="43"/>
        <v>20248.158062122053</v>
      </c>
      <c r="E1657" s="126">
        <f t="shared" si="44"/>
        <v>2025</v>
      </c>
      <c r="F1657" s="125">
        <f>_xlfn.XLOOKUP(D780,'3. Input (des)investeringen '!$B$11:$B$89,'3. Input (des)investeringen '!$E$11:$E$89)</f>
        <v>1</v>
      </c>
    </row>
    <row r="1658" spans="1:6" s="120" customFormat="1">
      <c r="A1658" s="3"/>
      <c r="B1658">
        <v>764</v>
      </c>
      <c r="D1658" s="127">
        <f t="shared" si="43"/>
        <v>135934.25306321291</v>
      </c>
      <c r="E1658" s="126">
        <f t="shared" si="44"/>
        <v>2025</v>
      </c>
      <c r="F1658" s="125">
        <f>_xlfn.XLOOKUP(D781,'3. Input (des)investeringen '!$B$11:$B$89,'3. Input (des)investeringen '!$E$11:$E$89)</f>
        <v>1</v>
      </c>
    </row>
    <row r="1659" spans="1:6" s="120" customFormat="1">
      <c r="A1659" s="3"/>
      <c r="B1659">
        <v>765</v>
      </c>
      <c r="D1659" s="127">
        <f t="shared" si="43"/>
        <v>7731.8383663222921</v>
      </c>
      <c r="E1659" s="126">
        <f t="shared" si="44"/>
        <v>2025</v>
      </c>
      <c r="F1659" s="125">
        <f>_xlfn.XLOOKUP(D782,'3. Input (des)investeringen '!$B$11:$B$89,'3. Input (des)investeringen '!$E$11:$E$89)</f>
        <v>1</v>
      </c>
    </row>
    <row r="1660" spans="1:6" s="120" customFormat="1">
      <c r="A1660" s="3"/>
      <c r="B1660">
        <v>766</v>
      </c>
      <c r="D1660" s="127">
        <f t="shared" si="43"/>
        <v>135018.26850044346</v>
      </c>
      <c r="E1660" s="126">
        <f t="shared" si="44"/>
        <v>2025</v>
      </c>
      <c r="F1660" s="125">
        <f>_xlfn.XLOOKUP(D783,'3. Input (des)investeringen '!$B$11:$B$89,'3. Input (des)investeringen '!$E$11:$E$89)</f>
        <v>1</v>
      </c>
    </row>
    <row r="1661" spans="1:6" s="120" customFormat="1">
      <c r="A1661" s="3"/>
      <c r="B1661">
        <v>767</v>
      </c>
      <c r="D1661" s="127">
        <f t="shared" si="43"/>
        <v>69105.245761944927</v>
      </c>
      <c r="E1661" s="126">
        <f t="shared" si="44"/>
        <v>2025</v>
      </c>
      <c r="F1661" s="125">
        <f>_xlfn.XLOOKUP(D784,'3. Input (des)investeringen '!$B$11:$B$89,'3. Input (des)investeringen '!$E$11:$E$89)</f>
        <v>1</v>
      </c>
    </row>
    <row r="1662" spans="1:6" s="120" customFormat="1">
      <c r="A1662" s="3"/>
      <c r="B1662">
        <v>768</v>
      </c>
      <c r="D1662" s="127">
        <f t="shared" si="43"/>
        <v>54.925646905958402</v>
      </c>
      <c r="E1662" s="126">
        <f t="shared" si="44"/>
        <v>2025</v>
      </c>
      <c r="F1662" s="125">
        <f>_xlfn.XLOOKUP(D785,'3. Input (des)investeringen '!$B$11:$B$89,'3. Input (des)investeringen '!$E$11:$E$89)</f>
        <v>1</v>
      </c>
    </row>
    <row r="1663" spans="1:6" s="120" customFormat="1">
      <c r="A1663" s="3"/>
      <c r="B1663">
        <v>769</v>
      </c>
      <c r="D1663" s="127">
        <f t="shared" ref="D1663:D1672" si="45">F786*INDEX($E$810:$CG$890,E786-1945,G786-1945)</f>
        <v>256393.15764716163</v>
      </c>
      <c r="E1663" s="126">
        <f t="shared" ref="E1663:E1672" si="46">G786</f>
        <v>2025</v>
      </c>
      <c r="F1663" s="125">
        <f>_xlfn.XLOOKUP(D786,'3. Input (des)investeringen '!$B$11:$B$89,'3. Input (des)investeringen '!$E$11:$E$89)</f>
        <v>1</v>
      </c>
    </row>
    <row r="1664" spans="1:6" s="120" customFormat="1">
      <c r="A1664" s="3"/>
      <c r="B1664">
        <v>770</v>
      </c>
      <c r="D1664" s="127">
        <f t="shared" si="45"/>
        <v>14240.098493911408</v>
      </c>
      <c r="E1664" s="126">
        <f t="shared" si="46"/>
        <v>2025</v>
      </c>
      <c r="F1664" s="125">
        <f>_xlfn.XLOOKUP(D787,'3. Input (des)investeringen '!$B$11:$B$89,'3. Input (des)investeringen '!$E$11:$E$89)</f>
        <v>1</v>
      </c>
    </row>
    <row r="1665" spans="1:6" s="120" customFormat="1">
      <c r="A1665" s="3"/>
      <c r="B1665">
        <v>771</v>
      </c>
      <c r="D1665" s="127">
        <f t="shared" si="45"/>
        <v>42734.715198794474</v>
      </c>
      <c r="E1665" s="126">
        <f t="shared" si="46"/>
        <v>2025</v>
      </c>
      <c r="F1665" s="125">
        <f>_xlfn.XLOOKUP(D788,'3. Input (des)investeringen '!$B$11:$B$89,'3. Input (des)investeringen '!$E$11:$E$89)</f>
        <v>1</v>
      </c>
    </row>
    <row r="1666" spans="1:6" s="120" customFormat="1">
      <c r="A1666" s="3"/>
      <c r="B1666">
        <v>772</v>
      </c>
      <c r="D1666" s="127">
        <f t="shared" si="45"/>
        <v>2779112.1084981426</v>
      </c>
      <c r="E1666" s="126">
        <f t="shared" si="46"/>
        <v>2025</v>
      </c>
      <c r="F1666" s="125">
        <f>_xlfn.XLOOKUP(D789,'3. Input (des)investeringen '!$B$11:$B$89,'3. Input (des)investeringen '!$E$11:$E$89)</f>
        <v>1</v>
      </c>
    </row>
    <row r="1667" spans="1:6" s="120" customFormat="1">
      <c r="A1667" s="3"/>
      <c r="B1667">
        <v>773</v>
      </c>
      <c r="D1667" s="127">
        <f t="shared" si="45"/>
        <v>255518.42218227472</v>
      </c>
      <c r="E1667" s="126">
        <f t="shared" si="46"/>
        <v>2025</v>
      </c>
      <c r="F1667" s="125">
        <f>_xlfn.XLOOKUP(D790,'3. Input (des)investeringen '!$B$11:$B$89,'3. Input (des)investeringen '!$E$11:$E$89)</f>
        <v>1</v>
      </c>
    </row>
    <row r="1668" spans="1:6" s="120" customFormat="1">
      <c r="A1668" s="3"/>
      <c r="B1668">
        <v>774</v>
      </c>
      <c r="D1668" s="127">
        <f t="shared" si="45"/>
        <v>81198.098158839406</v>
      </c>
      <c r="E1668" s="126">
        <f t="shared" si="46"/>
        <v>2025</v>
      </c>
      <c r="F1668" s="125">
        <f>_xlfn.XLOOKUP(D791,'3. Input (des)investeringen '!$B$11:$B$89,'3. Input (des)investeringen '!$E$11:$E$89)</f>
        <v>1</v>
      </c>
    </row>
    <row r="1669" spans="1:6" s="120" customFormat="1">
      <c r="A1669" s="3"/>
      <c r="B1669">
        <v>775</v>
      </c>
      <c r="D1669" s="127">
        <f t="shared" si="45"/>
        <v>79628.656641938651</v>
      </c>
      <c r="E1669" s="126">
        <f t="shared" si="46"/>
        <v>2025</v>
      </c>
      <c r="F1669" s="125">
        <f>_xlfn.XLOOKUP(D792,'3. Input (des)investeringen '!$B$11:$B$89,'3. Input (des)investeringen '!$E$11:$E$89)</f>
        <v>1</v>
      </c>
    </row>
    <row r="1670" spans="1:6" s="120" customFormat="1">
      <c r="A1670" s="3"/>
      <c r="B1670">
        <v>776</v>
      </c>
      <c r="D1670" s="127">
        <f t="shared" si="45"/>
        <v>268908.23275657441</v>
      </c>
      <c r="E1670" s="126">
        <f t="shared" si="46"/>
        <v>2025</v>
      </c>
      <c r="F1670" s="125">
        <f>_xlfn.XLOOKUP(D793,'3. Input (des)investeringen '!$B$11:$B$89,'3. Input (des)investeringen '!$E$11:$E$89)</f>
        <v>1</v>
      </c>
    </row>
    <row r="1671" spans="1:6" s="120" customFormat="1">
      <c r="A1671" s="3"/>
      <c r="B1671">
        <v>777</v>
      </c>
      <c r="D1671" s="127">
        <f t="shared" si="45"/>
        <v>21206.179819594759</v>
      </c>
      <c r="E1671" s="126">
        <f t="shared" si="46"/>
        <v>2025</v>
      </c>
      <c r="F1671" s="125">
        <f>_xlfn.XLOOKUP(D794,'3. Input (des)investeringen '!$B$11:$B$89,'3. Input (des)investeringen '!$E$11:$E$89)</f>
        <v>1</v>
      </c>
    </row>
    <row r="1672" spans="1:6" s="120" customFormat="1">
      <c r="A1672" s="3"/>
      <c r="B1672">
        <v>778</v>
      </c>
      <c r="D1672" s="127">
        <f t="shared" si="45"/>
        <v>30131.742382788423</v>
      </c>
      <c r="E1672" s="126">
        <f t="shared" si="46"/>
        <v>2025</v>
      </c>
      <c r="F1672" s="125">
        <f>_xlfn.XLOOKUP(D795,'3. Input (des)investeringen '!$B$11:$B$89,'3. Input (des)investeringen '!$E$11:$E$89)</f>
        <v>1</v>
      </c>
    </row>
    <row r="1673" spans="1:6" s="120" customFormat="1">
      <c r="A1673" s="3"/>
      <c r="B1673">
        <v>779</v>
      </c>
      <c r="D1673" s="127">
        <f t="shared" ref="D1673:D1679" si="47">F796*INDEX($E$810:$CG$890,E796-1945,G796-1945)</f>
        <v>423580.21629211266</v>
      </c>
      <c r="E1673" s="126">
        <f t="shared" ref="E1673:E1679" si="48">G796</f>
        <v>2025</v>
      </c>
      <c r="F1673" s="125">
        <f>_xlfn.XLOOKUP(D796,'3. Input (des)investeringen '!$B$11:$B$89,'3. Input (des)investeringen '!$E$11:$E$89)</f>
        <v>1</v>
      </c>
    </row>
    <row r="1674" spans="1:6" s="120" customFormat="1">
      <c r="A1674" s="3"/>
      <c r="B1674">
        <v>780</v>
      </c>
      <c r="D1674" s="127">
        <f t="shared" si="47"/>
        <v>179503.89218929596</v>
      </c>
      <c r="E1674" s="126">
        <f t="shared" si="48"/>
        <v>2025</v>
      </c>
      <c r="F1674" s="125">
        <f>_xlfn.XLOOKUP(D797,'3. Input (des)investeringen '!$B$11:$B$89,'3. Input (des)investeringen '!$E$11:$E$89)</f>
        <v>1</v>
      </c>
    </row>
    <row r="1675" spans="1:6" s="120" customFormat="1">
      <c r="A1675" s="3"/>
      <c r="B1675">
        <v>781</v>
      </c>
      <c r="D1675" s="127">
        <f t="shared" si="47"/>
        <v>36658.603771200003</v>
      </c>
      <c r="E1675" s="126">
        <f t="shared" si="48"/>
        <v>2025</v>
      </c>
      <c r="F1675" s="125">
        <f>_xlfn.XLOOKUP(D798,'3. Input (des)investeringen '!$B$11:$B$89,'3. Input (des)investeringen '!$E$11:$E$89)</f>
        <v>1</v>
      </c>
    </row>
    <row r="1676" spans="1:6" s="120" customFormat="1">
      <c r="A1676" s="3"/>
      <c r="B1676">
        <v>782</v>
      </c>
      <c r="D1676" s="127">
        <f t="shared" si="47"/>
        <v>1324570.9043647456</v>
      </c>
      <c r="E1676" s="126">
        <f t="shared" si="48"/>
        <v>2025</v>
      </c>
      <c r="F1676" s="125">
        <f>_xlfn.XLOOKUP(D799,'3. Input (des)investeringen '!$B$11:$B$89,'3. Input (des)investeringen '!$E$11:$E$89)</f>
        <v>1</v>
      </c>
    </row>
    <row r="1677" spans="1:6" s="120" customFormat="1">
      <c r="A1677" s="3"/>
      <c r="B1677">
        <v>783</v>
      </c>
      <c r="D1677" s="127">
        <f t="shared" si="47"/>
        <v>512769.60099626181</v>
      </c>
      <c r="E1677" s="126">
        <f t="shared" si="48"/>
        <v>2025</v>
      </c>
      <c r="F1677" s="125">
        <f>_xlfn.XLOOKUP(D800,'3. Input (des)investeringen '!$B$11:$B$89,'3. Input (des)investeringen '!$E$11:$E$89)</f>
        <v>1</v>
      </c>
    </row>
    <row r="1678" spans="1:6" s="120" customFormat="1">
      <c r="A1678" s="3"/>
      <c r="B1678">
        <v>784</v>
      </c>
      <c r="D1678" s="127">
        <f t="shared" si="47"/>
        <v>263620.39759434265</v>
      </c>
      <c r="E1678" s="126">
        <f t="shared" si="48"/>
        <v>2025</v>
      </c>
      <c r="F1678" s="125">
        <f>_xlfn.XLOOKUP(D801,'3. Input (des)investeringen '!$B$11:$B$89,'3. Input (des)investeringen '!$E$11:$E$89)</f>
        <v>1</v>
      </c>
    </row>
    <row r="1679" spans="1:6" s="120" customFormat="1">
      <c r="A1679" s="3"/>
      <c r="B1679">
        <v>785</v>
      </c>
      <c r="D1679" s="127">
        <f t="shared" si="47"/>
        <v>67242.086053145642</v>
      </c>
      <c r="E1679" s="126">
        <f t="shared" si="48"/>
        <v>2025</v>
      </c>
      <c r="F1679" s="125">
        <f>_xlfn.XLOOKUP(D802,'3. Input (des)investeringen '!$B$11:$B$89,'3. Input (des)investeringen '!$E$11:$E$89)</f>
        <v>0</v>
      </c>
    </row>
    <row r="1680" spans="1:6">
      <c r="A1680" s="3"/>
    </row>
    <row r="1681" spans="2:10" s="53" customFormat="1" ht="13">
      <c r="B1681" s="53" t="s">
        <v>915</v>
      </c>
      <c r="D1681" s="53">
        <v>2020</v>
      </c>
      <c r="E1681" s="53">
        <v>2021</v>
      </c>
      <c r="F1681" s="53">
        <v>2022</v>
      </c>
      <c r="G1681" s="53">
        <v>2023</v>
      </c>
      <c r="H1681" s="53">
        <v>2024</v>
      </c>
      <c r="I1681" s="53">
        <v>2025</v>
      </c>
      <c r="J1681" s="53">
        <v>2026</v>
      </c>
    </row>
    <row r="1683" spans="2:10">
      <c r="B1683" s="3" t="s">
        <v>916</v>
      </c>
      <c r="D1683" s="168">
        <f>SUMIFS($D$895:$D$1672,$E$895:$E$1672,D$1681,$F$895:$F$1672,1)</f>
        <v>37758981.056281559</v>
      </c>
      <c r="E1683" s="168">
        <f>SUMIFS($D$895:$D$1672,$E$895:$E$1672,E$1681,$F$895:$F$1672,1)</f>
        <v>38763732.819702528</v>
      </c>
      <c r="F1683" s="168">
        <f>SUMIFS($D$895:$D$1672,$E$895:$E$1672,F$1681,$F$895:$F$1672,1)</f>
        <v>22960381.53917243</v>
      </c>
      <c r="G1683" s="168">
        <f>SUMIFS($D$895:$D$1672,$E$895:$E$1672,G$1681,$F$895:$F$1672,1)</f>
        <v>58023959.745093741</v>
      </c>
      <c r="H1683" s="168">
        <f>SUMIFS($D$895:$D$1672,$E$895:$E$1672,H$1681,$F$895:$F$1672,1)</f>
        <v>240087476.54390535</v>
      </c>
      <c r="I1683" s="168">
        <f>SUMIFS($D$895:$D$1679,$E$895:$E$1679,I$1681,$F$895:$F$1679,1)</f>
        <v>28614078.397007521</v>
      </c>
      <c r="J1683" s="128"/>
    </row>
    <row r="1684" spans="2:10">
      <c r="B1684" s="3" t="s">
        <v>917</v>
      </c>
      <c r="D1684" s="168">
        <f>SUMIFS($D$895:$D$1672,$E$895:$E$1672,D$1681,$F$895:$F$1672,0)</f>
        <v>27912770.687367041</v>
      </c>
      <c r="E1684" s="168">
        <f>SUMIFS($D$895:$D$1672,$E$895:$E$1672,E$1681,$F$895:$F$1672,0)</f>
        <v>152460325.70788148</v>
      </c>
      <c r="F1684" s="168">
        <f>SUMIFS($D$895:$D$1672,$E$895:$E$1672,F$1681,$F$895:$F$1672,0)</f>
        <v>18326404.223966755</v>
      </c>
      <c r="G1684" s="168">
        <f>SUMIFS($D$895:$D$1672,$E$895:$E$1672,G$1681,$F$895:$F$1672,0)</f>
        <v>56904952.296988726</v>
      </c>
      <c r="H1684" s="168">
        <f>SUMIFS($D$895:$D$1672,$E$895:$E$1672,H$1681,$F$895:$F$1672,0)</f>
        <v>12059459.252509575</v>
      </c>
      <c r="I1684" s="168">
        <f>SUMIFS($D$895:$D$1679,$E$895:$E$1679,I$1681,$F$895:$F$1679,0)</f>
        <v>34932650.601521671</v>
      </c>
      <c r="J1684" s="128"/>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T148"/>
  <sheetViews>
    <sheetView showGridLines="0" zoomScale="85" zoomScaleNormal="85" workbookViewId="0">
      <pane xSplit="3" ySplit="11" topLeftCell="D12" activePane="bottomRight" state="frozen"/>
      <selection pane="topRight" activeCell="D1" sqref="D1"/>
      <selection pane="bottomLeft" activeCell="A12" sqref="A12"/>
      <selection pane="bottomRight" activeCell="D12" sqref="D12"/>
    </sheetView>
  </sheetViews>
  <sheetFormatPr defaultColWidth="9.1796875" defaultRowHeight="12.5"/>
  <cols>
    <col min="1" max="1" width="2.54296875" style="3" customWidth="1"/>
    <col min="2" max="2" width="75.81640625" style="3" customWidth="1"/>
    <col min="3" max="3" width="2.54296875" style="3" customWidth="1"/>
    <col min="4" max="4" width="17.81640625" style="3" customWidth="1"/>
    <col min="5" max="5" width="2.54296875" style="3" customWidth="1"/>
    <col min="6" max="6" width="13.54296875" style="3" customWidth="1"/>
    <col min="7" max="7" width="2.54296875" style="3" customWidth="1"/>
    <col min="8" max="11" width="12" style="3" bestFit="1" customWidth="1"/>
    <col min="12" max="12" width="13" style="3" bestFit="1" customWidth="1"/>
    <col min="13" max="17" width="14.81640625" style="3" bestFit="1" customWidth="1"/>
    <col min="18" max="18" width="14.81640625" style="3" customWidth="1"/>
    <col min="19" max="19" width="2.54296875" style="3" customWidth="1"/>
    <col min="20" max="31" width="13.54296875" style="3" customWidth="1"/>
    <col min="32" max="16384" width="9.1796875" style="3"/>
  </cols>
  <sheetData>
    <row r="2" spans="2:20" s="12" customFormat="1" ht="18">
      <c r="B2" s="12" t="s">
        <v>918</v>
      </c>
    </row>
    <row r="4" spans="2:20" ht="13">
      <c r="B4" s="16" t="s">
        <v>837</v>
      </c>
      <c r="C4" s="2"/>
    </row>
    <row r="5" spans="2:20">
      <c r="B5" s="352" t="s">
        <v>919</v>
      </c>
      <c r="C5" s="359"/>
      <c r="D5" s="359"/>
      <c r="F5" s="13"/>
    </row>
    <row r="6" spans="2:20" ht="14.25" customHeight="1">
      <c r="F6" s="183"/>
    </row>
    <row r="7" spans="2:20" ht="13">
      <c r="B7" s="360" t="s">
        <v>839</v>
      </c>
      <c r="C7" s="362"/>
      <c r="D7" s="362"/>
      <c r="F7" s="13"/>
    </row>
    <row r="8" spans="2:20" ht="57.75" customHeight="1">
      <c r="B8" s="352" t="s">
        <v>920</v>
      </c>
      <c r="C8" s="352"/>
      <c r="D8" s="352"/>
      <c r="F8" s="13"/>
    </row>
    <row r="9" spans="2:20">
      <c r="F9" s="13"/>
    </row>
    <row r="10" spans="2:20" s="8" customFormat="1" ht="13">
      <c r="B10" s="8" t="s">
        <v>143</v>
      </c>
      <c r="D10" s="8" t="s">
        <v>184</v>
      </c>
      <c r="F10" s="8" t="s">
        <v>185</v>
      </c>
      <c r="H10" s="300" t="s">
        <v>428</v>
      </c>
      <c r="I10" s="300" t="s">
        <v>429</v>
      </c>
      <c r="J10" s="300" t="s">
        <v>430</v>
      </c>
      <c r="K10" s="46">
        <v>2020</v>
      </c>
      <c r="L10" s="46">
        <v>2021</v>
      </c>
      <c r="M10" s="46">
        <v>2022</v>
      </c>
      <c r="N10" s="46">
        <v>2023</v>
      </c>
      <c r="O10" s="46">
        <v>2024</v>
      </c>
      <c r="P10" s="46">
        <v>2025</v>
      </c>
      <c r="Q10" s="46">
        <v>2026</v>
      </c>
      <c r="R10" s="46">
        <v>2027</v>
      </c>
      <c r="T10" s="8" t="s">
        <v>187</v>
      </c>
    </row>
    <row r="12" spans="2:20" s="8" customFormat="1" ht="13">
      <c r="B12" s="8" t="s">
        <v>841</v>
      </c>
    </row>
    <row r="14" spans="2:20" ht="13">
      <c r="B14" s="2" t="s">
        <v>201</v>
      </c>
    </row>
    <row r="15" spans="2:20">
      <c r="B15" s="3" t="s">
        <v>921</v>
      </c>
      <c r="D15" s="3" t="s">
        <v>205</v>
      </c>
      <c r="H15" s="32">
        <f>'2. Parameters'!H35</f>
        <v>1</v>
      </c>
      <c r="I15" s="32">
        <f>'2. Parameters'!I35</f>
        <v>1.014</v>
      </c>
      <c r="J15" s="32">
        <f>'2. Parameters'!J35</f>
        <v>1.026168</v>
      </c>
      <c r="K15" s="32">
        <f>'2. Parameters'!K35</f>
        <v>1.052848368</v>
      </c>
      <c r="L15" s="32">
        <f>'2. Parameters'!L35</f>
        <v>1.069693941888</v>
      </c>
      <c r="M15" s="32">
        <f>'2. Parameters'!M35</f>
        <v>1.0889484328419841</v>
      </c>
      <c r="N15" s="32">
        <f>'2. Parameters'!N35</f>
        <v>1.1564632356781872</v>
      </c>
      <c r="O15" s="32">
        <f>'2. Parameters'!O35</f>
        <v>1.2489802945324422</v>
      </c>
      <c r="P15" s="32">
        <f>'2. Parameters'!P35</f>
        <v>1.2839517427793505</v>
      </c>
      <c r="Q15" s="32">
        <f>'2. Parameters'!Q35</f>
        <v>1.3327419090049659</v>
      </c>
      <c r="R15" s="10"/>
    </row>
    <row r="16" spans="2:20">
      <c r="B16" s="3" t="s">
        <v>922</v>
      </c>
      <c r="D16" s="3" t="s">
        <v>205</v>
      </c>
      <c r="H16" s="10"/>
      <c r="I16" s="32">
        <f>'2. Parameters'!I36</f>
        <v>1</v>
      </c>
      <c r="J16" s="32">
        <f>'2. Parameters'!J36</f>
        <v>1.012</v>
      </c>
      <c r="K16" s="32">
        <f>'2. Parameters'!K36</f>
        <v>1.0383120000000001</v>
      </c>
      <c r="L16" s="32">
        <f>'2. Parameters'!L36</f>
        <v>1.0549249920000001</v>
      </c>
      <c r="M16" s="32">
        <f>'2. Parameters'!M36</f>
        <v>1.0739136418560002</v>
      </c>
      <c r="N16" s="32">
        <f>'2. Parameters'!N36</f>
        <v>1.1404962876510722</v>
      </c>
      <c r="O16" s="32">
        <f>'2. Parameters'!O36</f>
        <v>1.2317359906631582</v>
      </c>
      <c r="P16" s="32">
        <f>'2. Parameters'!P36</f>
        <v>1.2662245984017266</v>
      </c>
      <c r="Q16" s="32">
        <f>'2. Parameters'!Q36</f>
        <v>1.3143411331409922</v>
      </c>
      <c r="R16" s="10"/>
    </row>
    <row r="17" spans="2:18">
      <c r="B17" s="3" t="s">
        <v>923</v>
      </c>
      <c r="D17" s="3" t="s">
        <v>205</v>
      </c>
      <c r="H17" s="10"/>
      <c r="I17" s="10"/>
      <c r="J17" s="32">
        <f>'2. Parameters'!J37</f>
        <v>1</v>
      </c>
      <c r="K17" s="32">
        <f>'2. Parameters'!K37</f>
        <v>1.026</v>
      </c>
      <c r="L17" s="32">
        <f>'2. Parameters'!L37</f>
        <v>1.042416</v>
      </c>
      <c r="M17" s="32">
        <f>'2. Parameters'!M37</f>
        <v>1.0611794880000001</v>
      </c>
      <c r="N17" s="32">
        <f>'2. Parameters'!N37</f>
        <v>1.1269726162560001</v>
      </c>
      <c r="O17" s="32">
        <f>'2. Parameters'!O37</f>
        <v>1.2171304255564801</v>
      </c>
      <c r="P17" s="32">
        <f>'2. Parameters'!P37</f>
        <v>1.2512100774720616</v>
      </c>
      <c r="Q17" s="32">
        <f>'2. Parameters'!Q37</f>
        <v>1.298756060416</v>
      </c>
      <c r="R17" s="10"/>
    </row>
    <row r="18" spans="2:18">
      <c r="B18" s="3" t="s">
        <v>924</v>
      </c>
      <c r="D18" s="3" t="s">
        <v>205</v>
      </c>
      <c r="H18" s="10"/>
      <c r="I18" s="10"/>
      <c r="J18" s="10"/>
      <c r="K18" s="32">
        <f>'2. Parameters'!K38</f>
        <v>1</v>
      </c>
      <c r="L18" s="32">
        <f>'2. Parameters'!L38</f>
        <v>1.016</v>
      </c>
      <c r="M18" s="32">
        <f>'2. Parameters'!M38</f>
        <v>1.0342880000000001</v>
      </c>
      <c r="N18" s="32">
        <f>'2. Parameters'!N38</f>
        <v>1.0984138560000001</v>
      </c>
      <c r="O18" s="32">
        <f>'2. Parameters'!O38</f>
        <v>1.1862869644800003</v>
      </c>
      <c r="P18" s="32">
        <f>'2. Parameters'!P38</f>
        <v>1.2195029994854403</v>
      </c>
      <c r="Q18" s="32">
        <f>'2. Parameters'!Q38</f>
        <v>1.2658441134658871</v>
      </c>
      <c r="R18" s="10"/>
    </row>
    <row r="19" spans="2:18">
      <c r="B19" s="3" t="s">
        <v>925</v>
      </c>
      <c r="D19" s="3" t="s">
        <v>205</v>
      </c>
      <c r="H19" s="10"/>
      <c r="I19" s="10"/>
      <c r="J19" s="10"/>
      <c r="K19" s="10"/>
      <c r="L19" s="32">
        <f>'2. Parameters'!L39</f>
        <v>1</v>
      </c>
      <c r="M19" s="32">
        <f>'2. Parameters'!M39</f>
        <v>1.018</v>
      </c>
      <c r="N19" s="32">
        <f>'2. Parameters'!N39</f>
        <v>1.081116</v>
      </c>
      <c r="O19" s="32">
        <f>'2. Parameters'!O39</f>
        <v>1.1676052800000001</v>
      </c>
      <c r="P19" s="32">
        <f>'2. Parameters'!P39</f>
        <v>1.2002982278400001</v>
      </c>
      <c r="Q19" s="32">
        <f>'2. Parameters'!Q39</f>
        <v>1.24590956049792</v>
      </c>
      <c r="R19" s="10"/>
    </row>
    <row r="20" spans="2:18">
      <c r="B20" s="3" t="s">
        <v>926</v>
      </c>
      <c r="D20" s="3" t="s">
        <v>205</v>
      </c>
      <c r="H20" s="10"/>
      <c r="I20" s="10"/>
      <c r="J20" s="10"/>
      <c r="K20" s="10"/>
      <c r="L20" s="10"/>
      <c r="M20" s="32">
        <f>'2. Parameters'!M40</f>
        <v>1</v>
      </c>
      <c r="N20" s="32">
        <f>'2. Parameters'!N40</f>
        <v>1.0620000000000001</v>
      </c>
      <c r="O20" s="32">
        <f>'2. Parameters'!O40</f>
        <v>1.1469600000000002</v>
      </c>
      <c r="P20" s="32">
        <f>'2. Parameters'!P40</f>
        <v>1.1790748800000002</v>
      </c>
      <c r="Q20" s="32">
        <f>'2. Parameters'!Q40</f>
        <v>1.2238797254400002</v>
      </c>
      <c r="R20" s="10"/>
    </row>
    <row r="21" spans="2:18">
      <c r="B21" s="3" t="s">
        <v>927</v>
      </c>
      <c r="D21" s="3" t="s">
        <v>205</v>
      </c>
      <c r="H21" s="10"/>
      <c r="I21" s="10"/>
      <c r="J21" s="10"/>
      <c r="K21" s="10"/>
      <c r="L21" s="10"/>
      <c r="M21" s="10"/>
      <c r="N21" s="32">
        <f>'2. Parameters'!N41</f>
        <v>1</v>
      </c>
      <c r="O21" s="32">
        <f>'2. Parameters'!O41</f>
        <v>1.08</v>
      </c>
      <c r="P21" s="32">
        <f>'2. Parameters'!P41</f>
        <v>1.1102400000000001</v>
      </c>
      <c r="Q21" s="32">
        <f>'2. Parameters'!Q41</f>
        <v>1.1524291200000001</v>
      </c>
      <c r="R21" s="10"/>
    </row>
    <row r="22" spans="2:18">
      <c r="B22" s="3" t="s">
        <v>928</v>
      </c>
      <c r="D22" s="3" t="s">
        <v>205</v>
      </c>
      <c r="H22" s="10"/>
      <c r="I22" s="10"/>
      <c r="J22" s="10"/>
      <c r="K22" s="10"/>
      <c r="L22" s="10"/>
      <c r="M22" s="10"/>
      <c r="N22" s="10"/>
      <c r="O22" s="32">
        <f>'2. Parameters'!O42</f>
        <v>1</v>
      </c>
      <c r="P22" s="32">
        <f>'2. Parameters'!P42</f>
        <v>1.028</v>
      </c>
      <c r="Q22" s="32">
        <f>'2. Parameters'!Q42</f>
        <v>1.067064</v>
      </c>
      <c r="R22" s="10"/>
    </row>
    <row r="23" spans="2:18">
      <c r="B23" s="3" t="s">
        <v>929</v>
      </c>
      <c r="D23" s="3" t="s">
        <v>205</v>
      </c>
      <c r="H23" s="10"/>
      <c r="I23" s="10"/>
      <c r="J23" s="10"/>
      <c r="K23" s="10"/>
      <c r="L23" s="10"/>
      <c r="M23" s="10"/>
      <c r="N23" s="10"/>
      <c r="O23" s="10"/>
      <c r="P23" s="32">
        <f>'2. Parameters'!P43</f>
        <v>1</v>
      </c>
      <c r="Q23" s="32">
        <f>'2. Parameters'!Q43</f>
        <v>1.038</v>
      </c>
      <c r="R23" s="10"/>
    </row>
    <row r="24" spans="2:18">
      <c r="B24" s="3" t="s">
        <v>930</v>
      </c>
      <c r="D24" s="3" t="s">
        <v>205</v>
      </c>
      <c r="H24" s="10"/>
      <c r="I24" s="10"/>
      <c r="J24" s="10"/>
      <c r="K24" s="10"/>
      <c r="L24" s="10"/>
      <c r="M24" s="10"/>
      <c r="N24" s="10"/>
      <c r="O24" s="10"/>
      <c r="P24" s="10"/>
      <c r="Q24" s="32">
        <f>'2. Parameters'!Q44</f>
        <v>1</v>
      </c>
      <c r="R24" s="10"/>
    </row>
    <row r="26" spans="2:18" ht="13">
      <c r="B26" s="2" t="s">
        <v>215</v>
      </c>
    </row>
    <row r="27" spans="2:18">
      <c r="B27" s="3" t="s">
        <v>931</v>
      </c>
      <c r="D27" s="3" t="s">
        <v>219</v>
      </c>
      <c r="H27" s="32">
        <f>'2. Parameters'!H52</f>
        <v>1</v>
      </c>
      <c r="I27" s="32">
        <f>'2. Parameters'!I52</f>
        <v>0.999</v>
      </c>
      <c r="J27" s="32">
        <f>'2. Parameters'!J52</f>
        <v>0.99800100000000003</v>
      </c>
      <c r="K27" s="32">
        <f>'2. Parameters'!K52</f>
        <v>0.997002999</v>
      </c>
      <c r="L27" s="32">
        <f>'2. Parameters'!L52</f>
        <v>0.99600599600100004</v>
      </c>
      <c r="M27" s="32">
        <f>'2. Parameters'!M52</f>
        <v>0.99202197201699605</v>
      </c>
      <c r="N27" s="32">
        <f>'2. Parameters'!N52</f>
        <v>0.98805388412892803</v>
      </c>
      <c r="O27" s="32">
        <f>'2. Parameters'!O52</f>
        <v>0.98410166859241233</v>
      </c>
      <c r="P27" s="32">
        <f>'2. Parameters'!P52</f>
        <v>0.98016526191804265</v>
      </c>
      <c r="Q27" s="32">
        <f>'2. Parameters'!Q52</f>
        <v>0.97624460087037046</v>
      </c>
      <c r="R27" s="10"/>
    </row>
    <row r="28" spans="2:18">
      <c r="B28" s="3" t="s">
        <v>932</v>
      </c>
      <c r="D28" s="3" t="s">
        <v>219</v>
      </c>
      <c r="H28" s="10"/>
      <c r="I28" s="32">
        <f>'2. Parameters'!I53</f>
        <v>1</v>
      </c>
      <c r="J28" s="32">
        <f>'2. Parameters'!J53</f>
        <v>0.999</v>
      </c>
      <c r="K28" s="32">
        <f>'2. Parameters'!K53</f>
        <v>0.99800100000000003</v>
      </c>
      <c r="L28" s="32">
        <f>'2. Parameters'!L53</f>
        <v>0.997002999</v>
      </c>
      <c r="M28" s="32">
        <f>'2. Parameters'!M53</f>
        <v>0.99301498700400004</v>
      </c>
      <c r="N28" s="32">
        <f>'2. Parameters'!N53</f>
        <v>0.98904292705598407</v>
      </c>
      <c r="O28" s="32">
        <f>'2. Parameters'!O53</f>
        <v>0.98508675534776013</v>
      </c>
      <c r="P28" s="32">
        <f>'2. Parameters'!P53</f>
        <v>0.98114640832636912</v>
      </c>
      <c r="Q28" s="32">
        <f>'2. Parameters'!Q53</f>
        <v>0.97722182269306368</v>
      </c>
      <c r="R28" s="10"/>
    </row>
    <row r="29" spans="2:18">
      <c r="B29" s="3" t="s">
        <v>933</v>
      </c>
      <c r="D29" s="3" t="s">
        <v>219</v>
      </c>
      <c r="H29" s="10"/>
      <c r="I29" s="10"/>
      <c r="J29" s="32">
        <f>'2. Parameters'!J54</f>
        <v>1</v>
      </c>
      <c r="K29" s="32">
        <f>'2. Parameters'!K54</f>
        <v>0.999</v>
      </c>
      <c r="L29" s="32">
        <f>'2. Parameters'!L54</f>
        <v>0.99800100000000003</v>
      </c>
      <c r="M29" s="32">
        <f>'2. Parameters'!M54</f>
        <v>0.99400899600000003</v>
      </c>
      <c r="N29" s="32">
        <f>'2. Parameters'!N54</f>
        <v>0.99003296001600005</v>
      </c>
      <c r="O29" s="32">
        <f>'2. Parameters'!O54</f>
        <v>0.986072828175936</v>
      </c>
      <c r="P29" s="32">
        <f>'2. Parameters'!P54</f>
        <v>0.9821285368632322</v>
      </c>
      <c r="Q29" s="32">
        <f>'2. Parameters'!Q54</f>
        <v>0.97820002271577933</v>
      </c>
      <c r="R29" s="10"/>
    </row>
    <row r="30" spans="2:18">
      <c r="B30" s="3" t="s">
        <v>934</v>
      </c>
      <c r="D30" s="3" t="s">
        <v>219</v>
      </c>
      <c r="H30" s="10"/>
      <c r="I30" s="10"/>
      <c r="J30" s="10"/>
      <c r="K30" s="32">
        <f>'2. Parameters'!K55</f>
        <v>1</v>
      </c>
      <c r="L30" s="32">
        <f>'2. Parameters'!L55</f>
        <v>0.999</v>
      </c>
      <c r="M30" s="32">
        <f>'2. Parameters'!M55</f>
        <v>0.995004</v>
      </c>
      <c r="N30" s="32">
        <f>'2. Parameters'!N55</f>
        <v>0.99102398400000002</v>
      </c>
      <c r="O30" s="32">
        <f>'2. Parameters'!O55</f>
        <v>0.98705988806400002</v>
      </c>
      <c r="P30" s="32">
        <f>'2. Parameters'!P55</f>
        <v>0.98311164851174404</v>
      </c>
      <c r="Q30" s="32">
        <f>'2. Parameters'!Q55</f>
        <v>0.97917920191769703</v>
      </c>
      <c r="R30" s="10"/>
    </row>
    <row r="31" spans="2:18">
      <c r="B31" s="3" t="s">
        <v>935</v>
      </c>
      <c r="D31" s="3" t="s">
        <v>219</v>
      </c>
      <c r="H31" s="10"/>
      <c r="I31" s="10"/>
      <c r="J31" s="10"/>
      <c r="K31" s="10"/>
      <c r="L31" s="32">
        <f>'2. Parameters'!L56</f>
        <v>1</v>
      </c>
      <c r="M31" s="32">
        <f>'2. Parameters'!M56</f>
        <v>0.996</v>
      </c>
      <c r="N31" s="32">
        <f>'2. Parameters'!N56</f>
        <v>0.99201600000000001</v>
      </c>
      <c r="O31" s="32">
        <f>'2. Parameters'!O56</f>
        <v>0.98804793599999996</v>
      </c>
      <c r="P31" s="32">
        <f>'2. Parameters'!P56</f>
        <v>0.98409574425599999</v>
      </c>
      <c r="Q31" s="32">
        <f>'2. Parameters'!Q56</f>
        <v>0.98015936127897596</v>
      </c>
      <c r="R31" s="10"/>
    </row>
    <row r="32" spans="2:18">
      <c r="B32" s="3" t="s">
        <v>936</v>
      </c>
      <c r="D32" s="3" t="s">
        <v>219</v>
      </c>
      <c r="H32" s="10"/>
      <c r="I32" s="10"/>
      <c r="J32" s="10"/>
      <c r="K32" s="10"/>
      <c r="L32" s="10"/>
      <c r="M32" s="32">
        <f>'2. Parameters'!M57</f>
        <v>1</v>
      </c>
      <c r="N32" s="32">
        <f>'2. Parameters'!N57</f>
        <v>0.996</v>
      </c>
      <c r="O32" s="32">
        <f>'2. Parameters'!O57</f>
        <v>0.99201600000000001</v>
      </c>
      <c r="P32" s="32">
        <f>'2. Parameters'!P57</f>
        <v>0.98804793599999996</v>
      </c>
      <c r="Q32" s="32">
        <f>'2. Parameters'!Q57</f>
        <v>0.98409574425599999</v>
      </c>
      <c r="R32" s="10"/>
    </row>
    <row r="33" spans="1:18">
      <c r="B33" s="3" t="s">
        <v>937</v>
      </c>
      <c r="D33" s="3" t="s">
        <v>219</v>
      </c>
      <c r="H33" s="10"/>
      <c r="I33" s="10"/>
      <c r="J33" s="10"/>
      <c r="K33" s="10"/>
      <c r="L33" s="10"/>
      <c r="M33" s="10"/>
      <c r="N33" s="32">
        <f>'2. Parameters'!N58</f>
        <v>1</v>
      </c>
      <c r="O33" s="32">
        <f>'2. Parameters'!O58</f>
        <v>0.996</v>
      </c>
      <c r="P33" s="32">
        <f>'2. Parameters'!P58</f>
        <v>0.99201600000000001</v>
      </c>
      <c r="Q33" s="32">
        <f>'2. Parameters'!Q58</f>
        <v>0.98804793599999996</v>
      </c>
      <c r="R33" s="10"/>
    </row>
    <row r="34" spans="1:18">
      <c r="B34" s="3" t="s">
        <v>938</v>
      </c>
      <c r="D34" s="3" t="s">
        <v>219</v>
      </c>
      <c r="H34" s="10"/>
      <c r="I34" s="10"/>
      <c r="J34" s="10"/>
      <c r="K34" s="10"/>
      <c r="L34" s="10"/>
      <c r="M34" s="10"/>
      <c r="N34" s="10"/>
      <c r="O34" s="32">
        <f>'2. Parameters'!O59</f>
        <v>1</v>
      </c>
      <c r="P34" s="32">
        <f>'2. Parameters'!P59</f>
        <v>0.996</v>
      </c>
      <c r="Q34" s="32">
        <f>'2. Parameters'!Q59</f>
        <v>0.99201600000000001</v>
      </c>
      <c r="R34" s="10"/>
    </row>
    <row r="35" spans="1:18">
      <c r="B35" s="3" t="s">
        <v>939</v>
      </c>
      <c r="D35" s="3" t="s">
        <v>219</v>
      </c>
      <c r="H35" s="10"/>
      <c r="I35" s="10"/>
      <c r="J35" s="10"/>
      <c r="K35" s="10"/>
      <c r="L35" s="10"/>
      <c r="M35" s="10"/>
      <c r="N35" s="10"/>
      <c r="O35" s="10"/>
      <c r="P35" s="32">
        <f>'2. Parameters'!P60</f>
        <v>1</v>
      </c>
      <c r="Q35" s="32">
        <f>'2. Parameters'!Q60</f>
        <v>0.996</v>
      </c>
      <c r="R35" s="10"/>
    </row>
    <row r="36" spans="1:18">
      <c r="B36" s="3" t="s">
        <v>940</v>
      </c>
      <c r="D36" s="3" t="s">
        <v>219</v>
      </c>
      <c r="H36" s="10"/>
      <c r="I36" s="10"/>
      <c r="J36" s="10"/>
      <c r="K36" s="10"/>
      <c r="L36" s="10"/>
      <c r="M36" s="10"/>
      <c r="N36" s="10"/>
      <c r="O36" s="10"/>
      <c r="P36" s="10"/>
      <c r="Q36" s="32">
        <f>'2. Parameters'!Q61</f>
        <v>1</v>
      </c>
      <c r="R36" s="10"/>
    </row>
    <row r="37" spans="1:18" s="89" customFormat="1">
      <c r="A37" s="3"/>
      <c r="P37" s="108"/>
      <c r="Q37" s="108"/>
      <c r="R37" s="108"/>
    </row>
    <row r="38" spans="1:18" ht="13">
      <c r="B38" s="16" t="s">
        <v>220</v>
      </c>
    </row>
    <row r="39" spans="1:18">
      <c r="B39" s="28" t="s">
        <v>208</v>
      </c>
      <c r="D39" s="3" t="s">
        <v>843</v>
      </c>
      <c r="H39" s="10"/>
      <c r="I39" s="10"/>
      <c r="J39" s="10"/>
      <c r="K39" s="32">
        <f>'2. Parameters'!K69</f>
        <v>1</v>
      </c>
      <c r="L39" s="32">
        <f>'2. Parameters'!L69</f>
        <v>1.02</v>
      </c>
      <c r="M39" s="32">
        <f>'2. Parameters'!M69</f>
        <v>1.0404</v>
      </c>
      <c r="N39" s="32">
        <f>'2. Parameters'!N69</f>
        <v>1.0612079999999999</v>
      </c>
      <c r="O39" s="32">
        <f>'2. Parameters'!O69</f>
        <v>1.10365632</v>
      </c>
      <c r="P39" s="32">
        <f>'2. Parameters'!P69</f>
        <v>1.1809122624000001</v>
      </c>
      <c r="Q39" s="32">
        <f>'2. Parameters'!Q69</f>
        <v>1.2399578755200003</v>
      </c>
      <c r="R39" s="32">
        <f>'2. Parameters'!R69</f>
        <v>1.2895561905408004</v>
      </c>
    </row>
    <row r="40" spans="1:18">
      <c r="B40" s="28" t="s">
        <v>209</v>
      </c>
      <c r="D40" s="3" t="s">
        <v>843</v>
      </c>
      <c r="H40" s="10"/>
      <c r="I40" s="10"/>
      <c r="J40" s="10"/>
      <c r="K40" s="10"/>
      <c r="L40" s="32">
        <f>'2. Parameters'!L70</f>
        <v>1</v>
      </c>
      <c r="M40" s="32">
        <f>'2. Parameters'!M70</f>
        <v>1.02</v>
      </c>
      <c r="N40" s="32">
        <f>'2. Parameters'!N70</f>
        <v>1.0404</v>
      </c>
      <c r="O40" s="32">
        <f>'2. Parameters'!O70</f>
        <v>1.0820160000000001</v>
      </c>
      <c r="P40" s="32">
        <f>'2. Parameters'!P70</f>
        <v>1.1577571200000001</v>
      </c>
      <c r="Q40" s="32">
        <f>'2. Parameters'!Q70</f>
        <v>1.2156449760000001</v>
      </c>
      <c r="R40" s="32">
        <f>'2. Parameters'!R70</f>
        <v>1.2642707750400002</v>
      </c>
    </row>
    <row r="41" spans="1:18">
      <c r="B41" s="28" t="s">
        <v>210</v>
      </c>
      <c r="D41" s="3" t="s">
        <v>843</v>
      </c>
      <c r="H41" s="10"/>
      <c r="I41" s="10"/>
      <c r="J41" s="10"/>
      <c r="K41" s="10"/>
      <c r="L41" s="10"/>
      <c r="M41" s="32">
        <f>'2. Parameters'!M71</f>
        <v>1</v>
      </c>
      <c r="N41" s="32">
        <f>'2. Parameters'!N71</f>
        <v>1.02</v>
      </c>
      <c r="O41" s="32">
        <f>'2. Parameters'!O71</f>
        <v>1.0608</v>
      </c>
      <c r="P41" s="32">
        <f>'2. Parameters'!P71</f>
        <v>1.1350560000000001</v>
      </c>
      <c r="Q41" s="32">
        <f>'2. Parameters'!Q71</f>
        <v>1.1918088000000002</v>
      </c>
      <c r="R41" s="32">
        <f>'2. Parameters'!R71</f>
        <v>1.2394811520000002</v>
      </c>
    </row>
    <row r="42" spans="1:18">
      <c r="B42" s="28" t="s">
        <v>211</v>
      </c>
      <c r="D42" s="3" t="s">
        <v>843</v>
      </c>
      <c r="H42" s="10"/>
      <c r="I42" s="10"/>
      <c r="J42" s="10"/>
      <c r="K42" s="10"/>
      <c r="L42" s="10"/>
      <c r="M42" s="10"/>
      <c r="N42" s="32">
        <f>'2. Parameters'!N72</f>
        <v>1</v>
      </c>
      <c r="O42" s="32">
        <f>'2. Parameters'!O72</f>
        <v>1.04</v>
      </c>
      <c r="P42" s="32">
        <f>'2. Parameters'!P72</f>
        <v>1.1128</v>
      </c>
      <c r="Q42" s="32">
        <f>'2. Parameters'!Q72</f>
        <v>1.1684400000000001</v>
      </c>
      <c r="R42" s="32">
        <f>'2. Parameters'!R72</f>
        <v>1.2151776000000003</v>
      </c>
    </row>
    <row r="43" spans="1:18">
      <c r="B43" s="28" t="s">
        <v>212</v>
      </c>
      <c r="D43" s="3" t="s">
        <v>843</v>
      </c>
      <c r="H43" s="10"/>
      <c r="I43" s="10"/>
      <c r="J43" s="10"/>
      <c r="K43" s="10"/>
      <c r="L43" s="10"/>
      <c r="M43" s="10"/>
      <c r="N43" s="10"/>
      <c r="O43" s="32">
        <f>'2. Parameters'!O73</f>
        <v>1</v>
      </c>
      <c r="P43" s="32">
        <f>'2. Parameters'!P73</f>
        <v>1.07</v>
      </c>
      <c r="Q43" s="32">
        <f>'2. Parameters'!Q73</f>
        <v>1.1235000000000002</v>
      </c>
      <c r="R43" s="32">
        <f>'2. Parameters'!R73</f>
        <v>1.1684400000000001</v>
      </c>
    </row>
    <row r="44" spans="1:18">
      <c r="B44" s="28" t="s">
        <v>213</v>
      </c>
      <c r="D44" s="3" t="s">
        <v>843</v>
      </c>
      <c r="H44" s="10"/>
      <c r="I44" s="10"/>
      <c r="J44" s="10"/>
      <c r="K44" s="10"/>
      <c r="L44" s="10"/>
      <c r="M44" s="10"/>
      <c r="N44" s="10"/>
      <c r="O44" s="10"/>
      <c r="P44" s="32">
        <f>'2. Parameters'!P74</f>
        <v>1</v>
      </c>
      <c r="Q44" s="32">
        <f>'2. Parameters'!Q74</f>
        <v>1.05</v>
      </c>
      <c r="R44" s="32">
        <f>'2. Parameters'!R74</f>
        <v>1.0920000000000001</v>
      </c>
    </row>
    <row r="45" spans="1:18">
      <c r="B45" s="28" t="s">
        <v>214</v>
      </c>
      <c r="D45" s="3" t="s">
        <v>843</v>
      </c>
      <c r="H45" s="10"/>
      <c r="I45" s="10"/>
      <c r="J45" s="10"/>
      <c r="K45" s="10"/>
      <c r="L45" s="10"/>
      <c r="M45" s="10"/>
      <c r="N45" s="10"/>
      <c r="O45" s="10"/>
      <c r="P45" s="10"/>
      <c r="Q45" s="32">
        <f>'2. Parameters'!Q75</f>
        <v>1</v>
      </c>
      <c r="R45" s="32">
        <f>'2. Parameters'!R75</f>
        <v>1.04</v>
      </c>
    </row>
    <row r="47" spans="1:18" ht="13">
      <c r="B47" s="2" t="s">
        <v>200</v>
      </c>
    </row>
    <row r="48" spans="1:18">
      <c r="B48" s="3" t="s">
        <v>200</v>
      </c>
      <c r="D48" s="3" t="s">
        <v>188</v>
      </c>
      <c r="F48" s="55">
        <f>'2. Parameters'!F27</f>
        <v>0.01</v>
      </c>
    </row>
    <row r="50" spans="1:20" ht="13">
      <c r="B50" s="2" t="s">
        <v>224</v>
      </c>
    </row>
    <row r="51" spans="1:20">
      <c r="B51" s="3" t="s">
        <v>224</v>
      </c>
      <c r="D51" s="3" t="s">
        <v>188</v>
      </c>
      <c r="F51" s="55">
        <f>'2. Parameters'!F79</f>
        <v>1</v>
      </c>
    </row>
    <row r="53" spans="1:20" ht="13">
      <c r="B53" s="2" t="s">
        <v>190</v>
      </c>
    </row>
    <row r="54" spans="1:20">
      <c r="B54" s="3" t="s">
        <v>941</v>
      </c>
      <c r="D54" s="3" t="s">
        <v>188</v>
      </c>
      <c r="H54" s="10"/>
      <c r="I54" s="10"/>
      <c r="J54" s="10"/>
      <c r="K54" s="10"/>
      <c r="L54" s="10"/>
      <c r="M54" s="55">
        <f>'2. Parameters'!M19</f>
        <v>3.4000000000000002E-2</v>
      </c>
      <c r="N54" s="55">
        <f>'2. Parameters'!N19</f>
        <v>3.3000000000000002E-2</v>
      </c>
      <c r="O54" s="55">
        <f>'2. Parameters'!O19</f>
        <v>3.7999999999999999E-2</v>
      </c>
      <c r="P54" s="55">
        <f>'2. Parameters'!P19</f>
        <v>3.7999999999999999E-2</v>
      </c>
      <c r="Q54" s="55">
        <f>'2. Parameters'!Q19</f>
        <v>3.7999999999999999E-2</v>
      </c>
      <c r="R54" s="10"/>
    </row>
    <row r="55" spans="1:20">
      <c r="B55" s="3" t="s">
        <v>942</v>
      </c>
      <c r="D55" s="3" t="s">
        <v>188</v>
      </c>
      <c r="H55" s="10"/>
      <c r="I55" s="10"/>
      <c r="J55" s="10"/>
      <c r="K55" s="10"/>
      <c r="L55" s="10"/>
      <c r="M55" s="247">
        <f>'2. Parameters'!M23</f>
        <v>4.1000000000000002E-2</v>
      </c>
      <c r="N55" s="247">
        <f>'2. Parameters'!N23</f>
        <v>5.0999999999999997E-2</v>
      </c>
      <c r="O55" s="247">
        <f>'2. Parameters'!O23</f>
        <v>5.0999999999999997E-2</v>
      </c>
      <c r="P55" s="247">
        <f>'2. Parameters'!P23</f>
        <v>5.5E-2</v>
      </c>
      <c r="Q55" s="10"/>
      <c r="R55" s="10"/>
    </row>
    <row r="57" spans="1:20" s="89" customFormat="1" ht="13">
      <c r="A57" s="3"/>
      <c r="B57" s="105" t="s">
        <v>943</v>
      </c>
    </row>
    <row r="58" spans="1:20">
      <c r="B58" s="3" t="s">
        <v>453</v>
      </c>
      <c r="D58" s="3" t="s">
        <v>189</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42">
        <f>'15. Operationele kosten'!F29</f>
        <v>131989332.8269553</v>
      </c>
      <c r="Q58" s="10"/>
      <c r="R58" s="10"/>
    </row>
    <row r="59" spans="1:20">
      <c r="B59" s="28" t="s">
        <v>944</v>
      </c>
      <c r="D59" s="3" t="s">
        <v>189</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42">
        <f>'15. Operationele kosten'!E29</f>
        <v>56906269.52304472</v>
      </c>
      <c r="Q59" s="10"/>
      <c r="R59" s="10"/>
    </row>
    <row r="60" spans="1:20">
      <c r="B60" s="28" t="s">
        <v>945</v>
      </c>
      <c r="D60" s="3" t="s">
        <v>189</v>
      </c>
      <c r="H60" s="42">
        <f>'7. Input IC peakshaver'!H31</f>
        <v>1320509.5900000001</v>
      </c>
      <c r="I60" s="42">
        <f>'7. Input IC peakshaver'!I31</f>
        <v>1966066.3200000003</v>
      </c>
      <c r="J60" s="42">
        <f>'7. Input IC peakshaver'!J31</f>
        <v>1575548.13</v>
      </c>
      <c r="K60" s="10"/>
      <c r="L60" s="10"/>
      <c r="M60" s="250">
        <f>'15. Operationele kosten'!F21</f>
        <v>4045629</v>
      </c>
      <c r="N60" s="42">
        <f>'15. Operationele kosten'!F24</f>
        <v>4280846.4400000004</v>
      </c>
      <c r="O60" s="42">
        <f>'15. Operationele kosten'!F27</f>
        <v>2788340.2199999997</v>
      </c>
      <c r="P60" s="42">
        <f>'15. Operationele kosten'!F30</f>
        <v>2735428.1700000004</v>
      </c>
      <c r="Q60" s="10"/>
      <c r="R60" s="10"/>
      <c r="T60" s="3" t="s">
        <v>946</v>
      </c>
    </row>
    <row r="62" spans="1:20" s="89" customFormat="1" ht="13">
      <c r="A62" s="3"/>
      <c r="B62" s="105" t="s">
        <v>947</v>
      </c>
    </row>
    <row r="63" spans="1:20" s="89" customFormat="1">
      <c r="A63" s="3"/>
      <c r="B63" s="89" t="s">
        <v>948</v>
      </c>
      <c r="D63" s="89" t="s">
        <v>188</v>
      </c>
      <c r="F63" s="78">
        <f>'2. Parameters'!F95</f>
        <v>0.25</v>
      </c>
    </row>
    <row r="64" spans="1:20">
      <c r="B64" s="3" t="s">
        <v>949</v>
      </c>
      <c r="D64" s="3" t="s">
        <v>188</v>
      </c>
      <c r="F64" s="78">
        <f>'2. Parameters'!F96</f>
        <v>0.2</v>
      </c>
    </row>
    <row r="65" spans="2:18">
      <c r="F65" s="19"/>
    </row>
    <row r="66" spans="2:18" ht="13">
      <c r="B66" s="241" t="s">
        <v>950</v>
      </c>
    </row>
    <row r="67" spans="2:18">
      <c r="B67" s="162" t="s">
        <v>950</v>
      </c>
      <c r="D67" s="3" t="s">
        <v>188</v>
      </c>
      <c r="F67" s="173">
        <f>'7. Input IC peakshaver'!F17</f>
        <v>0.77</v>
      </c>
    </row>
    <row r="69" spans="2:18" s="8" customFormat="1" ht="13">
      <c r="B69" s="8" t="s">
        <v>441</v>
      </c>
    </row>
    <row r="71" spans="2:18">
      <c r="B71" s="28" t="s">
        <v>951</v>
      </c>
      <c r="D71" s="3" t="s">
        <v>189</v>
      </c>
      <c r="K71" s="10"/>
      <c r="L71" s="10"/>
      <c r="M71" s="93"/>
      <c r="N71" s="93"/>
      <c r="O71" s="93"/>
      <c r="P71" s="42">
        <f>'4. Input nacalculaties'!Q11</f>
        <v>1069469892.4698374</v>
      </c>
      <c r="Q71" s="10"/>
      <c r="R71" s="10"/>
    </row>
    <row r="72" spans="2:18">
      <c r="B72" t="s">
        <v>825</v>
      </c>
      <c r="D72" s="3" t="s">
        <v>189</v>
      </c>
      <c r="K72" s="10"/>
      <c r="L72" s="10"/>
      <c r="M72" s="288"/>
      <c r="N72" s="288"/>
      <c r="O72" s="288"/>
      <c r="P72" s="190">
        <f>_xlfn.XLOOKUP(P10,Omzet[Jaar],Omzet[Omzetregulering tariefgereguleerd])</f>
        <v>1006790076.3599999</v>
      </c>
      <c r="Q72" s="10"/>
      <c r="R72" s="10"/>
    </row>
    <row r="73" spans="2:18">
      <c r="B73" s="3" t="s">
        <v>952</v>
      </c>
      <c r="D73" s="3" t="s">
        <v>189</v>
      </c>
      <c r="K73" s="10"/>
      <c r="L73" s="10"/>
      <c r="M73" s="93"/>
      <c r="N73" s="93"/>
      <c r="O73" s="93"/>
      <c r="P73" s="43">
        <f>P71-P72</f>
        <v>62679816.109837532</v>
      </c>
      <c r="Q73" s="10"/>
      <c r="R73" s="10"/>
    </row>
    <row r="74" spans="2:18">
      <c r="B74" s="3" t="s">
        <v>953</v>
      </c>
      <c r="D74" s="3" t="s">
        <v>189</v>
      </c>
      <c r="K74" s="10"/>
      <c r="L74" s="10"/>
      <c r="M74" s="93"/>
      <c r="N74" s="93"/>
      <c r="O74" s="93"/>
      <c r="P74" s="42">
        <f>P73</f>
        <v>62679816.109837532</v>
      </c>
      <c r="Q74" s="10"/>
      <c r="R74" s="10"/>
    </row>
    <row r="75" spans="2:18">
      <c r="B75" s="3" t="s">
        <v>954</v>
      </c>
      <c r="D75" s="3" t="s">
        <v>189</v>
      </c>
      <c r="K75" s="10"/>
      <c r="L75" s="10"/>
      <c r="M75" s="10"/>
      <c r="N75" s="10"/>
      <c r="O75" s="93"/>
      <c r="P75" s="93"/>
      <c r="Q75" s="93"/>
      <c r="R75" s="51">
        <f>P74*INDEX(R$39:R$45,R$10-2021)</f>
        <v>68446359.191942587</v>
      </c>
    </row>
    <row r="77" spans="2:18" s="8" customFormat="1" ht="13">
      <c r="B77" s="8" t="s">
        <v>955</v>
      </c>
    </row>
    <row r="79" spans="2:18">
      <c r="B79" s="3" t="s">
        <v>956</v>
      </c>
      <c r="D79" s="3" t="s">
        <v>189</v>
      </c>
      <c r="K79" s="10"/>
      <c r="L79" s="10"/>
      <c r="M79" s="95"/>
      <c r="N79" s="95"/>
      <c r="O79" s="95"/>
      <c r="P79" s="52">
        <f>_xlfn.XLOOKUP(P10,Omzet[Jaar],Omzet[Overboek- en terugkoopregeling])</f>
        <v>14646611.33</v>
      </c>
      <c r="Q79" s="10"/>
      <c r="R79" s="10"/>
    </row>
    <row r="80" spans="2:18">
      <c r="B80" s="3" t="s">
        <v>957</v>
      </c>
      <c r="D80" s="3" t="s">
        <v>189</v>
      </c>
      <c r="K80" s="10"/>
      <c r="L80" s="10"/>
      <c r="M80" s="95"/>
      <c r="N80" s="95"/>
      <c r="O80" s="95"/>
      <c r="P80" s="47">
        <f>-P79*50%</f>
        <v>-7323305.665</v>
      </c>
      <c r="Q80" s="10"/>
      <c r="R80" s="10"/>
    </row>
    <row r="81" spans="2:20">
      <c r="B81" s="3" t="s">
        <v>953</v>
      </c>
      <c r="D81" s="3" t="s">
        <v>189</v>
      </c>
      <c r="K81" s="10"/>
      <c r="L81" s="10"/>
      <c r="M81" s="95"/>
      <c r="N81" s="95"/>
      <c r="O81" s="95"/>
      <c r="P81" s="52">
        <f>P80</f>
        <v>-7323305.665</v>
      </c>
      <c r="Q81" s="10"/>
      <c r="R81" s="10"/>
    </row>
    <row r="82" spans="2:20">
      <c r="B82" s="3" t="s">
        <v>954</v>
      </c>
      <c r="D82" s="3" t="s">
        <v>189</v>
      </c>
      <c r="K82" s="10"/>
      <c r="L82" s="10"/>
      <c r="M82" s="10"/>
      <c r="N82" s="10"/>
      <c r="O82" s="93"/>
      <c r="P82" s="93"/>
      <c r="Q82" s="93"/>
      <c r="R82" s="51">
        <f>P81*INDEX(R$39:R$45,R$10-2021)</f>
        <v>-7997049.7861800008</v>
      </c>
    </row>
    <row r="84" spans="2:20" s="8" customFormat="1" ht="13">
      <c r="B84" s="8" t="s">
        <v>443</v>
      </c>
    </row>
    <row r="86" spans="2:20">
      <c r="B86" s="3" t="s">
        <v>958</v>
      </c>
      <c r="D86" s="3" t="s">
        <v>189</v>
      </c>
      <c r="K86" s="10"/>
      <c r="L86" s="10"/>
      <c r="M86" s="10"/>
      <c r="N86" s="93"/>
      <c r="O86" s="93"/>
      <c r="P86" s="289"/>
      <c r="Q86" s="164">
        <f>'4. Input nacalculaties'!R15</f>
        <v>0</v>
      </c>
      <c r="R86" s="10"/>
    </row>
    <row r="87" spans="2:20">
      <c r="B87" s="3" t="s">
        <v>959</v>
      </c>
      <c r="D87" s="3" t="s">
        <v>189</v>
      </c>
      <c r="K87" s="10"/>
      <c r="L87" s="10"/>
      <c r="M87" s="10"/>
      <c r="N87" s="10"/>
      <c r="O87" s="93"/>
      <c r="P87" s="93"/>
      <c r="Q87" s="93"/>
      <c r="R87" s="43">
        <f>Q86*R45</f>
        <v>0</v>
      </c>
    </row>
    <row r="88" spans="2:20">
      <c r="B88" s="3" t="s">
        <v>822</v>
      </c>
      <c r="D88" s="3" t="s">
        <v>189</v>
      </c>
      <c r="K88" s="10"/>
      <c r="L88" s="10"/>
      <c r="M88" s="289"/>
      <c r="N88" s="289"/>
      <c r="O88" s="289"/>
      <c r="P88" s="164">
        <f>_xlfn.XLOOKUP(P10,Omzet[Jaar],Omzet[Veilinggelden])</f>
        <v>4689355.4799999995</v>
      </c>
      <c r="Q88" s="10"/>
      <c r="R88" s="10"/>
    </row>
    <row r="89" spans="2:20">
      <c r="B89" s="3" t="s">
        <v>960</v>
      </c>
      <c r="D89" s="3" t="s">
        <v>189</v>
      </c>
      <c r="K89" s="10"/>
      <c r="L89" s="10"/>
      <c r="M89" s="10"/>
      <c r="N89" s="10"/>
      <c r="O89" s="93"/>
      <c r="P89" s="93"/>
      <c r="Q89" s="93"/>
      <c r="R89" s="43">
        <f>P88*INDEX(R$39:R$45,R$10-2021)</f>
        <v>5120776.1841599997</v>
      </c>
    </row>
    <row r="90" spans="2:20">
      <c r="B90" s="3" t="s">
        <v>961</v>
      </c>
      <c r="D90" s="3" t="s">
        <v>189</v>
      </c>
      <c r="K90" s="10"/>
      <c r="L90" s="10"/>
      <c r="M90" s="10"/>
      <c r="N90" s="10"/>
      <c r="O90" s="93"/>
      <c r="P90" s="93"/>
      <c r="Q90" s="93"/>
      <c r="R90" s="43">
        <f>R87+R89</f>
        <v>5120776.1841599997</v>
      </c>
    </row>
    <row r="91" spans="2:20">
      <c r="B91" s="3" t="s">
        <v>1148</v>
      </c>
      <c r="D91" s="3" t="s">
        <v>189</v>
      </c>
      <c r="K91" s="10"/>
      <c r="L91" s="10"/>
      <c r="M91" s="10"/>
      <c r="N91" s="10"/>
      <c r="O91" s="93"/>
      <c r="P91" s="93"/>
      <c r="Q91" s="93"/>
      <c r="R91" s="42">
        <f>'4. Input nacalculaties'!S17</f>
        <v>0</v>
      </c>
    </row>
    <row r="92" spans="2:20">
      <c r="B92" s="3" t="s">
        <v>447</v>
      </c>
      <c r="D92" s="3" t="s">
        <v>189</v>
      </c>
      <c r="K92" s="10"/>
      <c r="L92" s="10"/>
      <c r="M92" s="10"/>
      <c r="N92" s="10"/>
      <c r="O92" s="93"/>
      <c r="P92" s="93"/>
      <c r="Q92" s="93"/>
      <c r="R92" s="51">
        <f>'4. Input nacalculaties'!S18</f>
        <v>-5120776.1841599997</v>
      </c>
      <c r="T92" s="13"/>
    </row>
    <row r="93" spans="2:20">
      <c r="B93" s="3" t="s">
        <v>962</v>
      </c>
      <c r="D93" s="3" t="s">
        <v>189</v>
      </c>
      <c r="K93" s="10"/>
      <c r="L93" s="10"/>
      <c r="M93" s="10"/>
      <c r="N93" s="10"/>
      <c r="O93" s="93"/>
      <c r="P93" s="93"/>
      <c r="Q93" s="93"/>
      <c r="R93" s="43">
        <f>R90+R92</f>
        <v>0</v>
      </c>
    </row>
    <row r="95" spans="2:20" s="8" customFormat="1" ht="13">
      <c r="B95" s="8" t="s">
        <v>963</v>
      </c>
    </row>
    <row r="97" spans="2:18">
      <c r="B97" s="3" t="s">
        <v>823</v>
      </c>
      <c r="D97" s="3" t="s">
        <v>189</v>
      </c>
      <c r="K97" s="10"/>
      <c r="L97" s="10"/>
      <c r="M97" s="95"/>
      <c r="N97" s="95"/>
      <c r="O97" s="95"/>
      <c r="P97" s="52">
        <f>_xlfn.XLOOKUP(P10,Omzet[Jaar],Omzet[Saldo administratieve onbalans])</f>
        <v>-47704132.830000006</v>
      </c>
      <c r="Q97" s="10"/>
      <c r="R97" s="10"/>
    </row>
    <row r="98" spans="2:18">
      <c r="B98" s="3" t="s">
        <v>953</v>
      </c>
      <c r="D98" s="3" t="s">
        <v>189</v>
      </c>
      <c r="K98" s="10"/>
      <c r="L98" s="10"/>
      <c r="M98" s="95"/>
      <c r="N98" s="95"/>
      <c r="O98" s="95"/>
      <c r="P98" s="47">
        <f>-P97</f>
        <v>47704132.830000006</v>
      </c>
      <c r="Q98" s="10"/>
      <c r="R98" s="10"/>
    </row>
    <row r="99" spans="2:18">
      <c r="B99" s="3" t="s">
        <v>954</v>
      </c>
      <c r="D99" s="3" t="s">
        <v>189</v>
      </c>
      <c r="K99" s="10"/>
      <c r="L99" s="10"/>
      <c r="M99" s="10"/>
      <c r="N99" s="10"/>
      <c r="O99" s="93"/>
      <c r="P99" s="95"/>
      <c r="Q99" s="93"/>
      <c r="R99" s="51">
        <f>P98*INDEX(R$39:R$45,R$10-2021)</f>
        <v>52092913.050360009</v>
      </c>
    </row>
    <row r="101" spans="2:18" s="8" customFormat="1" ht="13">
      <c r="B101" s="8" t="s">
        <v>964</v>
      </c>
    </row>
    <row r="103" spans="2:18">
      <c r="B103" s="3" t="s">
        <v>457</v>
      </c>
      <c r="D103" s="3" t="s">
        <v>189</v>
      </c>
      <c r="K103" s="52">
        <f>'4. Input nacalculaties'!L32</f>
        <v>2227061.457252</v>
      </c>
      <c r="L103" s="10"/>
      <c r="M103" s="10"/>
      <c r="N103" s="10"/>
      <c r="O103" s="10"/>
      <c r="P103" s="10"/>
      <c r="Q103" s="10"/>
      <c r="R103" s="10"/>
    </row>
    <row r="104" spans="2:18">
      <c r="B104" s="3" t="s">
        <v>965</v>
      </c>
      <c r="D104" s="3" t="s">
        <v>189</v>
      </c>
      <c r="K104" s="10"/>
      <c r="L104" s="10"/>
      <c r="M104" s="47">
        <f>$K$103*M18*M30</f>
        <v>2291915.0394875272</v>
      </c>
      <c r="N104" s="47">
        <f>$K$103*N18*N30</f>
        <v>2424277.7168480111</v>
      </c>
      <c r="O104" s="47">
        <f>$K$103*O18*O30</f>
        <v>2607747.0544590689</v>
      </c>
      <c r="P104" s="47">
        <f>$K$103*P18*P30</f>
        <v>2670040.9160959874</v>
      </c>
      <c r="Q104" s="47">
        <f>$K$103*Q18*Q30</f>
        <v>2760416.4610240045</v>
      </c>
      <c r="R104" s="95"/>
    </row>
    <row r="105" spans="2:18">
      <c r="B105" s="3" t="s">
        <v>966</v>
      </c>
      <c r="D105" s="3" t="s">
        <v>189</v>
      </c>
      <c r="K105" s="10"/>
      <c r="L105" s="10"/>
      <c r="M105" s="289"/>
      <c r="N105" s="289"/>
      <c r="O105" s="289"/>
      <c r="P105" s="164" cm="1">
        <f t="array" ref="P105" xml:space="preserve"> _xlfn.XLOOKUP(
         "Ontmantelingskosten desinvesteringen" &amp; P10,
         Operationele_kosten[Subcategorie] &amp; Operationele_kosten[Jaar],
         Operationele_kosten[TT/BT/AT] + Operationele_kosten[KC]
   )</f>
        <v>37082706.710000001</v>
      </c>
      <c r="Q105" s="10"/>
      <c r="R105" s="10"/>
    </row>
    <row r="106" spans="2:18">
      <c r="B106" s="3" t="s">
        <v>954</v>
      </c>
      <c r="D106" s="3" t="s">
        <v>189</v>
      </c>
      <c r="K106" s="10"/>
      <c r="L106" s="10"/>
      <c r="M106" s="10"/>
      <c r="N106" s="10"/>
      <c r="O106" s="93"/>
      <c r="P106" s="93"/>
      <c r="Q106" s="93"/>
      <c r="R106" s="51">
        <f>(P105-P104)*INDEX(R$39:R$45,R$10-2021)</f>
        <v>37578631.046943188</v>
      </c>
    </row>
    <row r="108" spans="2:18" s="8" customFormat="1" ht="13">
      <c r="B108" s="8" t="s">
        <v>471</v>
      </c>
    </row>
    <row r="110" spans="2:18">
      <c r="B110" s="3" t="s">
        <v>916</v>
      </c>
      <c r="D110" s="3" t="s">
        <v>189</v>
      </c>
      <c r="K110" s="42">
        <f>'19. Indexatie desinvesteringen'!D1683</f>
        <v>37758981.056281559</v>
      </c>
      <c r="L110" s="42">
        <f>'19. Indexatie desinvesteringen'!E1683</f>
        <v>38763732.819702528</v>
      </c>
      <c r="M110" s="42">
        <f>'19. Indexatie desinvesteringen'!F1683</f>
        <v>22960381.53917243</v>
      </c>
      <c r="N110" s="42">
        <f>'19. Indexatie desinvesteringen'!G1683</f>
        <v>58023959.745093741</v>
      </c>
      <c r="O110" s="42">
        <f>'19. Indexatie desinvesteringen'!H1683</f>
        <v>240087476.54390535</v>
      </c>
      <c r="P110" s="42">
        <f>'19. Indexatie desinvesteringen'!I1683</f>
        <v>28614078.397007521</v>
      </c>
      <c r="Q110" s="10"/>
      <c r="R110" s="10"/>
    </row>
    <row r="111" spans="2:18">
      <c r="B111" s="3" t="s">
        <v>917</v>
      </c>
      <c r="D111" s="3" t="s">
        <v>189</v>
      </c>
      <c r="K111" s="42">
        <f>'19. Indexatie desinvesteringen'!D1684</f>
        <v>27912770.687367041</v>
      </c>
      <c r="L111" s="42">
        <f>'19. Indexatie desinvesteringen'!E1684</f>
        <v>152460325.70788148</v>
      </c>
      <c r="M111" s="42">
        <f>'19. Indexatie desinvesteringen'!F1684</f>
        <v>18326404.223966755</v>
      </c>
      <c r="N111" s="42">
        <f>'19. Indexatie desinvesteringen'!G1684</f>
        <v>56904952.296988726</v>
      </c>
      <c r="O111" s="42">
        <f>'19. Indexatie desinvesteringen'!H1684</f>
        <v>12059459.252509575</v>
      </c>
      <c r="P111" s="42">
        <f>'19. Indexatie desinvesteringen'!I1684</f>
        <v>34932650.601521671</v>
      </c>
      <c r="Q111" s="10"/>
      <c r="R111" s="10"/>
    </row>
    <row r="113" spans="2:18">
      <c r="B113" s="3" t="s">
        <v>967</v>
      </c>
      <c r="D113" s="3" t="s">
        <v>189</v>
      </c>
      <c r="K113" s="10"/>
      <c r="L113" s="10"/>
      <c r="M113" s="47">
        <f>$F$48*$K110*M$18*M$30*$F$51</f>
        <v>388585.48908389639</v>
      </c>
      <c r="N113" s="47">
        <f>$F$48*$K110*N$18*N$30*$F$51</f>
        <v>411027.07824946957</v>
      </c>
      <c r="O113" s="47">
        <f>$F$48*$K110*O$18*O$30*$F$51</f>
        <v>442133.60753138951</v>
      </c>
      <c r="P113" s="47">
        <f>$F$48*$K110*P$18*P$30*$F$51</f>
        <v>452695.29514809937</v>
      </c>
      <c r="Q113" s="47">
        <f>$F$48*$K110*Q$18*Q$30*$F$51</f>
        <v>468018.12549827225</v>
      </c>
      <c r="R113" s="95"/>
    </row>
    <row r="114" spans="2:18">
      <c r="B114" s="3" t="s">
        <v>968</v>
      </c>
      <c r="D114" s="3" t="s">
        <v>189</v>
      </c>
      <c r="K114" s="10"/>
      <c r="L114" s="10"/>
      <c r="M114" s="47">
        <f>$F$48*$K111*M$18*M$30</f>
        <v>287256.10029227083</v>
      </c>
      <c r="N114" s="47">
        <f>$F$48*$K111*N$18*N$30</f>
        <v>303845.71459635004</v>
      </c>
      <c r="O114" s="47">
        <f>$F$48*$K111*O$18*O$30</f>
        <v>326840.75827700185</v>
      </c>
      <c r="P114" s="47">
        <f>$F$48*$K111*P$18*P$30</f>
        <v>334648.33031072287</v>
      </c>
      <c r="Q114" s="47">
        <f>$F$48*$K111*Q$18*Q$30</f>
        <v>345975.50699508021</v>
      </c>
      <c r="R114" s="95"/>
    </row>
    <row r="115" spans="2:18">
      <c r="B115" s="3" t="s">
        <v>969</v>
      </c>
      <c r="D115" s="3" t="s">
        <v>189</v>
      </c>
      <c r="K115" s="10"/>
      <c r="L115" s="10"/>
      <c r="M115" s="47">
        <f>$F$48*$L110*M$19*M$31*$F$51</f>
        <v>393036.34090415348</v>
      </c>
      <c r="N115" s="47">
        <f>$F$48*$L110*N$19*N$31*$F$51</f>
        <v>415734.97566405014</v>
      </c>
      <c r="O115" s="47">
        <f>$F$48*$L110*O$19*O$31*$F$51</f>
        <v>447197.79862230545</v>
      </c>
      <c r="P115" s="47">
        <f>$F$48*$L110*P$19*P$31*$F$51</f>
        <v>457880.45963579509</v>
      </c>
      <c r="Q115" s="47">
        <f>$F$48*$L110*Q$19*Q$31*$F$51</f>
        <v>473378.79743354744</v>
      </c>
      <c r="R115" s="95"/>
    </row>
    <row r="116" spans="2:18">
      <c r="B116" s="3" t="s">
        <v>970</v>
      </c>
      <c r="D116" s="3" t="s">
        <v>189</v>
      </c>
      <c r="K116" s="10"/>
      <c r="L116" s="10"/>
      <c r="M116" s="47">
        <f>$F$48*$L111*M$19*M$31</f>
        <v>1545837.9312434087</v>
      </c>
      <c r="N116" s="47">
        <f>$F$48*$L111*N$19*N$31</f>
        <v>1635113.1634485777</v>
      </c>
      <c r="O116" s="47">
        <f>$F$48*$L111*O$19*O$31</f>
        <v>1758858.5276583664</v>
      </c>
      <c r="P116" s="47">
        <f>$F$48*$L111*P$19*P$31</f>
        <v>1800874.1401670694</v>
      </c>
      <c r="Q116" s="47">
        <f>$F$48*$L111*Q$19*Q$31</f>
        <v>1861830.1280634443</v>
      </c>
      <c r="R116" s="95"/>
    </row>
    <row r="117" spans="2:18">
      <c r="B117" s="3" t="s">
        <v>971</v>
      </c>
      <c r="D117" s="3" t="s">
        <v>189</v>
      </c>
      <c r="K117" s="10"/>
      <c r="L117" s="10"/>
      <c r="M117" s="47">
        <f>$F$48*$M110*M$20*M$32*$F$51</f>
        <v>229603.81539172429</v>
      </c>
      <c r="N117" s="47">
        <f>$F$48*$M110*N$20*N$32*$F$51</f>
        <v>242863.89493822717</v>
      </c>
      <c r="O117" s="47">
        <f>$F$48*$M110*O$20*O$32*$F$51</f>
        <v>261243.83450715223</v>
      </c>
      <c r="P117" s="47">
        <f>$F$48*$M110*P$20*P$32*$F$51</f>
        <v>267484.42722585908</v>
      </c>
      <c r="Q117" s="47">
        <f>$F$48*$M110*Q$20*Q$32*$F$51</f>
        <v>276538.24011859996</v>
      </c>
      <c r="R117" s="95"/>
    </row>
    <row r="118" spans="2:18">
      <c r="B118" s="3" t="s">
        <v>972</v>
      </c>
      <c r="D118" s="3" t="s">
        <v>189</v>
      </c>
      <c r="K118" s="10"/>
      <c r="L118" s="10"/>
      <c r="M118" s="47">
        <f>$F$48*$M111*M$20*M$32</f>
        <v>183264.04223966756</v>
      </c>
      <c r="N118" s="47">
        <f>$F$48*$M111*N$20*N$32</f>
        <v>193847.90720709285</v>
      </c>
      <c r="O118" s="47">
        <f>$F$48*$M111*O$20*O$32</f>
        <v>208518.31682452565</v>
      </c>
      <c r="P118" s="47">
        <f>$F$48*$M111*P$20*P$32</f>
        <v>213499.40237682991</v>
      </c>
      <c r="Q118" s="47">
        <f>$F$48*$M111*Q$20*Q$32</f>
        <v>220725.93014848087</v>
      </c>
      <c r="R118" s="95"/>
    </row>
    <row r="119" spans="2:18">
      <c r="B119" s="3" t="s">
        <v>973</v>
      </c>
      <c r="D119" s="3" t="s">
        <v>189</v>
      </c>
      <c r="K119" s="10"/>
      <c r="L119" s="10"/>
      <c r="M119" s="95"/>
      <c r="N119" s="47">
        <f>$F$48*$N110*N$21*N$33*$F$51</f>
        <v>580239.59745093738</v>
      </c>
      <c r="O119" s="47">
        <f>$F$48*$N110*O$21*O$33*$F$51</f>
        <v>624152.13018602435</v>
      </c>
      <c r="P119" s="47">
        <f>$F$48*$N110*P$21*P$33*$F$51</f>
        <v>639061.87627190806</v>
      </c>
      <c r="Q119" s="47">
        <f>$F$48*$N110*Q$21*Q$33*$F$51</f>
        <v>660692.84265995957</v>
      </c>
      <c r="R119" s="95"/>
    </row>
    <row r="120" spans="2:18">
      <c r="B120" s="3" t="s">
        <v>974</v>
      </c>
      <c r="D120" s="3" t="s">
        <v>189</v>
      </c>
      <c r="K120" s="10"/>
      <c r="L120" s="10"/>
      <c r="M120" s="95"/>
      <c r="N120" s="47">
        <f>$F$48*$N111*N$21*N$33</f>
        <v>569049.52296988724</v>
      </c>
      <c r="O120" s="47">
        <f>$F$48*$N111*O$21*O$33</f>
        <v>612115.19086824835</v>
      </c>
      <c r="P120" s="47">
        <f>$F$48*$N111*P$21*P$33</f>
        <v>626737.3985477091</v>
      </c>
      <c r="Q120" s="47">
        <f>$F$48*$N111*Q$21*Q$33</f>
        <v>647951.20601375191</v>
      </c>
      <c r="R120" s="95"/>
    </row>
    <row r="121" spans="2:18">
      <c r="B121" s="3" t="s">
        <v>975</v>
      </c>
      <c r="D121" s="3" t="s">
        <v>189</v>
      </c>
      <c r="K121" s="10"/>
      <c r="L121" s="10"/>
      <c r="M121" s="95"/>
      <c r="N121" s="95"/>
      <c r="O121" s="47">
        <f>$F$48*$O110*O$22*O$34*$F$51</f>
        <v>2400874.7654390535</v>
      </c>
      <c r="P121" s="47">
        <f>$F$48*$O110*P$22*P$34*$F$51</f>
        <v>2458226.8618358616</v>
      </c>
      <c r="Q121" s="47">
        <f>$F$48*$O110*Q$22*Q$34*$F$51</f>
        <v>2541432.9246552819</v>
      </c>
      <c r="R121" s="95"/>
    </row>
    <row r="122" spans="2:18">
      <c r="B122" s="3" t="s">
        <v>976</v>
      </c>
      <c r="D122" s="3" t="s">
        <v>189</v>
      </c>
      <c r="K122" s="10"/>
      <c r="L122" s="10"/>
      <c r="M122" s="95"/>
      <c r="N122" s="95"/>
      <c r="O122" s="47">
        <f>$F$48*$O111*O$22*O$34</f>
        <v>120594.59252509575</v>
      </c>
      <c r="P122" s="47">
        <f>$F$48*$O111*P$22*P$34</f>
        <v>123475.35615133523</v>
      </c>
      <c r="Q122" s="47">
        <f>$F$48*$O111*Q$22*Q$34</f>
        <v>127654.75000634564</v>
      </c>
      <c r="R122" s="95"/>
    </row>
    <row r="123" spans="2:18">
      <c r="B123" s="3" t="s">
        <v>1110</v>
      </c>
      <c r="D123" s="3" t="s">
        <v>189</v>
      </c>
      <c r="K123" s="10"/>
      <c r="L123" s="10"/>
      <c r="M123" s="95"/>
      <c r="N123" s="95"/>
      <c r="O123" s="95"/>
      <c r="P123" s="47">
        <f>$F$48*$P110*P$23*P$35*$F$51</f>
        <v>286140.78397007519</v>
      </c>
      <c r="Q123" s="47">
        <f>$F$48*$P110*Q$23*Q$35*$F$51</f>
        <v>295826.07722589432</v>
      </c>
      <c r="R123" s="95"/>
    </row>
    <row r="124" spans="2:18">
      <c r="B124" s="3" t="s">
        <v>1111</v>
      </c>
      <c r="D124" s="3" t="s">
        <v>189</v>
      </c>
      <c r="K124" s="10"/>
      <c r="L124" s="10"/>
      <c r="M124" s="95"/>
      <c r="N124" s="95"/>
      <c r="O124" s="95"/>
      <c r="P124" s="47">
        <f>$F$48*$P111*P$23*P$35</f>
        <v>349326.5060152167</v>
      </c>
      <c r="Q124" s="47">
        <f>$F$48*$P111*Q$23*Q$35</f>
        <v>361150.50959081977</v>
      </c>
      <c r="R124" s="95"/>
    </row>
    <row r="126" spans="2:18">
      <c r="B126" s="3" t="s">
        <v>977</v>
      </c>
      <c r="D126" s="3" t="s">
        <v>189</v>
      </c>
      <c r="K126" s="10"/>
      <c r="L126" s="10"/>
      <c r="M126" s="47">
        <f>-SUM(M113:M114)</f>
        <v>-675841.58937616716</v>
      </c>
      <c r="N126" s="47">
        <f>-SUM(N113:N116)</f>
        <v>-2765720.9319584472</v>
      </c>
      <c r="O126" s="174">
        <f>-(SUM(O113:O118)+SUM(M115:M118)*O41+SUM(N117:N118)*O42)</f>
        <v>-6393701.1689213878</v>
      </c>
      <c r="P126" s="47">
        <f>-(SUM(P113:P120)+SUM(N119:N120)*P42+SUM(O119:O120)*P43)</f>
        <v>-7394616.2964163581</v>
      </c>
      <c r="Q126" s="47">
        <f>-(SUM(Q113:Q122)+SUM(O121:O122)*Q43+SUM(P121:P122)*Q44)</f>
        <v>-13167856.604152044</v>
      </c>
      <c r="R126" s="174">
        <f>-(SUM(Q123:Q124)*R45+SUM(P123:P124)*R44)</f>
        <v>-1377185.9309533215</v>
      </c>
    </row>
    <row r="127" spans="2:18" ht="13">
      <c r="D127" s="2"/>
    </row>
    <row r="128" spans="2:18" s="8" customFormat="1" ht="13">
      <c r="B128" s="8" t="s">
        <v>472</v>
      </c>
    </row>
    <row r="130" spans="2:20">
      <c r="B130" s="3" t="s">
        <v>449</v>
      </c>
      <c r="D130" s="3" t="s">
        <v>189</v>
      </c>
      <c r="K130" s="10"/>
      <c r="L130" s="10"/>
      <c r="M130" s="52">
        <f>'4. Input nacalculaties'!N22</f>
        <v>5268139756.0391312</v>
      </c>
      <c r="N130" s="52">
        <f>'4. Input nacalculaties'!O22</f>
        <v>5115634665.0918875</v>
      </c>
      <c r="O130" s="52">
        <f>'4. Input nacalculaties'!P22</f>
        <v>4980890118.9719696</v>
      </c>
      <c r="P130" s="52">
        <f>'4. Input nacalculaties'!Q22</f>
        <v>4857675740.1304922</v>
      </c>
      <c r="Q130" s="52">
        <f>'4. Input nacalculaties'!R22</f>
        <v>4748752834.5466137</v>
      </c>
      <c r="R130" s="95"/>
    </row>
    <row r="131" spans="2:20">
      <c r="B131" s="3" t="s">
        <v>451</v>
      </c>
      <c r="D131" s="3" t="s">
        <v>189</v>
      </c>
      <c r="K131" s="10"/>
      <c r="L131" s="10"/>
      <c r="M131" s="52">
        <f>'4. Input nacalculaties'!N23</f>
        <v>1236767462.5833061</v>
      </c>
      <c r="N131" s="52">
        <f>'4. Input nacalculaties'!O23</f>
        <v>1207881645.0947828</v>
      </c>
      <c r="O131" s="52">
        <f>'4. Input nacalculaties'!P23</f>
        <v>1182417569.8607492</v>
      </c>
      <c r="P131" s="52">
        <f>'4. Input nacalculaties'!Q23</f>
        <v>1160937568.2311876</v>
      </c>
      <c r="Q131" s="52">
        <f>'4. Input nacalculaties'!R23</f>
        <v>1143786642.7114766</v>
      </c>
      <c r="R131" s="95"/>
    </row>
    <row r="132" spans="2:20">
      <c r="B132" s="3" t="s">
        <v>978</v>
      </c>
      <c r="D132" s="3" t="s">
        <v>189</v>
      </c>
      <c r="K132" s="10"/>
      <c r="L132" s="10"/>
      <c r="M132" s="52">
        <f>SUM('17. Nacalculatie bijschatten'!AN61:AN200)</f>
        <v>583544072.88691294</v>
      </c>
      <c r="N132" s="52">
        <f>SUM('17. Nacalculatie bijschatten'!AO61:AO200)</f>
        <v>757686269.26272178</v>
      </c>
      <c r="O132" s="52">
        <f>SUM('17. Nacalculatie bijschatten'!AP61:AP200)</f>
        <v>923791317.77928603</v>
      </c>
      <c r="P132" s="52">
        <f>SUM('17. Nacalculatie bijschatten'!AQ61:AQ200)</f>
        <v>1083407630.1572626</v>
      </c>
      <c r="Q132" s="52">
        <f>SUM('17. Nacalculatie bijschatten'!AR61:AR200)</f>
        <v>1238003822.5213494</v>
      </c>
      <c r="R132" s="95"/>
    </row>
    <row r="133" spans="2:20">
      <c r="B133" s="3" t="s">
        <v>979</v>
      </c>
      <c r="D133" s="3" t="s">
        <v>189</v>
      </c>
      <c r="K133" s="10"/>
      <c r="L133" s="10"/>
      <c r="M133" s="52">
        <f>SUM('17. Nacalculatie bijschatten'!AN217:AN339)</f>
        <v>254422748.43621174</v>
      </c>
      <c r="N133" s="52">
        <f>SUM('17. Nacalculatie bijschatten'!AO217:AO339)</f>
        <v>304872520.13231742</v>
      </c>
      <c r="O133" s="52">
        <f>SUM('17. Nacalculatie bijschatten'!AP217:AP339)</f>
        <v>382962958.19935697</v>
      </c>
      <c r="P133" s="52">
        <f>SUM('17. Nacalculatie bijschatten'!AQ217:AQ339)</f>
        <v>476177427.8962875</v>
      </c>
      <c r="Q133" s="52">
        <f>SUM('17. Nacalculatie bijschatten'!AR217:AR339)</f>
        <v>459285670.17516762</v>
      </c>
      <c r="R133" s="95"/>
    </row>
    <row r="134" spans="2:20">
      <c r="B134" s="3" t="s">
        <v>980</v>
      </c>
      <c r="D134" s="3" t="s">
        <v>189</v>
      </c>
      <c r="K134" s="10"/>
      <c r="L134" s="10"/>
      <c r="M134" s="52">
        <f>SUMIF('16. WUI &amp; ombouwtaak'!$J60:'16. WUI &amp; ombouwtaak'!$J98,"WUI",'16. WUI &amp; ombouwtaak'!AP60:'16. WUI &amp; ombouwtaak'!AP98)</f>
        <v>0</v>
      </c>
      <c r="N134" s="52">
        <f>SUMIF('16. WUI &amp; ombouwtaak'!$J60:'16. WUI &amp; ombouwtaak'!$J98,"WUI",'16. WUI &amp; ombouwtaak'!AQ60:'16. WUI &amp; ombouwtaak'!AQ98)</f>
        <v>185354192.34279776</v>
      </c>
      <c r="O134" s="52">
        <f>SUMIF('16. WUI &amp; ombouwtaak'!$J60:'16. WUI &amp; ombouwtaak'!$J98,"WUI",'16. WUI &amp; ombouwtaak'!AR60:'16. WUI &amp; ombouwtaak'!AR98)</f>
        <v>643438493.0658437</v>
      </c>
      <c r="P134" s="52">
        <f>SUMIF('16. WUI &amp; ombouwtaak'!$J60:'16. WUI &amp; ombouwtaak'!$J98,"WUI",'16. WUI &amp; ombouwtaak'!AS60:'16. WUI &amp; ombouwtaak'!AS98)</f>
        <v>620665278.16308951</v>
      </c>
      <c r="Q134" s="52">
        <f>SUMIF('16. WUI &amp; ombouwtaak'!$J60:'16. WUI &amp; ombouwtaak'!$J98,"WUI",'16. WUI &amp; ombouwtaak'!AT60:'16. WUI &amp; ombouwtaak'!AT98)</f>
        <v>589814587.27318549</v>
      </c>
      <c r="R134" s="95"/>
    </row>
    <row r="135" spans="2:20">
      <c r="B135" s="3" t="s">
        <v>981</v>
      </c>
      <c r="D135" s="3" t="s">
        <v>189</v>
      </c>
      <c r="K135" s="10"/>
      <c r="L135" s="10"/>
      <c r="M135" s="52">
        <f>SUMIF('16. WUI &amp; ombouwtaak'!$K60:'16. WUI &amp; ombouwtaak'!$K98,"Ja",'16. WUI &amp; ombouwtaak'!AP60:'16. WUI &amp; ombouwtaak'!AP98)</f>
        <v>12135578.180691097</v>
      </c>
      <c r="N135" s="52">
        <f>SUMIF('16. WUI &amp; ombouwtaak'!$K60:'16. WUI &amp; ombouwtaak'!$K98,"Ja",'16. WUI &amp; ombouwtaak'!AQ60:'16. WUI &amp; ombouwtaak'!AQ98)</f>
        <v>18542334.539458171</v>
      </c>
      <c r="O135" s="52">
        <f>SUMIF('16. WUI &amp; ombouwtaak'!$K60:'16. WUI &amp; ombouwtaak'!$K98,"Ja",'16. WUI &amp; ombouwtaak'!AR60:'16. WUI &amp; ombouwtaak'!AR98)</f>
        <v>58239065.176133528</v>
      </c>
      <c r="P135" s="52">
        <f>SUMIF('16. WUI &amp; ombouwtaak'!$K60:'16. WUI &amp; ombouwtaak'!$K98,"Ja",'16. WUI &amp; ombouwtaak'!AS60:'16. WUI &amp; ombouwtaak'!AS98)</f>
        <v>113349574.85160112</v>
      </c>
      <c r="Q135" s="52">
        <f>SUMIF('16. WUI &amp; ombouwtaak'!$K60:'16. WUI &amp; ombouwtaak'!$K98,"Ja",'16. WUI &amp; ombouwtaak'!AT60:'16. WUI &amp; ombouwtaak'!AT98)</f>
        <v>110346400.79626146</v>
      </c>
      <c r="R135" s="95"/>
    </row>
    <row r="136" spans="2:20">
      <c r="B136" s="3" t="s">
        <v>982</v>
      </c>
      <c r="D136" s="3" t="s">
        <v>189</v>
      </c>
      <c r="K136" s="10"/>
      <c r="L136" s="10"/>
      <c r="M136" s="10"/>
      <c r="N136" s="52">
        <f>SUMIF('18. Nacalculatie desinv.'!$H$52:$H$521,"&lt;"&amp;N10,'18. Nacalculatie desinv.'!AI52:AI521)</f>
        <v>2577836.9558432451</v>
      </c>
      <c r="O136" s="52">
        <f>SUMIF('18. Nacalculatie desinv.'!$H$52:$H$521,"&lt;"&amp;O10,'18. Nacalculatie desinv.'!AJ52:AJ521)</f>
        <v>17942316.745205738</v>
      </c>
      <c r="P136" s="52">
        <f>SUMIF('18. Nacalculatie desinv.'!$H$52:$H$521,"&lt;"&amp;P10,'18. Nacalculatie desinv.'!AK52:AK521)</f>
        <v>54445535.207264893</v>
      </c>
      <c r="Q136" s="52">
        <f>SUMIF('18. Nacalculatie desinv.'!$H$52:$H$521,"&lt;"&amp;Q10,'18. Nacalculatie desinv.'!AL52:AL521)</f>
        <v>55502008.351934016</v>
      </c>
      <c r="R136" s="95"/>
    </row>
    <row r="137" spans="2:20">
      <c r="B137" s="3" t="s">
        <v>983</v>
      </c>
      <c r="D137" s="3" t="s">
        <v>189</v>
      </c>
      <c r="K137" s="10"/>
      <c r="L137" s="10"/>
      <c r="M137" s="52">
        <f>SUM('22. Correctie assetoverdracht'!AD307:AD549)</f>
        <v>175619169.84408131</v>
      </c>
      <c r="N137" s="52">
        <f>SUM('22. Correctie assetoverdracht'!AE307:AE549)</f>
        <v>148841369.24125001</v>
      </c>
      <c r="O137" s="52">
        <f>SUM('22. Correctie assetoverdracht'!AF307:AF549)</f>
        <v>125733839.90927796</v>
      </c>
      <c r="P137" s="52">
        <f>SUM('22. Correctie assetoverdracht'!AG307:AG549)</f>
        <v>107155312.15046735</v>
      </c>
      <c r="Q137" s="52">
        <f>SUM('22. Correctie assetoverdracht'!AH307:AH549)</f>
        <v>92951486.785070807</v>
      </c>
      <c r="R137" s="95"/>
    </row>
    <row r="138" spans="2:20">
      <c r="B138" s="3" t="s">
        <v>984</v>
      </c>
      <c r="D138" s="3" t="s">
        <v>189</v>
      </c>
      <c r="K138" s="10"/>
      <c r="L138" s="10"/>
      <c r="M138" s="52">
        <f>SUM('22. Correctie assetoverdracht'!V555:V797)+SUM('22. Correctie assetoverdracht'!Q803:Q869)</f>
        <v>196919651.58165225</v>
      </c>
      <c r="N138" s="52">
        <f>SUM('22. Correctie assetoverdracht'!W555:W797)+SUM('22. Correctie assetoverdracht'!R803:R869)</f>
        <v>174852577.48214272</v>
      </c>
      <c r="O138" s="52">
        <f>SUM('22. Correctie assetoverdracht'!X555:X797)+SUM('22. Correctie assetoverdracht'!S803:S869)</f>
        <v>209152753.64445969</v>
      </c>
      <c r="P138" s="52">
        <f>SUM('22. Correctie assetoverdracht'!Y555:Y797)+SUM('22. Correctie assetoverdracht'!T803:T869)</f>
        <v>213229743.62829107</v>
      </c>
      <c r="Q138" s="52">
        <f>SUM('22. Correctie assetoverdracht'!Z555:Z797)+SUM('22. Correctie assetoverdracht'!U803:U869)</f>
        <v>184134292.03661731</v>
      </c>
      <c r="R138" s="95"/>
    </row>
    <row r="139" spans="2:20">
      <c r="B139" s="3" t="s">
        <v>954</v>
      </c>
      <c r="D139" s="3" t="s">
        <v>189</v>
      </c>
      <c r="K139" s="10"/>
      <c r="L139" s="10"/>
      <c r="M139" s="10"/>
      <c r="N139" s="10"/>
      <c r="O139" s="43">
        <f>(M130+M131-M132+M133+M134+M135)*(M55-M54)*O41</f>
        <v>45949029.685100175</v>
      </c>
      <c r="P139" s="174">
        <f>(N130+N131-N132+N133+N134+N135-N136-N137+N138)*(N55-N54)*P42+(-M136-M137+M138)*(M55-M54)*P41</f>
        <v>122315270.04842561</v>
      </c>
      <c r="Q139" s="43">
        <f>(O130+O131-O132+O133+O134+O135-O136-O137+O138)*(O55-O54)*Q43</f>
        <v>93323791.857641906</v>
      </c>
      <c r="R139" s="51">
        <f>(P130+P131-P132+P133+P134+P135-P136-P137+P138)*(P55-P54)*R44</f>
        <v>115041606.54338491</v>
      </c>
      <c r="T139" s="3" t="s">
        <v>985</v>
      </c>
    </row>
    <row r="141" spans="2:20" s="8" customFormat="1" ht="13">
      <c r="B141" s="8" t="s">
        <v>466</v>
      </c>
    </row>
    <row r="143" spans="2:20">
      <c r="B143" s="3" t="s">
        <v>986</v>
      </c>
      <c r="D143" s="3" t="s">
        <v>189</v>
      </c>
      <c r="K143" s="116"/>
      <c r="L143" s="116"/>
      <c r="M143" s="93"/>
      <c r="N143" s="303"/>
      <c r="O143" s="303"/>
      <c r="P143" s="302">
        <f xml:space="preserve"> AVERAGE(
      ($H$58 + $H$59 + $H$60 * (1 - $F$67)) * P15 * P27,
      ($I$58 + $I$59 + $I$60 * (1 - $F$67)) * P16 * P28,
      ($J$58 + $J$59 + $J$60 * (1 - $F$67)) * P17 * P29
  )</f>
        <v>132063544.15060271</v>
      </c>
      <c r="Q143" s="10"/>
      <c r="R143" s="10"/>
    </row>
    <row r="144" spans="2:20">
      <c r="B144" s="3" t="s">
        <v>987</v>
      </c>
      <c r="D144" s="3" t="s">
        <v>189</v>
      </c>
      <c r="K144" s="116"/>
      <c r="L144" s="116"/>
      <c r="M144" s="95"/>
      <c r="N144" s="95"/>
      <c r="O144" s="303"/>
      <c r="P144" s="302">
        <f xml:space="preserve"> P143 - (P58 + P59 + P60 * (1 - $F$67))</f>
        <v>-57461206.6784973</v>
      </c>
      <c r="Q144" s="116"/>
      <c r="R144" s="116"/>
    </row>
    <row r="145" spans="2:18">
      <c r="B145" s="3" t="s">
        <v>988</v>
      </c>
      <c r="D145" s="3" t="s">
        <v>189</v>
      </c>
      <c r="K145" s="116"/>
      <c r="L145" s="116"/>
      <c r="M145" s="95"/>
      <c r="N145" s="95"/>
      <c r="O145" s="303"/>
      <c r="P145" s="302">
        <f>P144*$F$63</f>
        <v>-14365301.669624325</v>
      </c>
      <c r="Q145" s="116"/>
      <c r="R145" s="116"/>
    </row>
    <row r="146" spans="2:18">
      <c r="B146" s="3" t="s">
        <v>989</v>
      </c>
      <c r="D146" s="3" t="s">
        <v>189</v>
      </c>
      <c r="K146" s="116"/>
      <c r="L146" s="116"/>
      <c r="M146" s="95"/>
      <c r="N146" s="95"/>
      <c r="O146" s="303"/>
      <c r="P146" s="302">
        <f>IF(P144 &lt; 0, -$F$63 * $F$64 * P143, $F$63 * $F$64 * P143)</f>
        <v>-6603177.2075301362</v>
      </c>
      <c r="Q146" s="116"/>
      <c r="R146" s="116"/>
    </row>
    <row r="147" spans="2:18">
      <c r="B147" s="3" t="s">
        <v>990</v>
      </c>
      <c r="D147" s="3" t="s">
        <v>189</v>
      </c>
      <c r="K147" s="116"/>
      <c r="L147" s="116"/>
      <c r="M147" s="95"/>
      <c r="N147" s="95"/>
      <c r="O147" s="303"/>
      <c r="P147" s="302">
        <f>IF(P144&lt;0, MAX(P145,P146), MIN(P145,P146))</f>
        <v>-6603177.2075301362</v>
      </c>
      <c r="Q147" s="116"/>
      <c r="R147" s="116"/>
    </row>
    <row r="148" spans="2:18">
      <c r="B148" s="3" t="s">
        <v>991</v>
      </c>
      <c r="D148" s="3" t="s">
        <v>189</v>
      </c>
      <c r="K148" s="116"/>
      <c r="L148" s="116"/>
      <c r="M148" s="116"/>
      <c r="N148" s="303"/>
      <c r="O148" s="304"/>
      <c r="P148" s="304"/>
      <c r="Q148" s="303"/>
      <c r="R148" s="305">
        <f>-(P144-P147)*R44</f>
        <v>55536968.182296149</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796875" defaultRowHeight="12.5"/>
  <cols>
    <col min="1" max="1" width="2.54296875" style="199" customWidth="1"/>
    <col min="2" max="2" width="63.1796875" style="3" bestFit="1" customWidth="1"/>
    <col min="3" max="3" width="2.54296875" style="3" customWidth="1"/>
    <col min="4" max="4" width="16.54296875" style="3" customWidth="1"/>
    <col min="5" max="5" width="2.54296875" style="3" customWidth="1"/>
    <col min="6" max="6" width="21.54296875" style="3" customWidth="1"/>
    <col min="7" max="7" width="2.54296875" style="3" customWidth="1"/>
    <col min="8" max="8" width="22.453125" style="3" customWidth="1"/>
    <col min="9" max="9" width="18.54296875" style="3" bestFit="1" customWidth="1"/>
    <col min="10" max="10" width="16.54296875" style="3" bestFit="1" customWidth="1"/>
    <col min="11" max="17" width="14.54296875" style="3" customWidth="1"/>
    <col min="18" max="18" width="2.54296875" style="3" customWidth="1"/>
    <col min="19" max="23" width="13.54296875" style="199" customWidth="1"/>
    <col min="24" max="24" width="2.54296875" style="199" customWidth="1"/>
    <col min="25" max="29" width="13.54296875" style="199" customWidth="1"/>
    <col min="30" max="30" width="2.54296875" style="199" customWidth="1"/>
    <col min="31" max="31" width="14.54296875" style="199" customWidth="1"/>
    <col min="32" max="35" width="14.54296875" style="3" customWidth="1"/>
    <col min="36" max="36" width="2.54296875" style="3" customWidth="1"/>
    <col min="37" max="41" width="14.54296875" style="3" customWidth="1"/>
    <col min="42" max="16384" width="9.1796875" style="3"/>
  </cols>
  <sheetData>
    <row r="2" spans="1:31" s="12" customFormat="1" ht="18">
      <c r="B2" s="12" t="s">
        <v>992</v>
      </c>
    </row>
    <row r="3" spans="1:31">
      <c r="A3" s="3"/>
    </row>
    <row r="4" spans="1:31" ht="13">
      <c r="A4" s="3"/>
      <c r="B4" s="16" t="s">
        <v>183</v>
      </c>
      <c r="C4" s="2"/>
    </row>
    <row r="5" spans="1:31" ht="83.25" customHeight="1">
      <c r="A5" s="3"/>
      <c r="B5" s="352" t="s">
        <v>993</v>
      </c>
      <c r="C5" s="352"/>
      <c r="D5" s="352"/>
      <c r="F5" s="13"/>
    </row>
    <row r="6" spans="1:31">
      <c r="A6" s="3"/>
    </row>
    <row r="7" spans="1:31" ht="13">
      <c r="A7" s="3"/>
      <c r="B7" s="17" t="s">
        <v>140</v>
      </c>
    </row>
    <row r="8" spans="1:31" ht="41.25" customHeight="1">
      <c r="A8" s="3"/>
      <c r="B8" s="352" t="s">
        <v>994</v>
      </c>
      <c r="C8" s="352"/>
      <c r="D8" s="352"/>
    </row>
    <row r="10" spans="1:31" s="8" customFormat="1" ht="12.75" customHeight="1">
      <c r="B10" s="8" t="s">
        <v>143</v>
      </c>
    </row>
    <row r="12" spans="1:31" s="8" customFormat="1" ht="12.75" customHeight="1">
      <c r="B12" s="8" t="s">
        <v>995</v>
      </c>
      <c r="D12" s="8" t="s">
        <v>184</v>
      </c>
      <c r="F12" s="8" t="s">
        <v>185</v>
      </c>
      <c r="H12" s="46">
        <v>2022</v>
      </c>
      <c r="I12" s="46">
        <v>2023</v>
      </c>
      <c r="J12" s="46">
        <v>2024</v>
      </c>
      <c r="K12" s="46">
        <v>2025</v>
      </c>
      <c r="L12" s="46">
        <v>2026</v>
      </c>
      <c r="M12" s="46">
        <v>2027</v>
      </c>
      <c r="N12" s="8" t="s">
        <v>187</v>
      </c>
    </row>
    <row r="13" spans="1:31" ht="13">
      <c r="B13" s="2"/>
      <c r="C13" s="5"/>
      <c r="D13" s="5"/>
      <c r="E13" s="13"/>
      <c r="F13" s="13"/>
      <c r="G13" s="13"/>
      <c r="O13" s="199"/>
      <c r="P13" s="199"/>
      <c r="Q13" s="199"/>
      <c r="R13" s="199"/>
      <c r="AB13" s="3"/>
      <c r="AC13" s="3"/>
      <c r="AD13" s="3"/>
      <c r="AE13" s="3"/>
    </row>
    <row r="14" spans="1:31" ht="13">
      <c r="A14" s="219"/>
      <c r="B14" s="16" t="s">
        <v>191</v>
      </c>
      <c r="C14" s="5"/>
      <c r="D14" s="5"/>
      <c r="E14" s="13"/>
      <c r="F14" s="13"/>
      <c r="G14" s="13"/>
      <c r="O14" s="219"/>
      <c r="P14" s="219"/>
      <c r="Q14" s="219"/>
      <c r="R14" s="219"/>
      <c r="S14" s="219"/>
      <c r="T14" s="219"/>
      <c r="U14" s="219"/>
      <c r="V14" s="219"/>
      <c r="W14" s="219"/>
      <c r="X14" s="219"/>
      <c r="Y14" s="219"/>
      <c r="Z14" s="219"/>
      <c r="AA14" s="219"/>
      <c r="AB14" s="3"/>
      <c r="AC14" s="3"/>
      <c r="AD14" s="3"/>
      <c r="AE14" s="3"/>
    </row>
    <row r="15" spans="1:31">
      <c r="A15" s="219"/>
      <c r="B15" s="221" t="s">
        <v>996</v>
      </c>
      <c r="D15" s="3" t="s">
        <v>188</v>
      </c>
      <c r="F15" s="222"/>
      <c r="H15" s="229">
        <f>IF(ISBLANK('2. Parameters'!M23),'2. Parameters'!M19,'2. Parameters'!M23)</f>
        <v>4.1000000000000002E-2</v>
      </c>
      <c r="I15" s="229">
        <f>IF(ISBLANK('2. Parameters'!N23),'2. Parameters'!N19,'2. Parameters'!N23)</f>
        <v>5.0999999999999997E-2</v>
      </c>
      <c r="J15" s="229">
        <f>IF(ISBLANK('2. Parameters'!O23),'2. Parameters'!O19,'2. Parameters'!O23)</f>
        <v>5.0999999999999997E-2</v>
      </c>
      <c r="K15" s="229">
        <f>IF(ISBLANK('2. Parameters'!P23),'2. Parameters'!P19,'2. Parameters'!P23)</f>
        <v>5.5E-2</v>
      </c>
      <c r="L15" s="229">
        <f>IF(ISBLANK('2. Parameters'!Q23),'2. Parameters'!Q19,'2. Parameters'!Q23)</f>
        <v>3.7999999999999999E-2</v>
      </c>
      <c r="M15" s="210"/>
      <c r="N15" s="352"/>
      <c r="O15" s="352"/>
      <c r="P15" s="352"/>
      <c r="Q15" s="352"/>
      <c r="R15" s="352"/>
      <c r="S15" s="352"/>
      <c r="T15" s="352"/>
      <c r="U15" s="3"/>
      <c r="V15" s="3"/>
      <c r="W15" s="3"/>
      <c r="X15" s="3"/>
      <c r="Y15" s="3"/>
      <c r="Z15" s="3"/>
      <c r="AA15" s="3"/>
      <c r="AB15" s="3"/>
      <c r="AC15" s="3"/>
      <c r="AD15" s="3"/>
      <c r="AE15" s="3"/>
    </row>
    <row r="16" spans="1:31" ht="13">
      <c r="A16" s="219"/>
      <c r="B16" s="2"/>
      <c r="C16" s="5"/>
      <c r="D16" s="5"/>
      <c r="E16" s="13"/>
      <c r="F16" s="13"/>
      <c r="G16" s="13"/>
      <c r="O16" s="219"/>
      <c r="P16" s="219"/>
      <c r="Q16" s="219"/>
      <c r="R16" s="219"/>
      <c r="S16" s="219"/>
      <c r="T16" s="219"/>
      <c r="U16" s="219"/>
      <c r="V16" s="219"/>
      <c r="W16" s="219"/>
      <c r="X16" s="219"/>
      <c r="Y16" s="219"/>
      <c r="Z16" s="219"/>
      <c r="AA16" s="219"/>
      <c r="AB16" s="3"/>
      <c r="AC16" s="3"/>
      <c r="AD16" s="3"/>
      <c r="AE16" s="3"/>
    </row>
    <row r="17" spans="1:31" s="3" customFormat="1" ht="13">
      <c r="B17" s="2" t="s">
        <v>222</v>
      </c>
      <c r="H17" s="220"/>
      <c r="I17" s="220"/>
      <c r="J17" s="220"/>
      <c r="K17" s="220"/>
      <c r="L17" s="87"/>
    </row>
    <row r="18" spans="1:31" s="3" customFormat="1">
      <c r="B18" s="28" t="s">
        <v>210</v>
      </c>
      <c r="D18" s="3" t="s">
        <v>223</v>
      </c>
      <c r="H18" s="209">
        <f>'2. Parameters'!M71</f>
        <v>1</v>
      </c>
      <c r="I18" s="209">
        <f>'2. Parameters'!N71</f>
        <v>1.02</v>
      </c>
      <c r="J18" s="209">
        <f>'2. Parameters'!O71</f>
        <v>1.0608</v>
      </c>
      <c r="K18" s="209">
        <f>'2. Parameters'!P71</f>
        <v>1.1350560000000001</v>
      </c>
      <c r="L18" s="209">
        <f>'2. Parameters'!Q71</f>
        <v>1.1918088000000002</v>
      </c>
      <c r="M18" s="209">
        <f>'2. Parameters'!R71</f>
        <v>1.2394811520000002</v>
      </c>
    </row>
    <row r="19" spans="1:31" s="3" customFormat="1">
      <c r="B19" s="28" t="s">
        <v>211</v>
      </c>
      <c r="D19" s="3" t="s">
        <v>223</v>
      </c>
      <c r="H19" s="210"/>
      <c r="I19" s="209">
        <f>'2. Parameters'!N72</f>
        <v>1</v>
      </c>
      <c r="J19" s="209">
        <f>'2. Parameters'!O72</f>
        <v>1.04</v>
      </c>
      <c r="K19" s="209">
        <f>'2. Parameters'!P72</f>
        <v>1.1128</v>
      </c>
      <c r="L19" s="209">
        <f>'2. Parameters'!Q72</f>
        <v>1.1684400000000001</v>
      </c>
      <c r="M19" s="209">
        <f>'2. Parameters'!R72</f>
        <v>1.2151776000000003</v>
      </c>
    </row>
    <row r="20" spans="1:31" s="3" customFormat="1">
      <c r="B20" s="28" t="s">
        <v>212</v>
      </c>
      <c r="D20" s="3" t="s">
        <v>223</v>
      </c>
      <c r="H20" s="210"/>
      <c r="I20" s="210"/>
      <c r="J20" s="209">
        <f>'2. Parameters'!O73</f>
        <v>1</v>
      </c>
      <c r="K20" s="209">
        <f>'2. Parameters'!P73</f>
        <v>1.07</v>
      </c>
      <c r="L20" s="209">
        <f>'2. Parameters'!Q73</f>
        <v>1.1235000000000002</v>
      </c>
      <c r="M20" s="209">
        <f>'2. Parameters'!R73</f>
        <v>1.1684400000000001</v>
      </c>
    </row>
    <row r="21" spans="1:31" s="3" customFormat="1">
      <c r="B21" s="28" t="s">
        <v>213</v>
      </c>
      <c r="D21" s="3" t="s">
        <v>223</v>
      </c>
      <c r="H21" s="210"/>
      <c r="I21" s="210"/>
      <c r="J21" s="210"/>
      <c r="K21" s="209">
        <f>'2. Parameters'!P74</f>
        <v>1</v>
      </c>
      <c r="L21" s="209">
        <f>'2. Parameters'!Q74</f>
        <v>1.05</v>
      </c>
      <c r="M21" s="209">
        <f>'2. Parameters'!R74</f>
        <v>1.0920000000000001</v>
      </c>
    </row>
    <row r="22" spans="1:31" s="3" customFormat="1">
      <c r="B22" s="28" t="s">
        <v>214</v>
      </c>
      <c r="D22" s="3" t="s">
        <v>223</v>
      </c>
      <c r="H22" s="210"/>
      <c r="I22" s="210"/>
      <c r="J22" s="210"/>
      <c r="K22" s="210"/>
      <c r="L22" s="209">
        <f>'2. Parameters'!Q75</f>
        <v>1</v>
      </c>
      <c r="M22" s="209">
        <f>'2. Parameters'!R75</f>
        <v>1.04</v>
      </c>
    </row>
    <row r="23" spans="1:31" s="3" customFormat="1">
      <c r="H23" s="220"/>
      <c r="I23" s="220"/>
      <c r="J23" s="220"/>
      <c r="K23" s="220"/>
      <c r="L23" s="87"/>
    </row>
    <row r="24" spans="1:31" s="3" customFormat="1" ht="13">
      <c r="B24" s="2" t="s">
        <v>225</v>
      </c>
      <c r="H24" s="220"/>
      <c r="I24" s="220"/>
      <c r="J24" s="220"/>
      <c r="K24" s="220"/>
      <c r="L24" s="87"/>
    </row>
    <row r="25" spans="1:31" s="3" customFormat="1">
      <c r="B25" s="3" t="s">
        <v>225</v>
      </c>
      <c r="D25" s="3" t="s">
        <v>188</v>
      </c>
      <c r="F25" s="211">
        <f>'2. Parameters'!F83</f>
        <v>1.3</v>
      </c>
      <c r="H25" s="220"/>
      <c r="I25" s="220"/>
      <c r="J25" s="220"/>
      <c r="K25" s="220"/>
      <c r="L25" s="87"/>
    </row>
    <row r="26" spans="1:31" s="3" customFormat="1">
      <c r="H26" s="220"/>
      <c r="I26" s="220"/>
      <c r="J26" s="220"/>
      <c r="K26" s="220"/>
      <c r="L26" s="87"/>
    </row>
    <row r="27" spans="1:31" s="3" customFormat="1" ht="13">
      <c r="B27" s="2" t="s">
        <v>997</v>
      </c>
      <c r="H27" s="220"/>
      <c r="I27" s="220"/>
      <c r="J27" s="220"/>
      <c r="K27" s="220"/>
      <c r="L27" s="87"/>
    </row>
    <row r="28" spans="1:31" s="3" customFormat="1">
      <c r="B28" s="3" t="s">
        <v>997</v>
      </c>
      <c r="D28" s="3" t="s">
        <v>188</v>
      </c>
      <c r="F28" s="78">
        <f>'2. Parameters'!F87</f>
        <v>0.1</v>
      </c>
      <c r="H28" s="220"/>
      <c r="I28" s="220"/>
      <c r="J28" s="220"/>
      <c r="K28" s="220"/>
      <c r="L28" s="87"/>
    </row>
    <row r="29" spans="1:31" s="3" customFormat="1">
      <c r="H29" s="220"/>
      <c r="I29" s="220"/>
      <c r="J29" s="220"/>
      <c r="K29" s="220"/>
      <c r="L29" s="87"/>
    </row>
    <row r="30" spans="1:31" ht="13">
      <c r="A30" s="3"/>
      <c r="B30" s="2" t="s">
        <v>500</v>
      </c>
      <c r="O30" s="219"/>
      <c r="P30" s="219"/>
      <c r="Q30" s="219"/>
      <c r="R30" s="219"/>
      <c r="S30" s="219"/>
      <c r="T30" s="219"/>
      <c r="U30" s="219"/>
      <c r="V30" s="219"/>
      <c r="W30" s="219"/>
      <c r="X30" s="219"/>
      <c r="Y30" s="219"/>
      <c r="Z30" s="219"/>
      <c r="AA30" s="219"/>
      <c r="AB30" s="3"/>
      <c r="AC30" s="3"/>
      <c r="AD30" s="3"/>
      <c r="AE30" s="3"/>
    </row>
    <row r="31" spans="1:31">
      <c r="A31" s="3"/>
      <c r="B31" s="3" t="s">
        <v>500</v>
      </c>
      <c r="D31" s="3" t="s">
        <v>189</v>
      </c>
      <c r="H31" s="210"/>
      <c r="I31" s="210"/>
      <c r="J31" s="210"/>
      <c r="K31" s="212">
        <f>'6. Input incidentele corr. WQA'!O21</f>
        <v>545420.19400000002</v>
      </c>
      <c r="L31" s="210"/>
      <c r="O31" s="219"/>
      <c r="P31" s="219"/>
      <c r="Q31" s="219"/>
      <c r="R31" s="219"/>
      <c r="S31" s="219"/>
      <c r="T31" s="219"/>
      <c r="U31" s="219"/>
      <c r="V31" s="219"/>
      <c r="W31" s="219"/>
      <c r="X31" s="219"/>
      <c r="Y31" s="219"/>
      <c r="Z31" s="219"/>
      <c r="AA31" s="219"/>
      <c r="AB31" s="3"/>
      <c r="AC31" s="3"/>
      <c r="AD31" s="3"/>
      <c r="AE31" s="3"/>
    </row>
    <row r="32" spans="1:31">
      <c r="A32" s="3"/>
      <c r="O32" s="219"/>
      <c r="P32" s="219"/>
      <c r="Q32" s="219"/>
      <c r="R32" s="219"/>
      <c r="S32" s="219"/>
      <c r="T32" s="219"/>
      <c r="U32" s="219"/>
      <c r="V32" s="219"/>
      <c r="W32" s="219"/>
      <c r="X32" s="219"/>
      <c r="Y32" s="219"/>
      <c r="Z32" s="219"/>
      <c r="AA32" s="219"/>
      <c r="AB32" s="3"/>
      <c r="AC32" s="3"/>
      <c r="AD32" s="3"/>
      <c r="AE32" s="3"/>
    </row>
    <row r="33" spans="1:41" ht="13">
      <c r="A33" s="3"/>
      <c r="B33" s="2" t="s">
        <v>502</v>
      </c>
      <c r="O33" s="219"/>
      <c r="P33" s="219"/>
      <c r="Q33" s="219"/>
      <c r="R33" s="219"/>
      <c r="S33" s="219"/>
      <c r="T33" s="219"/>
      <c r="U33" s="219"/>
      <c r="V33" s="219"/>
      <c r="W33" s="219"/>
      <c r="X33" s="219"/>
      <c r="Y33" s="219"/>
      <c r="Z33" s="219"/>
      <c r="AA33" s="219"/>
      <c r="AB33" s="3"/>
      <c r="AC33" s="3"/>
      <c r="AD33" s="3"/>
      <c r="AE33" s="3"/>
    </row>
    <row r="34" spans="1:41">
      <c r="A34" s="3"/>
      <c r="B34" s="3" t="s">
        <v>502</v>
      </c>
      <c r="D34" s="3" t="s">
        <v>189</v>
      </c>
      <c r="H34" s="210"/>
      <c r="I34" s="210"/>
      <c r="J34" s="210"/>
      <c r="K34" s="212">
        <f>'6. Input incidentele corr. WQA'!O24</f>
        <v>3477699</v>
      </c>
      <c r="L34" s="210"/>
      <c r="O34" s="219"/>
      <c r="P34" s="219"/>
      <c r="Q34" s="219"/>
      <c r="R34" s="219"/>
      <c r="S34" s="219"/>
      <c r="T34" s="219"/>
      <c r="U34" s="219"/>
      <c r="V34" s="219"/>
      <c r="W34" s="219"/>
      <c r="X34" s="219"/>
      <c r="Y34" s="219"/>
      <c r="Z34" s="219"/>
      <c r="AA34" s="219"/>
      <c r="AB34" s="3"/>
      <c r="AC34" s="3"/>
      <c r="AD34" s="3"/>
      <c r="AE34" s="3"/>
    </row>
    <row r="35" spans="1:41" ht="13.5" customHeight="1">
      <c r="A35" s="219"/>
      <c r="S35" s="219"/>
      <c r="T35" s="219"/>
      <c r="U35" s="219"/>
      <c r="V35" s="219"/>
      <c r="W35" s="219"/>
      <c r="X35" s="219"/>
      <c r="Y35" s="219"/>
      <c r="Z35" s="219"/>
      <c r="AA35" s="219"/>
      <c r="AB35" s="219"/>
      <c r="AC35" s="219"/>
      <c r="AD35" s="219"/>
      <c r="AE35" s="219"/>
    </row>
    <row r="36" spans="1:41" s="33" customFormat="1" ht="12.75" customHeight="1">
      <c r="A36" s="96"/>
      <c r="B36" s="33" t="s">
        <v>998</v>
      </c>
      <c r="M36" s="33" t="s">
        <v>855</v>
      </c>
      <c r="S36" s="33" t="s">
        <v>999</v>
      </c>
      <c r="Y36" s="33" t="s">
        <v>857</v>
      </c>
      <c r="AE36" s="33" t="s">
        <v>858</v>
      </c>
      <c r="AK36" s="33" t="s">
        <v>859</v>
      </c>
    </row>
    <row r="37" spans="1:41" s="34" customFormat="1" ht="12.75" customHeight="1">
      <c r="A37" s="97"/>
      <c r="F37" s="34" t="s">
        <v>353</v>
      </c>
      <c r="H37" s="34" t="s">
        <v>275</v>
      </c>
      <c r="I37" s="34" t="s">
        <v>484</v>
      </c>
      <c r="K37" s="99" t="s">
        <v>1000</v>
      </c>
      <c r="L37" s="99"/>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19"/>
      <c r="S38" s="219"/>
      <c r="T38" s="219"/>
      <c r="U38" s="219"/>
      <c r="V38" s="219"/>
      <c r="W38" s="219"/>
      <c r="X38" s="219"/>
      <c r="Y38" s="219"/>
      <c r="Z38" s="219"/>
      <c r="AA38" s="219"/>
      <c r="AB38" s="219"/>
      <c r="AC38" s="219"/>
      <c r="AD38" s="219"/>
      <c r="AE38" s="219"/>
    </row>
    <row r="39" spans="1:41">
      <c r="A39" s="219"/>
      <c r="B39" s="3" t="s">
        <v>491</v>
      </c>
      <c r="F39" s="37">
        <f>'6. Input incidentele corr. WQA'!F12</f>
        <v>2011</v>
      </c>
      <c r="H39" s="37">
        <f>'6. Input incidentele corr. WQA'!H12</f>
        <v>30</v>
      </c>
      <c r="I39" s="42">
        <f>'6. Input incidentele corr. WQA'!J12</f>
        <v>17376205.576952007</v>
      </c>
      <c r="K39" s="38">
        <f>H39-2022+F39+0.5</f>
        <v>19.5</v>
      </c>
      <c r="M39" s="213">
        <f t="shared" ref="M39:Q43" si="0">IF($F39+$H39&lt;M$37,0,VDB($I39*(1-$F$28),0,$K39,MAX(0,M$37-2022),MIN($K39,M$37-2021),$F$25,FALSE))</f>
        <v>1042572.3346171203</v>
      </c>
      <c r="N39" s="213">
        <f t="shared" si="0"/>
        <v>973067.51230931235</v>
      </c>
      <c r="O39" s="213">
        <f t="shared" si="0"/>
        <v>908196.34482202481</v>
      </c>
      <c r="P39" s="213">
        <f t="shared" si="0"/>
        <v>847649.92183388979</v>
      </c>
      <c r="Q39" s="213">
        <f t="shared" si="0"/>
        <v>791139.92704496381</v>
      </c>
      <c r="S39" s="213">
        <f t="shared" ref="S39:W43" si="1">IF($F39+$H39&lt;S$37,0,VDB($I39*$F$28,0,$K39,MAX(0,S$37-2022),MIN($K39,S$37-2021),1,FALSE))</f>
        <v>89108.746548471827</v>
      </c>
      <c r="T39" s="213">
        <f t="shared" si="1"/>
        <v>89108.746548471827</v>
      </c>
      <c r="U39" s="213">
        <f t="shared" si="1"/>
        <v>89108.746548471827</v>
      </c>
      <c r="V39" s="213">
        <f t="shared" si="1"/>
        <v>89108.746548471827</v>
      </c>
      <c r="W39" s="213">
        <f t="shared" si="1"/>
        <v>89108.746548471827</v>
      </c>
      <c r="X39" s="219"/>
      <c r="Y39" s="213">
        <f>M39+S39</f>
        <v>1131681.0811655922</v>
      </c>
      <c r="Z39" s="213">
        <f t="shared" ref="Z39:AC43" si="2">N39+T39</f>
        <v>1062176.2588577841</v>
      </c>
      <c r="AA39" s="213">
        <f t="shared" si="2"/>
        <v>997305.09137049667</v>
      </c>
      <c r="AB39" s="213">
        <f t="shared" si="2"/>
        <v>936758.66838236165</v>
      </c>
      <c r="AC39" s="213">
        <f t="shared" si="2"/>
        <v>880248.67359343567</v>
      </c>
      <c r="AD39" s="219"/>
      <c r="AE39" s="213">
        <f t="shared" ref="AE39:AI43" si="3">IF($F39+$H39&lt;M$37&lt;=H$12,0,
IF(AE$37=2022,I39-Y39,AD39-Y39))</f>
        <v>16244524.495786414</v>
      </c>
      <c r="AF39" s="213">
        <f t="shared" si="3"/>
        <v>15182348.236928629</v>
      </c>
      <c r="AG39" s="213">
        <f t="shared" si="3"/>
        <v>14185043.145558132</v>
      </c>
      <c r="AH39" s="213">
        <f t="shared" si="3"/>
        <v>13248284.47717577</v>
      </c>
      <c r="AI39" s="213">
        <f t="shared" si="3"/>
        <v>12368035.803582335</v>
      </c>
      <c r="AK39" s="213">
        <f t="shared" ref="AK39:AO43" si="4">Y39+AE39*H$15</f>
        <v>1797706.5854928351</v>
      </c>
      <c r="AL39" s="213">
        <f t="shared" si="4"/>
        <v>1836476.018941144</v>
      </c>
      <c r="AM39" s="213">
        <f t="shared" si="4"/>
        <v>1720742.2917939613</v>
      </c>
      <c r="AN39" s="213">
        <f t="shared" si="4"/>
        <v>1665414.314627029</v>
      </c>
      <c r="AO39" s="213">
        <f>AC39+AI39*L$15</f>
        <v>1350234.0341295644</v>
      </c>
    </row>
    <row r="40" spans="1:41">
      <c r="A40" s="219"/>
      <c r="B40" s="3" t="s">
        <v>494</v>
      </c>
      <c r="F40" s="37">
        <f>'6. Input incidentele corr. WQA'!F13</f>
        <v>2012</v>
      </c>
      <c r="H40" s="37">
        <f>'6. Input incidentele corr. WQA'!H13</f>
        <v>30</v>
      </c>
      <c r="I40" s="42">
        <f>'6. Input incidentele corr. WQA'!J13</f>
        <v>1104502.0714844635</v>
      </c>
      <c r="K40" s="38">
        <f t="shared" ref="K40:K43" si="5">H40-2022+F40+0.5</f>
        <v>20.5</v>
      </c>
      <c r="M40" s="213">
        <f t="shared" si="0"/>
        <v>63037.435299357188</v>
      </c>
      <c r="N40" s="213">
        <f t="shared" si="0"/>
        <v>59039.939402324781</v>
      </c>
      <c r="O40" s="213">
        <f t="shared" si="0"/>
        <v>55295.943245104187</v>
      </c>
      <c r="P40" s="213">
        <f t="shared" si="0"/>
        <v>51789.371234439044</v>
      </c>
      <c r="Q40" s="213">
        <f t="shared" si="0"/>
        <v>48505.167204938029</v>
      </c>
      <c r="S40" s="213">
        <f t="shared" si="1"/>
        <v>5387.8149828510413</v>
      </c>
      <c r="T40" s="213">
        <f t="shared" si="1"/>
        <v>5387.8149828510423</v>
      </c>
      <c r="U40" s="213">
        <f t="shared" si="1"/>
        <v>5387.8149828510423</v>
      </c>
      <c r="V40" s="213">
        <f t="shared" si="1"/>
        <v>5387.8149828510423</v>
      </c>
      <c r="W40" s="213">
        <f t="shared" si="1"/>
        <v>5387.8149828510423</v>
      </c>
      <c r="X40" s="219"/>
      <c r="Y40" s="213">
        <f t="shared" ref="Y40:Y43" si="6">M40+S40</f>
        <v>68425.250282208232</v>
      </c>
      <c r="Z40" s="213">
        <f t="shared" si="2"/>
        <v>64427.754385175824</v>
      </c>
      <c r="AA40" s="213">
        <f t="shared" si="2"/>
        <v>60683.75822795523</v>
      </c>
      <c r="AB40" s="213">
        <f t="shared" si="2"/>
        <v>57177.186217290087</v>
      </c>
      <c r="AC40" s="213">
        <f t="shared" si="2"/>
        <v>53892.982187789072</v>
      </c>
      <c r="AD40" s="219"/>
      <c r="AE40" s="213">
        <f t="shared" si="3"/>
        <v>1036076.8212022553</v>
      </c>
      <c r="AF40" s="213">
        <f t="shared" si="3"/>
        <v>971649.06681707944</v>
      </c>
      <c r="AG40" s="213">
        <f t="shared" si="3"/>
        <v>910965.30858912424</v>
      </c>
      <c r="AH40" s="213">
        <f t="shared" si="3"/>
        <v>853788.12237183412</v>
      </c>
      <c r="AI40" s="213">
        <f t="shared" si="3"/>
        <v>799895.14018404507</v>
      </c>
      <c r="AK40" s="213">
        <f t="shared" si="4"/>
        <v>110904.3999515007</v>
      </c>
      <c r="AL40" s="213">
        <f t="shared" si="4"/>
        <v>113981.85679284687</v>
      </c>
      <c r="AM40" s="213">
        <f t="shared" si="4"/>
        <v>107142.98896600056</v>
      </c>
      <c r="AN40" s="213">
        <f t="shared" si="4"/>
        <v>104135.53294774095</v>
      </c>
      <c r="AO40" s="213">
        <f t="shared" si="4"/>
        <v>84288.997514782779</v>
      </c>
    </row>
    <row r="41" spans="1:41">
      <c r="A41" s="219"/>
      <c r="B41" s="3" t="s">
        <v>495</v>
      </c>
      <c r="F41" s="37">
        <f>'6. Input incidentele corr. WQA'!F14</f>
        <v>2013</v>
      </c>
      <c r="H41" s="37">
        <f>'6. Input incidentele corr. WQA'!H14</f>
        <v>30</v>
      </c>
      <c r="I41" s="42">
        <f>'6. Input incidentele corr. WQA'!J14</f>
        <v>271685.95797538623</v>
      </c>
      <c r="K41" s="38">
        <f t="shared" si="5"/>
        <v>21.5</v>
      </c>
      <c r="M41" s="213">
        <f t="shared" si="0"/>
        <v>14784.770736334973</v>
      </c>
      <c r="N41" s="213">
        <f t="shared" si="0"/>
        <v>13890.80785460309</v>
      </c>
      <c r="O41" s="213">
        <f t="shared" si="0"/>
        <v>13050.898542464298</v>
      </c>
      <c r="P41" s="213">
        <f t="shared" si="0"/>
        <v>12261.774444547853</v>
      </c>
      <c r="Q41" s="213">
        <f t="shared" si="0"/>
        <v>11520.364826970539</v>
      </c>
      <c r="S41" s="213">
        <f t="shared" si="1"/>
        <v>1263.6556184901688</v>
      </c>
      <c r="T41" s="213">
        <f t="shared" si="1"/>
        <v>1263.6556184901688</v>
      </c>
      <c r="U41" s="213">
        <f t="shared" si="1"/>
        <v>1263.6556184901688</v>
      </c>
      <c r="V41" s="213">
        <f t="shared" si="1"/>
        <v>1263.6556184901688</v>
      </c>
      <c r="W41" s="213">
        <f t="shared" si="1"/>
        <v>1263.6556184901688</v>
      </c>
      <c r="X41" s="219"/>
      <c r="Y41" s="213">
        <f t="shared" si="6"/>
        <v>16048.426354825142</v>
      </c>
      <c r="Z41" s="213">
        <f t="shared" si="2"/>
        <v>15154.463473093259</v>
      </c>
      <c r="AA41" s="213">
        <f t="shared" si="2"/>
        <v>14314.554160954467</v>
      </c>
      <c r="AB41" s="213">
        <f t="shared" si="2"/>
        <v>13525.430063038022</v>
      </c>
      <c r="AC41" s="213">
        <f t="shared" si="2"/>
        <v>12784.020445460708</v>
      </c>
      <c r="AD41" s="219"/>
      <c r="AE41" s="213">
        <f t="shared" si="3"/>
        <v>255637.53162056109</v>
      </c>
      <c r="AF41" s="213">
        <f t="shared" si="3"/>
        <v>240483.06814746783</v>
      </c>
      <c r="AG41" s="213">
        <f t="shared" si="3"/>
        <v>226168.51398651337</v>
      </c>
      <c r="AH41" s="213">
        <f t="shared" si="3"/>
        <v>212643.08392347535</v>
      </c>
      <c r="AI41" s="213">
        <f t="shared" si="3"/>
        <v>199859.06347801464</v>
      </c>
      <c r="AK41" s="213">
        <f t="shared" si="4"/>
        <v>26529.565151268147</v>
      </c>
      <c r="AL41" s="213">
        <f t="shared" si="4"/>
        <v>27419.099948614115</v>
      </c>
      <c r="AM41" s="213">
        <f t="shared" si="4"/>
        <v>25849.148374266646</v>
      </c>
      <c r="AN41" s="213">
        <f t="shared" si="4"/>
        <v>25220.799678829164</v>
      </c>
      <c r="AO41" s="213">
        <f t="shared" si="4"/>
        <v>20378.664857625263</v>
      </c>
    </row>
    <row r="42" spans="1:41">
      <c r="A42" s="219"/>
      <c r="B42" s="3" t="s">
        <v>496</v>
      </c>
      <c r="F42" s="37">
        <f>'6. Input incidentele corr. WQA'!F15</f>
        <v>2014</v>
      </c>
      <c r="H42" s="37">
        <f>'6. Input incidentele corr. WQA'!H15</f>
        <v>30</v>
      </c>
      <c r="I42" s="42">
        <f>'6. Input incidentele corr. WQA'!J15</f>
        <v>137435.09908722798</v>
      </c>
      <c r="K42" s="38">
        <f t="shared" si="5"/>
        <v>22.5</v>
      </c>
      <c r="M42" s="213">
        <f t="shared" si="0"/>
        <v>7146.6251525358557</v>
      </c>
      <c r="N42" s="213">
        <f t="shared" si="0"/>
        <v>6733.7090326115613</v>
      </c>
      <c r="O42" s="213">
        <f t="shared" si="0"/>
        <v>6344.6502885051159</v>
      </c>
      <c r="P42" s="213">
        <f t="shared" si="0"/>
        <v>5978.0704940581536</v>
      </c>
      <c r="Q42" s="213">
        <f t="shared" si="0"/>
        <v>5632.6708655125722</v>
      </c>
      <c r="S42" s="213">
        <f t="shared" si="1"/>
        <v>610.82266260990218</v>
      </c>
      <c r="T42" s="213">
        <f t="shared" si="1"/>
        <v>610.82266260990218</v>
      </c>
      <c r="U42" s="213">
        <f t="shared" si="1"/>
        <v>610.82266260990218</v>
      </c>
      <c r="V42" s="213">
        <f t="shared" si="1"/>
        <v>610.82266260990218</v>
      </c>
      <c r="W42" s="213">
        <f t="shared" si="1"/>
        <v>610.82266260990218</v>
      </c>
      <c r="X42" s="219"/>
      <c r="Y42" s="213">
        <f t="shared" si="6"/>
        <v>7757.4478151457579</v>
      </c>
      <c r="Z42" s="213">
        <f t="shared" si="2"/>
        <v>7344.5316952214635</v>
      </c>
      <c r="AA42" s="213">
        <f t="shared" si="2"/>
        <v>6955.4729511150181</v>
      </c>
      <c r="AB42" s="213">
        <f t="shared" si="2"/>
        <v>6588.8931566680558</v>
      </c>
      <c r="AC42" s="213">
        <f t="shared" si="2"/>
        <v>6243.4935281224743</v>
      </c>
      <c r="AD42" s="219"/>
      <c r="AE42" s="213">
        <f t="shared" si="3"/>
        <v>129677.65127208222</v>
      </c>
      <c r="AF42" s="213">
        <f t="shared" si="3"/>
        <v>122333.11957686076</v>
      </c>
      <c r="AG42" s="213">
        <f t="shared" si="3"/>
        <v>115377.64662574574</v>
      </c>
      <c r="AH42" s="213">
        <f t="shared" si="3"/>
        <v>108788.75346907768</v>
      </c>
      <c r="AI42" s="213">
        <f t="shared" si="3"/>
        <v>102545.25994095521</v>
      </c>
      <c r="AK42" s="213">
        <f t="shared" si="4"/>
        <v>13074.23151730113</v>
      </c>
      <c r="AL42" s="213">
        <f t="shared" si="4"/>
        <v>13583.520793641361</v>
      </c>
      <c r="AM42" s="213">
        <f t="shared" si="4"/>
        <v>12839.73292902805</v>
      </c>
      <c r="AN42" s="213">
        <f t="shared" si="4"/>
        <v>12572.274597467327</v>
      </c>
      <c r="AO42" s="213">
        <f t="shared" si="4"/>
        <v>10140.213405878772</v>
      </c>
    </row>
    <row r="43" spans="1:41">
      <c r="A43" s="219"/>
      <c r="B43" s="3" t="s">
        <v>497</v>
      </c>
      <c r="F43" s="37">
        <f>'6. Input incidentele corr. WQA'!F16</f>
        <v>2015</v>
      </c>
      <c r="H43" s="37">
        <f>'6. Input incidentele corr. WQA'!H16</f>
        <v>30</v>
      </c>
      <c r="I43" s="42">
        <f>'6. Input incidentele corr. WQA'!J16</f>
        <v>2218.4673824688466</v>
      </c>
      <c r="K43" s="38">
        <f t="shared" si="5"/>
        <v>23.5</v>
      </c>
      <c r="M43" s="213">
        <f t="shared" si="0"/>
        <v>110.45135478674685</v>
      </c>
      <c r="N43" s="213">
        <f t="shared" si="0"/>
        <v>104.34127984109702</v>
      </c>
      <c r="O43" s="213">
        <f t="shared" si="0"/>
        <v>98.569209041376752</v>
      </c>
      <c r="P43" s="213">
        <f t="shared" si="0"/>
        <v>93.116444285896335</v>
      </c>
      <c r="Q43" s="213">
        <f t="shared" si="0"/>
        <v>87.965321836038243</v>
      </c>
      <c r="S43" s="213">
        <f t="shared" si="1"/>
        <v>9.4402867339099874</v>
      </c>
      <c r="T43" s="213">
        <f t="shared" si="1"/>
        <v>9.4402867339099874</v>
      </c>
      <c r="U43" s="213">
        <f t="shared" si="1"/>
        <v>9.4402867339099874</v>
      </c>
      <c r="V43" s="213">
        <f t="shared" si="1"/>
        <v>9.4402867339099874</v>
      </c>
      <c r="W43" s="213">
        <f t="shared" si="1"/>
        <v>9.4402867339099874</v>
      </c>
      <c r="X43" s="219"/>
      <c r="Y43" s="213">
        <f t="shared" si="6"/>
        <v>119.89164152065683</v>
      </c>
      <c r="Z43" s="213">
        <f t="shared" si="2"/>
        <v>113.78156657500701</v>
      </c>
      <c r="AA43" s="213">
        <f t="shared" si="2"/>
        <v>108.00949577528674</v>
      </c>
      <c r="AB43" s="213">
        <f t="shared" si="2"/>
        <v>102.55673101980632</v>
      </c>
      <c r="AC43" s="213">
        <f t="shared" si="2"/>
        <v>97.405608569948228</v>
      </c>
      <c r="AD43" s="219"/>
      <c r="AE43" s="213">
        <f t="shared" si="3"/>
        <v>2098.5757409481898</v>
      </c>
      <c r="AF43" s="213">
        <f t="shared" si="3"/>
        <v>1984.7941743731828</v>
      </c>
      <c r="AG43" s="213">
        <f t="shared" si="3"/>
        <v>1876.7846785978961</v>
      </c>
      <c r="AH43" s="213">
        <f t="shared" si="3"/>
        <v>1774.2279475780897</v>
      </c>
      <c r="AI43" s="213">
        <f t="shared" si="3"/>
        <v>1676.8223390081414</v>
      </c>
      <c r="AK43" s="213">
        <f t="shared" si="4"/>
        <v>205.93324689953261</v>
      </c>
      <c r="AL43" s="213">
        <f t="shared" si="4"/>
        <v>215.00606946803933</v>
      </c>
      <c r="AM43" s="213">
        <f t="shared" si="4"/>
        <v>203.72551438377943</v>
      </c>
      <c r="AN43" s="213">
        <f t="shared" si="4"/>
        <v>200.13926813660126</v>
      </c>
      <c r="AO43" s="213">
        <f t="shared" si="4"/>
        <v>161.1248574522576</v>
      </c>
    </row>
    <row r="44" spans="1:41">
      <c r="A44" s="219"/>
      <c r="L44" s="223"/>
      <c r="M44" s="223"/>
      <c r="N44" s="223"/>
      <c r="O44" s="223"/>
      <c r="P44" s="223"/>
      <c r="S44" s="219"/>
      <c r="T44" s="219"/>
      <c r="U44" s="219"/>
      <c r="V44" s="219"/>
      <c r="W44" s="219"/>
      <c r="X44" s="219"/>
      <c r="Y44" s="219"/>
      <c r="Z44" s="219"/>
      <c r="AA44" s="219"/>
      <c r="AB44" s="219"/>
      <c r="AC44" s="219"/>
      <c r="AD44" s="219"/>
      <c r="AE44" s="219"/>
    </row>
    <row r="45" spans="1:41" s="214" customFormat="1" ht="13">
      <c r="B45" s="214" t="s">
        <v>1001</v>
      </c>
      <c r="F45" s="214" t="s">
        <v>185</v>
      </c>
      <c r="H45" s="215">
        <v>2022</v>
      </c>
      <c r="I45" s="215">
        <v>2023</v>
      </c>
      <c r="J45" s="215">
        <v>2024</v>
      </c>
      <c r="K45" s="215">
        <v>2025</v>
      </c>
      <c r="L45" s="215">
        <v>2026</v>
      </c>
      <c r="O45" s="216"/>
      <c r="P45" s="216"/>
      <c r="Q45" s="216"/>
      <c r="R45" s="216"/>
      <c r="S45" s="216"/>
      <c r="T45" s="216"/>
      <c r="U45" s="216"/>
      <c r="V45" s="216"/>
      <c r="W45" s="216"/>
      <c r="X45" s="216"/>
      <c r="Y45" s="216"/>
      <c r="Z45" s="216"/>
      <c r="AA45" s="216"/>
    </row>
    <row r="46" spans="1:41" ht="13">
      <c r="A46" s="219"/>
      <c r="B46" s="2"/>
      <c r="H46" s="224"/>
      <c r="I46" s="224"/>
      <c r="J46" s="224"/>
      <c r="K46" s="224"/>
      <c r="L46" s="224"/>
      <c r="O46" s="219"/>
      <c r="P46" s="219"/>
      <c r="Q46" s="219"/>
      <c r="R46" s="219"/>
      <c r="S46" s="219"/>
      <c r="T46" s="219"/>
      <c r="U46" s="219"/>
      <c r="V46" s="219"/>
      <c r="W46" s="219"/>
      <c r="X46" s="219"/>
      <c r="Y46" s="219"/>
      <c r="Z46" s="219"/>
      <c r="AA46" s="219"/>
      <c r="AB46" s="3"/>
      <c r="AC46" s="3"/>
      <c r="AD46" s="3"/>
      <c r="AE46" s="3"/>
    </row>
    <row r="47" spans="1:41">
      <c r="A47" s="3"/>
      <c r="B47" s="3" t="s">
        <v>859</v>
      </c>
      <c r="D47" s="3" t="s">
        <v>189</v>
      </c>
      <c r="H47" s="210"/>
      <c r="I47" s="210"/>
      <c r="J47" s="210"/>
      <c r="K47" s="213">
        <f>SUM(AN39:AN43)</f>
        <v>1807543.0611192032</v>
      </c>
      <c r="L47" s="210"/>
      <c r="O47" s="219"/>
      <c r="P47" s="219"/>
      <c r="Q47" s="219"/>
      <c r="R47" s="219"/>
      <c r="S47" s="219"/>
      <c r="T47" s="219"/>
      <c r="U47" s="219"/>
      <c r="V47" s="219"/>
      <c r="W47" s="219"/>
      <c r="X47" s="219"/>
      <c r="Y47" s="219"/>
      <c r="Z47" s="219"/>
      <c r="AA47" s="219"/>
      <c r="AB47" s="3"/>
      <c r="AC47" s="3"/>
      <c r="AD47" s="3"/>
      <c r="AE47" s="3"/>
    </row>
    <row r="48" spans="1:41">
      <c r="A48" s="219"/>
      <c r="O48" s="219"/>
      <c r="P48" s="219"/>
      <c r="Q48" s="219"/>
      <c r="R48" s="219"/>
      <c r="S48" s="219"/>
      <c r="T48" s="219"/>
      <c r="U48" s="219"/>
      <c r="V48" s="219"/>
      <c r="W48" s="219"/>
      <c r="X48" s="219"/>
      <c r="Y48" s="219"/>
      <c r="Z48" s="219"/>
      <c r="AA48" s="219"/>
      <c r="AB48" s="3"/>
      <c r="AC48" s="3"/>
      <c r="AD48" s="3"/>
      <c r="AE48" s="3"/>
    </row>
    <row r="49" spans="1:31" s="8" customFormat="1" ht="12.75" customHeight="1">
      <c r="B49" s="8" t="s">
        <v>1002</v>
      </c>
      <c r="D49" s="8" t="s">
        <v>184</v>
      </c>
      <c r="F49" s="8" t="s">
        <v>185</v>
      </c>
      <c r="H49" s="46">
        <v>2022</v>
      </c>
      <c r="I49" s="46">
        <v>2023</v>
      </c>
      <c r="J49" s="46">
        <v>2024</v>
      </c>
      <c r="K49" s="46">
        <v>2025</v>
      </c>
      <c r="L49" s="46">
        <v>2026</v>
      </c>
      <c r="O49" s="8" t="s">
        <v>187</v>
      </c>
    </row>
    <row r="50" spans="1:31">
      <c r="A50" s="219"/>
      <c r="P50" s="219"/>
      <c r="Q50" s="219"/>
      <c r="R50" s="219"/>
      <c r="S50" s="219"/>
      <c r="T50" s="219"/>
      <c r="U50" s="219"/>
      <c r="V50" s="219"/>
      <c r="W50" s="219"/>
      <c r="X50" s="219"/>
      <c r="Y50" s="219"/>
      <c r="Z50" s="219"/>
      <c r="AA50" s="219"/>
      <c r="AB50" s="3"/>
      <c r="AC50" s="3"/>
      <c r="AD50" s="3"/>
      <c r="AE50" s="3"/>
    </row>
    <row r="51" spans="1:31" ht="13">
      <c r="A51" s="3"/>
      <c r="B51" s="2" t="s">
        <v>1003</v>
      </c>
      <c r="H51" s="225"/>
      <c r="I51" s="225"/>
      <c r="J51" s="225"/>
      <c r="K51" s="225"/>
      <c r="L51" s="225"/>
      <c r="S51" s="3"/>
      <c r="T51" s="3"/>
      <c r="U51" s="3"/>
      <c r="V51" s="3"/>
      <c r="W51" s="3"/>
      <c r="X51" s="3"/>
      <c r="Y51" s="3"/>
      <c r="Z51" s="3"/>
      <c r="AA51" s="3"/>
      <c r="AB51" s="3"/>
      <c r="AC51" s="3"/>
      <c r="AD51" s="3"/>
      <c r="AE51" s="3"/>
    </row>
    <row r="52" spans="1:31">
      <c r="A52" s="3"/>
      <c r="B52" s="3" t="s">
        <v>1004</v>
      </c>
      <c r="D52" s="3" t="s">
        <v>189</v>
      </c>
      <c r="H52" s="210"/>
      <c r="I52" s="210"/>
      <c r="J52" s="210"/>
      <c r="K52" s="217">
        <f>K31+K34</f>
        <v>4023119.1940000001</v>
      </c>
      <c r="L52" s="210"/>
      <c r="S52" s="3"/>
      <c r="T52" s="3"/>
      <c r="U52" s="3"/>
      <c r="V52" s="3"/>
      <c r="W52" s="3"/>
      <c r="X52" s="3"/>
      <c r="Y52" s="3"/>
      <c r="Z52" s="3"/>
      <c r="AA52" s="3"/>
      <c r="AB52" s="3"/>
      <c r="AC52" s="3"/>
      <c r="AD52" s="3"/>
      <c r="AE52" s="3"/>
    </row>
    <row r="53" spans="1:31">
      <c r="A53" s="219"/>
      <c r="P53" s="219"/>
      <c r="Q53" s="219"/>
      <c r="R53" s="219"/>
      <c r="S53" s="219"/>
      <c r="T53" s="219"/>
      <c r="U53" s="219"/>
      <c r="V53" s="219"/>
      <c r="W53" s="219"/>
      <c r="X53" s="219"/>
      <c r="Y53" s="219"/>
      <c r="Z53" s="219"/>
      <c r="AA53" s="219"/>
      <c r="AB53" s="3"/>
      <c r="AC53" s="3"/>
      <c r="AD53" s="3"/>
      <c r="AE53" s="3"/>
    </row>
    <row r="54" spans="1:31" s="8" customFormat="1" ht="12.75" customHeight="1">
      <c r="B54" s="8" t="s">
        <v>1005</v>
      </c>
      <c r="D54" s="8" t="s">
        <v>184</v>
      </c>
      <c r="F54" s="8" t="s">
        <v>185</v>
      </c>
      <c r="H54" s="46">
        <v>2022</v>
      </c>
      <c r="I54" s="46">
        <v>2023</v>
      </c>
      <c r="J54" s="46">
        <v>2024</v>
      </c>
      <c r="K54" s="46">
        <v>2025</v>
      </c>
      <c r="L54" s="46">
        <v>2026</v>
      </c>
      <c r="M54" s="46">
        <v>2027</v>
      </c>
      <c r="O54" s="8" t="s">
        <v>187</v>
      </c>
    </row>
    <row r="55" spans="1:31">
      <c r="A55" s="219"/>
      <c r="O55" s="219"/>
      <c r="P55" s="219"/>
      <c r="Q55" s="219"/>
      <c r="R55" s="219"/>
      <c r="S55" s="219"/>
      <c r="T55" s="219"/>
      <c r="U55" s="219"/>
      <c r="V55" s="219"/>
      <c r="W55" s="219"/>
      <c r="X55" s="219"/>
      <c r="Y55" s="219"/>
      <c r="Z55" s="219"/>
      <c r="AA55" s="219"/>
      <c r="AB55" s="3"/>
      <c r="AC55" s="3"/>
      <c r="AD55" s="3"/>
      <c r="AE55" s="3"/>
    </row>
    <row r="56" spans="1:31" ht="13">
      <c r="A56" s="3"/>
      <c r="B56" s="2" t="s">
        <v>861</v>
      </c>
      <c r="O56" s="219"/>
      <c r="P56" s="219"/>
      <c r="Q56" s="219"/>
      <c r="R56" s="219"/>
      <c r="S56" s="219"/>
      <c r="T56" s="219"/>
      <c r="U56" s="219"/>
      <c r="V56" s="219"/>
      <c r="W56" s="219"/>
      <c r="X56" s="219"/>
      <c r="Y56" s="219"/>
      <c r="Z56" s="219"/>
      <c r="AA56" s="219"/>
      <c r="AB56" s="3"/>
      <c r="AC56" s="3"/>
      <c r="AD56" s="3"/>
      <c r="AE56" s="3"/>
    </row>
    <row r="57" spans="1:31">
      <c r="A57" s="3"/>
      <c r="B57" s="3" t="s">
        <v>1006</v>
      </c>
      <c r="D57" s="3" t="s">
        <v>189</v>
      </c>
      <c r="H57" s="210"/>
      <c r="I57" s="210"/>
      <c r="J57" s="210"/>
      <c r="K57" s="210"/>
      <c r="L57" s="210"/>
      <c r="M57" s="218">
        <f>(K47+K52)*M21</f>
        <v>6367083.1825901708</v>
      </c>
      <c r="O57" s="219"/>
      <c r="P57" s="219"/>
      <c r="Q57" s="219"/>
      <c r="R57" s="219"/>
      <c r="S57" s="219"/>
      <c r="T57" s="219"/>
      <c r="U57" s="219"/>
      <c r="V57" s="219"/>
      <c r="W57" s="219"/>
      <c r="X57" s="219"/>
      <c r="Y57" s="219"/>
      <c r="Z57" s="219"/>
      <c r="AA57" s="219"/>
      <c r="AB57" s="3"/>
      <c r="AC57" s="3"/>
      <c r="AD57" s="3"/>
      <c r="AE57" s="3"/>
    </row>
    <row r="58" spans="1:31">
      <c r="A58" s="3"/>
      <c r="O58" s="219"/>
      <c r="P58" s="219"/>
      <c r="Q58" s="219"/>
      <c r="R58" s="219"/>
      <c r="S58" s="219"/>
      <c r="T58" s="219"/>
      <c r="U58" s="219"/>
      <c r="V58" s="219"/>
      <c r="W58" s="219"/>
      <c r="X58" s="219"/>
      <c r="Y58" s="219"/>
      <c r="Z58" s="219"/>
      <c r="AA58" s="219"/>
      <c r="AB58" s="3"/>
      <c r="AC58" s="3"/>
      <c r="AD58" s="3"/>
      <c r="AE58" s="3"/>
    </row>
    <row r="59" spans="1:31">
      <c r="A59" s="219"/>
      <c r="O59" s="219"/>
      <c r="P59" s="219"/>
      <c r="Q59" s="219"/>
      <c r="R59" s="219"/>
      <c r="S59" s="219"/>
      <c r="T59" s="219"/>
      <c r="U59" s="219"/>
      <c r="V59" s="219"/>
      <c r="W59" s="219"/>
      <c r="X59" s="219"/>
      <c r="Y59" s="219"/>
      <c r="Z59" s="219"/>
      <c r="AA59" s="219"/>
      <c r="AB59" s="3"/>
      <c r="AC59" s="3"/>
      <c r="AD59" s="3"/>
      <c r="AE59" s="3"/>
    </row>
    <row r="60" spans="1:31">
      <c r="A60" s="219"/>
      <c r="I60" s="3" t="s">
        <v>1007</v>
      </c>
      <c r="O60" s="219"/>
      <c r="P60" s="219"/>
      <c r="Q60" s="219"/>
      <c r="R60" s="219"/>
      <c r="S60" s="219"/>
      <c r="T60" s="219"/>
      <c r="U60" s="219"/>
      <c r="V60" s="219"/>
      <c r="W60" s="219"/>
      <c r="X60" s="219"/>
      <c r="Y60" s="219"/>
      <c r="Z60" s="219"/>
      <c r="AA60" s="219"/>
      <c r="AB60" s="3"/>
      <c r="AC60" s="3"/>
      <c r="AD60" s="3"/>
      <c r="AE60" s="3"/>
    </row>
    <row r="61" spans="1:31">
      <c r="A61" s="219"/>
      <c r="S61" s="219"/>
      <c r="T61" s="219"/>
      <c r="U61" s="219"/>
      <c r="V61" s="219"/>
      <c r="W61" s="219"/>
      <c r="X61" s="219"/>
      <c r="Y61" s="219"/>
      <c r="Z61" s="219"/>
      <c r="AA61" s="219"/>
      <c r="AB61" s="219"/>
      <c r="AC61" s="219"/>
      <c r="AD61" s="219"/>
      <c r="AE61" s="219"/>
    </row>
    <row r="62" spans="1:31">
      <c r="A62" s="219"/>
      <c r="S62" s="219"/>
      <c r="T62" s="219"/>
      <c r="U62" s="219"/>
      <c r="V62" s="219"/>
      <c r="W62" s="219"/>
      <c r="X62" s="219"/>
      <c r="Y62" s="219"/>
      <c r="Z62" s="219"/>
      <c r="AA62" s="219"/>
      <c r="AB62" s="219"/>
      <c r="AC62" s="219"/>
      <c r="AD62" s="219"/>
      <c r="AE62" s="219"/>
    </row>
    <row r="63" spans="1:31">
      <c r="A63" s="219"/>
      <c r="S63" s="219"/>
      <c r="T63" s="219"/>
      <c r="U63" s="219"/>
      <c r="V63" s="219"/>
      <c r="W63" s="219"/>
      <c r="X63" s="219"/>
      <c r="Y63" s="219"/>
      <c r="Z63" s="219"/>
      <c r="AA63" s="219"/>
      <c r="AB63" s="219"/>
      <c r="AC63" s="219"/>
      <c r="AD63" s="219"/>
      <c r="AE63" s="219"/>
    </row>
    <row r="64" spans="1:31">
      <c r="A64" s="219"/>
      <c r="S64" s="219"/>
      <c r="T64" s="219"/>
      <c r="U64" s="219"/>
      <c r="V64" s="219"/>
      <c r="W64" s="219"/>
      <c r="X64" s="219"/>
      <c r="Y64" s="219"/>
      <c r="Z64" s="219"/>
      <c r="AA64" s="219"/>
      <c r="AB64" s="219"/>
      <c r="AC64" s="219"/>
      <c r="AD64" s="219"/>
      <c r="AE64" s="219"/>
    </row>
    <row r="65" spans="1:31">
      <c r="A65" s="219"/>
      <c r="S65" s="219"/>
      <c r="T65" s="219"/>
      <c r="U65" s="219"/>
      <c r="V65" s="219"/>
      <c r="W65" s="219"/>
      <c r="X65" s="219"/>
      <c r="Y65" s="219"/>
      <c r="Z65" s="219"/>
      <c r="AA65" s="219"/>
      <c r="AB65" s="219"/>
      <c r="AC65" s="219"/>
      <c r="AD65" s="219"/>
      <c r="AE65" s="219"/>
    </row>
    <row r="66" spans="1:31">
      <c r="A66" s="219"/>
      <c r="S66" s="219"/>
      <c r="T66" s="219"/>
      <c r="U66" s="219"/>
      <c r="V66" s="219"/>
      <c r="W66" s="219"/>
      <c r="X66" s="219"/>
      <c r="Y66" s="219"/>
      <c r="Z66" s="219"/>
      <c r="AA66" s="219"/>
      <c r="AB66" s="219"/>
      <c r="AC66" s="219"/>
      <c r="AD66" s="219"/>
      <c r="AE66" s="219"/>
    </row>
    <row r="67" spans="1:31">
      <c r="A67" s="219"/>
      <c r="S67" s="219"/>
      <c r="T67" s="219"/>
      <c r="U67" s="219"/>
      <c r="V67" s="219"/>
      <c r="W67" s="219"/>
      <c r="X67" s="219"/>
      <c r="Y67" s="219"/>
      <c r="Z67" s="219"/>
      <c r="AA67" s="219"/>
      <c r="AB67" s="219"/>
      <c r="AC67" s="219"/>
      <c r="AD67" s="219"/>
      <c r="AE67" s="219"/>
    </row>
    <row r="68" spans="1:31">
      <c r="A68" s="219"/>
      <c r="S68" s="219"/>
      <c r="T68" s="219"/>
      <c r="U68" s="219"/>
      <c r="V68" s="219"/>
      <c r="W68" s="219"/>
      <c r="X68" s="219"/>
      <c r="Y68" s="219"/>
      <c r="Z68" s="219"/>
      <c r="AA68" s="219"/>
      <c r="AB68" s="219"/>
      <c r="AC68" s="219"/>
      <c r="AD68" s="219"/>
      <c r="AE68" s="219"/>
    </row>
    <row r="69" spans="1:31">
      <c r="A69" s="219"/>
      <c r="S69" s="219"/>
      <c r="T69" s="219"/>
      <c r="U69" s="219"/>
      <c r="V69" s="219"/>
      <c r="W69" s="219"/>
      <c r="X69" s="219"/>
      <c r="Y69" s="219"/>
      <c r="Z69" s="219"/>
      <c r="AA69" s="219"/>
      <c r="AB69" s="219"/>
      <c r="AC69" s="219"/>
      <c r="AD69" s="219"/>
      <c r="AE69" s="219"/>
    </row>
    <row r="70" spans="1:31">
      <c r="A70" s="219"/>
      <c r="S70" s="219"/>
      <c r="T70" s="219"/>
      <c r="U70" s="219"/>
      <c r="V70" s="219"/>
      <c r="W70" s="219"/>
      <c r="X70" s="219"/>
      <c r="Y70" s="219"/>
      <c r="Z70" s="219"/>
      <c r="AA70" s="219"/>
      <c r="AB70" s="219"/>
      <c r="AC70" s="219"/>
      <c r="AD70" s="219"/>
      <c r="AE70" s="219"/>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84"/>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796875" defaultRowHeight="12.5"/>
  <cols>
    <col min="1" max="1" width="2.54296875" style="3" customWidth="1"/>
    <col min="2" max="2" width="52.81640625" style="3" customWidth="1"/>
    <col min="3" max="3" width="2.54296875" style="3" customWidth="1"/>
    <col min="4" max="4" width="15.453125" style="3" customWidth="1"/>
    <col min="5" max="5" width="2.54296875" style="3" customWidth="1"/>
    <col min="6" max="6" width="32.1796875" style="3" bestFit="1" customWidth="1"/>
    <col min="7" max="7" width="29" style="3" customWidth="1"/>
    <col min="8" max="12" width="18.1796875" style="3" customWidth="1"/>
    <col min="13" max="13" width="19" style="3" customWidth="1"/>
    <col min="14" max="14" width="15" style="3" customWidth="1"/>
    <col min="15" max="15" width="16" style="3" customWidth="1"/>
    <col min="16" max="27" width="12.54296875" style="3" customWidth="1"/>
    <col min="28" max="28" width="17.453125" style="3" bestFit="1" customWidth="1"/>
    <col min="29" max="30" width="12.54296875" style="3" customWidth="1"/>
    <col min="31" max="31" width="18.54296875" style="3" bestFit="1" customWidth="1"/>
    <col min="32" max="52" width="12.54296875" style="3" customWidth="1"/>
    <col min="53" max="16384" width="9.1796875" style="3"/>
  </cols>
  <sheetData>
    <row r="2" spans="2:37" s="12" customFormat="1" ht="18">
      <c r="B2" s="12" t="s">
        <v>1008</v>
      </c>
    </row>
    <row r="4" spans="2:37" ht="13">
      <c r="B4" s="16" t="s">
        <v>837</v>
      </c>
      <c r="C4" s="2"/>
    </row>
    <row r="5" spans="2:37" ht="30.75" customHeight="1">
      <c r="B5" s="352" t="s">
        <v>1009</v>
      </c>
      <c r="C5" s="352"/>
      <c r="D5" s="352"/>
      <c r="F5" s="13"/>
    </row>
    <row r="6" spans="2:37" ht="13">
      <c r="B6" s="4"/>
    </row>
    <row r="7" spans="2:37" ht="13">
      <c r="B7" s="17" t="s">
        <v>140</v>
      </c>
    </row>
    <row r="8" spans="2:37" ht="37.5" customHeight="1">
      <c r="B8" s="352" t="s">
        <v>1010</v>
      </c>
      <c r="C8" s="352"/>
      <c r="D8" s="352"/>
    </row>
    <row r="9" spans="2:37">
      <c r="AJ9" s="26"/>
      <c r="AK9" s="321"/>
    </row>
    <row r="10" spans="2:37" s="8" customFormat="1" ht="13">
      <c r="B10" s="8" t="s">
        <v>143</v>
      </c>
      <c r="P10" s="46"/>
      <c r="Q10" s="46"/>
      <c r="S10" s="8" t="s">
        <v>187</v>
      </c>
    </row>
    <row r="12" spans="2:37" s="8" customFormat="1" ht="13">
      <c r="B12" s="8" t="s">
        <v>841</v>
      </c>
      <c r="D12" s="8" t="s">
        <v>184</v>
      </c>
      <c r="F12" s="8" t="s">
        <v>185</v>
      </c>
      <c r="G12" s="8">
        <v>2020</v>
      </c>
      <c r="H12" s="8">
        <v>2021</v>
      </c>
      <c r="I12" s="8">
        <v>2022</v>
      </c>
      <c r="J12" s="8">
        <v>2023</v>
      </c>
      <c r="K12" s="8">
        <v>2024</v>
      </c>
      <c r="L12" s="8">
        <v>2025</v>
      </c>
      <c r="M12" s="8">
        <v>2026</v>
      </c>
      <c r="N12" s="8">
        <v>2027</v>
      </c>
    </row>
    <row r="13" spans="2:37">
      <c r="P13" s="88"/>
    </row>
    <row r="14" spans="2:37" ht="13">
      <c r="B14" s="16" t="s">
        <v>190</v>
      </c>
    </row>
    <row r="15" spans="2:37">
      <c r="B15" s="146" t="s">
        <v>192</v>
      </c>
      <c r="D15" s="3" t="s">
        <v>188</v>
      </c>
      <c r="G15" s="138">
        <f>'2. Parameters'!K17</f>
        <v>3.3000000000000002E-2</v>
      </c>
      <c r="H15" s="138">
        <f>'2. Parameters'!L17</f>
        <v>0.03</v>
      </c>
      <c r="I15" s="10"/>
      <c r="J15" s="10"/>
      <c r="K15" s="10"/>
      <c r="L15" s="10"/>
      <c r="M15" s="10"/>
      <c r="N15" s="10"/>
    </row>
    <row r="16" spans="2:37">
      <c r="B16" s="146" t="s">
        <v>842</v>
      </c>
      <c r="D16" s="3" t="s">
        <v>188</v>
      </c>
      <c r="G16" s="10"/>
      <c r="H16" s="10"/>
      <c r="I16" s="138">
        <f>'2. Parameters'!M19</f>
        <v>3.4000000000000002E-2</v>
      </c>
      <c r="J16" s="138">
        <f>'2. Parameters'!N19</f>
        <v>3.3000000000000002E-2</v>
      </c>
      <c r="K16" s="138">
        <f>'2. Parameters'!O19</f>
        <v>3.7999999999999999E-2</v>
      </c>
      <c r="L16" s="138">
        <f>'2. Parameters'!P19</f>
        <v>3.7999999999999999E-2</v>
      </c>
      <c r="M16" s="138">
        <f>'2. Parameters'!Q19</f>
        <v>3.7999999999999999E-2</v>
      </c>
      <c r="N16" s="10"/>
    </row>
    <row r="17" spans="1:20">
      <c r="B17" s="146"/>
    </row>
    <row r="18" spans="1:20" ht="13">
      <c r="B18" s="2" t="s">
        <v>224</v>
      </c>
    </row>
    <row r="19" spans="1:20">
      <c r="B19" s="3" t="s">
        <v>224</v>
      </c>
      <c r="D19" s="3" t="s">
        <v>188</v>
      </c>
      <c r="F19" s="55">
        <f>'2. Parameters'!F79</f>
        <v>1</v>
      </c>
      <c r="T19" s="3" t="s">
        <v>108</v>
      </c>
    </row>
    <row r="20" spans="1:20">
      <c r="F20" s="26"/>
    </row>
    <row r="21" spans="1:20" ht="13">
      <c r="B21" s="2" t="s">
        <v>225</v>
      </c>
      <c r="F21" s="26"/>
    </row>
    <row r="22" spans="1:20">
      <c r="B22" s="3" t="s">
        <v>225</v>
      </c>
      <c r="D22" s="3" t="s">
        <v>188</v>
      </c>
      <c r="F22" s="172">
        <f>'2. Parameters'!F83</f>
        <v>1.3</v>
      </c>
      <c r="T22" s="3" t="s">
        <v>108</v>
      </c>
    </row>
    <row r="23" spans="1:20">
      <c r="F23" s="171"/>
    </row>
    <row r="24" spans="1:20" ht="13">
      <c r="B24" s="2" t="s">
        <v>226</v>
      </c>
      <c r="F24" s="171"/>
    </row>
    <row r="25" spans="1:20">
      <c r="B25" s="3" t="s">
        <v>226</v>
      </c>
      <c r="D25" s="3" t="s">
        <v>188</v>
      </c>
      <c r="F25" s="78">
        <f>'2. Parameters'!F87</f>
        <v>0.1</v>
      </c>
      <c r="T25" s="3" t="s">
        <v>108</v>
      </c>
    </row>
    <row r="26" spans="1:20" ht="13">
      <c r="B26" s="16"/>
    </row>
    <row r="27" spans="1:20" ht="13">
      <c r="B27" s="2" t="s">
        <v>200</v>
      </c>
    </row>
    <row r="28" spans="1:20">
      <c r="B28" s="3" t="s">
        <v>200</v>
      </c>
      <c r="D28" s="3" t="s">
        <v>188</v>
      </c>
      <c r="F28" s="173">
        <f>'2. Parameters'!F27</f>
        <v>0.01</v>
      </c>
    </row>
    <row r="29" spans="1:20" s="89" customFormat="1">
      <c r="A29" s="3"/>
      <c r="F29" s="104"/>
    </row>
    <row r="30" spans="1:20" ht="13">
      <c r="B30" s="16" t="s">
        <v>220</v>
      </c>
    </row>
    <row r="31" spans="1:20">
      <c r="B31" s="28" t="s">
        <v>208</v>
      </c>
      <c r="D31" s="3" t="s">
        <v>223</v>
      </c>
      <c r="G31" s="32">
        <f>'2. Parameters'!K69</f>
        <v>1</v>
      </c>
      <c r="H31" s="32">
        <f>'2. Parameters'!L69</f>
        <v>1.02</v>
      </c>
      <c r="I31" s="32">
        <f>'2. Parameters'!M69</f>
        <v>1.0404</v>
      </c>
      <c r="J31" s="32">
        <f>'2. Parameters'!N69</f>
        <v>1.0612079999999999</v>
      </c>
      <c r="K31" s="32">
        <f>'2. Parameters'!O69</f>
        <v>1.10365632</v>
      </c>
      <c r="L31" s="32">
        <f>'2. Parameters'!P69</f>
        <v>1.1809122624000001</v>
      </c>
      <c r="M31" s="32">
        <f>'2. Parameters'!Q69</f>
        <v>1.2399578755200003</v>
      </c>
      <c r="N31" s="32">
        <f>'2. Parameters'!R69</f>
        <v>1.2895561905408004</v>
      </c>
    </row>
    <row r="32" spans="1:20">
      <c r="B32" s="28" t="s">
        <v>209</v>
      </c>
      <c r="D32" s="3" t="s">
        <v>223</v>
      </c>
      <c r="G32" s="10"/>
      <c r="H32" s="32">
        <f>'2. Parameters'!L70</f>
        <v>1</v>
      </c>
      <c r="I32" s="32">
        <f>'2. Parameters'!M70</f>
        <v>1.02</v>
      </c>
      <c r="J32" s="32">
        <f>'2. Parameters'!N70</f>
        <v>1.0404</v>
      </c>
      <c r="K32" s="32">
        <f>'2. Parameters'!O70</f>
        <v>1.0820160000000001</v>
      </c>
      <c r="L32" s="32">
        <f>'2. Parameters'!P70</f>
        <v>1.1577571200000001</v>
      </c>
      <c r="M32" s="32">
        <f>'2. Parameters'!Q70</f>
        <v>1.2156449760000001</v>
      </c>
      <c r="N32" s="32">
        <f>'2. Parameters'!R70</f>
        <v>1.2642707750400002</v>
      </c>
    </row>
    <row r="33" spans="2:14">
      <c r="B33" s="28" t="s">
        <v>210</v>
      </c>
      <c r="D33" s="3" t="s">
        <v>223</v>
      </c>
      <c r="G33" s="10"/>
      <c r="H33" s="10"/>
      <c r="I33" s="32">
        <f>'2. Parameters'!M71</f>
        <v>1</v>
      </c>
      <c r="J33" s="32">
        <f>'2. Parameters'!N71</f>
        <v>1.02</v>
      </c>
      <c r="K33" s="32">
        <f>'2. Parameters'!O71</f>
        <v>1.0608</v>
      </c>
      <c r="L33" s="32">
        <f>'2. Parameters'!P71</f>
        <v>1.1350560000000001</v>
      </c>
      <c r="M33" s="32">
        <f>'2. Parameters'!Q71</f>
        <v>1.1918088000000002</v>
      </c>
      <c r="N33" s="32">
        <f>'2. Parameters'!R71</f>
        <v>1.2394811520000002</v>
      </c>
    </row>
    <row r="34" spans="2:14">
      <c r="B34" s="28" t="s">
        <v>211</v>
      </c>
      <c r="D34" s="3" t="s">
        <v>223</v>
      </c>
      <c r="G34" s="10"/>
      <c r="H34" s="10"/>
      <c r="I34" s="10"/>
      <c r="J34" s="32">
        <f>'2. Parameters'!N72</f>
        <v>1</v>
      </c>
      <c r="K34" s="32">
        <f>'2. Parameters'!O72</f>
        <v>1.04</v>
      </c>
      <c r="L34" s="32">
        <f>'2. Parameters'!P72</f>
        <v>1.1128</v>
      </c>
      <c r="M34" s="32">
        <f>'2. Parameters'!Q72</f>
        <v>1.1684400000000001</v>
      </c>
      <c r="N34" s="32">
        <f>'2. Parameters'!R72</f>
        <v>1.2151776000000003</v>
      </c>
    </row>
    <row r="35" spans="2:14">
      <c r="B35" s="28" t="s">
        <v>212</v>
      </c>
      <c r="D35" s="3" t="s">
        <v>223</v>
      </c>
      <c r="G35" s="10"/>
      <c r="H35" s="10"/>
      <c r="I35" s="10"/>
      <c r="J35" s="10"/>
      <c r="K35" s="32">
        <f>'2. Parameters'!O73</f>
        <v>1</v>
      </c>
      <c r="L35" s="32">
        <f>'2. Parameters'!P73</f>
        <v>1.07</v>
      </c>
      <c r="M35" s="32">
        <f>'2. Parameters'!Q73</f>
        <v>1.1235000000000002</v>
      </c>
      <c r="N35" s="32">
        <f>'2. Parameters'!R73</f>
        <v>1.1684400000000001</v>
      </c>
    </row>
    <row r="36" spans="2:14">
      <c r="B36" s="28" t="s">
        <v>213</v>
      </c>
      <c r="D36" s="3" t="s">
        <v>223</v>
      </c>
      <c r="G36" s="10"/>
      <c r="H36" s="10"/>
      <c r="I36" s="10"/>
      <c r="J36" s="10"/>
      <c r="K36" s="10"/>
      <c r="L36" s="32">
        <f>'2. Parameters'!P74</f>
        <v>1</v>
      </c>
      <c r="M36" s="32">
        <f>'2. Parameters'!Q74</f>
        <v>1.05</v>
      </c>
      <c r="N36" s="32">
        <f>'2. Parameters'!R74</f>
        <v>1.0920000000000001</v>
      </c>
    </row>
    <row r="37" spans="2:14">
      <c r="B37" s="28" t="s">
        <v>214</v>
      </c>
      <c r="D37" s="3" t="s">
        <v>223</v>
      </c>
      <c r="G37" s="10"/>
      <c r="H37" s="10"/>
      <c r="I37" s="10"/>
      <c r="J37" s="10"/>
      <c r="K37" s="10"/>
      <c r="L37" s="10"/>
      <c r="M37" s="32">
        <f>'2. Parameters'!Q75</f>
        <v>1</v>
      </c>
      <c r="N37" s="32">
        <f>'2. Parameters'!R75</f>
        <v>1.04</v>
      </c>
    </row>
    <row r="38" spans="2:14">
      <c r="B38" s="28"/>
      <c r="M38" s="287"/>
    </row>
    <row r="39" spans="2:14" ht="13">
      <c r="B39" s="16" t="s">
        <v>203</v>
      </c>
      <c r="M39" s="287"/>
    </row>
    <row r="40" spans="2:14">
      <c r="B40" s="28" t="s">
        <v>208</v>
      </c>
      <c r="D40" s="3" t="s">
        <v>205</v>
      </c>
      <c r="G40" s="54">
        <f>'2. Parameters'!K38</f>
        <v>1</v>
      </c>
      <c r="H40" s="54">
        <f>'2. Parameters'!L38</f>
        <v>1.016</v>
      </c>
      <c r="I40" s="54">
        <f>'2. Parameters'!M38</f>
        <v>1.0342880000000001</v>
      </c>
      <c r="J40" s="54">
        <f>'2. Parameters'!N38</f>
        <v>1.0984138560000001</v>
      </c>
      <c r="K40" s="54">
        <f>'2. Parameters'!O38</f>
        <v>1.1862869644800003</v>
      </c>
      <c r="L40" s="54">
        <f>'2. Parameters'!P38</f>
        <v>1.2195029994854403</v>
      </c>
      <c r="M40" s="54">
        <f>'2. Parameters'!Q38</f>
        <v>1.2658441134658871</v>
      </c>
      <c r="N40" s="116"/>
    </row>
    <row r="41" spans="2:14">
      <c r="B41" s="28" t="s">
        <v>209</v>
      </c>
      <c r="D41" s="3" t="s">
        <v>205</v>
      </c>
      <c r="G41" s="116"/>
      <c r="H41" s="54">
        <f>'2. Parameters'!L39</f>
        <v>1</v>
      </c>
      <c r="I41" s="54">
        <f>'2. Parameters'!M39</f>
        <v>1.018</v>
      </c>
      <c r="J41" s="54">
        <f>'2. Parameters'!N39</f>
        <v>1.081116</v>
      </c>
      <c r="K41" s="54">
        <f>'2. Parameters'!O39</f>
        <v>1.1676052800000001</v>
      </c>
      <c r="L41" s="54">
        <f>'2. Parameters'!P39</f>
        <v>1.2002982278400001</v>
      </c>
      <c r="M41" s="54">
        <f>'2. Parameters'!Q39</f>
        <v>1.24590956049792</v>
      </c>
      <c r="N41" s="116"/>
    </row>
    <row r="42" spans="2:14">
      <c r="B42" s="28" t="s">
        <v>210</v>
      </c>
      <c r="D42" s="3" t="s">
        <v>205</v>
      </c>
      <c r="G42" s="116"/>
      <c r="H42" s="116"/>
      <c r="I42" s="54">
        <f>'2. Parameters'!M40</f>
        <v>1</v>
      </c>
      <c r="J42" s="54">
        <f>'2. Parameters'!N40</f>
        <v>1.0620000000000001</v>
      </c>
      <c r="K42" s="54">
        <f>'2. Parameters'!O40</f>
        <v>1.1469600000000002</v>
      </c>
      <c r="L42" s="54">
        <f>'2. Parameters'!P40</f>
        <v>1.1790748800000002</v>
      </c>
      <c r="M42" s="54">
        <f>'2. Parameters'!Q40</f>
        <v>1.2238797254400002</v>
      </c>
      <c r="N42" s="116"/>
    </row>
    <row r="43" spans="2:14">
      <c r="B43" s="28" t="s">
        <v>211</v>
      </c>
      <c r="D43" s="3" t="s">
        <v>205</v>
      </c>
      <c r="G43" s="116"/>
      <c r="H43" s="116"/>
      <c r="I43" s="116"/>
      <c r="J43" s="54">
        <f>'2. Parameters'!N41</f>
        <v>1</v>
      </c>
      <c r="K43" s="54">
        <f>'2. Parameters'!O41</f>
        <v>1.08</v>
      </c>
      <c r="L43" s="54">
        <f>'2. Parameters'!P41</f>
        <v>1.1102400000000001</v>
      </c>
      <c r="M43" s="54">
        <f>'2. Parameters'!Q41</f>
        <v>1.1524291200000001</v>
      </c>
      <c r="N43" s="116"/>
    </row>
    <row r="44" spans="2:14">
      <c r="B44" s="28" t="s">
        <v>212</v>
      </c>
      <c r="D44" s="3" t="s">
        <v>205</v>
      </c>
      <c r="G44" s="116"/>
      <c r="H44" s="116"/>
      <c r="I44" s="116"/>
      <c r="J44" s="116"/>
      <c r="K44" s="54">
        <f>'2. Parameters'!O42</f>
        <v>1</v>
      </c>
      <c r="L44" s="54">
        <f>'2. Parameters'!P42</f>
        <v>1.028</v>
      </c>
      <c r="M44" s="54">
        <f>'2. Parameters'!Q42</f>
        <v>1.067064</v>
      </c>
      <c r="N44" s="116"/>
    </row>
    <row r="45" spans="2:14">
      <c r="B45" s="28" t="s">
        <v>213</v>
      </c>
      <c r="D45" s="3" t="s">
        <v>205</v>
      </c>
      <c r="G45" s="116"/>
      <c r="H45" s="116"/>
      <c r="I45" s="116"/>
      <c r="J45" s="116"/>
      <c r="K45" s="116"/>
      <c r="L45" s="54">
        <f>'2. Parameters'!P43</f>
        <v>1</v>
      </c>
      <c r="M45" s="54">
        <f>'2. Parameters'!Q43</f>
        <v>1.038</v>
      </c>
      <c r="N45" s="116"/>
    </row>
    <row r="46" spans="2:14">
      <c r="B46" s="28" t="s">
        <v>214</v>
      </c>
      <c r="D46" s="3" t="s">
        <v>205</v>
      </c>
      <c r="G46" s="116"/>
      <c r="H46" s="116"/>
      <c r="I46" s="116"/>
      <c r="J46" s="116"/>
      <c r="K46" s="116"/>
      <c r="L46" s="116"/>
      <c r="M46" s="54">
        <f>'2. Parameters'!Q44</f>
        <v>1</v>
      </c>
      <c r="N46" s="116"/>
    </row>
    <row r="47" spans="2:14">
      <c r="B47" s="28"/>
      <c r="M47" s="287"/>
    </row>
    <row r="48" spans="2:14" ht="13">
      <c r="B48" s="16" t="s">
        <v>215</v>
      </c>
      <c r="M48" s="287"/>
    </row>
    <row r="49" spans="2:14">
      <c r="B49" s="28" t="s">
        <v>208</v>
      </c>
      <c r="D49" s="3" t="s">
        <v>219</v>
      </c>
      <c r="G49" s="54">
        <f>'2. Parameters'!K55</f>
        <v>1</v>
      </c>
      <c r="H49" s="54">
        <f>'2. Parameters'!L55</f>
        <v>0.999</v>
      </c>
      <c r="I49" s="54">
        <f>'2. Parameters'!M55</f>
        <v>0.995004</v>
      </c>
      <c r="J49" s="54">
        <f>'2. Parameters'!N55</f>
        <v>0.99102398400000002</v>
      </c>
      <c r="K49" s="54">
        <f>'2. Parameters'!O55</f>
        <v>0.98705988806400002</v>
      </c>
      <c r="L49" s="54">
        <f>'2. Parameters'!P55</f>
        <v>0.98311164851174404</v>
      </c>
      <c r="M49" s="54">
        <f>'2. Parameters'!Q55</f>
        <v>0.97917920191769703</v>
      </c>
      <c r="N49" s="116"/>
    </row>
    <row r="50" spans="2:14">
      <c r="B50" s="28" t="s">
        <v>209</v>
      </c>
      <c r="D50" s="3" t="s">
        <v>219</v>
      </c>
      <c r="G50" s="116"/>
      <c r="H50" s="54">
        <f>'2. Parameters'!L56</f>
        <v>1</v>
      </c>
      <c r="I50" s="54">
        <f>'2. Parameters'!M56</f>
        <v>0.996</v>
      </c>
      <c r="J50" s="54">
        <f>'2. Parameters'!N56</f>
        <v>0.99201600000000001</v>
      </c>
      <c r="K50" s="54">
        <f>'2. Parameters'!O56</f>
        <v>0.98804793599999996</v>
      </c>
      <c r="L50" s="54">
        <f>'2. Parameters'!P56</f>
        <v>0.98409574425599999</v>
      </c>
      <c r="M50" s="54">
        <f>'2. Parameters'!Q56</f>
        <v>0.98015936127897596</v>
      </c>
      <c r="N50" s="116"/>
    </row>
    <row r="51" spans="2:14">
      <c r="B51" s="28" t="s">
        <v>210</v>
      </c>
      <c r="D51" s="3" t="s">
        <v>219</v>
      </c>
      <c r="G51" s="116"/>
      <c r="H51" s="116"/>
      <c r="I51" s="54">
        <f>'2. Parameters'!M57</f>
        <v>1</v>
      </c>
      <c r="J51" s="54">
        <f>'2. Parameters'!N57</f>
        <v>0.996</v>
      </c>
      <c r="K51" s="54">
        <f>'2. Parameters'!O57</f>
        <v>0.99201600000000001</v>
      </c>
      <c r="L51" s="54">
        <f>'2. Parameters'!P57</f>
        <v>0.98804793599999996</v>
      </c>
      <c r="M51" s="54">
        <f>'2. Parameters'!Q57</f>
        <v>0.98409574425599999</v>
      </c>
      <c r="N51" s="116"/>
    </row>
    <row r="52" spans="2:14">
      <c r="B52" s="28" t="s">
        <v>211</v>
      </c>
      <c r="D52" s="3" t="s">
        <v>219</v>
      </c>
      <c r="G52" s="116"/>
      <c r="H52" s="116"/>
      <c r="I52" s="116"/>
      <c r="J52" s="54">
        <f>'2. Parameters'!N58</f>
        <v>1</v>
      </c>
      <c r="K52" s="54">
        <f>'2. Parameters'!O58</f>
        <v>0.996</v>
      </c>
      <c r="L52" s="54">
        <f>'2. Parameters'!P58</f>
        <v>0.99201600000000001</v>
      </c>
      <c r="M52" s="54">
        <f>'2. Parameters'!Q58</f>
        <v>0.98804793599999996</v>
      </c>
      <c r="N52" s="116"/>
    </row>
    <row r="53" spans="2:14">
      <c r="B53" s="28" t="s">
        <v>212</v>
      </c>
      <c r="D53" s="3" t="s">
        <v>219</v>
      </c>
      <c r="G53" s="116"/>
      <c r="H53" s="116"/>
      <c r="I53" s="116"/>
      <c r="J53" s="116"/>
      <c r="K53" s="54">
        <f>'2. Parameters'!O59</f>
        <v>1</v>
      </c>
      <c r="L53" s="54">
        <f>'2. Parameters'!P59</f>
        <v>0.996</v>
      </c>
      <c r="M53" s="54">
        <f>'2. Parameters'!Q59</f>
        <v>0.99201600000000001</v>
      </c>
      <c r="N53" s="116"/>
    </row>
    <row r="54" spans="2:14">
      <c r="B54" s="28" t="s">
        <v>213</v>
      </c>
      <c r="D54" s="3" t="s">
        <v>219</v>
      </c>
      <c r="G54" s="116"/>
      <c r="H54" s="116"/>
      <c r="I54" s="116"/>
      <c r="J54" s="116"/>
      <c r="K54" s="116"/>
      <c r="L54" s="54">
        <f>'2. Parameters'!P60</f>
        <v>1</v>
      </c>
      <c r="M54" s="54">
        <f>'2. Parameters'!Q60</f>
        <v>0.996</v>
      </c>
      <c r="N54" s="116"/>
    </row>
    <row r="55" spans="2:14">
      <c r="B55" s="28" t="s">
        <v>214</v>
      </c>
      <c r="D55" s="3" t="s">
        <v>219</v>
      </c>
      <c r="G55" s="116"/>
      <c r="H55" s="116"/>
      <c r="I55" s="116"/>
      <c r="J55" s="116"/>
      <c r="K55" s="116"/>
      <c r="L55" s="116"/>
      <c r="M55" s="54">
        <f>'2. Parameters'!Q61</f>
        <v>1</v>
      </c>
      <c r="N55" s="116"/>
    </row>
    <row r="57" spans="2:14" s="8" customFormat="1" ht="13">
      <c r="B57" s="8" t="s">
        <v>1011</v>
      </c>
      <c r="F57" s="8" t="s">
        <v>274</v>
      </c>
      <c r="G57" s="8" t="s">
        <v>522</v>
      </c>
      <c r="H57" s="8" t="s">
        <v>523</v>
      </c>
      <c r="I57" s="8" t="s">
        <v>524</v>
      </c>
      <c r="J57" s="8" t="s">
        <v>275</v>
      </c>
      <c r="K57" s="8" t="s">
        <v>1012</v>
      </c>
      <c r="L57" s="8" t="s">
        <v>525</v>
      </c>
      <c r="M57" s="8" t="s">
        <v>1013</v>
      </c>
    </row>
    <row r="59" spans="2:14">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'!$B$11:$B$89,'3. Input (des)investeringen '!$D$11:$D$89)</f>
        <v>10</v>
      </c>
      <c r="K59" s="42">
        <f>_xlfn.XLOOKUP(F59,'3. Input (des)investeringen '!$B$11:$B$89,'3. Input (des)investeringen '!$E$11:$E$89)</f>
        <v>0</v>
      </c>
      <c r="L59" s="42">
        <f>'8. Input IC huur Gasunie'!J12</f>
        <v>0</v>
      </c>
      <c r="M59" s="42">
        <f>'8. Input IC huur Gasunie'!K12</f>
        <v>38383584.379999995</v>
      </c>
    </row>
    <row r="60" spans="2:14">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'!$B$11:$B$89,'3. Input (des)investeringen '!$D$11:$D$89)</f>
        <v>30</v>
      </c>
      <c r="K60" s="42">
        <f>_xlfn.XLOOKUP(F60,'3. Input (des)investeringen '!$B$11:$B$89,'3. Input (des)investeringen '!$E$11:$E$89)</f>
        <v>0</v>
      </c>
      <c r="L60" s="42">
        <f>'8. Input IC huur Gasunie'!J13</f>
        <v>0</v>
      </c>
      <c r="M60" s="42">
        <f>'8. Input IC huur Gasunie'!K13</f>
        <v>0</v>
      </c>
    </row>
    <row r="61" spans="2:14">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'!$B$11:$B$89,'3. Input (des)investeringen '!$D$11:$D$89)</f>
        <v>30</v>
      </c>
      <c r="K61" s="42">
        <f>_xlfn.XLOOKUP(F61,'3. Input (des)investeringen '!$B$11:$B$89,'3. Input (des)investeringen '!$E$11:$E$89)</f>
        <v>0</v>
      </c>
      <c r="L61" s="42">
        <f>'8. Input IC huur Gasunie'!J14</f>
        <v>0</v>
      </c>
      <c r="M61" s="42">
        <f>'8. Input IC huur Gasunie'!K14</f>
        <v>0</v>
      </c>
    </row>
    <row r="62" spans="2:14">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'!$B$11:$B$89,'3. Input (des)investeringen '!$D$11:$D$89)</f>
        <v>10</v>
      </c>
      <c r="K62" s="42">
        <f>_xlfn.XLOOKUP(F62,'3. Input (des)investeringen '!$B$11:$B$89,'3. Input (des)investeringen '!$E$11:$E$89)</f>
        <v>0</v>
      </c>
      <c r="L62" s="42">
        <f>'8. Input IC huur Gasunie'!J15</f>
        <v>0</v>
      </c>
      <c r="M62" s="42">
        <f>'8. Input IC huur Gasunie'!K15</f>
        <v>0</v>
      </c>
    </row>
    <row r="63" spans="2:14">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'!$B$11:$B$89,'3. Input (des)investeringen '!$D$11:$D$89)</f>
        <v>10</v>
      </c>
      <c r="K63" s="42">
        <f>_xlfn.XLOOKUP(F63,'3. Input (des)investeringen '!$B$11:$B$89,'3. Input (des)investeringen '!$E$11:$E$89)</f>
        <v>1</v>
      </c>
      <c r="L63" s="42">
        <f>'8. Input IC huur Gasunie'!J16</f>
        <v>0</v>
      </c>
      <c r="M63" s="42">
        <f>'8. Input IC huur Gasunie'!K16</f>
        <v>0</v>
      </c>
    </row>
    <row r="64" spans="2:14">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'!$B$11:$B$89,'3. Input (des)investeringen '!$D$11:$D$89)</f>
        <v>5</v>
      </c>
      <c r="K64" s="42">
        <f>_xlfn.XLOOKUP(F64,'3. Input (des)investeringen '!$B$11:$B$89,'3. Input (des)investeringen '!$E$11:$E$89)</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'!$B$11:$B$89,'3. Input (des)investeringen '!$D$11:$D$89)</f>
        <v>5</v>
      </c>
      <c r="K65" s="42">
        <f>_xlfn.XLOOKUP(F65,'3. Input (des)investeringen '!$B$11:$B$89,'3. Input (des)investeringen '!$E$11:$E$89)</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'!$B$11:$B$89,'3. Input (des)investeringen '!$D$11:$D$89)</f>
        <v>10</v>
      </c>
      <c r="K66" s="42">
        <f>_xlfn.XLOOKUP(F66,'3. Input (des)investeringen '!$B$11:$B$89,'3. Input (des)investeringen '!$E$11:$E$89)</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'!$B$11:$B$89,'3. Input (des)investeringen '!$D$11:$D$89)</f>
        <v>5</v>
      </c>
      <c r="K67" s="42">
        <f>_xlfn.XLOOKUP(F67,'3. Input (des)investeringen '!$B$11:$B$89,'3. Input (des)investeringen '!$E$11:$E$89)</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'!$B$11:$B$89,'3. Input (des)investeringen '!$D$11:$D$89)</f>
        <v>10</v>
      </c>
      <c r="K68" s="42">
        <f>_xlfn.XLOOKUP(F68,'3. Input (des)investeringen '!$B$11:$B$89,'3. Input (des)investeringen '!$E$11:$E$89)</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'!$B$11:$B$89,'3. Input (des)investeringen '!$D$11:$D$89)</f>
        <v>30</v>
      </c>
      <c r="K69" s="42">
        <f>_xlfn.XLOOKUP(F69,'3. Input (des)investeringen '!$B$11:$B$89,'3. Input (des)investeringen '!$E$11:$E$89)</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'!$B$11:$B$89,'3. Input (des)investeringen '!$D$11:$D$89)</f>
        <v>5</v>
      </c>
      <c r="K70" s="42">
        <f>_xlfn.XLOOKUP(F70,'3. Input (des)investeringen '!$B$11:$B$89,'3. Input (des)investeringen '!$E$11:$E$89)</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'!$B$11:$B$89,'3. Input (des)investeringen '!$D$11:$D$89)</f>
        <v>30</v>
      </c>
      <c r="K71" s="42">
        <f>_xlfn.XLOOKUP(F71,'3. Input (des)investeringen '!$B$11:$B$89,'3. Input (des)investeringen '!$E$11:$E$89)</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'!$B$11:$B$89,'3. Input (des)investeringen '!$D$11:$D$89)</f>
        <v>10</v>
      </c>
      <c r="K72" s="42">
        <f>_xlfn.XLOOKUP(F72,'3. Input (des)investeringen '!$B$11:$B$89,'3. Input (des)investeringen '!$E$11:$E$89)</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'!$B$11:$B$89,'3. Input (des)investeringen '!$D$11:$D$89)</f>
        <v>10</v>
      </c>
      <c r="K73" s="42">
        <f>_xlfn.XLOOKUP(F73,'3. Input (des)investeringen '!$B$11:$B$89,'3. Input (des)investeringen '!$E$11:$E$89)</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'!$B$11:$B$89,'3. Input (des)investeringen '!$D$11:$D$89)</f>
        <v>5</v>
      </c>
      <c r="K74" s="42">
        <f>_xlfn.XLOOKUP(F74,'3. Input (des)investeringen '!$B$11:$B$89,'3. Input (des)investeringen '!$E$11:$E$89)</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'!$B$11:$B$89,'3. Input (des)investeringen '!$D$11:$D$89)</f>
        <v>5</v>
      </c>
      <c r="K75" s="42">
        <f>_xlfn.XLOOKUP(F75,'3. Input (des)investeringen '!$B$11:$B$89,'3. Input (des)investeringen '!$E$11:$E$89)</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'!$B$11:$B$89,'3. Input (des)investeringen '!$D$11:$D$89)</f>
        <v>10</v>
      </c>
      <c r="K76" s="42">
        <f>_xlfn.XLOOKUP(F76,'3. Input (des)investeringen '!$B$11:$B$89,'3. Input (des)investeringen '!$E$11:$E$89)</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'!$B$11:$B$89,'3. Input (des)investeringen '!$D$11:$D$89)</f>
        <v>10</v>
      </c>
      <c r="K77" s="42">
        <f>_xlfn.XLOOKUP(F77,'3. Input (des)investeringen '!$B$11:$B$89,'3. Input (des)investeringen '!$E$11:$E$89)</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'!$B$11:$B$89,'3. Input (des)investeringen '!$D$11:$D$89)</f>
        <v>5</v>
      </c>
      <c r="K78" s="42">
        <f>_xlfn.XLOOKUP(F78,'3. Input (des)investeringen '!$B$11:$B$89,'3. Input (des)investeringen '!$E$11:$E$89)</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'!$B$11:$B$89,'3. Input (des)investeringen '!$D$11:$D$89)</f>
        <v>10</v>
      </c>
      <c r="K79" s="42">
        <f>_xlfn.XLOOKUP(F79,'3. Input (des)investeringen '!$B$11:$B$89,'3. Input (des)investeringen '!$E$11:$E$89)</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'!$B$11:$B$89,'3. Input (des)investeringen '!$D$11:$D$89)</f>
        <v>5</v>
      </c>
      <c r="K80" s="42">
        <f>_xlfn.XLOOKUP(F80,'3. Input (des)investeringen '!$B$11:$B$89,'3. Input (des)investeringen '!$E$11:$E$89)</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'!$B$11:$B$89,'3. Input (des)investeringen '!$D$11:$D$89)</f>
        <v>5</v>
      </c>
      <c r="K81" s="42">
        <f>_xlfn.XLOOKUP(F81,'3. Input (des)investeringen '!$B$11:$B$89,'3. Input (des)investeringen '!$E$11:$E$89)</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'!$B$11:$B$89,'3. Input (des)investeringen '!$D$11:$D$89)</f>
        <v>10</v>
      </c>
      <c r="K82" s="42">
        <f>_xlfn.XLOOKUP(F82,'3. Input (des)investeringen '!$B$11:$B$89,'3. Input (des)investeringen '!$E$11:$E$89)</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'!$B$11:$B$89,'3. Input (des)investeringen '!$D$11:$D$89)</f>
        <v>10</v>
      </c>
      <c r="K83" s="42">
        <f>_xlfn.XLOOKUP(F83,'3. Input (des)investeringen '!$B$11:$B$89,'3. Input (des)investeringen '!$E$11:$E$89)</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'!$B$11:$B$89,'3. Input (des)investeringen '!$D$11:$D$89)</f>
        <v>10</v>
      </c>
      <c r="K84" s="42">
        <f>_xlfn.XLOOKUP(F84,'3. Input (des)investeringen '!$B$11:$B$89,'3. Input (des)investeringen '!$E$11:$E$89)</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'!$B$11:$B$89,'3. Input (des)investeringen '!$D$11:$D$89)</f>
        <v>5</v>
      </c>
      <c r="K85" s="42">
        <f>_xlfn.XLOOKUP(F85,'3. Input (des)investeringen '!$B$11:$B$89,'3. Input (des)investeringen '!$E$11:$E$89)</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'!$B$11:$B$89,'3. Input (des)investeringen '!$D$11:$D$89)</f>
        <v>10</v>
      </c>
      <c r="K86" s="42">
        <f>_xlfn.XLOOKUP(F86,'3. Input (des)investeringen '!$B$11:$B$89,'3. Input (des)investeringen '!$E$11:$E$89)</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'!$B$11:$B$89,'3. Input (des)investeringen '!$D$11:$D$89)</f>
        <v>10</v>
      </c>
      <c r="K87" s="42">
        <f>_xlfn.XLOOKUP(F87,'3. Input (des)investeringen '!$B$11:$B$89,'3. Input (des)investeringen '!$E$11:$E$89)</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'!$B$11:$B$89,'3. Input (des)investeringen '!$D$11:$D$89)</f>
        <v>5</v>
      </c>
      <c r="K88" s="42">
        <f>_xlfn.XLOOKUP(F88,'3. Input (des)investeringen '!$B$11:$B$89,'3. Input (des)investeringen '!$E$11:$E$89)</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'!$B$11:$B$89,'3. Input (des)investeringen '!$D$11:$D$89)</f>
        <v>10</v>
      </c>
      <c r="K89" s="42">
        <f>_xlfn.XLOOKUP(F89,'3. Input (des)investeringen '!$B$11:$B$89,'3. Input (des)investeringen '!$E$11:$E$89)</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'!$B$11:$B$89,'3. Input (des)investeringen '!$D$11:$D$89)</f>
        <v>5</v>
      </c>
      <c r="K90" s="42">
        <f>_xlfn.XLOOKUP(F90,'3. Input (des)investeringen '!$B$11:$B$89,'3. Input (des)investeringen '!$E$11:$E$89)</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'!$B$11:$B$89,'3. Input (des)investeringen '!$D$11:$D$89)</f>
        <v>5</v>
      </c>
      <c r="K91" s="42">
        <f>_xlfn.XLOOKUP(F91,'3. Input (des)investeringen '!$B$11:$B$89,'3. Input (des)investeringen '!$E$11:$E$89)</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'!$B$11:$B$89,'3. Input (des)investeringen '!$D$11:$D$89)</f>
        <v>10</v>
      </c>
      <c r="K92" s="42">
        <f>_xlfn.XLOOKUP(F92,'3. Input (des)investeringen '!$B$11:$B$89,'3. Input (des)investeringen '!$E$11:$E$89)</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'!$B$11:$B$89,'3. Input (des)investeringen '!$D$11:$D$89)</f>
        <v>10</v>
      </c>
      <c r="K93" s="42">
        <f>_xlfn.XLOOKUP(F93,'3. Input (des)investeringen '!$B$11:$B$89,'3. Input (des)investeringen '!$E$11:$E$89)</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'!$B$11:$B$89,'3. Input (des)investeringen '!$D$11:$D$89)</f>
        <v>10</v>
      </c>
      <c r="K94" s="42">
        <f>_xlfn.XLOOKUP(F94,'3. Input (des)investeringen '!$B$11:$B$89,'3. Input (des)investeringen '!$E$11:$E$89)</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'!$B$11:$B$89,'3. Input (des)investeringen '!$D$11:$D$89)</f>
        <v>10</v>
      </c>
      <c r="K95" s="42">
        <f>_xlfn.XLOOKUP(F95,'3. Input (des)investeringen '!$B$11:$B$89,'3. Input (des)investeringen '!$E$11:$E$89)</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'!$B$11:$B$89,'3. Input (des)investeringen '!$D$11:$D$89)</f>
        <v>5</v>
      </c>
      <c r="K96" s="42">
        <f>_xlfn.XLOOKUP(F96,'3. Input (des)investeringen '!$B$11:$B$89,'3. Input (des)investeringen '!$E$11:$E$89)</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'!$B$11:$B$89,'3. Input (des)investeringen '!$D$11:$D$89)</f>
        <v>10</v>
      </c>
      <c r="K97" s="42">
        <f>_xlfn.XLOOKUP(F97,'3. Input (des)investeringen '!$B$11:$B$89,'3. Input (des)investeringen '!$E$11:$E$89)</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'!$B$11:$B$89,'3. Input (des)investeringen '!$D$11:$D$89)</f>
        <v>30</v>
      </c>
      <c r="K98" s="42">
        <f>_xlfn.XLOOKUP(F98,'3. Input (des)investeringen '!$B$11:$B$89,'3. Input (des)investeringen '!$E$11:$E$89)</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'!$B$11:$B$89,'3. Input (des)investeringen '!$D$11:$D$89)</f>
        <v>10</v>
      </c>
      <c r="K99" s="42">
        <f>_xlfn.XLOOKUP(F99,'3. Input (des)investeringen '!$B$11:$B$89,'3. Input (des)investeringen '!$E$11:$E$89)</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'!$B$11:$B$89,'3. Input (des)investeringen '!$D$11:$D$89)</f>
        <v>10</v>
      </c>
      <c r="K100" s="42">
        <f>_xlfn.XLOOKUP(F100,'3. Input (des)investeringen '!$B$11:$B$89,'3. Input (des)investeringen '!$E$11:$E$89)</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'!$B$11:$B$89,'3. Input (des)investeringen '!$D$11:$D$89)</f>
        <v>10</v>
      </c>
      <c r="K101" s="42">
        <f>_xlfn.XLOOKUP(F101,'3. Input (des)investeringen '!$B$11:$B$89,'3. Input (des)investeringen '!$E$11:$E$89)</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'!$B$11:$B$89,'3. Input (des)investeringen '!$D$11:$D$89)</f>
        <v>30</v>
      </c>
      <c r="K102" s="42">
        <f>_xlfn.XLOOKUP(F102,'3. Input (des)investeringen '!$B$11:$B$89,'3. Input (des)investeringen '!$E$11:$E$89)</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'!$B$11:$B$89,'3. Input (des)investeringen '!$D$11:$D$89)</f>
        <v>5</v>
      </c>
      <c r="K103" s="42">
        <f>_xlfn.XLOOKUP(F103,'3. Input (des)investeringen '!$B$11:$B$89,'3. Input (des)investeringen '!$E$11:$E$89)</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'!$B$11:$B$89,'3. Input (des)investeringen '!$D$11:$D$89)</f>
        <v>10</v>
      </c>
      <c r="K104" s="42">
        <f>_xlfn.XLOOKUP(F104,'3. Input (des)investeringen '!$B$11:$B$89,'3. Input (des)investeringen '!$E$11:$E$89)</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'!$B$11:$B$89,'3. Input (des)investeringen '!$D$11:$D$89)</f>
        <v>10</v>
      </c>
      <c r="K105" s="42">
        <f>_xlfn.XLOOKUP(F105,'3. Input (des)investeringen '!$B$11:$B$89,'3. Input (des)investeringen '!$E$11:$E$89)</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'!$B$11:$B$89,'3. Input (des)investeringen '!$D$11:$D$89)</f>
        <v>10</v>
      </c>
      <c r="K106" s="42">
        <f>_xlfn.XLOOKUP(F106,'3. Input (des)investeringen '!$B$11:$B$89,'3. Input (des)investeringen '!$E$11:$E$89)</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'!$B$11:$B$89,'3. Input (des)investeringen '!$D$11:$D$89)</f>
        <v>5</v>
      </c>
      <c r="K107" s="42">
        <f>_xlfn.XLOOKUP(F107,'3. Input (des)investeringen '!$B$11:$B$89,'3. Input (des)investeringen '!$E$11:$E$89)</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'!$B$11:$B$89,'3. Input (des)investeringen '!$D$11:$D$89)</f>
        <v>5</v>
      </c>
      <c r="K108" s="42">
        <f>_xlfn.XLOOKUP(F108,'3. Input (des)investeringen '!$B$11:$B$89,'3. Input (des)investeringen '!$E$11:$E$89)</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'!$B$11:$B$89,'3. Input (des)investeringen '!$D$11:$D$89)</f>
        <v>10</v>
      </c>
      <c r="K109" s="42">
        <f>_xlfn.XLOOKUP(F109,'3. Input (des)investeringen '!$B$11:$B$89,'3. Input (des)investeringen '!$E$11:$E$89)</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'!$B$11:$B$89,'3. Input (des)investeringen '!$D$11:$D$89)</f>
        <v>0</v>
      </c>
      <c r="K110" s="42">
        <f>_xlfn.XLOOKUP(F110,'3. Input (des)investeringen '!$B$11:$B$89,'3. Input (des)investeringen '!$E$11:$E$89)</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'!$B$11:$B$89,'3. Input (des)investeringen '!$D$11:$D$89)</f>
        <v>0</v>
      </c>
      <c r="K111" s="42">
        <f>_xlfn.XLOOKUP(F111,'3. Input (des)investeringen '!$B$11:$B$89,'3. Input (des)investeringen '!$E$11:$E$89)</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'!$B$11:$B$89,'3. Input (des)investeringen '!$D$11:$D$89)</f>
        <v>0</v>
      </c>
      <c r="K112" s="42">
        <f>_xlfn.XLOOKUP(F112,'3. Input (des)investeringen '!$B$11:$B$89,'3. Input (des)investeringen '!$E$11:$E$89)</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'!$B$11:$B$89,'3. Input (des)investeringen '!$D$11:$D$89)</f>
        <v>10</v>
      </c>
      <c r="K113" s="42">
        <f>_xlfn.XLOOKUP(F113,'3. Input (des)investeringen '!$B$11:$B$89,'3. Input (des)investeringen '!$E$11:$E$89)</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'!$B$11:$B$89,'3. Input (des)investeringen '!$D$11:$D$89)</f>
        <v>30</v>
      </c>
      <c r="K114" s="42">
        <f>_xlfn.XLOOKUP(F114,'3. Input (des)investeringen '!$B$11:$B$89,'3. Input (des)investeringen '!$E$11:$E$89)</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'!$B$11:$B$89,'3. Input (des)investeringen '!$D$11:$D$89)</f>
        <v>30</v>
      </c>
      <c r="K115" s="42">
        <f>_xlfn.XLOOKUP(F115,'3. Input (des)investeringen '!$B$11:$B$89,'3. Input (des)investeringen '!$E$11:$E$89)</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'!$B$11:$B$89,'3. Input (des)investeringen '!$D$11:$D$89)</f>
        <v>30</v>
      </c>
      <c r="K116" s="42">
        <f>_xlfn.XLOOKUP(F116,'3. Input (des)investeringen '!$B$11:$B$89,'3. Input (des)investeringen '!$E$11:$E$89)</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'!$B$11:$B$89,'3. Input (des)investeringen '!$D$11:$D$89)</f>
        <v>30</v>
      </c>
      <c r="K117" s="42">
        <f>_xlfn.XLOOKUP(F117,'3. Input (des)investeringen '!$B$11:$B$89,'3. Input (des)investeringen '!$E$11:$E$89)</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'!$B$11:$B$89,'3. Input (des)investeringen '!$D$11:$D$89)</f>
        <v>0</v>
      </c>
      <c r="K118" s="42">
        <f>_xlfn.XLOOKUP(F118,'3. Input (des)investeringen '!$B$11:$B$89,'3. Input (des)investeringen '!$E$11:$E$89)</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'!$B$11:$B$89,'3. Input (des)investeringen '!$D$11:$D$89)</f>
        <v>30</v>
      </c>
      <c r="K119" s="42">
        <f>_xlfn.XLOOKUP(F119,'3. Input (des)investeringen '!$B$11:$B$89,'3. Input (des)investeringen '!$E$11:$E$89)</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'!$B$11:$B$89,'3. Input (des)investeringen '!$D$11:$D$89)</f>
        <v>0</v>
      </c>
      <c r="K120" s="42">
        <f>_xlfn.XLOOKUP(F120,'3. Input (des)investeringen '!$B$11:$B$89,'3. Input (des)investeringen '!$E$11:$E$89)</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'!$B$11:$B$89,'3. Input (des)investeringen '!$D$11:$D$89)</f>
        <v>10</v>
      </c>
      <c r="K121" s="42">
        <f>_xlfn.XLOOKUP(F121,'3. Input (des)investeringen '!$B$11:$B$89,'3. Input (des)investeringen '!$E$11:$E$89)</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'!$B$11:$B$89,'3. Input (des)investeringen '!$D$11:$D$89)</f>
        <v>30</v>
      </c>
      <c r="K122" s="42">
        <f>_xlfn.XLOOKUP(F122,'3. Input (des)investeringen '!$B$11:$B$89,'3. Input (des)investeringen '!$E$11:$E$89)</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'!$B$11:$B$89,'3. Input (des)investeringen '!$D$11:$D$89)</f>
        <v>10</v>
      </c>
      <c r="K123" s="42">
        <f>_xlfn.XLOOKUP(F123,'3. Input (des)investeringen '!$B$11:$B$89,'3. Input (des)investeringen '!$E$11:$E$89)</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'!$B$11:$B$89,'3. Input (des)investeringen '!$D$11:$D$89)</f>
        <v>30</v>
      </c>
      <c r="K124" s="42">
        <f>_xlfn.XLOOKUP(F124,'3. Input (des)investeringen '!$B$11:$B$89,'3. Input (des)investeringen '!$E$11:$E$89)</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'!$B$11:$B$89,'3. Input (des)investeringen '!$D$11:$D$89)</f>
        <v>10</v>
      </c>
      <c r="K125" s="42">
        <f>_xlfn.XLOOKUP(F125,'3. Input (des)investeringen '!$B$11:$B$89,'3. Input (des)investeringen '!$E$11:$E$89)</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'!$B$11:$B$89,'3. Input (des)investeringen '!$D$11:$D$89)</f>
        <v>10</v>
      </c>
      <c r="K126" s="42">
        <f>_xlfn.XLOOKUP(F126,'3. Input (des)investeringen '!$B$11:$B$89,'3. Input (des)investeringen '!$E$11:$E$89)</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'!$B$11:$B$89,'3. Input (des)investeringen '!$D$11:$D$89)</f>
        <v>30</v>
      </c>
      <c r="K127" s="42">
        <f>_xlfn.XLOOKUP(F127,'3. Input (des)investeringen '!$B$11:$B$89,'3. Input (des)investeringen '!$E$11:$E$89)</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'!$B$11:$B$89,'3. Input (des)investeringen '!$D$11:$D$89)</f>
        <v>30</v>
      </c>
      <c r="K128" s="42">
        <f>_xlfn.XLOOKUP(F128,'3. Input (des)investeringen '!$B$11:$B$89,'3. Input (des)investeringen '!$E$11:$E$89)</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'!$B$11:$B$89,'3. Input (des)investeringen '!$D$11:$D$89)</f>
        <v>10</v>
      </c>
      <c r="K129" s="42">
        <f>_xlfn.XLOOKUP(F129,'3. Input (des)investeringen '!$B$11:$B$89,'3. Input (des)investeringen '!$E$11:$E$89)</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'!$B$11:$B$89,'3. Input (des)investeringen '!$D$11:$D$89)</f>
        <v>10</v>
      </c>
      <c r="K130" s="42">
        <f>_xlfn.XLOOKUP(F130,'3. Input (des)investeringen '!$B$11:$B$89,'3. Input (des)investeringen '!$E$11:$E$89)</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'!$B$11:$B$89,'3. Input (des)investeringen '!$D$11:$D$89)</f>
        <v>30</v>
      </c>
      <c r="K131" s="42">
        <f>_xlfn.XLOOKUP(F131,'3. Input (des)investeringen '!$B$11:$B$89,'3. Input (des)investeringen '!$E$11:$E$89)</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'!$B$11:$B$89,'3. Input (des)investeringen '!$D$11:$D$89)</f>
        <v>10</v>
      </c>
      <c r="K132" s="42">
        <f>_xlfn.XLOOKUP(F132,'3. Input (des)investeringen '!$B$11:$B$89,'3. Input (des)investeringen '!$E$11:$E$89)</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'!$B$11:$B$89,'3. Input (des)investeringen '!$D$11:$D$89)</f>
        <v>5</v>
      </c>
      <c r="K133" s="42">
        <f>_xlfn.XLOOKUP(F133,'3. Input (des)investeringen '!$B$11:$B$89,'3. Input (des)investeringen '!$E$11:$E$89)</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'!$B$11:$B$89,'3. Input (des)investeringen '!$D$11:$D$89)</f>
        <v>10</v>
      </c>
      <c r="K134" s="42">
        <f>_xlfn.XLOOKUP(F134,'3. Input (des)investeringen '!$B$11:$B$89,'3. Input (des)investeringen '!$E$11:$E$89)</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'!$B$11:$B$89,'3. Input (des)investeringen '!$D$11:$D$89)</f>
        <v>10</v>
      </c>
      <c r="K135" s="42">
        <f>_xlfn.XLOOKUP(F135,'3. Input (des)investeringen '!$B$11:$B$89,'3. Input (des)investeringen '!$E$11:$E$89)</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'!$B$11:$B$89,'3. Input (des)investeringen '!$D$11:$D$89)</f>
        <v>10</v>
      </c>
      <c r="K136" s="42">
        <f>_xlfn.XLOOKUP(F136,'3. Input (des)investeringen '!$B$11:$B$89,'3. Input (des)investeringen '!$E$11:$E$89)</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'!$B$11:$B$89,'3. Input (des)investeringen '!$D$11:$D$89)</f>
        <v>5</v>
      </c>
      <c r="K137" s="42">
        <f>_xlfn.XLOOKUP(F137,'3. Input (des)investeringen '!$B$11:$B$89,'3. Input (des)investeringen '!$E$11:$E$89)</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'!$B$11:$B$89,'3. Input (des)investeringen '!$D$11:$D$89)</f>
        <v>5</v>
      </c>
      <c r="K138" s="42">
        <f>_xlfn.XLOOKUP(F138,'3. Input (des)investeringen '!$B$11:$B$89,'3. Input (des)investeringen '!$E$11:$E$89)</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'!$B$11:$B$89,'3. Input (des)investeringen '!$D$11:$D$89)</f>
        <v>10</v>
      </c>
      <c r="K139" s="42">
        <f>_xlfn.XLOOKUP(F139,'3. Input (des)investeringen '!$B$11:$B$89,'3. Input (des)investeringen '!$E$11:$E$89)</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'!$B$11:$B$89,'3. Input (des)investeringen '!$D$11:$D$89)</f>
        <v>10</v>
      </c>
      <c r="K140" s="42">
        <f>_xlfn.XLOOKUP(F140,'3. Input (des)investeringen '!$B$11:$B$89,'3. Input (des)investeringen '!$E$11:$E$89)</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'!$B$11:$B$89,'3. Input (des)investeringen '!$D$11:$D$89)</f>
        <v>10</v>
      </c>
      <c r="K141" s="42">
        <f>_xlfn.XLOOKUP(F141,'3. Input (des)investeringen '!$B$11:$B$89,'3. Input (des)investeringen '!$E$11:$E$89)</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'!$B$11:$B$89,'3. Input (des)investeringen '!$D$11:$D$89)</f>
        <v>5</v>
      </c>
      <c r="K142" s="42">
        <f>_xlfn.XLOOKUP(F142,'3. Input (des)investeringen '!$B$11:$B$89,'3. Input (des)investeringen '!$E$11:$E$89)</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'!$B$11:$B$89,'3. Input (des)investeringen '!$D$11:$D$89)</f>
        <v>10</v>
      </c>
      <c r="K143" s="42">
        <f>_xlfn.XLOOKUP(F143,'3. Input (des)investeringen '!$B$11:$B$89,'3. Input (des)investeringen '!$E$11:$E$89)</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'!$B$11:$B$89,'3. Input (des)investeringen '!$D$11:$D$89)</f>
        <v>10</v>
      </c>
      <c r="K144" s="42">
        <f>_xlfn.XLOOKUP(F144,'3. Input (des)investeringen '!$B$11:$B$89,'3. Input (des)investeringen '!$E$11:$E$89)</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'!$B$11:$B$89,'3. Input (des)investeringen '!$D$11:$D$89)</f>
        <v>5</v>
      </c>
      <c r="K145" s="42">
        <f>_xlfn.XLOOKUP(F145,'3. Input (des)investeringen '!$B$11:$B$89,'3. Input (des)investeringen '!$E$11:$E$89)</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'!$B$11:$B$89,'3. Input (des)investeringen '!$D$11:$D$89)</f>
        <v>10</v>
      </c>
      <c r="K146" s="42">
        <f>_xlfn.XLOOKUP(F146,'3. Input (des)investeringen '!$B$11:$B$89,'3. Input (des)investeringen '!$E$11:$E$89)</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'!$B$11:$B$89,'3. Input (des)investeringen '!$D$11:$D$89)</f>
        <v>10</v>
      </c>
      <c r="K147" s="42">
        <f>_xlfn.XLOOKUP(F147,'3. Input (des)investeringen '!$B$11:$B$89,'3. Input (des)investeringen '!$E$11:$E$89)</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'!$B$11:$B$89,'3. Input (des)investeringen '!$D$11:$D$89)</f>
        <v>30</v>
      </c>
      <c r="K148" s="42">
        <f>_xlfn.XLOOKUP(F148,'3. Input (des)investeringen '!$B$11:$B$89,'3. Input (des)investeringen '!$E$11:$E$89)</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'!$B$11:$B$89,'3. Input (des)investeringen '!$D$11:$D$89)</f>
        <v>10</v>
      </c>
      <c r="K149" s="42">
        <f>_xlfn.XLOOKUP(F149,'3. Input (des)investeringen '!$B$11:$B$89,'3. Input (des)investeringen '!$E$11:$E$89)</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'!$B$11:$B$89,'3. Input (des)investeringen '!$D$11:$D$89)</f>
        <v>10</v>
      </c>
      <c r="K150" s="42">
        <f>_xlfn.XLOOKUP(F150,'3. Input (des)investeringen '!$B$11:$B$89,'3. Input (des)investeringen '!$E$11:$E$89)</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'!$B$11:$B$89,'3. Input (des)investeringen '!$D$11:$D$89)</f>
        <v>10</v>
      </c>
      <c r="K151" s="42">
        <f>_xlfn.XLOOKUP(F151,'3. Input (des)investeringen '!$B$11:$B$89,'3. Input (des)investeringen '!$E$11:$E$89)</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'!$B$11:$B$89,'3. Input (des)investeringen '!$D$11:$D$89)</f>
        <v>10</v>
      </c>
      <c r="K152" s="42">
        <f>_xlfn.XLOOKUP(F152,'3. Input (des)investeringen '!$B$11:$B$89,'3. Input (des)investeringen '!$E$11:$E$89)</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'!$B$11:$B$89,'3. Input (des)investeringen '!$D$11:$D$89)</f>
        <v>5</v>
      </c>
      <c r="K153" s="42">
        <f>_xlfn.XLOOKUP(F153,'3. Input (des)investeringen '!$B$11:$B$89,'3. Input (des)investeringen '!$E$11:$E$89)</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'!$B$11:$B$89,'3. Input (des)investeringen '!$D$11:$D$89)</f>
        <v>10</v>
      </c>
      <c r="K154" s="42">
        <f>_xlfn.XLOOKUP(F154,'3. Input (des)investeringen '!$B$11:$B$89,'3. Input (des)investeringen '!$E$11:$E$89)</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'!$B$11:$B$89,'3. Input (des)investeringen '!$D$11:$D$89)</f>
        <v>5</v>
      </c>
      <c r="K155" s="42">
        <f>_xlfn.XLOOKUP(F155,'3. Input (des)investeringen '!$B$11:$B$89,'3. Input (des)investeringen '!$E$11:$E$89)</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'!$B$11:$B$89,'3. Input (des)investeringen '!$D$11:$D$89)</f>
        <v>10</v>
      </c>
      <c r="K156" s="42">
        <f>_xlfn.XLOOKUP(F156,'3. Input (des)investeringen '!$B$11:$B$89,'3. Input (des)investeringen '!$E$11:$E$89)</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'!$B$11:$B$89,'3. Input (des)investeringen '!$D$11:$D$89)</f>
        <v>10</v>
      </c>
      <c r="K157" s="42">
        <f>_xlfn.XLOOKUP(F157,'3. Input (des)investeringen '!$B$11:$B$89,'3. Input (des)investeringen '!$E$11:$E$89)</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'!$B$11:$B$89,'3. Input (des)investeringen '!$D$11:$D$89)</f>
        <v>5</v>
      </c>
      <c r="K158" s="42">
        <f>_xlfn.XLOOKUP(F158,'3. Input (des)investeringen '!$B$11:$B$89,'3. Input (des)investeringen '!$E$11:$E$89)</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'!$B$11:$B$89,'3. Input (des)investeringen '!$D$11:$D$89)</f>
        <v>10</v>
      </c>
      <c r="K159" s="42">
        <f>_xlfn.XLOOKUP(F159,'3. Input (des)investeringen '!$B$11:$B$89,'3. Input (des)investeringen '!$E$11:$E$89)</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'!$B$11:$B$89,'3. Input (des)investeringen '!$D$11:$D$89)</f>
        <v>10</v>
      </c>
      <c r="K160" s="42">
        <f>_xlfn.XLOOKUP(F160,'3. Input (des)investeringen '!$B$11:$B$89,'3. Input (des)investeringen '!$E$11:$E$89)</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'!$B$11:$B$89,'3. Input (des)investeringen '!$D$11:$D$89)</f>
        <v>30</v>
      </c>
      <c r="K161" s="42">
        <f>_xlfn.XLOOKUP(F161,'3. Input (des)investeringen '!$B$11:$B$89,'3. Input (des)investeringen '!$E$11:$E$89)</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'!$B$11:$B$89,'3. Input (des)investeringen '!$D$11:$D$89)</f>
        <v>10</v>
      </c>
      <c r="K162" s="42">
        <f>_xlfn.XLOOKUP(F162,'3. Input (des)investeringen '!$B$11:$B$89,'3. Input (des)investeringen '!$E$11:$E$89)</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'!$B$11:$B$89,'3. Input (des)investeringen '!$D$11:$D$89)</f>
        <v>10</v>
      </c>
      <c r="K163" s="42">
        <f>_xlfn.XLOOKUP(F163,'3. Input (des)investeringen '!$B$11:$B$89,'3. Input (des)investeringen '!$E$11:$E$89)</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'!$B$11:$B$89,'3. Input (des)investeringen '!$D$11:$D$89)</f>
        <v>5</v>
      </c>
      <c r="K164" s="42">
        <f>_xlfn.XLOOKUP(F164,'3. Input (des)investeringen '!$B$11:$B$89,'3. Input (des)investeringen '!$E$11:$E$89)</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'!$B$11:$B$89,'3. Input (des)investeringen '!$D$11:$D$89)</f>
        <v>5</v>
      </c>
      <c r="K165" s="42">
        <f>_xlfn.XLOOKUP(F165,'3. Input (des)investeringen '!$B$11:$B$89,'3. Input (des)investeringen '!$E$11:$E$89)</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'!$B$11:$B$89,'3. Input (des)investeringen '!$D$11:$D$89)</f>
        <v>10</v>
      </c>
      <c r="K166" s="42">
        <f>_xlfn.XLOOKUP(F166,'3. Input (des)investeringen '!$B$11:$B$89,'3. Input (des)investeringen '!$E$11:$E$89)</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'!$B$11:$B$89,'3. Input (des)investeringen '!$D$11:$D$89)</f>
        <v>30</v>
      </c>
      <c r="K167" s="42">
        <f>_xlfn.XLOOKUP(F167,'3. Input (des)investeringen '!$B$11:$B$89,'3. Input (des)investeringen '!$E$11:$E$89)</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'!$B$11:$B$89,'3. Input (des)investeringen '!$D$11:$D$89)</f>
        <v>10</v>
      </c>
      <c r="K168" s="42">
        <f>_xlfn.XLOOKUP(F168,'3. Input (des)investeringen '!$B$11:$B$89,'3. Input (des)investeringen '!$E$11:$E$89)</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'!$B$11:$B$89,'3. Input (des)investeringen '!$D$11:$D$89)</f>
        <v>5</v>
      </c>
      <c r="K169" s="42">
        <f>_xlfn.XLOOKUP(F169,'3. Input (des)investeringen '!$B$11:$B$89,'3. Input (des)investeringen '!$E$11:$E$89)</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'!$B$11:$B$89,'3. Input (des)investeringen '!$D$11:$D$89)</f>
        <v>5</v>
      </c>
      <c r="K170" s="42">
        <f>_xlfn.XLOOKUP(F170,'3. Input (des)investeringen '!$B$11:$B$89,'3. Input (des)investeringen '!$E$11:$E$89)</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'!$B$11:$B$89,'3. Input (des)investeringen '!$D$11:$D$89)</f>
        <v>10</v>
      </c>
      <c r="K171" s="42">
        <f>_xlfn.XLOOKUP(F171,'3. Input (des)investeringen '!$B$11:$B$89,'3. Input (des)investeringen '!$E$11:$E$89)</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'!$B$11:$B$89,'3. Input (des)investeringen '!$D$11:$D$89)</f>
        <v>10</v>
      </c>
      <c r="K172" s="42">
        <f>_xlfn.XLOOKUP(F172,'3. Input (des)investeringen '!$B$11:$B$89,'3. Input (des)investeringen '!$E$11:$E$89)</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'!$B$11:$B$89,'3. Input (des)investeringen '!$D$11:$D$89)</f>
        <v>10</v>
      </c>
      <c r="K173" s="42">
        <f>_xlfn.XLOOKUP(F173,'3. Input (des)investeringen '!$B$11:$B$89,'3. Input (des)investeringen '!$E$11:$E$89)</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'!$B$11:$B$89,'3. Input (des)investeringen '!$D$11:$D$89)</f>
        <v>10</v>
      </c>
      <c r="K174" s="42">
        <f>_xlfn.XLOOKUP(F174,'3. Input (des)investeringen '!$B$11:$B$89,'3. Input (des)investeringen '!$E$11:$E$89)</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'!$B$11:$B$89,'3. Input (des)investeringen '!$D$11:$D$89)</f>
        <v>10</v>
      </c>
      <c r="K175" s="42">
        <f>_xlfn.XLOOKUP(F175,'3. Input (des)investeringen '!$B$11:$B$89,'3. Input (des)investeringen '!$E$11:$E$89)</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'!$B$11:$B$89,'3. Input (des)investeringen '!$D$11:$D$89)</f>
        <v>10</v>
      </c>
      <c r="K176" s="42">
        <f>_xlfn.XLOOKUP(F176,'3. Input (des)investeringen '!$B$11:$B$89,'3. Input (des)investeringen '!$E$11:$E$89)</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'!$B$11:$B$89,'3. Input (des)investeringen '!$D$11:$D$89)</f>
        <v>30</v>
      </c>
      <c r="K177" s="42">
        <f>_xlfn.XLOOKUP(F177,'3. Input (des)investeringen '!$B$11:$B$89,'3. Input (des)investeringen '!$E$11:$E$89)</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'!$B$11:$B$89,'3. Input (des)investeringen '!$D$11:$D$89)</f>
        <v>10</v>
      </c>
      <c r="K178" s="42">
        <f>_xlfn.XLOOKUP(F178,'3. Input (des)investeringen '!$B$11:$B$89,'3. Input (des)investeringen '!$E$11:$E$89)</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'!$B$11:$B$89,'3. Input (des)investeringen '!$D$11:$D$89)</f>
        <v>10</v>
      </c>
      <c r="K179" s="42">
        <f>_xlfn.XLOOKUP(F179,'3. Input (des)investeringen '!$B$11:$B$89,'3. Input (des)investeringen '!$E$11:$E$89)</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'!$B$11:$B$89,'3. Input (des)investeringen '!$D$11:$D$89)</f>
        <v>10</v>
      </c>
      <c r="K180" s="42">
        <f>_xlfn.XLOOKUP(F180,'3. Input (des)investeringen '!$B$11:$B$89,'3. Input (des)investeringen '!$E$11:$E$89)</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'!$B$11:$B$89,'3. Input (des)investeringen '!$D$11:$D$89)</f>
        <v>10</v>
      </c>
      <c r="K181" s="42">
        <f>_xlfn.XLOOKUP(F181,'3. Input (des)investeringen '!$B$11:$B$89,'3. Input (des)investeringen '!$E$11:$E$89)</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'!$B$11:$B$89,'3. Input (des)investeringen '!$D$11:$D$89)</f>
        <v>10</v>
      </c>
      <c r="K182" s="42">
        <f>_xlfn.XLOOKUP(F182,'3. Input (des)investeringen '!$B$11:$B$89,'3. Input (des)investeringen '!$E$11:$E$89)</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'!$B$11:$B$89,'3. Input (des)investeringen '!$D$11:$D$89)</f>
        <v>30</v>
      </c>
      <c r="K183" s="42">
        <f>_xlfn.XLOOKUP(F183,'3. Input (des)investeringen '!$B$11:$B$89,'3. Input (des)investeringen '!$E$11:$E$89)</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'!$B$11:$B$89,'3. Input (des)investeringen '!$D$11:$D$89)</f>
        <v>10</v>
      </c>
      <c r="K184" s="42">
        <f>_xlfn.XLOOKUP(F184,'3. Input (des)investeringen '!$B$11:$B$89,'3. Input (des)investeringen '!$E$11:$E$89)</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'!$B$11:$B$89,'3. Input (des)investeringen '!$D$11:$D$89)</f>
        <v>30</v>
      </c>
      <c r="K185" s="42">
        <f>_xlfn.XLOOKUP(F185,'3. Input (des)investeringen '!$B$11:$B$89,'3. Input (des)investeringen '!$E$11:$E$89)</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'!$B$11:$B$89,'3. Input (des)investeringen '!$D$11:$D$89)</f>
        <v>10</v>
      </c>
      <c r="K186" s="42">
        <f>_xlfn.XLOOKUP(F186,'3. Input (des)investeringen '!$B$11:$B$89,'3. Input (des)investeringen '!$E$11:$E$89)</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'!$B$11:$B$89,'3. Input (des)investeringen '!$D$11:$D$89)</f>
        <v>10</v>
      </c>
      <c r="K187" s="42">
        <f>_xlfn.XLOOKUP(F187,'3. Input (des)investeringen '!$B$11:$B$89,'3. Input (des)investeringen '!$E$11:$E$89)</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'!$B$11:$B$89,'3. Input (des)investeringen '!$D$11:$D$89)</f>
        <v>10</v>
      </c>
      <c r="K188" s="42">
        <f>_xlfn.XLOOKUP(F188,'3. Input (des)investeringen '!$B$11:$B$89,'3. Input (des)investeringen '!$E$11:$E$89)</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'!$B$11:$B$89,'3. Input (des)investeringen '!$D$11:$D$89)</f>
        <v>10</v>
      </c>
      <c r="K189" s="42">
        <f>_xlfn.XLOOKUP(F189,'3. Input (des)investeringen '!$B$11:$B$89,'3. Input (des)investeringen '!$E$11:$E$89)</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'!$B$11:$B$89,'3. Input (des)investeringen '!$D$11:$D$89)</f>
        <v>30</v>
      </c>
      <c r="K190" s="42">
        <f>_xlfn.XLOOKUP(F190,'3. Input (des)investeringen '!$B$11:$B$89,'3. Input (des)investeringen '!$E$11:$E$89)</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'!$B$11:$B$89,'3. Input (des)investeringen '!$D$11:$D$89)</f>
        <v>30</v>
      </c>
      <c r="K191" s="42">
        <f>_xlfn.XLOOKUP(F191,'3. Input (des)investeringen '!$B$11:$B$89,'3. Input (des)investeringen '!$E$11:$E$89)</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'!$B$11:$B$89,'3. Input (des)investeringen '!$D$11:$D$89)</f>
        <v>10</v>
      </c>
      <c r="K192" s="42">
        <f>_xlfn.XLOOKUP(F192,'3. Input (des)investeringen '!$B$11:$B$89,'3. Input (des)investeringen '!$E$11:$E$89)</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'!$B$11:$B$89,'3. Input (des)investeringen '!$D$11:$D$89)</f>
        <v>10</v>
      </c>
      <c r="K193" s="42">
        <f>_xlfn.XLOOKUP(F193,'3. Input (des)investeringen '!$B$11:$B$89,'3. Input (des)investeringen '!$E$11:$E$89)</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'!$B$11:$B$89,'3. Input (des)investeringen '!$D$11:$D$89)</f>
        <v>5</v>
      </c>
      <c r="K194" s="42">
        <f>_xlfn.XLOOKUP(F194,'3. Input (des)investeringen '!$B$11:$B$89,'3. Input (des)investeringen '!$E$11:$E$89)</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'!$B$11:$B$89,'3. Input (des)investeringen '!$D$11:$D$89)</f>
        <v>10</v>
      </c>
      <c r="K195" s="42">
        <f>_xlfn.XLOOKUP(F195,'3. Input (des)investeringen '!$B$11:$B$89,'3. Input (des)investeringen '!$E$11:$E$89)</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'!$B$11:$B$89,'3. Input (des)investeringen '!$D$11:$D$89)</f>
        <v>10</v>
      </c>
      <c r="K196" s="42">
        <f>_xlfn.XLOOKUP(F196,'3. Input (des)investeringen '!$B$11:$B$89,'3. Input (des)investeringen '!$E$11:$E$89)</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'!$B$11:$B$89,'3. Input (des)investeringen '!$D$11:$D$89)</f>
        <v>10</v>
      </c>
      <c r="K197" s="42">
        <f>_xlfn.XLOOKUP(F197,'3. Input (des)investeringen '!$B$11:$B$89,'3. Input (des)investeringen '!$E$11:$E$89)</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'!$B$11:$B$89,'3. Input (des)investeringen '!$D$11:$D$89)</f>
        <v>10</v>
      </c>
      <c r="K198" s="42">
        <f>_xlfn.XLOOKUP(F198,'3. Input (des)investeringen '!$B$11:$B$89,'3. Input (des)investeringen '!$E$11:$E$89)</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'!$B$11:$B$89,'3. Input (des)investeringen '!$D$11:$D$89)</f>
        <v>30</v>
      </c>
      <c r="K199" s="42">
        <f>_xlfn.XLOOKUP(F199,'3. Input (des)investeringen '!$B$11:$B$89,'3. Input (des)investeringen '!$E$11:$E$89)</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'!$B$11:$B$89,'3. Input (des)investeringen '!$D$11:$D$89)</f>
        <v>10</v>
      </c>
      <c r="K200" s="42">
        <f>_xlfn.XLOOKUP(F200,'3. Input (des)investeringen '!$B$11:$B$89,'3. Input (des)investeringen '!$E$11:$E$89)</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'!$B$11:$B$89,'3. Input (des)investeringen '!$D$11:$D$89)</f>
        <v>30</v>
      </c>
      <c r="K201" s="42">
        <f>_xlfn.XLOOKUP(F201,'3. Input (des)investeringen '!$B$11:$B$89,'3. Input (des)investeringen '!$E$11:$E$89)</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'!$B$11:$B$89,'3. Input (des)investeringen '!$D$11:$D$89)</f>
        <v>10</v>
      </c>
      <c r="K202" s="42">
        <f>_xlfn.XLOOKUP(F202,'3. Input (des)investeringen '!$B$11:$B$89,'3. Input (des)investeringen '!$E$11:$E$89)</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'!$B$11:$B$89,'3. Input (des)investeringen '!$D$11:$D$89)</f>
        <v>10</v>
      </c>
      <c r="K203" s="42">
        <f>_xlfn.XLOOKUP(F203,'3. Input (des)investeringen '!$B$11:$B$89,'3. Input (des)investeringen '!$E$11:$E$89)</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'!$B$11:$B$89,'3. Input (des)investeringen '!$D$11:$D$89)</f>
        <v>10</v>
      </c>
      <c r="K204" s="42">
        <f>_xlfn.XLOOKUP(F204,'3. Input (des)investeringen '!$B$11:$B$89,'3. Input (des)investeringen '!$E$11:$E$89)</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'!$B$11:$B$89,'3. Input (des)investeringen '!$D$11:$D$89)</f>
        <v>10</v>
      </c>
      <c r="K205" s="42">
        <f>_xlfn.XLOOKUP(F205,'3. Input (des)investeringen '!$B$11:$B$89,'3. Input (des)investeringen '!$E$11:$E$89)</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'!$B$11:$B$89,'3. Input (des)investeringen '!$D$11:$D$89)</f>
        <v>10</v>
      </c>
      <c r="K206" s="42">
        <f>_xlfn.XLOOKUP(F206,'3. Input (des)investeringen '!$B$11:$B$89,'3. Input (des)investeringen '!$E$11:$E$89)</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'!$B$11:$B$89,'3. Input (des)investeringen '!$D$11:$D$89)</f>
        <v>10</v>
      </c>
      <c r="K207" s="42">
        <f>_xlfn.XLOOKUP(F207,'3. Input (des)investeringen '!$B$11:$B$89,'3. Input (des)investeringen '!$E$11:$E$89)</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'!$B$11:$B$89,'3. Input (des)investeringen '!$D$11:$D$89)</f>
        <v>10</v>
      </c>
      <c r="K208" s="42">
        <f>_xlfn.XLOOKUP(F208,'3. Input (des)investeringen '!$B$11:$B$89,'3. Input (des)investeringen '!$E$11:$E$89)</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'!$B$11:$B$89,'3. Input (des)investeringen '!$D$11:$D$89)</f>
        <v>10</v>
      </c>
      <c r="K209" s="42">
        <f>_xlfn.XLOOKUP(F209,'3. Input (des)investeringen '!$B$11:$B$89,'3. Input (des)investeringen '!$E$11:$E$89)</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'!$B$11:$B$89,'3. Input (des)investeringen '!$D$11:$D$89)</f>
        <v>10</v>
      </c>
      <c r="K210" s="42">
        <f>_xlfn.XLOOKUP(F210,'3. Input (des)investeringen '!$B$11:$B$89,'3. Input (des)investeringen '!$E$11:$E$89)</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'!$B$11:$B$89,'3. Input (des)investeringen '!$D$11:$D$89)</f>
        <v>5</v>
      </c>
      <c r="K211" s="42">
        <f>_xlfn.XLOOKUP(F211,'3. Input (des)investeringen '!$B$11:$B$89,'3. Input (des)investeringen '!$E$11:$E$89)</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'!$B$11:$B$89,'3. Input (des)investeringen '!$D$11:$D$89)</f>
        <v>10</v>
      </c>
      <c r="K212" s="42">
        <f>_xlfn.XLOOKUP(F212,'3. Input (des)investeringen '!$B$11:$B$89,'3. Input (des)investeringen '!$E$11:$E$89)</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'!$B$11:$B$89,'3. Input (des)investeringen '!$D$11:$D$89)</f>
        <v>10</v>
      </c>
      <c r="K213" s="42">
        <f>_xlfn.XLOOKUP(F213,'3. Input (des)investeringen '!$B$11:$B$89,'3. Input (des)investeringen '!$E$11:$E$89)</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'!$B$11:$B$89,'3. Input (des)investeringen '!$D$11:$D$89)</f>
        <v>30</v>
      </c>
      <c r="K214" s="42">
        <f>_xlfn.XLOOKUP(F214,'3. Input (des)investeringen '!$B$11:$B$89,'3. Input (des)investeringen '!$E$11:$E$89)</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'!$B$11:$B$89,'3. Input (des)investeringen '!$D$11:$D$89)</f>
        <v>10</v>
      </c>
      <c r="K215" s="42">
        <f>_xlfn.XLOOKUP(F215,'3. Input (des)investeringen '!$B$11:$B$89,'3. Input (des)investeringen '!$E$11:$E$89)</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'!$B$11:$B$89,'3. Input (des)investeringen '!$D$11:$D$89)</f>
        <v>10</v>
      </c>
      <c r="K216" s="42">
        <f>_xlfn.XLOOKUP(F216,'3. Input (des)investeringen '!$B$11:$B$89,'3. Input (des)investeringen '!$E$11:$E$89)</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'!$B$11:$B$89,'3. Input (des)investeringen '!$D$11:$D$89)</f>
        <v>10</v>
      </c>
      <c r="K217" s="42">
        <f>_xlfn.XLOOKUP(F217,'3. Input (des)investeringen '!$B$11:$B$89,'3. Input (des)investeringen '!$E$11:$E$89)</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'!$B$11:$B$89,'3. Input (des)investeringen '!$D$11:$D$89)</f>
        <v>10</v>
      </c>
      <c r="K218" s="42">
        <f>_xlfn.XLOOKUP(F218,'3. Input (des)investeringen '!$B$11:$B$89,'3. Input (des)investeringen '!$E$11:$E$89)</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'!$B$11:$B$89,'3. Input (des)investeringen '!$D$11:$D$89)</f>
        <v>10</v>
      </c>
      <c r="K219" s="42">
        <f>_xlfn.XLOOKUP(F219,'3. Input (des)investeringen '!$B$11:$B$89,'3. Input (des)investeringen '!$E$11:$E$89)</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'!$B$11:$B$89,'3. Input (des)investeringen '!$D$11:$D$89)</f>
        <v>30</v>
      </c>
      <c r="K220" s="42">
        <f>_xlfn.XLOOKUP(F220,'3. Input (des)investeringen '!$B$11:$B$89,'3. Input (des)investeringen '!$E$11:$E$89)</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'!$B$11:$B$89,'3. Input (des)investeringen '!$D$11:$D$89)</f>
        <v>10</v>
      </c>
      <c r="K221" s="42">
        <f>_xlfn.XLOOKUP(F221,'3. Input (des)investeringen '!$B$11:$B$89,'3. Input (des)investeringen '!$E$11:$E$89)</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'!$B$11:$B$89,'3. Input (des)investeringen '!$D$11:$D$89)</f>
        <v>30</v>
      </c>
      <c r="K222" s="42">
        <f>_xlfn.XLOOKUP(F222,'3. Input (des)investeringen '!$B$11:$B$89,'3. Input (des)investeringen '!$E$11:$E$89)</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'!$B$11:$B$89,'3. Input (des)investeringen '!$D$11:$D$89)</f>
        <v>10</v>
      </c>
      <c r="K223" s="42">
        <f>_xlfn.XLOOKUP(F223,'3. Input (des)investeringen '!$B$11:$B$89,'3. Input (des)investeringen '!$E$11:$E$89)</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'!$B$11:$B$89,'3. Input (des)investeringen '!$D$11:$D$89)</f>
        <v>10</v>
      </c>
      <c r="K224" s="42">
        <f>_xlfn.XLOOKUP(F224,'3. Input (des)investeringen '!$B$11:$B$89,'3. Input (des)investeringen '!$E$11:$E$89)</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'!$B$11:$B$89,'3. Input (des)investeringen '!$D$11:$D$89)</f>
        <v>10</v>
      </c>
      <c r="K225" s="42">
        <f>_xlfn.XLOOKUP(F225,'3. Input (des)investeringen '!$B$11:$B$89,'3. Input (des)investeringen '!$E$11:$E$89)</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'!$B$11:$B$89,'3. Input (des)investeringen '!$D$11:$D$89)</f>
        <v>10</v>
      </c>
      <c r="K226" s="42">
        <f>_xlfn.XLOOKUP(F226,'3. Input (des)investeringen '!$B$11:$B$89,'3. Input (des)investeringen '!$E$11:$E$89)</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'!$B$11:$B$89,'3. Input (des)investeringen '!$D$11:$D$89)</f>
        <v>10</v>
      </c>
      <c r="K227" s="42">
        <f>_xlfn.XLOOKUP(F227,'3. Input (des)investeringen '!$B$11:$B$89,'3. Input (des)investeringen '!$E$11:$E$89)</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'!$B$11:$B$89,'3. Input (des)investeringen '!$D$11:$D$89)</f>
        <v>10</v>
      </c>
      <c r="K228" s="42">
        <f>_xlfn.XLOOKUP(F228,'3. Input (des)investeringen '!$B$11:$B$89,'3. Input (des)investeringen '!$E$11:$E$89)</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'!$B$11:$B$89,'3. Input (des)investeringen '!$D$11:$D$89)</f>
        <v>10</v>
      </c>
      <c r="K229" s="42">
        <f>_xlfn.XLOOKUP(F229,'3. Input (des)investeringen '!$B$11:$B$89,'3. Input (des)investeringen '!$E$11:$E$89)</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'!$B$11:$B$89,'3. Input (des)investeringen '!$D$11:$D$89)</f>
        <v>10</v>
      </c>
      <c r="K230" s="42">
        <f>_xlfn.XLOOKUP(F230,'3. Input (des)investeringen '!$B$11:$B$89,'3. Input (des)investeringen '!$E$11:$E$89)</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'!$B$11:$B$89,'3. Input (des)investeringen '!$D$11:$D$89)</f>
        <v>10</v>
      </c>
      <c r="K231" s="42">
        <f>_xlfn.XLOOKUP(F231,'3. Input (des)investeringen '!$B$11:$B$89,'3. Input (des)investeringen '!$E$11:$E$89)</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'!$B$11:$B$89,'3. Input (des)investeringen '!$D$11:$D$89)</f>
        <v>15</v>
      </c>
      <c r="K232" s="42">
        <f>_xlfn.XLOOKUP(F232,'3. Input (des)investeringen '!$B$11:$B$89,'3. Input (des)investeringen '!$E$11:$E$89)</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'!$B$11:$B$89,'3. Input (des)investeringen '!$D$11:$D$89)</f>
        <v>10</v>
      </c>
      <c r="K233" s="42">
        <f>_xlfn.XLOOKUP(F233,'3. Input (des)investeringen '!$B$11:$B$89,'3. Input (des)investeringen '!$E$11:$E$89)</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'!$B$11:$B$89,'3. Input (des)investeringen '!$D$11:$D$89)</f>
        <v>10</v>
      </c>
      <c r="K234" s="42">
        <f>_xlfn.XLOOKUP(F234,'3. Input (des)investeringen '!$B$11:$B$89,'3. Input (des)investeringen '!$E$11:$E$89)</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'!$B$11:$B$89,'3. Input (des)investeringen '!$D$11:$D$89)</f>
        <v>30</v>
      </c>
      <c r="K235" s="42">
        <f>_xlfn.XLOOKUP(F235,'3. Input (des)investeringen '!$B$11:$B$89,'3. Input (des)investeringen '!$E$11:$E$89)</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'!$B$11:$B$89,'3. Input (des)investeringen '!$D$11:$D$89)</f>
        <v>30</v>
      </c>
      <c r="K236" s="42">
        <f>_xlfn.XLOOKUP(F236,'3. Input (des)investeringen '!$B$11:$B$89,'3. Input (des)investeringen '!$E$11:$E$89)</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'!$B$11:$B$89,'3. Input (des)investeringen '!$D$11:$D$89)</f>
        <v>10</v>
      </c>
      <c r="K237" s="42">
        <f>_xlfn.XLOOKUP(F237,'3. Input (des)investeringen '!$B$11:$B$89,'3. Input (des)investeringen '!$E$11:$E$89)</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'!$B$11:$B$89,'3. Input (des)investeringen '!$D$11:$D$89)</f>
        <v>30</v>
      </c>
      <c r="K238" s="42">
        <f>_xlfn.XLOOKUP(F238,'3. Input (des)investeringen '!$B$11:$B$89,'3. Input (des)investeringen '!$E$11:$E$89)</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'!$B$11:$B$89,'3. Input (des)investeringen '!$D$11:$D$89)</f>
        <v>15</v>
      </c>
      <c r="K239" s="42">
        <f>_xlfn.XLOOKUP(F239,'3. Input (des)investeringen '!$B$11:$B$89,'3. Input (des)investeringen '!$E$11:$E$89)</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'!$B$11:$B$89,'3. Input (des)investeringen '!$D$11:$D$89)</f>
        <v>10</v>
      </c>
      <c r="K240" s="42">
        <f>_xlfn.XLOOKUP(F240,'3. Input (des)investeringen '!$B$11:$B$89,'3. Input (des)investeringen '!$E$11:$E$89)</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'!$B$11:$B$89,'3. Input (des)investeringen '!$D$11:$D$89)</f>
        <v>30</v>
      </c>
      <c r="K241" s="42">
        <f>_xlfn.XLOOKUP(F241,'3. Input (des)investeringen '!$B$11:$B$89,'3. Input (des)investeringen '!$E$11:$E$89)</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'!$B$11:$B$89,'3. Input (des)investeringen '!$D$11:$D$89)</f>
        <v>10</v>
      </c>
      <c r="K242" s="42">
        <f>_xlfn.XLOOKUP(F242,'3. Input (des)investeringen '!$B$11:$B$89,'3. Input (des)investeringen '!$E$11:$E$89)</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'!$B$11:$B$89,'3. Input (des)investeringen '!$D$11:$D$89)</f>
        <v>10</v>
      </c>
      <c r="K243" s="42">
        <f>_xlfn.XLOOKUP(F243,'3. Input (des)investeringen '!$B$11:$B$89,'3. Input (des)investeringen '!$E$11:$E$89)</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'!$B$11:$B$89,'3. Input (des)investeringen '!$D$11:$D$89)</f>
        <v>10</v>
      </c>
      <c r="K244" s="42">
        <f>_xlfn.XLOOKUP(F244,'3. Input (des)investeringen '!$B$11:$B$89,'3. Input (des)investeringen '!$E$11:$E$89)</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'!$B$11:$B$89,'3. Input (des)investeringen '!$D$11:$D$89)</f>
        <v>10</v>
      </c>
      <c r="K245" s="42">
        <f>_xlfn.XLOOKUP(F245,'3. Input (des)investeringen '!$B$11:$B$89,'3. Input (des)investeringen '!$E$11:$E$89)</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'!$B$11:$B$89,'3. Input (des)investeringen '!$D$11:$D$89)</f>
        <v>10</v>
      </c>
      <c r="K246" s="42">
        <f>_xlfn.XLOOKUP(F246,'3. Input (des)investeringen '!$B$11:$B$89,'3. Input (des)investeringen '!$E$11:$E$89)</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'!$B$11:$B$89,'3. Input (des)investeringen '!$D$11:$D$89)</f>
        <v>30</v>
      </c>
      <c r="K247" s="42">
        <f>_xlfn.XLOOKUP(F247,'3. Input (des)investeringen '!$B$11:$B$89,'3. Input (des)investeringen '!$E$11:$E$89)</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'!$B$11:$B$89,'3. Input (des)investeringen '!$D$11:$D$89)</f>
        <v>10</v>
      </c>
      <c r="K248" s="42">
        <f>_xlfn.XLOOKUP(F248,'3. Input (des)investeringen '!$B$11:$B$89,'3. Input (des)investeringen '!$E$11:$E$89)</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'!$B$11:$B$89,'3. Input (des)investeringen '!$D$11:$D$89)</f>
        <v>10</v>
      </c>
      <c r="K249" s="42">
        <f>_xlfn.XLOOKUP(F249,'3. Input (des)investeringen '!$B$11:$B$89,'3. Input (des)investeringen '!$E$11:$E$89)</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'!$B$11:$B$89,'3. Input (des)investeringen '!$D$11:$D$89)</f>
        <v>10</v>
      </c>
      <c r="K250" s="42">
        <f>_xlfn.XLOOKUP(F250,'3. Input (des)investeringen '!$B$11:$B$89,'3. Input (des)investeringen '!$E$11:$E$89)</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'!$B$11:$B$89,'3. Input (des)investeringen '!$D$11:$D$89)</f>
        <v>10</v>
      </c>
      <c r="K251" s="42">
        <f>_xlfn.XLOOKUP(F251,'3. Input (des)investeringen '!$B$11:$B$89,'3. Input (des)investeringen '!$E$11:$E$89)</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'!$B$11:$B$89,'3. Input (des)investeringen '!$D$11:$D$89)</f>
        <v>10</v>
      </c>
      <c r="K252" s="42">
        <f>_xlfn.XLOOKUP(F252,'3. Input (des)investeringen '!$B$11:$B$89,'3. Input (des)investeringen '!$E$11:$E$89)</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'!$B$11:$B$89,'3. Input (des)investeringen '!$D$11:$D$89)</f>
        <v>10</v>
      </c>
      <c r="K253" s="42">
        <f>_xlfn.XLOOKUP(F253,'3. Input (des)investeringen '!$B$11:$B$89,'3. Input (des)investeringen '!$E$11:$E$89)</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'!$B$11:$B$89,'3. Input (des)investeringen '!$D$11:$D$89)</f>
        <v>10</v>
      </c>
      <c r="K254" s="42">
        <f>_xlfn.XLOOKUP(F254,'3. Input (des)investeringen '!$B$11:$B$89,'3. Input (des)investeringen '!$E$11:$E$89)</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'!$B$11:$B$89,'3. Input (des)investeringen '!$D$11:$D$89)</f>
        <v>10</v>
      </c>
      <c r="K255" s="42">
        <f>_xlfn.XLOOKUP(F255,'3. Input (des)investeringen '!$B$11:$B$89,'3. Input (des)investeringen '!$E$11:$E$89)</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'!$B$11:$B$89,'3. Input (des)investeringen '!$D$11:$D$89)</f>
        <v>10</v>
      </c>
      <c r="K256" s="42">
        <f>_xlfn.XLOOKUP(F256,'3. Input (des)investeringen '!$B$11:$B$89,'3. Input (des)investeringen '!$E$11:$E$89)</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'!$B$11:$B$89,'3. Input (des)investeringen '!$D$11:$D$89)</f>
        <v>10</v>
      </c>
      <c r="K257" s="42">
        <f>_xlfn.XLOOKUP(F257,'3. Input (des)investeringen '!$B$11:$B$89,'3. Input (des)investeringen '!$E$11:$E$89)</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'!$B$11:$B$89,'3. Input (des)investeringen '!$D$11:$D$89)</f>
        <v>10</v>
      </c>
      <c r="K258" s="42">
        <f>_xlfn.XLOOKUP(F258,'3. Input (des)investeringen '!$B$11:$B$89,'3. Input (des)investeringen '!$E$11:$E$89)</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'!$B$11:$B$89,'3. Input (des)investeringen '!$D$11:$D$89)</f>
        <v>10</v>
      </c>
      <c r="K259" s="42">
        <f>_xlfn.XLOOKUP(F259,'3. Input (des)investeringen '!$B$11:$B$89,'3. Input (des)investeringen '!$E$11:$E$89)</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'!$B$11:$B$89,'3. Input (des)investeringen '!$D$11:$D$89)</f>
        <v>30</v>
      </c>
      <c r="K260" s="42">
        <f>_xlfn.XLOOKUP(F260,'3. Input (des)investeringen '!$B$11:$B$89,'3. Input (des)investeringen '!$E$11:$E$89)</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'!$B$11:$B$89,'3. Input (des)investeringen '!$D$11:$D$89)</f>
        <v>15</v>
      </c>
      <c r="K261" s="42">
        <f>_xlfn.XLOOKUP(F261,'3. Input (des)investeringen '!$B$11:$B$89,'3. Input (des)investeringen '!$E$11:$E$89)</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'!$B$11:$B$89,'3. Input (des)investeringen '!$D$11:$D$89)</f>
        <v>5</v>
      </c>
      <c r="K262" s="42">
        <f>_xlfn.XLOOKUP(F262,'3. Input (des)investeringen '!$B$11:$B$89,'3. Input (des)investeringen '!$E$11:$E$89)</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'!$B$11:$B$89,'3. Input (des)investeringen '!$D$11:$D$89)</f>
        <v>10</v>
      </c>
      <c r="K263" s="42">
        <f>_xlfn.XLOOKUP(F263,'3. Input (des)investeringen '!$B$11:$B$89,'3. Input (des)investeringen '!$E$11:$E$89)</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'!$B$11:$B$89,'3. Input (des)investeringen '!$D$11:$D$89)</f>
        <v>30</v>
      </c>
      <c r="K264" s="42">
        <f>_xlfn.XLOOKUP(F264,'3. Input (des)investeringen '!$B$11:$B$89,'3. Input (des)investeringen '!$E$11:$E$89)</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'!$B$11:$B$89,'3. Input (des)investeringen '!$D$11:$D$89)</f>
        <v>10</v>
      </c>
      <c r="K265" s="42">
        <f>_xlfn.XLOOKUP(F265,'3. Input (des)investeringen '!$B$11:$B$89,'3. Input (des)investeringen '!$E$11:$E$89)</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'!$B$11:$B$89,'3. Input (des)investeringen '!$D$11:$D$89)</f>
        <v>10</v>
      </c>
      <c r="K266" s="42">
        <f>_xlfn.XLOOKUP(F266,'3. Input (des)investeringen '!$B$11:$B$89,'3. Input (des)investeringen '!$E$11:$E$89)</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'!$B$11:$B$89,'3. Input (des)investeringen '!$D$11:$D$89)</f>
        <v>10</v>
      </c>
      <c r="K267" s="42">
        <f>_xlfn.XLOOKUP(F267,'3. Input (des)investeringen '!$B$11:$B$89,'3. Input (des)investeringen '!$E$11:$E$89)</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'!$B$11:$B$89,'3. Input (des)investeringen '!$D$11:$D$89)</f>
        <v>5</v>
      </c>
      <c r="K268" s="42">
        <f>_xlfn.XLOOKUP(F268,'3. Input (des)investeringen '!$B$11:$B$89,'3. Input (des)investeringen '!$E$11:$E$89)</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'!$B$11:$B$89,'3. Input (des)investeringen '!$D$11:$D$89)</f>
        <v>5</v>
      </c>
      <c r="K269" s="42">
        <f>_xlfn.XLOOKUP(F269,'3. Input (des)investeringen '!$B$11:$B$89,'3. Input (des)investeringen '!$E$11:$E$89)</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'!$B$11:$B$89,'3. Input (des)investeringen '!$D$11:$D$89)</f>
        <v>10</v>
      </c>
      <c r="K270" s="42">
        <f>_xlfn.XLOOKUP(F270,'3. Input (des)investeringen '!$B$11:$B$89,'3. Input (des)investeringen '!$E$11:$E$89)</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'!$B$11:$B$89,'3. Input (des)investeringen '!$D$11:$D$89)</f>
        <v>10</v>
      </c>
      <c r="K271" s="42">
        <f>_xlfn.XLOOKUP(F271,'3. Input (des)investeringen '!$B$11:$B$89,'3. Input (des)investeringen '!$E$11:$E$89)</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'!$B$11:$B$89,'3. Input (des)investeringen '!$D$11:$D$89)</f>
        <v>5</v>
      </c>
      <c r="K272" s="42">
        <f>_xlfn.XLOOKUP(F272,'3. Input (des)investeringen '!$B$11:$B$89,'3. Input (des)investeringen '!$E$11:$E$89)</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'!$B$11:$B$89,'3. Input (des)investeringen '!$D$11:$D$89)</f>
        <v>10</v>
      </c>
      <c r="K273" s="42">
        <f>_xlfn.XLOOKUP(F273,'3. Input (des)investeringen '!$B$11:$B$89,'3. Input (des)investeringen '!$E$11:$E$89)</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'!$B$11:$B$89,'3. Input (des)investeringen '!$D$11:$D$89)</f>
        <v>30</v>
      </c>
      <c r="K274" s="42">
        <f>_xlfn.XLOOKUP(F274,'3. Input (des)investeringen '!$B$11:$B$89,'3. Input (des)investeringen '!$E$11:$E$89)</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'!$B$11:$B$89,'3. Input (des)investeringen '!$D$11:$D$89)</f>
        <v>5</v>
      </c>
      <c r="K275" s="42">
        <f>_xlfn.XLOOKUP(F275,'3. Input (des)investeringen '!$B$11:$B$89,'3. Input (des)investeringen '!$E$11:$E$89)</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'!$B$11:$B$89,'3. Input (des)investeringen '!$D$11:$D$89)</f>
        <v>5</v>
      </c>
      <c r="K276" s="42">
        <f>_xlfn.XLOOKUP(F276,'3. Input (des)investeringen '!$B$11:$B$89,'3. Input (des)investeringen '!$E$11:$E$89)</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'!$B$11:$B$89,'3. Input (des)investeringen '!$D$11:$D$89)</f>
        <v>10</v>
      </c>
      <c r="K277" s="42">
        <f>_xlfn.XLOOKUP(F277,'3. Input (des)investeringen '!$B$11:$B$89,'3. Input (des)investeringen '!$E$11:$E$89)</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'!$B$11:$B$89,'3. Input (des)investeringen '!$D$11:$D$89)</f>
        <v>15</v>
      </c>
      <c r="K278" s="42">
        <f>_xlfn.XLOOKUP(F278,'3. Input (des)investeringen '!$B$11:$B$89,'3. Input (des)investeringen '!$E$11:$E$89)</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'!$B$11:$B$89,'3. Input (des)investeringen '!$D$11:$D$89)</f>
        <v>15</v>
      </c>
      <c r="K279" s="42">
        <f>_xlfn.XLOOKUP(F279,'3. Input (des)investeringen '!$B$11:$B$89,'3. Input (des)investeringen '!$E$11:$E$89)</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'!$B$11:$B$89,'3. Input (des)investeringen '!$D$11:$D$89)</f>
        <v>15</v>
      </c>
      <c r="K280" s="42">
        <f>_xlfn.XLOOKUP(F280,'3. Input (des)investeringen '!$B$11:$B$89,'3. Input (des)investeringen '!$E$11:$E$89)</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'!$B$11:$B$89,'3. Input (des)investeringen '!$D$11:$D$89)</f>
        <v>5</v>
      </c>
      <c r="K281" s="42">
        <f>_xlfn.XLOOKUP(F281,'3. Input (des)investeringen '!$B$11:$B$89,'3. Input (des)investeringen '!$E$11:$E$89)</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'!$B$11:$B$89,'3. Input (des)investeringen '!$D$11:$D$89)</f>
        <v>10</v>
      </c>
      <c r="K282" s="42">
        <f>_xlfn.XLOOKUP(F282,'3. Input (des)investeringen '!$B$11:$B$89,'3. Input (des)investeringen '!$E$11:$E$89)</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'!$B$11:$B$89,'3. Input (des)investeringen '!$D$11:$D$89)</f>
        <v>10</v>
      </c>
      <c r="K283" s="42">
        <f>_xlfn.XLOOKUP(F283,'3. Input (des)investeringen '!$B$11:$B$89,'3. Input (des)investeringen '!$E$11:$E$89)</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'!$B$11:$B$89,'3. Input (des)investeringen '!$D$11:$D$89)</f>
        <v>10</v>
      </c>
      <c r="K284" s="42">
        <f>_xlfn.XLOOKUP(F284,'3. Input (des)investeringen '!$B$11:$B$89,'3. Input (des)investeringen '!$E$11:$E$89)</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'!$B$11:$B$89,'3. Input (des)investeringen '!$D$11:$D$89)</f>
        <v>5</v>
      </c>
      <c r="K285" s="42">
        <f>_xlfn.XLOOKUP(F285,'3. Input (des)investeringen '!$B$11:$B$89,'3. Input (des)investeringen '!$E$11:$E$89)</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'!$B$11:$B$89,'3. Input (des)investeringen '!$D$11:$D$89)</f>
        <v>15</v>
      </c>
      <c r="K286" s="42">
        <f>_xlfn.XLOOKUP(F286,'3. Input (des)investeringen '!$B$11:$B$89,'3. Input (des)investeringen '!$E$11:$E$89)</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'!$B$11:$B$89,'3. Input (des)investeringen '!$D$11:$D$89)</f>
        <v>15</v>
      </c>
      <c r="K287" s="42">
        <f>_xlfn.XLOOKUP(F287,'3. Input (des)investeringen '!$B$11:$B$89,'3. Input (des)investeringen '!$E$11:$E$89)</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'!$B$11:$B$89,'3. Input (des)investeringen '!$D$11:$D$89)</f>
        <v>15</v>
      </c>
      <c r="K288" s="42">
        <f>_xlfn.XLOOKUP(F288,'3. Input (des)investeringen '!$B$11:$B$89,'3. Input (des)investeringen '!$E$11:$E$89)</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'!$B$11:$B$89,'3. Input (des)investeringen '!$D$11:$D$89)</f>
        <v>10</v>
      </c>
      <c r="K289" s="42">
        <f>_xlfn.XLOOKUP(F289,'3. Input (des)investeringen '!$B$11:$B$89,'3. Input (des)investeringen '!$E$11:$E$89)</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'!$B$11:$B$89,'3. Input (des)investeringen '!$D$11:$D$89)</f>
        <v>0</v>
      </c>
      <c r="K290" s="42">
        <f>_xlfn.XLOOKUP(F290,'3. Input (des)investeringen '!$B$11:$B$89,'3. Input (des)investeringen '!$E$11:$E$89)</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'!$B$11:$B$89,'3. Input (des)investeringen '!$D$11:$D$89)</f>
        <v>10</v>
      </c>
      <c r="K291" s="42">
        <f>_xlfn.XLOOKUP(F291,'3. Input (des)investeringen '!$B$11:$B$89,'3. Input (des)investeringen '!$E$11:$E$89)</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'!$B$11:$B$89,'3. Input (des)investeringen '!$D$11:$D$89)</f>
        <v>10</v>
      </c>
      <c r="K292" s="42">
        <f>_xlfn.XLOOKUP(F292,'3. Input (des)investeringen '!$B$11:$B$89,'3. Input (des)investeringen '!$E$11:$E$89)</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'!$B$11:$B$89,'3. Input (des)investeringen '!$D$11:$D$89)</f>
        <v>10</v>
      </c>
      <c r="K293" s="42">
        <f>_xlfn.XLOOKUP(F293,'3. Input (des)investeringen '!$B$11:$B$89,'3. Input (des)investeringen '!$E$11:$E$89)</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'!$B$11:$B$89,'3. Input (des)investeringen '!$D$11:$D$89)</f>
        <v>10</v>
      </c>
      <c r="K294" s="42">
        <f>_xlfn.XLOOKUP(F294,'3. Input (des)investeringen '!$B$11:$B$89,'3. Input (des)investeringen '!$E$11:$E$89)</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'!$B$11:$B$89,'3. Input (des)investeringen '!$D$11:$D$89)</f>
        <v>30</v>
      </c>
      <c r="K295" s="42">
        <f>_xlfn.XLOOKUP(F295,'3. Input (des)investeringen '!$B$11:$B$89,'3. Input (des)investeringen '!$E$11:$E$89)</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'!$B$11:$B$89,'3. Input (des)investeringen '!$D$11:$D$89)</f>
        <v>30</v>
      </c>
      <c r="K296" s="42">
        <f>_xlfn.XLOOKUP(F296,'3. Input (des)investeringen '!$B$11:$B$89,'3. Input (des)investeringen '!$E$11:$E$89)</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'!$B$11:$B$89,'3. Input (des)investeringen '!$D$11:$D$89)</f>
        <v>10</v>
      </c>
      <c r="K297" s="42">
        <f>_xlfn.XLOOKUP(F297,'3. Input (des)investeringen '!$B$11:$B$89,'3. Input (des)investeringen '!$E$11:$E$89)</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'!$B$11:$B$89,'3. Input (des)investeringen '!$D$11:$D$89)</f>
        <v>30</v>
      </c>
      <c r="K298" s="42">
        <f>_xlfn.XLOOKUP(F298,'3. Input (des)investeringen '!$B$11:$B$89,'3. Input (des)investeringen '!$E$11:$E$89)</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'!$B$11:$B$89,'3. Input (des)investeringen '!$D$11:$D$89)</f>
        <v>5</v>
      </c>
      <c r="K299" s="42">
        <f>_xlfn.XLOOKUP(F299,'3. Input (des)investeringen '!$B$11:$B$89,'3. Input (des)investeringen '!$E$11:$E$89)</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'!$B$11:$B$89,'3. Input (des)investeringen '!$D$11:$D$89)</f>
        <v>30</v>
      </c>
      <c r="K300" s="42">
        <f>_xlfn.XLOOKUP(F300,'3. Input (des)investeringen '!$B$11:$B$89,'3. Input (des)investeringen '!$E$11:$E$89)</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'!$B$11:$B$89,'3. Input (des)investeringen '!$D$11:$D$89)</f>
        <v>10</v>
      </c>
      <c r="K301" s="42">
        <f>_xlfn.XLOOKUP(F301,'3. Input (des)investeringen '!$B$11:$B$89,'3. Input (des)investeringen '!$E$11:$E$89)</f>
        <v>1</v>
      </c>
      <c r="L301" s="42">
        <f>'8. Input IC huur Gasunie'!J254</f>
        <v>4031018.6606189152</v>
      </c>
      <c r="M301" s="42">
        <f>'8. Input IC huur Gasunie'!K254</f>
        <v>0</v>
      </c>
    </row>
    <row r="302" spans="2:36">
      <c r="L302" s="88"/>
    </row>
    <row r="303" spans="2:36" s="33" customFormat="1" ht="13">
      <c r="B303" s="33" t="s">
        <v>1014</v>
      </c>
    </row>
    <row r="304" spans="2:36" s="36" customFormat="1" ht="13">
      <c r="R304" s="36" t="s">
        <v>855</v>
      </c>
      <c r="X304" s="36" t="s">
        <v>856</v>
      </c>
      <c r="AD304" s="36" t="s">
        <v>858</v>
      </c>
      <c r="AJ304" s="36" t="s">
        <v>859</v>
      </c>
    </row>
    <row r="305" spans="2:40" s="39" customFormat="1" ht="13">
      <c r="B305" s="39" t="s">
        <v>1015</v>
      </c>
      <c r="F305" s="39" t="s">
        <v>864</v>
      </c>
      <c r="G305" s="39" t="s">
        <v>522</v>
      </c>
      <c r="H305" s="39" t="s">
        <v>1016</v>
      </c>
      <c r="I305" s="39" t="s">
        <v>1017</v>
      </c>
      <c r="J305" s="39" t="s">
        <v>275</v>
      </c>
      <c r="K305" s="39" t="s">
        <v>1012</v>
      </c>
      <c r="L305" s="39" t="s">
        <v>525</v>
      </c>
      <c r="N305" s="39" t="s">
        <v>1018</v>
      </c>
      <c r="P305" s="39" t="s">
        <v>899</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5">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5">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5">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5">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5">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5">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5">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5">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5">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5">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5">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5">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5">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5">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5">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5">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5">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5">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5">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5">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5">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5">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5">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5">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5">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5">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5">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5">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5">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5">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5">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5">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5">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5">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5">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5">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5">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5">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5">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5">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5">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5">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5">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5">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5">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5">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5">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5">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5">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5">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5">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5">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5">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5">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5">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5">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5">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5">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5">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5">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5">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5">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5">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5">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5">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5">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5">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5">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5">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5">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5">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5">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5">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5">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5">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5">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5">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5">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5">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5">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5">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5">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5">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5">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5">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5">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5">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5">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5">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5">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5">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5">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5">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5">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5">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5">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5">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5">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5">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5">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5">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5">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5">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5">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5">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5">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5">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5">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5">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5">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5">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5">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5">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5">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5">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5">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5">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5">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5">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5">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5">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5">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5">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5">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5">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5">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5">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5">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5">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5">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5">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5">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5">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5">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5">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5">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5">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5">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5">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5">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5">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5">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5">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5">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5">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5">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5">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5">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5">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5">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5">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5">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5">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5">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5">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5">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5">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5">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5">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5">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5">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5">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5">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5">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5">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5">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5">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5">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5">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5">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5">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5">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5">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5">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5">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5">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5">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5">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5">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5">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5">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5">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5">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5">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5">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5">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5">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5">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5">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5">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5">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5">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5">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5">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5">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5">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5">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5">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5">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5">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5">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5">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5">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5">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5">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5">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5">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5">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5">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5">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5">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5">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5">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5">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5">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5">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5">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5">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5">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5">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5">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5">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5">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5">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5">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5">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5">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5">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5">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5">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5">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5">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5">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5">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5">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5">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5">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5">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5">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5">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5">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5">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5">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8"/>
    </row>
    <row r="551" spans="2:40" s="33" customFormat="1" ht="13">
      <c r="B551" s="33" t="s">
        <v>1019</v>
      </c>
    </row>
    <row r="552" spans="2:40" s="36" customFormat="1" ht="13">
      <c r="P552" s="36" t="s">
        <v>1020</v>
      </c>
      <c r="V552" s="36" t="s">
        <v>858</v>
      </c>
      <c r="AB552" s="36" t="s">
        <v>859</v>
      </c>
    </row>
    <row r="553" spans="2:40" s="39" customFormat="1" ht="13">
      <c r="B553" s="39" t="s">
        <v>1015</v>
      </c>
      <c r="F553" s="39" t="s">
        <v>864</v>
      </c>
      <c r="G553" s="39" t="s">
        <v>522</v>
      </c>
      <c r="H553" s="39" t="s">
        <v>1016</v>
      </c>
      <c r="I553" s="39" t="s">
        <v>1017</v>
      </c>
      <c r="J553" s="39" t="s">
        <v>275</v>
      </c>
      <c r="K553" s="39" t="s">
        <v>1012</v>
      </c>
      <c r="L553" s="39" t="s">
        <v>525</v>
      </c>
      <c r="N553" s="39" t="s">
        <v>899</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6"/>
      <c r="L798" s="166"/>
      <c r="P798" s="166"/>
      <c r="Q798" s="166"/>
      <c r="R798" s="166"/>
      <c r="S798" s="166"/>
      <c r="T798" s="166"/>
      <c r="V798" s="88"/>
      <c r="W798" s="88"/>
      <c r="X798" s="88"/>
      <c r="Y798" s="88"/>
      <c r="Z798" s="88"/>
      <c r="AB798" s="88"/>
      <c r="AC798" s="88"/>
      <c r="AD798" s="88"/>
      <c r="AE798" s="88"/>
      <c r="AF798" s="88"/>
    </row>
    <row r="799" spans="2:35" s="33" customFormat="1" ht="13">
      <c r="B799" s="33" t="s">
        <v>1021</v>
      </c>
    </row>
    <row r="800" spans="2:35" s="36" customFormat="1" ht="13">
      <c r="K800" s="36" t="s">
        <v>1020</v>
      </c>
      <c r="Q800" s="36" t="s">
        <v>858</v>
      </c>
      <c r="W800" s="36" t="s">
        <v>859</v>
      </c>
      <c r="AC800" s="36" t="s">
        <v>200</v>
      </c>
      <c r="AI800" s="36" t="s">
        <v>860</v>
      </c>
    </row>
    <row r="801" spans="1:39" s="39" customFormat="1" ht="13">
      <c r="B801" s="39" t="s">
        <v>1015</v>
      </c>
      <c r="F801" s="39" t="s">
        <v>864</v>
      </c>
      <c r="G801" s="39" t="s">
        <v>771</v>
      </c>
      <c r="H801" s="39" t="s">
        <v>490</v>
      </c>
      <c r="I801" s="39" t="s">
        <v>275</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ht="13">
      <c r="K802" s="166"/>
      <c r="L802" s="166"/>
      <c r="M802" s="166"/>
      <c r="N802" s="166"/>
      <c r="O802" s="166"/>
      <c r="Q802" s="88"/>
      <c r="R802" s="88"/>
      <c r="S802" s="88"/>
      <c r="T802" s="88"/>
      <c r="U802" s="88"/>
      <c r="W802" s="88"/>
      <c r="X802" s="88"/>
      <c r="Y802" s="88"/>
      <c r="Z802" s="88"/>
      <c r="AA802" s="88"/>
      <c r="AB802" s="310"/>
      <c r="AC802" s="310"/>
      <c r="AD802" s="310"/>
      <c r="AE802" s="310"/>
      <c r="AF802" s="310"/>
      <c r="AG802" s="310"/>
      <c r="AI802" s="310"/>
      <c r="AJ802" s="310"/>
      <c r="AK802" s="310"/>
      <c r="AL802" s="310"/>
      <c r="AM802" s="310"/>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 t="shared" ref="AC803:AG812" si="661">IF(AC$801&gt;=$G803,$H803*INDEX($G$40:$M$46,$G803-2019,AC$801-2019)*INDEX($G$49:$M$55,$G803-2019,AC$801-2019)*$F$28,0)</f>
        <v>165.59007294242548</v>
      </c>
      <c r="AD803" s="47">
        <f t="shared" si="661"/>
        <v>175.15323083499644</v>
      </c>
      <c r="AE803" s="47">
        <f t="shared" si="661"/>
        <v>188.40882734458899</v>
      </c>
      <c r="AF803" s="47">
        <f t="shared" si="661"/>
        <v>192.90953741219653</v>
      </c>
      <c r="AG803" s="47">
        <f t="shared" si="661"/>
        <v>199.43913943452455</v>
      </c>
      <c r="AI803" s="47">
        <f>W803+AC803</f>
        <v>995.19633838397704</v>
      </c>
      <c r="AJ803" s="47">
        <f t="shared" ref="AJ803:AM803" si="662">X803+AD803</f>
        <v>1246.2450193175853</v>
      </c>
      <c r="AK803" s="47">
        <f t="shared" si="662"/>
        <v>1317.1811579021228</v>
      </c>
      <c r="AL803" s="47">
        <f t="shared" si="662"/>
        <v>1300.707125397023</v>
      </c>
      <c r="AM803" s="47">
        <f t="shared" si="662"/>
        <v>1286.2619848466436</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si="661"/>
        <v>2603.7381710683608</v>
      </c>
      <c r="AD804" s="47">
        <f t="shared" si="661"/>
        <v>2754.1092579239007</v>
      </c>
      <c r="AE804" s="47">
        <f t="shared" si="661"/>
        <v>2962.5402465635825</v>
      </c>
      <c r="AF804" s="47">
        <f t="shared" si="661"/>
        <v>3033.3094079734929</v>
      </c>
      <c r="AG804" s="47">
        <f t="shared" si="661"/>
        <v>3135.9808648145799</v>
      </c>
      <c r="AI804" s="47">
        <f t="shared" ref="AI804:AI816" si="674">W804+AC804</f>
        <v>24032.503318960971</v>
      </c>
      <c r="AJ804" s="47">
        <f t="shared" ref="AJ804:AJ817" si="675">X804+AD804</f>
        <v>36094.976538454255</v>
      </c>
      <c r="AK804" s="47">
        <f t="shared" ref="AK804:AK817" si="676">Y804+AE804</f>
        <v>36420.575744792019</v>
      </c>
      <c r="AL804" s="47">
        <f t="shared" ref="AL804:AL817" si="677">Z804+AF804</f>
        <v>35501.924401195953</v>
      </c>
      <c r="AM804" s="47">
        <f t="shared" ref="AM804:AM817" si="678">AA804+AG804</f>
        <v>34615.17535303106</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61"/>
        <v>1224.7344778654278</v>
      </c>
      <c r="AD805" s="47">
        <f t="shared" si="661"/>
        <v>1295.4653434311119</v>
      </c>
      <c r="AE805" s="47">
        <f t="shared" si="661"/>
        <v>1393.506160621979</v>
      </c>
      <c r="AF805" s="47">
        <f t="shared" si="661"/>
        <v>1426.7942357869165</v>
      </c>
      <c r="AG805" s="47">
        <f t="shared" si="661"/>
        <v>1475.0883670798323</v>
      </c>
      <c r="AI805" s="47">
        <f t="shared" si="674"/>
        <v>7360.6542119712212</v>
      </c>
      <c r="AJ805" s="47">
        <f t="shared" si="675"/>
        <v>9217.4561910906541</v>
      </c>
      <c r="AK805" s="47">
        <f t="shared" si="676"/>
        <v>9742.112851404645</v>
      </c>
      <c r="AL805" s="47">
        <f t="shared" si="677"/>
        <v>9620.2678927066281</v>
      </c>
      <c r="AM805" s="47">
        <f t="shared" si="678"/>
        <v>9513.4289901365901</v>
      </c>
    </row>
    <row r="806" spans="1:39">
      <c r="A806" s="227"/>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61"/>
        <v>367.59559841941234</v>
      </c>
      <c r="AD806" s="47">
        <f t="shared" si="661"/>
        <v>388.82497941933025</v>
      </c>
      <c r="AE806" s="47">
        <f t="shared" si="661"/>
        <v>418.25125386178524</v>
      </c>
      <c r="AF806" s="47">
        <f t="shared" si="661"/>
        <v>428.24243981403549</v>
      </c>
      <c r="AG806" s="47">
        <f t="shared" si="661"/>
        <v>442.73758991686105</v>
      </c>
      <c r="AI806" s="47">
        <f t="shared" si="674"/>
        <v>3392.9073734111762</v>
      </c>
      <c r="AJ806" s="47">
        <f t="shared" si="675"/>
        <v>5095.8866171799054</v>
      </c>
      <c r="AK806" s="47">
        <f t="shared" si="676"/>
        <v>5141.8546935512331</v>
      </c>
      <c r="AL806" s="47">
        <f t="shared" si="677"/>
        <v>5012.1595521041081</v>
      </c>
      <c r="AM806" s="47">
        <f t="shared" si="678"/>
        <v>4886.9683748075568</v>
      </c>
    </row>
    <row r="807" spans="1:39">
      <c r="A807" s="227"/>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61"/>
        <v>216.01372149086524</v>
      </c>
      <c r="AD807" s="47">
        <f t="shared" si="661"/>
        <v>228.48894593440571</v>
      </c>
      <c r="AE807" s="47">
        <f t="shared" si="661"/>
        <v>245.78098936272156</v>
      </c>
      <c r="AF807" s="47">
        <f t="shared" si="661"/>
        <v>251.65220563661825</v>
      </c>
      <c r="AG807" s="47">
        <f t="shared" si="661"/>
        <v>260.17012949300653</v>
      </c>
      <c r="AI807" s="47">
        <f t="shared" si="674"/>
        <v>1993.8066493606864</v>
      </c>
      <c r="AJ807" s="47">
        <f t="shared" si="675"/>
        <v>2994.5446496249351</v>
      </c>
      <c r="AK807" s="47">
        <f t="shared" si="676"/>
        <v>3021.5573105203398</v>
      </c>
      <c r="AL807" s="47">
        <f t="shared" si="677"/>
        <v>2945.3433126277077</v>
      </c>
      <c r="AM807" s="47">
        <f t="shared" si="678"/>
        <v>2871.7760223175674</v>
      </c>
    </row>
    <row r="808" spans="1:39">
      <c r="A808" s="227"/>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61"/>
        <v>274.49908957678139</v>
      </c>
      <c r="AD808" s="47">
        <f t="shared" si="661"/>
        <v>290.35196099801971</v>
      </c>
      <c r="AE808" s="47">
        <f t="shared" si="661"/>
        <v>312.32579740634986</v>
      </c>
      <c r="AF808" s="47">
        <f t="shared" si="661"/>
        <v>319.78663605479272</v>
      </c>
      <c r="AG808" s="47">
        <f t="shared" si="661"/>
        <v>330.61077411197539</v>
      </c>
      <c r="AI808" s="47">
        <f t="shared" si="674"/>
        <v>2533.6265967936924</v>
      </c>
      <c r="AJ808" s="47">
        <f t="shared" si="675"/>
        <v>3805.3128030287057</v>
      </c>
      <c r="AK808" s="47">
        <f t="shared" si="676"/>
        <v>3839.6390984679911</v>
      </c>
      <c r="AL808" s="47">
        <f t="shared" si="677"/>
        <v>3742.7902830772568</v>
      </c>
      <c r="AM808" s="47">
        <f t="shared" si="678"/>
        <v>3649.3047670952624</v>
      </c>
    </row>
    <row r="809" spans="1:39">
      <c r="A809" s="227"/>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61"/>
        <v>54.799654928677874</v>
      </c>
      <c r="AD809" s="47">
        <f t="shared" si="661"/>
        <v>57.964444600118881</v>
      </c>
      <c r="AE809" s="47">
        <f t="shared" si="661"/>
        <v>62.351193767455889</v>
      </c>
      <c r="AF809" s="47">
        <f t="shared" si="661"/>
        <v>63.840639084172864</v>
      </c>
      <c r="AG809" s="47">
        <f t="shared" si="661"/>
        <v>66.001517035893954</v>
      </c>
      <c r="AI809" s="47">
        <f t="shared" si="674"/>
        <v>505.80081499169677</v>
      </c>
      <c r="AJ809" s="47">
        <f t="shared" si="675"/>
        <v>759.67402596183899</v>
      </c>
      <c r="AK809" s="47">
        <f t="shared" si="676"/>
        <v>766.52675960096644</v>
      </c>
      <c r="AL809" s="47">
        <f t="shared" si="677"/>
        <v>747.19233604478586</v>
      </c>
      <c r="AM809" s="47">
        <f t="shared" si="678"/>
        <v>728.52934512360935</v>
      </c>
    </row>
    <row r="810" spans="1:39">
      <c r="A810" s="227"/>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61"/>
        <v>17250.819671582394</v>
      </c>
      <c r="AD810" s="47">
        <f t="shared" si="661"/>
        <v>18247.089009255622</v>
      </c>
      <c r="AE810" s="47">
        <f t="shared" si="661"/>
        <v>19628.028705476088</v>
      </c>
      <c r="AF810" s="47">
        <f t="shared" si="661"/>
        <v>20096.903055192499</v>
      </c>
      <c r="AG810" s="47">
        <f t="shared" si="661"/>
        <v>20777.143029804658</v>
      </c>
      <c r="AI810" s="47">
        <f t="shared" si="674"/>
        <v>103677.4262262102</v>
      </c>
      <c r="AJ810" s="47">
        <f t="shared" si="675"/>
        <v>129831.1409182744</v>
      </c>
      <c r="AK810" s="47">
        <f t="shared" si="676"/>
        <v>137221.1161334294</v>
      </c>
      <c r="AL810" s="47">
        <f t="shared" si="677"/>
        <v>135504.8866580787</v>
      </c>
      <c r="AM810" s="47">
        <f t="shared" si="678"/>
        <v>134000.02280762375</v>
      </c>
    </row>
    <row r="811" spans="1:39">
      <c r="A811" s="227"/>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61"/>
        <v>44761.579983995514</v>
      </c>
      <c r="AD811" s="47">
        <f t="shared" si="661"/>
        <v>47346.650751231224</v>
      </c>
      <c r="AE811" s="47">
        <f t="shared" si="661"/>
        <v>50929.845280084417</v>
      </c>
      <c r="AF811" s="47">
        <f t="shared" si="661"/>
        <v>52146.457424135064</v>
      </c>
      <c r="AG811" s="47">
        <f t="shared" si="661"/>
        <v>53911.51071502718</v>
      </c>
      <c r="AI811" s="47">
        <f t="shared" si="674"/>
        <v>629347.81457497692</v>
      </c>
      <c r="AJ811" s="47">
        <f t="shared" si="675"/>
        <v>1045977.500194171</v>
      </c>
      <c r="AK811" s="47">
        <f t="shared" si="676"/>
        <v>1031208.446929586</v>
      </c>
      <c r="AL811" s="47">
        <f t="shared" si="677"/>
        <v>998406.25828580011</v>
      </c>
      <c r="AM811" s="47">
        <f t="shared" si="678"/>
        <v>966152.51078885561</v>
      </c>
    </row>
    <row r="812" spans="1:39">
      <c r="A812" s="227"/>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61"/>
        <v>70886.725580014827</v>
      </c>
      <c r="AD812" s="47">
        <f t="shared" si="661"/>
        <v>74980.575755711849</v>
      </c>
      <c r="AE812" s="47">
        <f t="shared" si="661"/>
        <v>80655.105728904135</v>
      </c>
      <c r="AF812" s="47">
        <f t="shared" si="661"/>
        <v>82581.794894556195</v>
      </c>
      <c r="AG812" s="47">
        <f t="shared" si="661"/>
        <v>85377.023488147126</v>
      </c>
      <c r="AI812" s="47">
        <f t="shared" si="674"/>
        <v>654284.47710353695</v>
      </c>
      <c r="AJ812" s="47">
        <f t="shared" si="675"/>
        <v>982685.09680780175</v>
      </c>
      <c r="AK812" s="47">
        <f t="shared" si="676"/>
        <v>991549.52943209466</v>
      </c>
      <c r="AL812" s="47">
        <f t="shared" si="677"/>
        <v>966539.26287734101</v>
      </c>
      <c r="AM812" s="47">
        <f t="shared" si="678"/>
        <v>942397.53575052624</v>
      </c>
    </row>
    <row r="813" spans="1:39">
      <c r="A813" s="227"/>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ref="AC813:AG822" si="679">IF(AC$801&gt;=$G813,$H813*INDEX($G$40:$M$46,$G813-2019,AC$801-2019)*INDEX($G$49:$M$55,$G813-2019,AC$801-2019)*$F$28,0)</f>
        <v>0</v>
      </c>
      <c r="AD813" s="47">
        <f t="shared" si="679"/>
        <v>111.77445801540334</v>
      </c>
      <c r="AE813" s="47">
        <f t="shared" si="679"/>
        <v>120.23354899800908</v>
      </c>
      <c r="AF813" s="47">
        <f t="shared" si="679"/>
        <v>123.10568801647352</v>
      </c>
      <c r="AG813" s="47">
        <f t="shared" si="679"/>
        <v>127.27256934445512</v>
      </c>
      <c r="AI813" s="47">
        <f t="shared" si="674"/>
        <v>0</v>
      </c>
      <c r="AJ813" s="47">
        <f t="shared" si="675"/>
        <v>1021.0596739707095</v>
      </c>
      <c r="AK813" s="47">
        <f t="shared" si="676"/>
        <v>1599.0096285417953</v>
      </c>
      <c r="AL813" s="47">
        <f t="shared" si="677"/>
        <v>1559.4074735144065</v>
      </c>
      <c r="AM813" s="47">
        <f t="shared" si="678"/>
        <v>1521.1000607965348</v>
      </c>
    </row>
    <row r="814" spans="1:39">
      <c r="A814" s="227"/>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9"/>
        <v>0</v>
      </c>
      <c r="AD814" s="47">
        <f t="shared" si="679"/>
        <v>-40.737374626236651</v>
      </c>
      <c r="AE814" s="47">
        <f t="shared" si="679"/>
        <v>-43.820379137950248</v>
      </c>
      <c r="AF814" s="47">
        <f t="shared" si="679"/>
        <v>-44.867160354797598</v>
      </c>
      <c r="AG814" s="47">
        <f t="shared" si="679"/>
        <v>-46.385823998486785</v>
      </c>
      <c r="AI814" s="47">
        <f t="shared" si="674"/>
        <v>0</v>
      </c>
      <c r="AJ814" s="47">
        <f t="shared" si="675"/>
        <v>-109.51564212019952</v>
      </c>
      <c r="AK814" s="47">
        <f t="shared" si="676"/>
        <v>-70.571255142512314</v>
      </c>
      <c r="AL814" s="47">
        <f t="shared" si="677"/>
        <v>-76.778103812016326</v>
      </c>
      <c r="AM814" s="47">
        <f t="shared" si="678"/>
        <v>-83.456834908362168</v>
      </c>
    </row>
    <row r="815" spans="1:39">
      <c r="A815" s="227"/>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9"/>
        <v>0</v>
      </c>
      <c r="AD815" s="47">
        <f t="shared" si="679"/>
        <v>175.73135050625203</v>
      </c>
      <c r="AE815" s="47">
        <f t="shared" si="679"/>
        <v>189.03069911256517</v>
      </c>
      <c r="AF815" s="47">
        <f t="shared" si="679"/>
        <v>193.54626445296617</v>
      </c>
      <c r="AG815" s="47">
        <f t="shared" si="679"/>
        <v>200.09741841217016</v>
      </c>
      <c r="AI815" s="47">
        <f t="shared" si="674"/>
        <v>0</v>
      </c>
      <c r="AJ815" s="47">
        <f t="shared" si="675"/>
        <v>1605.3058868746123</v>
      </c>
      <c r="AK815" s="47">
        <f t="shared" si="676"/>
        <v>2513.9564663102792</v>
      </c>
      <c r="AL815" s="47">
        <f t="shared" si="677"/>
        <v>2451.6941184583047</v>
      </c>
      <c r="AM815" s="47">
        <f t="shared" si="678"/>
        <v>2391.4673592251324</v>
      </c>
    </row>
    <row r="816" spans="1:39">
      <c r="A816" s="227"/>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9"/>
        <v>0</v>
      </c>
      <c r="AD816" s="47">
        <f t="shared" si="679"/>
        <v>678.74603678325309</v>
      </c>
      <c r="AE816" s="47">
        <f t="shared" si="679"/>
        <v>730.11353684700964</v>
      </c>
      <c r="AF816" s="47">
        <f t="shared" si="679"/>
        <v>747.55448901521117</v>
      </c>
      <c r="AG816" s="47">
        <f t="shared" si="679"/>
        <v>772.85771335939796</v>
      </c>
      <c r="AI816" s="47">
        <f t="shared" si="674"/>
        <v>0</v>
      </c>
      <c r="AJ816" s="47">
        <f t="shared" si="675"/>
        <v>6200.345046015017</v>
      </c>
      <c r="AK816" s="47">
        <f t="shared" si="676"/>
        <v>9709.9236034894475</v>
      </c>
      <c r="AL816" s="47">
        <f t="shared" si="677"/>
        <v>9469.4410616800124</v>
      </c>
      <c r="AM816" s="47">
        <f t="shared" si="678"/>
        <v>9236.8207920465629</v>
      </c>
    </row>
    <row r="817" spans="1:39">
      <c r="A817" s="227"/>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 t="shared" si="679"/>
        <v>0</v>
      </c>
      <c r="AD817" s="47">
        <f t="shared" si="679"/>
        <v>8557.8556065618468</v>
      </c>
      <c r="AE817" s="47">
        <f t="shared" si="679"/>
        <v>9205.5141188664493</v>
      </c>
      <c r="AF817" s="47">
        <f t="shared" si="679"/>
        <v>9425.415440137931</v>
      </c>
      <c r="AG817" s="47">
        <f t="shared" si="679"/>
        <v>9744.4469019557182</v>
      </c>
      <c r="AI817" s="47">
        <f>W817+AC817</f>
        <v>0</v>
      </c>
      <c r="AJ817" s="47">
        <f t="shared" si="675"/>
        <v>78176.010965942463</v>
      </c>
      <c r="AK817" s="47">
        <f t="shared" si="676"/>
        <v>122425.94379367967</v>
      </c>
      <c r="AL817" s="47">
        <f t="shared" si="677"/>
        <v>119393.85998445767</v>
      </c>
      <c r="AM817" s="47">
        <f t="shared" si="678"/>
        <v>116460.90631578195</v>
      </c>
    </row>
    <row r="818" spans="1:39">
      <c r="A818" s="227"/>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9"/>
        <v>0</v>
      </c>
      <c r="AD818" s="47">
        <f t="shared" si="679"/>
        <v>11748.029772874359</v>
      </c>
      <c r="AE818" s="47">
        <f t="shared" si="679"/>
        <v>12637.120666085491</v>
      </c>
      <c r="AF818" s="47">
        <f t="shared" si="679"/>
        <v>12938.996204556941</v>
      </c>
      <c r="AG818" s="47">
        <f t="shared" si="679"/>
        <v>13376.955348088786</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91971.274528618262</v>
      </c>
    </row>
    <row r="819" spans="1:39">
      <c r="A819" s="227"/>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9"/>
        <v>0</v>
      </c>
      <c r="AD819" s="47">
        <f t="shared" si="679"/>
        <v>62395.305600440901</v>
      </c>
      <c r="AE819" s="47">
        <f t="shared" si="679"/>
        <v>67117.38232828227</v>
      </c>
      <c r="AF819" s="47">
        <f t="shared" si="679"/>
        <v>68720.682357340294</v>
      </c>
      <c r="AG819" s="47">
        <f t="shared" si="679"/>
        <v>71046.74001377153</v>
      </c>
      <c r="AI819" s="47">
        <f t="shared" si="690"/>
        <v>0</v>
      </c>
      <c r="AJ819" s="47">
        <f t="shared" si="691"/>
        <v>871662.41923815955</v>
      </c>
      <c r="AK819" s="47">
        <f t="shared" si="692"/>
        <v>1480995.0072342732</v>
      </c>
      <c r="AL819" s="47">
        <f t="shared" si="693"/>
        <v>1435177.8750069963</v>
      </c>
      <c r="AM819" s="47">
        <f t="shared" si="694"/>
        <v>1390083.5004070923</v>
      </c>
    </row>
    <row r="820" spans="1:39">
      <c r="A820" s="227"/>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6"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si="679"/>
        <v>0</v>
      </c>
      <c r="AD820" s="47">
        <f t="shared" si="679"/>
        <v>62.226743563099475</v>
      </c>
      <c r="AE820" s="47">
        <f t="shared" si="679"/>
        <v>66.936063515954842</v>
      </c>
      <c r="AF820" s="47">
        <f t="shared" si="679"/>
        <v>68.535032201223984</v>
      </c>
      <c r="AG820" s="47">
        <f t="shared" si="679"/>
        <v>70.854805971171004</v>
      </c>
      <c r="AI820" s="47">
        <f t="shared" si="690"/>
        <v>0</v>
      </c>
      <c r="AJ820" s="47">
        <f t="shared" si="691"/>
        <v>568.44130244891369</v>
      </c>
      <c r="AK820" s="47">
        <f>Y820+AE820</f>
        <v>890.19588085576095</v>
      </c>
      <c r="AL820" s="47">
        <f t="shared" si="693"/>
        <v>868.14868698705232</v>
      </c>
      <c r="AM820" s="47">
        <f t="shared" si="694"/>
        <v>846.82229820302143</v>
      </c>
    </row>
    <row r="821" spans="1:39" s="227"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6">IF($I821=0,$H821,IF(OR($G821&gt;Q$801,$G821+$I821&lt;=Q$801),0,IF($G821=Q$801,$H821-K821,$H821-K821)))</f>
        <v>0</v>
      </c>
      <c r="R821" s="47">
        <f t="shared" ref="R821:R835" si="697">IF($I821=0,$H821,IF(OR($G821&gt;R$801,$G821+$I821&lt;=R$801),0,IF($G821=R$801,$H821-L821,Q821-L821)))</f>
        <v>0</v>
      </c>
      <c r="S821" s="47">
        <f t="shared" ref="S821:S835" si="698">IF($I821=0,$H821,IF(OR($G821&gt;S$801,$G821+$I821&lt;=S$801),0,IF($G821=S$801,$H821-M821,R821-M821)))</f>
        <v>33747.626333333334</v>
      </c>
      <c r="T821" s="47">
        <f t="shared" ref="T821:T835" si="699">IF($I821=0,$H821,IF(OR($G821&gt;T$801,$G821+$I821&lt;=T$801),0,IF($G821=T$801,$H821-N821,S821-N821)))</f>
        <v>32603.638999999999</v>
      </c>
      <c r="U821" s="47">
        <f t="shared" ref="U821:U835" si="700">IF($I821=0,$H821,IF(OR($G821&gt;U$801,$G821+$I821&lt;=U$801),0,IF($G821=U$801,$H821-O821,T821-O821)))</f>
        <v>31459.651666666665</v>
      </c>
      <c r="V821" s="3"/>
      <c r="W821" s="47">
        <f t="shared" ref="W821:W835" si="701">(K821+Q821*I$16)</f>
        <v>0</v>
      </c>
      <c r="X821" s="47">
        <f t="shared" ref="X821:X835" si="702">(L821+R821*J$16)</f>
        <v>0</v>
      </c>
      <c r="Y821" s="47">
        <f t="shared" ref="Y821:Y835" si="703">(M821+S821*K$16)</f>
        <v>1854.4034673333333</v>
      </c>
      <c r="Z821" s="47">
        <f t="shared" ref="Z821:Z835" si="704">(N821+T821*L$16)</f>
        <v>2382.9256153333331</v>
      </c>
      <c r="AA821" s="47">
        <f t="shared" ref="AA821:AA835" si="705">(O821+U821*M$16)</f>
        <v>2339.4540966666664</v>
      </c>
      <c r="AB821" s="3"/>
      <c r="AC821" s="47">
        <f t="shared" si="679"/>
        <v>0</v>
      </c>
      <c r="AD821" s="47">
        <f t="shared" si="679"/>
        <v>0</v>
      </c>
      <c r="AE821" s="47">
        <f t="shared" si="679"/>
        <v>343.19620000000003</v>
      </c>
      <c r="AF821" s="47">
        <f t="shared" si="679"/>
        <v>351.39447082560002</v>
      </c>
      <c r="AG821" s="47">
        <f t="shared" si="679"/>
        <v>363.28847087410492</v>
      </c>
      <c r="AH821" s="3"/>
      <c r="AI821" s="47">
        <f t="shared" ref="AI821:AI835" si="706">W821+AC821</f>
        <v>0</v>
      </c>
      <c r="AJ821" s="47">
        <f t="shared" ref="AJ821:AJ835" si="707">X821+AD821</f>
        <v>0</v>
      </c>
      <c r="AK821" s="47">
        <f t="shared" ref="AK821:AK835" si="708">Y821+AE821</f>
        <v>2197.5996673333334</v>
      </c>
      <c r="AL821" s="47">
        <f t="shared" ref="AL821:AL835" si="709">Z821+AF821</f>
        <v>2734.320086158933</v>
      </c>
      <c r="AM821" s="47">
        <f t="shared" ref="AM821:AM835" si="710">AA821+AG821</f>
        <v>2702.7425675407712</v>
      </c>
    </row>
    <row r="822" spans="1:39" s="227"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6"/>
        <v>0</v>
      </c>
      <c r="R822" s="47">
        <f t="shared" si="697"/>
        <v>0</v>
      </c>
      <c r="S822" s="47">
        <f t="shared" si="698"/>
        <v>6996.4461666666666</v>
      </c>
      <c r="T822" s="47">
        <f t="shared" si="699"/>
        <v>6759.2785000000003</v>
      </c>
      <c r="U822" s="47">
        <f t="shared" si="700"/>
        <v>6522.1108333333341</v>
      </c>
      <c r="V822" s="3"/>
      <c r="W822" s="47">
        <f t="shared" si="701"/>
        <v>0</v>
      </c>
      <c r="X822" s="47">
        <f t="shared" si="702"/>
        <v>0</v>
      </c>
      <c r="Y822" s="47">
        <f t="shared" si="703"/>
        <v>384.4487876666667</v>
      </c>
      <c r="Z822" s="47">
        <f t="shared" si="704"/>
        <v>494.02024966666664</v>
      </c>
      <c r="AA822" s="47">
        <f t="shared" si="705"/>
        <v>485.00787833333334</v>
      </c>
      <c r="AB822" s="3"/>
      <c r="AC822" s="47">
        <f t="shared" si="679"/>
        <v>0</v>
      </c>
      <c r="AD822" s="47">
        <f t="shared" si="679"/>
        <v>0</v>
      </c>
      <c r="AE822" s="47">
        <f t="shared" si="679"/>
        <v>71.150300000000001</v>
      </c>
      <c r="AF822" s="47">
        <f t="shared" si="679"/>
        <v>72.849938366399996</v>
      </c>
      <c r="AG822" s="47">
        <f t="shared" si="679"/>
        <v>75.315763080225906</v>
      </c>
      <c r="AH822" s="3"/>
      <c r="AI822" s="47">
        <f t="shared" si="706"/>
        <v>0</v>
      </c>
      <c r="AJ822" s="47">
        <f t="shared" si="707"/>
        <v>0</v>
      </c>
      <c r="AK822" s="47">
        <f t="shared" si="708"/>
        <v>455.59908766666672</v>
      </c>
      <c r="AL822" s="47">
        <f t="shared" si="709"/>
        <v>566.8701880330666</v>
      </c>
      <c r="AM822" s="47">
        <f t="shared" si="710"/>
        <v>560.32364141355924</v>
      </c>
    </row>
    <row r="823" spans="1:39" s="227"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6"/>
        <v>0</v>
      </c>
      <c r="R823" s="47">
        <f t="shared" si="697"/>
        <v>0</v>
      </c>
      <c r="S823" s="47">
        <f t="shared" si="698"/>
        <v>5351015.0496666664</v>
      </c>
      <c r="T823" s="47">
        <f t="shared" si="699"/>
        <v>5169624.7089999998</v>
      </c>
      <c r="U823" s="47">
        <f t="shared" si="700"/>
        <v>4988234.3683333332</v>
      </c>
      <c r="V823" s="3"/>
      <c r="W823" s="47">
        <f t="shared" si="701"/>
        <v>0</v>
      </c>
      <c r="X823" s="47">
        <f t="shared" si="702"/>
        <v>0</v>
      </c>
      <c r="Y823" s="47">
        <f t="shared" si="703"/>
        <v>294033.74222066667</v>
      </c>
      <c r="Z823" s="47">
        <f t="shared" si="704"/>
        <v>377836.07960866665</v>
      </c>
      <c r="AA823" s="47">
        <f t="shared" si="705"/>
        <v>370943.24666333332</v>
      </c>
      <c r="AB823" s="3"/>
      <c r="AC823" s="47">
        <f t="shared" ref="AC823:AG832" si="711">IF(AC$801&gt;=$G823,$H823*INDEX($G$40:$M$46,$G823-2019,AC$801-2019)*INDEX($G$49:$M$55,$G823-2019,AC$801-2019)*$F$28,0)</f>
        <v>0</v>
      </c>
      <c r="AD823" s="47">
        <f t="shared" si="711"/>
        <v>0</v>
      </c>
      <c r="AE823" s="47">
        <f t="shared" si="711"/>
        <v>54417.102200000001</v>
      </c>
      <c r="AF823" s="47">
        <f t="shared" si="711"/>
        <v>55717.017937353601</v>
      </c>
      <c r="AG823" s="47">
        <f t="shared" si="711"/>
        <v>57602.927560497148</v>
      </c>
      <c r="AH823" s="3"/>
      <c r="AI823" s="47">
        <f t="shared" si="706"/>
        <v>0</v>
      </c>
      <c r="AJ823" s="47">
        <f t="shared" si="707"/>
        <v>0</v>
      </c>
      <c r="AK823" s="47">
        <f t="shared" si="708"/>
        <v>348450.84442066669</v>
      </c>
      <c r="AL823" s="47">
        <f t="shared" si="709"/>
        <v>433553.09754602023</v>
      </c>
      <c r="AM823" s="47">
        <f t="shared" si="710"/>
        <v>428546.17422383046</v>
      </c>
    </row>
    <row r="824" spans="1:39" s="227"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6"/>
        <v>0</v>
      </c>
      <c r="R824" s="47">
        <f t="shared" si="697"/>
        <v>0</v>
      </c>
      <c r="S824" s="47">
        <f t="shared" si="698"/>
        <v>857720.85833333328</v>
      </c>
      <c r="T824" s="47">
        <f t="shared" si="699"/>
        <v>828645.57499999995</v>
      </c>
      <c r="U824" s="47">
        <f t="shared" si="700"/>
        <v>799570.29166666663</v>
      </c>
      <c r="V824" s="3"/>
      <c r="W824" s="47">
        <f t="shared" si="701"/>
        <v>0</v>
      </c>
      <c r="X824" s="47">
        <f t="shared" si="702"/>
        <v>0</v>
      </c>
      <c r="Y824" s="47">
        <f t="shared" si="703"/>
        <v>47131.034283333327</v>
      </c>
      <c r="Z824" s="47">
        <f t="shared" si="704"/>
        <v>60563.815183333325</v>
      </c>
      <c r="AA824" s="47">
        <f t="shared" si="705"/>
        <v>59458.95441666666</v>
      </c>
      <c r="AB824" s="3"/>
      <c r="AC824" s="47">
        <f t="shared" si="711"/>
        <v>0</v>
      </c>
      <c r="AD824" s="47">
        <f t="shared" si="711"/>
        <v>0</v>
      </c>
      <c r="AE824" s="47">
        <f t="shared" si="711"/>
        <v>8722.5850000000009</v>
      </c>
      <c r="AF824" s="47">
        <f t="shared" si="711"/>
        <v>8930.9501104800001</v>
      </c>
      <c r="AG824" s="47">
        <f t="shared" si="711"/>
        <v>9233.2449098195266</v>
      </c>
      <c r="AH824" s="3"/>
      <c r="AI824" s="47">
        <f t="shared" si="706"/>
        <v>0</v>
      </c>
      <c r="AJ824" s="47">
        <f t="shared" si="707"/>
        <v>0</v>
      </c>
      <c r="AK824" s="47">
        <f t="shared" si="708"/>
        <v>55853.619283333326</v>
      </c>
      <c r="AL824" s="47">
        <f t="shared" si="709"/>
        <v>69494.765293813325</v>
      </c>
      <c r="AM824" s="47">
        <f t="shared" si="710"/>
        <v>68692.199326486181</v>
      </c>
    </row>
    <row r="825" spans="1:39" s="227"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6"/>
        <v>0</v>
      </c>
      <c r="R825" s="47">
        <f t="shared" si="697"/>
        <v>0</v>
      </c>
      <c r="S825" s="47">
        <f t="shared" si="698"/>
        <v>901.78750000000002</v>
      </c>
      <c r="T825" s="47">
        <f t="shared" si="699"/>
        <v>806.86250000000007</v>
      </c>
      <c r="U825" s="47">
        <f t="shared" si="700"/>
        <v>711.93750000000011</v>
      </c>
      <c r="V825" s="3"/>
      <c r="W825" s="47">
        <f t="shared" si="701"/>
        <v>0</v>
      </c>
      <c r="X825" s="47">
        <f t="shared" si="702"/>
        <v>0</v>
      </c>
      <c r="Y825" s="47">
        <f t="shared" si="703"/>
        <v>81.730424999999997</v>
      </c>
      <c r="Z825" s="47">
        <f t="shared" si="704"/>
        <v>125.585775</v>
      </c>
      <c r="AA825" s="47">
        <f t="shared" si="705"/>
        <v>121.97862499999999</v>
      </c>
      <c r="AB825" s="3"/>
      <c r="AC825" s="47">
        <f t="shared" si="711"/>
        <v>0</v>
      </c>
      <c r="AD825" s="47">
        <f t="shared" si="711"/>
        <v>0</v>
      </c>
      <c r="AE825" s="47">
        <f t="shared" si="711"/>
        <v>9.4924999999999997</v>
      </c>
      <c r="AF825" s="47">
        <f t="shared" si="711"/>
        <v>9.7192568399999999</v>
      </c>
      <c r="AG825" s="47">
        <f t="shared" si="711"/>
        <v>10.048234245520321</v>
      </c>
      <c r="AH825" s="3"/>
      <c r="AI825" s="47">
        <f t="shared" si="706"/>
        <v>0</v>
      </c>
      <c r="AJ825" s="47">
        <f t="shared" si="707"/>
        <v>0</v>
      </c>
      <c r="AK825" s="47">
        <f t="shared" si="708"/>
        <v>91.222925000000004</v>
      </c>
      <c r="AL825" s="47">
        <f t="shared" si="709"/>
        <v>135.30503184</v>
      </c>
      <c r="AM825" s="47">
        <f t="shared" si="710"/>
        <v>132.02685924552031</v>
      </c>
    </row>
    <row r="826" spans="1:39" s="227"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6"/>
        <v>0</v>
      </c>
      <c r="R826" s="47">
        <f t="shared" si="697"/>
        <v>0</v>
      </c>
      <c r="S826" s="47">
        <f t="shared" si="698"/>
        <v>54437.260999999999</v>
      </c>
      <c r="T826" s="47">
        <f t="shared" si="699"/>
        <v>48707.023000000001</v>
      </c>
      <c r="U826" s="47">
        <f t="shared" si="700"/>
        <v>42976.785000000003</v>
      </c>
      <c r="V826" s="3"/>
      <c r="W826" s="47">
        <f t="shared" si="701"/>
        <v>0</v>
      </c>
      <c r="X826" s="47">
        <f t="shared" si="702"/>
        <v>0</v>
      </c>
      <c r="Y826" s="47">
        <f t="shared" si="703"/>
        <v>4933.7349180000001</v>
      </c>
      <c r="Z826" s="47">
        <f t="shared" si="704"/>
        <v>7581.1048740000006</v>
      </c>
      <c r="AA826" s="47">
        <f t="shared" si="705"/>
        <v>7363.3558300000004</v>
      </c>
      <c r="AB826" s="3"/>
      <c r="AC826" s="47">
        <f t="shared" si="711"/>
        <v>0</v>
      </c>
      <c r="AD826" s="47">
        <f t="shared" si="711"/>
        <v>0</v>
      </c>
      <c r="AE826" s="47">
        <f t="shared" si="711"/>
        <v>573.02379999999994</v>
      </c>
      <c r="AF826" s="47">
        <f t="shared" si="711"/>
        <v>586.71219253439995</v>
      </c>
      <c r="AG826" s="47">
        <f t="shared" si="711"/>
        <v>606.57122682730437</v>
      </c>
      <c r="AH826" s="3"/>
      <c r="AI826" s="47">
        <f t="shared" si="706"/>
        <v>0</v>
      </c>
      <c r="AJ826" s="47">
        <f t="shared" si="707"/>
        <v>0</v>
      </c>
      <c r="AK826" s="47">
        <f t="shared" si="708"/>
        <v>5506.758718</v>
      </c>
      <c r="AL826" s="47">
        <f t="shared" si="709"/>
        <v>8167.8170665344005</v>
      </c>
      <c r="AM826" s="47">
        <f t="shared" si="710"/>
        <v>7969.927056827305</v>
      </c>
    </row>
    <row r="827" spans="1:39" s="227"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6"/>
        <v>0</v>
      </c>
      <c r="R827" s="47">
        <f t="shared" si="697"/>
        <v>0</v>
      </c>
      <c r="S827" s="47">
        <f t="shared" si="698"/>
        <v>516.6194999999999</v>
      </c>
      <c r="T827" s="47">
        <f t="shared" si="699"/>
        <v>462.23849999999993</v>
      </c>
      <c r="U827" s="47">
        <f t="shared" si="700"/>
        <v>407.85749999999996</v>
      </c>
      <c r="V827" s="3"/>
      <c r="W827" s="47">
        <f t="shared" si="701"/>
        <v>0</v>
      </c>
      <c r="X827" s="47">
        <f t="shared" si="702"/>
        <v>0</v>
      </c>
      <c r="Y827" s="47">
        <f t="shared" si="703"/>
        <v>46.822040999999999</v>
      </c>
      <c r="Z827" s="47">
        <f t="shared" si="704"/>
        <v>71.946062999999995</v>
      </c>
      <c r="AA827" s="47">
        <f t="shared" si="705"/>
        <v>69.879584999999992</v>
      </c>
      <c r="AB827" s="3"/>
      <c r="AC827" s="47">
        <f t="shared" si="711"/>
        <v>0</v>
      </c>
      <c r="AD827" s="47">
        <f t="shared" si="711"/>
        <v>0</v>
      </c>
      <c r="AE827" s="47">
        <f t="shared" si="711"/>
        <v>5.4380999999999995</v>
      </c>
      <c r="AF827" s="47">
        <f t="shared" si="711"/>
        <v>5.5680053327999994</v>
      </c>
      <c r="AG827" s="47">
        <f t="shared" si="711"/>
        <v>5.7564711773046149</v>
      </c>
      <c r="AH827" s="3"/>
      <c r="AI827" s="47">
        <f t="shared" si="706"/>
        <v>0</v>
      </c>
      <c r="AJ827" s="47">
        <f t="shared" si="707"/>
        <v>0</v>
      </c>
      <c r="AK827" s="47">
        <f t="shared" si="708"/>
        <v>52.260140999999997</v>
      </c>
      <c r="AL827" s="47">
        <f t="shared" si="709"/>
        <v>77.514068332799994</v>
      </c>
      <c r="AM827" s="47">
        <f t="shared" si="710"/>
        <v>75.63605617730461</v>
      </c>
    </row>
    <row r="828" spans="1:39" s="227"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6"/>
        <v>0</v>
      </c>
      <c r="R828" s="47">
        <f t="shared" si="697"/>
        <v>0</v>
      </c>
      <c r="S828" s="47">
        <f t="shared" si="698"/>
        <v>1338617.9790000001</v>
      </c>
      <c r="T828" s="47">
        <f t="shared" si="699"/>
        <v>1041147.317</v>
      </c>
      <c r="U828" s="47">
        <f t="shared" si="700"/>
        <v>743676.65500000003</v>
      </c>
      <c r="V828" s="3"/>
      <c r="W828" s="47">
        <f t="shared" si="701"/>
        <v>0</v>
      </c>
      <c r="X828" s="47">
        <f t="shared" si="702"/>
        <v>0</v>
      </c>
      <c r="Y828" s="47">
        <f t="shared" si="703"/>
        <v>199602.81420200001</v>
      </c>
      <c r="Z828" s="47">
        <f t="shared" si="704"/>
        <v>337034.26004600001</v>
      </c>
      <c r="AA828" s="47">
        <f t="shared" si="705"/>
        <v>325730.37489000004</v>
      </c>
      <c r="AB828" s="3"/>
      <c r="AC828" s="47">
        <f t="shared" si="711"/>
        <v>0</v>
      </c>
      <c r="AD828" s="47">
        <f t="shared" si="711"/>
        <v>0</v>
      </c>
      <c r="AE828" s="47">
        <f t="shared" si="711"/>
        <v>14873.533100000001</v>
      </c>
      <c r="AF828" s="47">
        <f t="shared" si="711"/>
        <v>15228.8320586928</v>
      </c>
      <c r="AG828" s="47">
        <f t="shared" si="711"/>
        <v>15744.297566215435</v>
      </c>
      <c r="AH828" s="3"/>
      <c r="AI828" s="47">
        <f t="shared" si="706"/>
        <v>0</v>
      </c>
      <c r="AJ828" s="47">
        <f t="shared" si="707"/>
        <v>0</v>
      </c>
      <c r="AK828" s="47">
        <f t="shared" si="708"/>
        <v>214476.34730200001</v>
      </c>
      <c r="AL828" s="47">
        <f t="shared" si="709"/>
        <v>352263.09210469283</v>
      </c>
      <c r="AM828" s="47">
        <f t="shared" si="710"/>
        <v>341474.67245621548</v>
      </c>
    </row>
    <row r="829" spans="1:39" s="227"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6"/>
        <v>0</v>
      </c>
      <c r="R829" s="47">
        <f t="shared" si="697"/>
        <v>0</v>
      </c>
      <c r="S829" s="47">
        <f t="shared" si="698"/>
        <v>842724.90899999999</v>
      </c>
      <c r="T829" s="47">
        <f t="shared" si="699"/>
        <v>655452.70699999994</v>
      </c>
      <c r="U829" s="47">
        <f t="shared" si="700"/>
        <v>468180.50499999995</v>
      </c>
      <c r="V829" s="3"/>
      <c r="W829" s="47">
        <f t="shared" si="701"/>
        <v>0</v>
      </c>
      <c r="X829" s="47">
        <f t="shared" si="702"/>
        <v>0</v>
      </c>
      <c r="Y829" s="47">
        <f t="shared" si="703"/>
        <v>125659.64754200001</v>
      </c>
      <c r="Z829" s="47">
        <f t="shared" si="704"/>
        <v>212179.404866</v>
      </c>
      <c r="AA829" s="47">
        <f t="shared" si="705"/>
        <v>205063.06118999998</v>
      </c>
      <c r="AB829" s="3"/>
      <c r="AC829" s="47">
        <f t="shared" si="711"/>
        <v>0</v>
      </c>
      <c r="AD829" s="47">
        <f t="shared" si="711"/>
        <v>0</v>
      </c>
      <c r="AE829" s="47">
        <f t="shared" si="711"/>
        <v>9363.6100999999999</v>
      </c>
      <c r="AF829" s="47">
        <f t="shared" si="711"/>
        <v>9587.2880180688007</v>
      </c>
      <c r="AG829" s="47">
        <f t="shared" si="711"/>
        <v>9911.7985429043947</v>
      </c>
      <c r="AH829" s="3"/>
      <c r="AI829" s="47">
        <f t="shared" si="706"/>
        <v>0</v>
      </c>
      <c r="AJ829" s="47">
        <f t="shared" si="707"/>
        <v>0</v>
      </c>
      <c r="AK829" s="47">
        <f t="shared" si="708"/>
        <v>135023.25764200001</v>
      </c>
      <c r="AL829" s="47">
        <f t="shared" si="709"/>
        <v>221766.69288406879</v>
      </c>
      <c r="AM829" s="47">
        <f t="shared" si="710"/>
        <v>214974.85973290438</v>
      </c>
    </row>
    <row r="830" spans="1:39" s="227"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6"/>
        <v>0</v>
      </c>
      <c r="R830" s="47">
        <f t="shared" si="697"/>
        <v>0</v>
      </c>
      <c r="S830" s="47">
        <f t="shared" si="698"/>
        <v>394235.22600000002</v>
      </c>
      <c r="T830" s="47">
        <f t="shared" si="699"/>
        <v>306627.39800000004</v>
      </c>
      <c r="U830" s="47">
        <f t="shared" si="700"/>
        <v>219019.57000000004</v>
      </c>
      <c r="V830" s="3"/>
      <c r="W830" s="47">
        <f t="shared" si="701"/>
        <v>0</v>
      </c>
      <c r="X830" s="47">
        <f t="shared" si="702"/>
        <v>0</v>
      </c>
      <c r="Y830" s="47">
        <f t="shared" si="703"/>
        <v>58784.852588000009</v>
      </c>
      <c r="Z830" s="47">
        <f t="shared" si="704"/>
        <v>99259.669124000007</v>
      </c>
      <c r="AA830" s="47">
        <f t="shared" si="705"/>
        <v>95930.571660000016</v>
      </c>
      <c r="AB830" s="3"/>
      <c r="AC830" s="47">
        <f t="shared" si="711"/>
        <v>0</v>
      </c>
      <c r="AD830" s="47">
        <f t="shared" si="711"/>
        <v>0</v>
      </c>
      <c r="AE830" s="47">
        <f t="shared" si="711"/>
        <v>4380.3914000000004</v>
      </c>
      <c r="AF830" s="47">
        <f t="shared" si="711"/>
        <v>4485.0301897631998</v>
      </c>
      <c r="AG830" s="47">
        <f t="shared" si="711"/>
        <v>4636.8394916263051</v>
      </c>
      <c r="AH830" s="3"/>
      <c r="AI830" s="47">
        <f t="shared" si="706"/>
        <v>0</v>
      </c>
      <c r="AJ830" s="47">
        <f t="shared" si="707"/>
        <v>0</v>
      </c>
      <c r="AK830" s="47">
        <f t="shared" si="708"/>
        <v>63165.243988000009</v>
      </c>
      <c r="AL830" s="47">
        <f t="shared" si="709"/>
        <v>103744.69931376321</v>
      </c>
      <c r="AM830" s="47">
        <f t="shared" si="710"/>
        <v>100567.41115162632</v>
      </c>
    </row>
    <row r="831" spans="1:39" s="227"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6"/>
        <v>0</v>
      </c>
      <c r="R831" s="47">
        <f t="shared" si="697"/>
        <v>0</v>
      </c>
      <c r="S831" s="47">
        <f t="shared" si="698"/>
        <v>1367582.7419999999</v>
      </c>
      <c r="T831" s="47">
        <f t="shared" si="699"/>
        <v>1063675.466</v>
      </c>
      <c r="U831" s="47">
        <f t="shared" si="700"/>
        <v>759768.19000000006</v>
      </c>
      <c r="V831" s="3"/>
      <c r="W831" s="47">
        <f t="shared" si="701"/>
        <v>0</v>
      </c>
      <c r="X831" s="47">
        <f t="shared" si="702"/>
        <v>0</v>
      </c>
      <c r="Y831" s="47">
        <f t="shared" si="703"/>
        <v>203921.78219599999</v>
      </c>
      <c r="Z831" s="47">
        <f t="shared" si="704"/>
        <v>344326.94370799995</v>
      </c>
      <c r="AA831" s="47">
        <f t="shared" si="705"/>
        <v>332778.46721999993</v>
      </c>
      <c r="AB831" s="3"/>
      <c r="AC831" s="47">
        <f t="shared" si="711"/>
        <v>0</v>
      </c>
      <c r="AD831" s="47">
        <f t="shared" si="711"/>
        <v>0</v>
      </c>
      <c r="AE831" s="47">
        <f t="shared" si="711"/>
        <v>15195.363799999999</v>
      </c>
      <c r="AF831" s="47">
        <f t="shared" si="711"/>
        <v>15558.350650454402</v>
      </c>
      <c r="AG831" s="47">
        <f t="shared" si="711"/>
        <v>16084.969703270979</v>
      </c>
      <c r="AH831" s="3"/>
      <c r="AI831" s="47">
        <f t="shared" si="706"/>
        <v>0</v>
      </c>
      <c r="AJ831" s="47">
        <f t="shared" si="707"/>
        <v>0</v>
      </c>
      <c r="AK831" s="47">
        <f t="shared" si="708"/>
        <v>219117.14599599998</v>
      </c>
      <c r="AL831" s="47">
        <f t="shared" si="709"/>
        <v>359885.29435845435</v>
      </c>
      <c r="AM831" s="47">
        <f t="shared" si="710"/>
        <v>348863.43692327093</v>
      </c>
    </row>
    <row r="832" spans="1:39" s="227"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6"/>
        <v>0</v>
      </c>
      <c r="R832" s="47">
        <f t="shared" si="697"/>
        <v>0</v>
      </c>
      <c r="S832" s="47">
        <f t="shared" si="698"/>
        <v>4085719.5960000004</v>
      </c>
      <c r="T832" s="47">
        <f t="shared" si="699"/>
        <v>3177781.9080000003</v>
      </c>
      <c r="U832" s="47">
        <f t="shared" si="700"/>
        <v>2269844.2200000002</v>
      </c>
      <c r="V832" s="3"/>
      <c r="W832" s="47">
        <f t="shared" si="701"/>
        <v>0</v>
      </c>
      <c r="X832" s="47">
        <f t="shared" si="702"/>
        <v>0</v>
      </c>
      <c r="Y832" s="47">
        <f t="shared" si="703"/>
        <v>609226.18864800001</v>
      </c>
      <c r="Z832" s="47">
        <f t="shared" si="704"/>
        <v>1028693.4005040001</v>
      </c>
      <c r="AA832" s="47">
        <f t="shared" si="705"/>
        <v>994191.7683600001</v>
      </c>
      <c r="AB832" s="3"/>
      <c r="AC832" s="47">
        <f t="shared" si="711"/>
        <v>0</v>
      </c>
      <c r="AD832" s="47">
        <f t="shared" si="711"/>
        <v>0</v>
      </c>
      <c r="AE832" s="47">
        <f t="shared" si="711"/>
        <v>45396.884400000003</v>
      </c>
      <c r="AF832" s="47">
        <f t="shared" si="711"/>
        <v>46481.325174547208</v>
      </c>
      <c r="AG832" s="47">
        <f t="shared" si="711"/>
        <v>48054.625069055277</v>
      </c>
      <c r="AH832" s="3"/>
      <c r="AI832" s="47">
        <f t="shared" si="706"/>
        <v>0</v>
      </c>
      <c r="AJ832" s="47">
        <f t="shared" si="707"/>
        <v>0</v>
      </c>
      <c r="AK832" s="47">
        <f t="shared" si="708"/>
        <v>654623.07304799999</v>
      </c>
      <c r="AL832" s="47">
        <f t="shared" si="709"/>
        <v>1075174.7256785473</v>
      </c>
      <c r="AM832" s="47">
        <f t="shared" si="710"/>
        <v>1042246.3934290553</v>
      </c>
    </row>
    <row r="833" spans="1:39" s="227"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6"/>
        <v>0</v>
      </c>
      <c r="R833" s="47">
        <f t="shared" si="697"/>
        <v>0</v>
      </c>
      <c r="S833" s="47">
        <f t="shared" si="698"/>
        <v>5915249.6319999993</v>
      </c>
      <c r="T833" s="47">
        <f t="shared" si="699"/>
        <v>5292591.7759999996</v>
      </c>
      <c r="U833" s="47">
        <f t="shared" si="700"/>
        <v>4669933.92</v>
      </c>
      <c r="V833" s="3"/>
      <c r="W833" s="47">
        <f t="shared" si="701"/>
        <v>0</v>
      </c>
      <c r="X833" s="47">
        <f t="shared" si="702"/>
        <v>0</v>
      </c>
      <c r="Y833" s="47">
        <f t="shared" si="703"/>
        <v>536108.414016</v>
      </c>
      <c r="Z833" s="47">
        <f t="shared" si="704"/>
        <v>823776.34348799987</v>
      </c>
      <c r="AA833" s="47">
        <f t="shared" si="705"/>
        <v>800115.3449599999</v>
      </c>
      <c r="AB833" s="3"/>
      <c r="AC833" s="47">
        <f t="shared" ref="AC833:AG842" si="712">IF(AC$801&gt;=$G833,$H833*INDEX($G$40:$M$46,$G833-2019,AC$801-2019)*INDEX($G$49:$M$55,$G833-2019,AC$801-2019)*$F$28,0)</f>
        <v>0</v>
      </c>
      <c r="AD833" s="47">
        <f t="shared" si="712"/>
        <v>0</v>
      </c>
      <c r="AE833" s="47">
        <f t="shared" si="712"/>
        <v>62265.785599999996</v>
      </c>
      <c r="AF833" s="47">
        <f t="shared" si="712"/>
        <v>63753.190686412803</v>
      </c>
      <c r="AG833" s="47">
        <f t="shared" si="712"/>
        <v>65911.108684766499</v>
      </c>
      <c r="AH833" s="3"/>
      <c r="AI833" s="47">
        <f t="shared" si="706"/>
        <v>0</v>
      </c>
      <c r="AJ833" s="47">
        <f t="shared" si="707"/>
        <v>0</v>
      </c>
      <c r="AK833" s="47">
        <f t="shared" si="708"/>
        <v>598374.19961599994</v>
      </c>
      <c r="AL833" s="47">
        <f t="shared" si="709"/>
        <v>887529.53417441272</v>
      </c>
      <c r="AM833" s="47">
        <f t="shared" si="710"/>
        <v>866026.45364476636</v>
      </c>
    </row>
    <row r="834" spans="1:39" s="227"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6"/>
        <v>0</v>
      </c>
      <c r="R834" s="47">
        <f t="shared" si="697"/>
        <v>0</v>
      </c>
      <c r="S834" s="47">
        <f t="shared" si="698"/>
        <v>178.04899999999998</v>
      </c>
      <c r="T834" s="47">
        <f t="shared" si="699"/>
        <v>159.30699999999999</v>
      </c>
      <c r="U834" s="47">
        <f t="shared" si="700"/>
        <v>140.565</v>
      </c>
      <c r="V834" s="3"/>
      <c r="W834" s="47">
        <f t="shared" si="701"/>
        <v>0</v>
      </c>
      <c r="X834" s="47">
        <f t="shared" si="702"/>
        <v>0</v>
      </c>
      <c r="Y834" s="47">
        <f t="shared" si="703"/>
        <v>16.136862000000001</v>
      </c>
      <c r="Z834" s="47">
        <f t="shared" si="704"/>
        <v>24.795665999999997</v>
      </c>
      <c r="AA834" s="47">
        <f t="shared" si="705"/>
        <v>24.083469999999998</v>
      </c>
      <c r="AB834" s="3"/>
      <c r="AC834" s="47">
        <f t="shared" si="712"/>
        <v>0</v>
      </c>
      <c r="AD834" s="47">
        <f t="shared" si="712"/>
        <v>0</v>
      </c>
      <c r="AE834" s="47">
        <f t="shared" si="712"/>
        <v>1.8741999999999999</v>
      </c>
      <c r="AF834" s="47">
        <f t="shared" si="712"/>
        <v>1.9189708896</v>
      </c>
      <c r="AG834" s="47">
        <f t="shared" si="712"/>
        <v>1.9839242162711808</v>
      </c>
      <c r="AH834" s="3"/>
      <c r="AI834" s="47">
        <f t="shared" si="706"/>
        <v>0</v>
      </c>
      <c r="AJ834" s="47">
        <f t="shared" si="707"/>
        <v>0</v>
      </c>
      <c r="AK834" s="47">
        <f t="shared" si="708"/>
        <v>18.011061999999999</v>
      </c>
      <c r="AL834" s="47">
        <f t="shared" si="709"/>
        <v>26.714636889599998</v>
      </c>
      <c r="AM834" s="47">
        <f t="shared" si="710"/>
        <v>26.067394216271179</v>
      </c>
    </row>
    <row r="835" spans="1:39" s="227" customFormat="1">
      <c r="A835" s="3"/>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6"/>
        <v>0</v>
      </c>
      <c r="R835" s="47">
        <f t="shared" si="697"/>
        <v>0</v>
      </c>
      <c r="S835" s="47">
        <f t="shared" si="698"/>
        <v>41345335.186666667</v>
      </c>
      <c r="T835" s="47">
        <f t="shared" si="699"/>
        <v>38493932.759999998</v>
      </c>
      <c r="U835" s="47">
        <f t="shared" si="700"/>
        <v>35642530.333333328</v>
      </c>
      <c r="V835" s="3"/>
      <c r="W835" s="47">
        <f t="shared" si="701"/>
        <v>0</v>
      </c>
      <c r="X835" s="47">
        <f t="shared" si="702"/>
        <v>0</v>
      </c>
      <c r="Y835" s="47">
        <f t="shared" si="703"/>
        <v>2996823.950426667</v>
      </c>
      <c r="Z835" s="47">
        <f t="shared" si="704"/>
        <v>4314171.8715466671</v>
      </c>
      <c r="AA835" s="47">
        <f t="shared" si="705"/>
        <v>4205818.5793333333</v>
      </c>
      <c r="AB835" s="3"/>
      <c r="AC835" s="47">
        <f t="shared" si="712"/>
        <v>0</v>
      </c>
      <c r="AD835" s="47">
        <f t="shared" si="712"/>
        <v>0</v>
      </c>
      <c r="AE835" s="47">
        <f t="shared" si="712"/>
        <v>427710.364</v>
      </c>
      <c r="AF835" s="47">
        <f t="shared" si="712"/>
        <v>437927.50917523209</v>
      </c>
      <c r="AG835" s="47">
        <f t="shared" si="712"/>
        <v>452750.47950579523</v>
      </c>
      <c r="AH835" s="3"/>
      <c r="AI835" s="47">
        <f t="shared" si="706"/>
        <v>0</v>
      </c>
      <c r="AJ835" s="47">
        <f t="shared" si="707"/>
        <v>0</v>
      </c>
      <c r="AK835" s="47">
        <f t="shared" si="708"/>
        <v>3424534.3144266671</v>
      </c>
      <c r="AL835" s="47">
        <f t="shared" si="709"/>
        <v>4752099.3807218987</v>
      </c>
      <c r="AM835" s="47">
        <f t="shared" si="710"/>
        <v>4658569.0588391284</v>
      </c>
    </row>
    <row r="836" spans="1:39" s="227" customFormat="1">
      <c r="A836" s="3"/>
      <c r="B836" s="37" t="str">
        <f>'8. Input IC huur Gasunie'!B292</f>
        <v>Asset 34</v>
      </c>
      <c r="C836" s="3"/>
      <c r="D836" s="3"/>
      <c r="E836" s="3"/>
      <c r="F836" s="37" t="str">
        <f>'8. Input IC huur Gasunie'!F292</f>
        <v>06 Utiliteitsgebouwen</v>
      </c>
      <c r="G836" s="37">
        <f>'8. Input IC huur Gasunie'!G292</f>
        <v>2025</v>
      </c>
      <c r="H836" s="42">
        <f>'8. Input IC huur Gasunie'!H292</f>
        <v>823119.14938283106</v>
      </c>
      <c r="I836" s="37">
        <f>'8. Input IC huur Gasunie'!I292</f>
        <v>30</v>
      </c>
      <c r="J836" s="3"/>
      <c r="K836" s="43">
        <f t="shared" si="695"/>
        <v>0</v>
      </c>
      <c r="L836" s="43">
        <f t="shared" si="695"/>
        <v>0</v>
      </c>
      <c r="M836" s="43">
        <f t="shared" si="695"/>
        <v>0</v>
      </c>
      <c r="N836" s="43">
        <f t="shared" si="695"/>
        <v>13718.652489713852</v>
      </c>
      <c r="O836" s="43">
        <f t="shared" si="695"/>
        <v>27437.304979427703</v>
      </c>
      <c r="P836" s="3"/>
      <c r="Q836" s="47">
        <f t="shared" ref="Q836:Q853" si="713">IF($I836=0,$H836,IF(OR($G836&gt;Q$801,$G836+$I836&lt;=Q$801),0,IF($G836=Q$801,$H836-K836,$H836-K836)))</f>
        <v>0</v>
      </c>
      <c r="R836" s="47">
        <f t="shared" ref="R836:R853" si="714">IF($I836=0,$H836,IF(OR($G836&gt;R$801,$G836+$I836&lt;=R$801),0,IF($G836=R$801,$H836-L836,Q836-L836)))</f>
        <v>0</v>
      </c>
      <c r="S836" s="47">
        <f t="shared" ref="S836:S853" si="715">IF($I836=0,$H836,IF(OR($G836&gt;S$801,$G836+$I836&lt;=S$801),0,IF($G836=S$801,$H836-M836,R836-M836)))</f>
        <v>0</v>
      </c>
      <c r="T836" s="47">
        <f t="shared" ref="T836:T853" si="716">IF($I836=0,$H836,IF(OR($G836&gt;T$801,$G836+$I836&lt;=T$801),0,IF($G836=T$801,$H836-N836,S836-N836)))</f>
        <v>809400.4968931172</v>
      </c>
      <c r="U836" s="47">
        <f t="shared" ref="U836:U853" si="717">IF($I836=0,$H836,IF(OR($G836&gt;U$801,$G836+$I836&lt;=U$801),0,IF($G836=U$801,$H836-O836,T836-O836)))</f>
        <v>781963.19191368949</v>
      </c>
      <c r="V836" s="3"/>
      <c r="W836" s="47">
        <f t="shared" ref="W836:W853" si="718">(K836+Q836*I$16)</f>
        <v>0</v>
      </c>
      <c r="X836" s="47">
        <f t="shared" ref="X836:X853" si="719">(L836+R836*J$16)</f>
        <v>0</v>
      </c>
      <c r="Y836" s="47">
        <f t="shared" ref="Y836:Y853" si="720">(M836+S836*K$16)</f>
        <v>0</v>
      </c>
      <c r="Z836" s="47">
        <f t="shared" ref="Z836:Z853" si="721">(N836+T836*L$16)</f>
        <v>44475.871371652305</v>
      </c>
      <c r="AA836" s="47">
        <f t="shared" ref="AA836:AA853" si="722">(O836+U836*M$16)</f>
        <v>57151.906272147899</v>
      </c>
      <c r="AB836" s="3"/>
      <c r="AC836" s="47">
        <f t="shared" si="712"/>
        <v>0</v>
      </c>
      <c r="AD836" s="47">
        <f t="shared" si="712"/>
        <v>0</v>
      </c>
      <c r="AE836" s="47">
        <f t="shared" si="712"/>
        <v>0</v>
      </c>
      <c r="AF836" s="47">
        <f t="shared" si="712"/>
        <v>8231.1914938283116</v>
      </c>
      <c r="AG836" s="47">
        <f t="shared" si="712"/>
        <v>8509.8008635114129</v>
      </c>
      <c r="AH836" s="3"/>
      <c r="AI836" s="47">
        <f t="shared" ref="AI836:AI853" si="723">W836+AC836</f>
        <v>0</v>
      </c>
      <c r="AJ836" s="47">
        <f t="shared" ref="AJ836:AJ853" si="724">X836+AD836</f>
        <v>0</v>
      </c>
      <c r="AK836" s="47">
        <f t="shared" ref="AK836:AK853" si="725">Y836+AE836</f>
        <v>0</v>
      </c>
      <c r="AL836" s="47">
        <f t="shared" ref="AL836:AL853" si="726">Z836+AF836</f>
        <v>52707.062865480621</v>
      </c>
      <c r="AM836" s="47">
        <f t="shared" ref="AM836:AM853" si="727">AA836+AG836</f>
        <v>65661.707135659308</v>
      </c>
    </row>
    <row r="837" spans="1:39" s="227" customFormat="1">
      <c r="A837" s="3"/>
      <c r="B837" s="37" t="str">
        <f>'8. Input IC huur Gasunie'!B293</f>
        <v>Asset 35</v>
      </c>
      <c r="C837" s="3"/>
      <c r="D837" s="3"/>
      <c r="E837" s="3"/>
      <c r="F837" s="37" t="str">
        <f>'8. Input IC huur Gasunie'!F293</f>
        <v>06 Utiliteitsgebouwen</v>
      </c>
      <c r="G837" s="37">
        <f>'8. Input IC huur Gasunie'!G293</f>
        <v>2025</v>
      </c>
      <c r="H837" s="42">
        <f>'8. Input IC huur Gasunie'!H293</f>
        <v>79840.511408965336</v>
      </c>
      <c r="I837" s="37">
        <f>'8. Input IC huur Gasunie'!I293</f>
        <v>30</v>
      </c>
      <c r="J837" s="3"/>
      <c r="K837" s="43">
        <f t="shared" ref="K837:O854" si="728">IF($I837=0,0,IF($G837&lt;=K$801,VDB(ABS($H837),0,$I837,MAX(0,K$801-$G837-0.5),MIN(K$801-$G837+0.5),1),0))</f>
        <v>0</v>
      </c>
      <c r="L837" s="43">
        <f t="shared" si="728"/>
        <v>0</v>
      </c>
      <c r="M837" s="43">
        <f t="shared" si="728"/>
        <v>0</v>
      </c>
      <c r="N837" s="43">
        <f t="shared" si="728"/>
        <v>1330.6751901494222</v>
      </c>
      <c r="O837" s="43">
        <f t="shared" si="728"/>
        <v>2661.3503802988444</v>
      </c>
      <c r="P837" s="3"/>
      <c r="Q837" s="47">
        <f t="shared" si="713"/>
        <v>0</v>
      </c>
      <c r="R837" s="47">
        <f t="shared" si="714"/>
        <v>0</v>
      </c>
      <c r="S837" s="47">
        <f t="shared" si="715"/>
        <v>0</v>
      </c>
      <c r="T837" s="47">
        <f t="shared" si="716"/>
        <v>78509.836218815908</v>
      </c>
      <c r="U837" s="47">
        <f t="shared" si="717"/>
        <v>75848.485838517066</v>
      </c>
      <c r="V837" s="3"/>
      <c r="W837" s="47">
        <f t="shared" si="718"/>
        <v>0</v>
      </c>
      <c r="X837" s="47">
        <f t="shared" si="719"/>
        <v>0</v>
      </c>
      <c r="Y837" s="47">
        <f t="shared" si="720"/>
        <v>0</v>
      </c>
      <c r="Z837" s="47">
        <f t="shared" si="721"/>
        <v>4314.0489664644265</v>
      </c>
      <c r="AA837" s="47">
        <f t="shared" si="722"/>
        <v>5543.5928421624922</v>
      </c>
      <c r="AB837" s="3"/>
      <c r="AC837" s="47">
        <f t="shared" si="712"/>
        <v>0</v>
      </c>
      <c r="AD837" s="47">
        <f t="shared" si="712"/>
        <v>0</v>
      </c>
      <c r="AE837" s="47">
        <f t="shared" si="712"/>
        <v>0</v>
      </c>
      <c r="AF837" s="47">
        <f t="shared" si="712"/>
        <v>798.40511408965335</v>
      </c>
      <c r="AG837" s="47">
        <f t="shared" si="712"/>
        <v>825.42953039136</v>
      </c>
      <c r="AH837" s="3"/>
      <c r="AI837" s="47">
        <f t="shared" si="723"/>
        <v>0</v>
      </c>
      <c r="AJ837" s="47">
        <f t="shared" si="724"/>
        <v>0</v>
      </c>
      <c r="AK837" s="47">
        <f t="shared" si="725"/>
        <v>0</v>
      </c>
      <c r="AL837" s="47">
        <f t="shared" si="726"/>
        <v>5112.4540805540801</v>
      </c>
      <c r="AM837" s="47">
        <f t="shared" si="727"/>
        <v>6369.0223725538526</v>
      </c>
    </row>
    <row r="838" spans="1:39" s="227" customFormat="1">
      <c r="A838" s="3"/>
      <c r="B838" s="37" t="str">
        <f>'8. Input IC huur Gasunie'!B294</f>
        <v>Asset 36</v>
      </c>
      <c r="C838" s="3"/>
      <c r="D838" s="3"/>
      <c r="E838" s="3"/>
      <c r="F838" s="37" t="str">
        <f>'8. Input IC huur Gasunie'!F294</f>
        <v>06 Utiliteitsgebouwen</v>
      </c>
      <c r="G838" s="37">
        <f>'8. Input IC huur Gasunie'!G294</f>
        <v>2025</v>
      </c>
      <c r="H838" s="42">
        <f>'8. Input IC huur Gasunie'!H294</f>
        <v>29516.404582978834</v>
      </c>
      <c r="I838" s="37">
        <f>'8. Input IC huur Gasunie'!I294</f>
        <v>30</v>
      </c>
      <c r="J838" s="3"/>
      <c r="K838" s="43">
        <f t="shared" si="728"/>
        <v>0</v>
      </c>
      <c r="L838" s="43">
        <f t="shared" si="728"/>
        <v>0</v>
      </c>
      <c r="M838" s="43">
        <f t="shared" si="728"/>
        <v>0</v>
      </c>
      <c r="N838" s="43">
        <f t="shared" si="728"/>
        <v>491.94007638298058</v>
      </c>
      <c r="O838" s="43">
        <f t="shared" si="728"/>
        <v>983.88015276596116</v>
      </c>
      <c r="P838" s="3"/>
      <c r="Q838" s="47">
        <f t="shared" si="713"/>
        <v>0</v>
      </c>
      <c r="R838" s="47">
        <f t="shared" si="714"/>
        <v>0</v>
      </c>
      <c r="S838" s="47">
        <f t="shared" si="715"/>
        <v>0</v>
      </c>
      <c r="T838" s="47">
        <f t="shared" si="716"/>
        <v>29024.464506595854</v>
      </c>
      <c r="U838" s="47">
        <f t="shared" si="717"/>
        <v>28040.584353829894</v>
      </c>
      <c r="V838" s="3"/>
      <c r="W838" s="47">
        <f t="shared" si="718"/>
        <v>0</v>
      </c>
      <c r="X838" s="47">
        <f t="shared" si="719"/>
        <v>0</v>
      </c>
      <c r="Y838" s="47">
        <f t="shared" si="720"/>
        <v>0</v>
      </c>
      <c r="Z838" s="47">
        <f t="shared" si="721"/>
        <v>1594.8697276336229</v>
      </c>
      <c r="AA838" s="47">
        <f t="shared" si="722"/>
        <v>2049.4223582114973</v>
      </c>
      <c r="AB838" s="3"/>
      <c r="AC838" s="47">
        <f t="shared" si="712"/>
        <v>0</v>
      </c>
      <c r="AD838" s="47">
        <f t="shared" si="712"/>
        <v>0</v>
      </c>
      <c r="AE838" s="47">
        <f t="shared" si="712"/>
        <v>0</v>
      </c>
      <c r="AF838" s="47">
        <f t="shared" si="712"/>
        <v>295.16404582978834</v>
      </c>
      <c r="AG838" s="47">
        <f t="shared" si="712"/>
        <v>305.15475845303502</v>
      </c>
      <c r="AH838" s="3"/>
      <c r="AI838" s="47">
        <f t="shared" si="723"/>
        <v>0</v>
      </c>
      <c r="AJ838" s="47">
        <f t="shared" si="724"/>
        <v>0</v>
      </c>
      <c r="AK838" s="47">
        <f t="shared" si="725"/>
        <v>0</v>
      </c>
      <c r="AL838" s="47">
        <f t="shared" si="726"/>
        <v>1890.0337734634113</v>
      </c>
      <c r="AM838" s="47">
        <f t="shared" si="727"/>
        <v>2354.5771166645322</v>
      </c>
    </row>
    <row r="839" spans="1:39" s="227" customFormat="1">
      <c r="A839" s="3"/>
      <c r="B839" s="37" t="str">
        <f>'8. Input IC huur Gasunie'!B295</f>
        <v>Asset 37</v>
      </c>
      <c r="C839" s="3"/>
      <c r="D839" s="3"/>
      <c r="E839" s="3"/>
      <c r="F839" s="37" t="str">
        <f>'8. Input IC huur Gasunie'!F295</f>
        <v>06 Utiliteitsgebouwen</v>
      </c>
      <c r="G839" s="37">
        <f>'8. Input IC huur Gasunie'!G295</f>
        <v>2025</v>
      </c>
      <c r="H839" s="42">
        <f>'8. Input IC huur Gasunie'!H295</f>
        <v>142001.2741841212</v>
      </c>
      <c r="I839" s="37">
        <f>'8. Input IC huur Gasunie'!I295</f>
        <v>30</v>
      </c>
      <c r="J839" s="3"/>
      <c r="K839" s="43">
        <f t="shared" si="728"/>
        <v>0</v>
      </c>
      <c r="L839" s="43">
        <f t="shared" si="728"/>
        <v>0</v>
      </c>
      <c r="M839" s="43">
        <f t="shared" si="728"/>
        <v>0</v>
      </c>
      <c r="N839" s="43">
        <f t="shared" si="728"/>
        <v>2366.6879030686864</v>
      </c>
      <c r="O839" s="43">
        <f t="shared" si="728"/>
        <v>4733.3758061373728</v>
      </c>
      <c r="P839" s="3"/>
      <c r="Q839" s="47">
        <f t="shared" si="713"/>
        <v>0</v>
      </c>
      <c r="R839" s="47">
        <f t="shared" si="714"/>
        <v>0</v>
      </c>
      <c r="S839" s="47">
        <f t="shared" si="715"/>
        <v>0</v>
      </c>
      <c r="T839" s="47">
        <f t="shared" si="716"/>
        <v>139634.5862810525</v>
      </c>
      <c r="U839" s="47">
        <f t="shared" si="717"/>
        <v>134901.21047491513</v>
      </c>
      <c r="V839" s="3"/>
      <c r="W839" s="47">
        <f t="shared" si="718"/>
        <v>0</v>
      </c>
      <c r="X839" s="47">
        <f t="shared" si="719"/>
        <v>0</v>
      </c>
      <c r="Y839" s="47">
        <f t="shared" si="720"/>
        <v>0</v>
      </c>
      <c r="Z839" s="47">
        <f t="shared" si="721"/>
        <v>7672.8021817486806</v>
      </c>
      <c r="AA839" s="47">
        <f t="shared" si="722"/>
        <v>9859.6218041841475</v>
      </c>
      <c r="AB839" s="3"/>
      <c r="AC839" s="47">
        <f t="shared" si="712"/>
        <v>0</v>
      </c>
      <c r="AD839" s="47">
        <f t="shared" si="712"/>
        <v>0</v>
      </c>
      <c r="AE839" s="47">
        <f t="shared" si="712"/>
        <v>0</v>
      </c>
      <c r="AF839" s="47">
        <f t="shared" si="712"/>
        <v>1420.0127418412119</v>
      </c>
      <c r="AG839" s="47">
        <f t="shared" si="712"/>
        <v>1468.0773331270536</v>
      </c>
      <c r="AH839" s="3"/>
      <c r="AI839" s="47">
        <f t="shared" si="723"/>
        <v>0</v>
      </c>
      <c r="AJ839" s="47">
        <f t="shared" si="724"/>
        <v>0</v>
      </c>
      <c r="AK839" s="47">
        <f t="shared" si="725"/>
        <v>0</v>
      </c>
      <c r="AL839" s="47">
        <f t="shared" si="726"/>
        <v>9092.8149235898927</v>
      </c>
      <c r="AM839" s="47">
        <f t="shared" si="727"/>
        <v>11327.699137311201</v>
      </c>
    </row>
    <row r="840" spans="1:39" s="227" customFormat="1">
      <c r="A840" s="3"/>
      <c r="B840" s="37" t="str">
        <f>'8. Input IC huur Gasunie'!B296</f>
        <v>Asset 38</v>
      </c>
      <c r="C840" s="3"/>
      <c r="D840" s="3"/>
      <c r="E840" s="3"/>
      <c r="F840" s="37" t="str">
        <f>'8. Input IC huur Gasunie'!F296</f>
        <v>06 Utiliteitsgebouwen</v>
      </c>
      <c r="G840" s="37">
        <f>'8. Input IC huur Gasunie'!G296</f>
        <v>2025</v>
      </c>
      <c r="H840" s="42">
        <f>'8. Input IC huur Gasunie'!H296</f>
        <v>284374.62756886677</v>
      </c>
      <c r="I840" s="37">
        <f>'8. Input IC huur Gasunie'!I296</f>
        <v>30</v>
      </c>
      <c r="J840" s="3"/>
      <c r="K840" s="43">
        <f t="shared" si="728"/>
        <v>0</v>
      </c>
      <c r="L840" s="43">
        <f t="shared" si="728"/>
        <v>0</v>
      </c>
      <c r="M840" s="43">
        <f t="shared" si="728"/>
        <v>0</v>
      </c>
      <c r="N840" s="43">
        <f t="shared" si="728"/>
        <v>4739.5771261477794</v>
      </c>
      <c r="O840" s="43">
        <f t="shared" si="728"/>
        <v>9479.1542522955588</v>
      </c>
      <c r="P840" s="3"/>
      <c r="Q840" s="47">
        <f t="shared" si="713"/>
        <v>0</v>
      </c>
      <c r="R840" s="47">
        <f t="shared" si="714"/>
        <v>0</v>
      </c>
      <c r="S840" s="47">
        <f t="shared" si="715"/>
        <v>0</v>
      </c>
      <c r="T840" s="47">
        <f t="shared" si="716"/>
        <v>279635.05044271896</v>
      </c>
      <c r="U840" s="47">
        <f t="shared" si="717"/>
        <v>270155.8961904234</v>
      </c>
      <c r="V840" s="3"/>
      <c r="W840" s="47">
        <f t="shared" si="718"/>
        <v>0</v>
      </c>
      <c r="X840" s="47">
        <f t="shared" si="719"/>
        <v>0</v>
      </c>
      <c r="Y840" s="47">
        <f t="shared" si="720"/>
        <v>0</v>
      </c>
      <c r="Z840" s="47">
        <f t="shared" si="721"/>
        <v>15365.709042971099</v>
      </c>
      <c r="AA840" s="47">
        <f t="shared" si="722"/>
        <v>19745.07830753165</v>
      </c>
      <c r="AB840" s="3"/>
      <c r="AC840" s="47">
        <f t="shared" si="712"/>
        <v>0</v>
      </c>
      <c r="AD840" s="47">
        <f t="shared" si="712"/>
        <v>0</v>
      </c>
      <c r="AE840" s="47">
        <f t="shared" si="712"/>
        <v>0</v>
      </c>
      <c r="AF840" s="47">
        <f t="shared" si="712"/>
        <v>2843.7462756886675</v>
      </c>
      <c r="AG840" s="47">
        <f t="shared" si="712"/>
        <v>2940.0013996281782</v>
      </c>
      <c r="AH840" s="3"/>
      <c r="AI840" s="47">
        <f t="shared" si="723"/>
        <v>0</v>
      </c>
      <c r="AJ840" s="47">
        <f t="shared" si="724"/>
        <v>0</v>
      </c>
      <c r="AK840" s="47">
        <f t="shared" si="725"/>
        <v>0</v>
      </c>
      <c r="AL840" s="47">
        <f t="shared" si="726"/>
        <v>18209.455318659766</v>
      </c>
      <c r="AM840" s="47">
        <f t="shared" si="727"/>
        <v>22685.079707159828</v>
      </c>
    </row>
    <row r="841" spans="1:39" s="227" customFormat="1">
      <c r="A841" s="3"/>
      <c r="B841" s="37" t="str">
        <f>'8. Input IC huur Gasunie'!B297</f>
        <v>Asset 39</v>
      </c>
      <c r="C841" s="3"/>
      <c r="D841" s="3"/>
      <c r="E841" s="3"/>
      <c r="F841" s="37" t="str">
        <f>'8. Input IC huur Gasunie'!F297</f>
        <v>06 Utiliteitsgebouwen</v>
      </c>
      <c r="G841" s="37">
        <f>'8. Input IC huur Gasunie'!G297</f>
        <v>2025</v>
      </c>
      <c r="H841" s="42">
        <f>'8. Input IC huur Gasunie'!H297</f>
        <v>39033.41174066325</v>
      </c>
      <c r="I841" s="37">
        <f>'8. Input IC huur Gasunie'!I297</f>
        <v>30</v>
      </c>
      <c r="J841" s="3"/>
      <c r="K841" s="43">
        <f t="shared" si="728"/>
        <v>0</v>
      </c>
      <c r="L841" s="43">
        <f t="shared" si="728"/>
        <v>0</v>
      </c>
      <c r="M841" s="43">
        <f t="shared" si="728"/>
        <v>0</v>
      </c>
      <c r="N841" s="43">
        <f t="shared" si="728"/>
        <v>650.55686234438747</v>
      </c>
      <c r="O841" s="43">
        <f t="shared" si="728"/>
        <v>1301.1137246887749</v>
      </c>
      <c r="P841" s="3"/>
      <c r="Q841" s="47">
        <f t="shared" si="713"/>
        <v>0</v>
      </c>
      <c r="R841" s="47">
        <f t="shared" si="714"/>
        <v>0</v>
      </c>
      <c r="S841" s="47">
        <f t="shared" si="715"/>
        <v>0</v>
      </c>
      <c r="T841" s="47">
        <f t="shared" si="716"/>
        <v>38382.85487831886</v>
      </c>
      <c r="U841" s="47">
        <f t="shared" si="717"/>
        <v>37081.741153630086</v>
      </c>
      <c r="V841" s="3"/>
      <c r="W841" s="47">
        <f t="shared" si="718"/>
        <v>0</v>
      </c>
      <c r="X841" s="47">
        <f t="shared" si="719"/>
        <v>0</v>
      </c>
      <c r="Y841" s="47">
        <f t="shared" si="720"/>
        <v>0</v>
      </c>
      <c r="Z841" s="47">
        <f t="shared" si="721"/>
        <v>2109.1053477205041</v>
      </c>
      <c r="AA841" s="47">
        <f t="shared" si="722"/>
        <v>2710.219888526718</v>
      </c>
      <c r="AB841" s="3"/>
      <c r="AC841" s="47">
        <f t="shared" si="712"/>
        <v>0</v>
      </c>
      <c r="AD841" s="47">
        <f t="shared" si="712"/>
        <v>0</v>
      </c>
      <c r="AE841" s="47">
        <f t="shared" si="712"/>
        <v>0</v>
      </c>
      <c r="AF841" s="47">
        <f t="shared" si="712"/>
        <v>390.33411740663252</v>
      </c>
      <c r="AG841" s="47">
        <f t="shared" si="712"/>
        <v>403.54614661261223</v>
      </c>
      <c r="AH841" s="3"/>
      <c r="AI841" s="47">
        <f t="shared" si="723"/>
        <v>0</v>
      </c>
      <c r="AJ841" s="47">
        <f t="shared" si="724"/>
        <v>0</v>
      </c>
      <c r="AK841" s="47">
        <f t="shared" si="725"/>
        <v>0</v>
      </c>
      <c r="AL841" s="47">
        <f t="shared" si="726"/>
        <v>2499.4394651271368</v>
      </c>
      <c r="AM841" s="47">
        <f t="shared" si="727"/>
        <v>3113.7660351393301</v>
      </c>
    </row>
    <row r="842" spans="1:39" s="227" customFormat="1">
      <c r="A842" s="3"/>
      <c r="B842" s="37" t="str">
        <f>'8. Input IC huur Gasunie'!B298</f>
        <v>Asset 40</v>
      </c>
      <c r="C842" s="3"/>
      <c r="D842" s="3"/>
      <c r="E842" s="3"/>
      <c r="F842" s="37" t="str">
        <f>'8. Input IC huur Gasunie'!F298</f>
        <v>05 Wegen en terreinvoorzieningen</v>
      </c>
      <c r="G842" s="37">
        <f>'8. Input IC huur Gasunie'!G298</f>
        <v>2025</v>
      </c>
      <c r="H842" s="42">
        <f>'8. Input IC huur Gasunie'!H298</f>
        <v>276192.35192739591</v>
      </c>
      <c r="I842" s="37">
        <f>'8. Input IC huur Gasunie'!I298</f>
        <v>10</v>
      </c>
      <c r="J842" s="3"/>
      <c r="K842" s="43">
        <f t="shared" si="728"/>
        <v>0</v>
      </c>
      <c r="L842" s="43">
        <f t="shared" si="728"/>
        <v>0</v>
      </c>
      <c r="M842" s="43">
        <f t="shared" si="728"/>
        <v>0</v>
      </c>
      <c r="N842" s="43">
        <f t="shared" si="728"/>
        <v>13809.617596369797</v>
      </c>
      <c r="O842" s="43">
        <f t="shared" si="728"/>
        <v>27619.23519273959</v>
      </c>
      <c r="P842" s="3"/>
      <c r="Q842" s="47">
        <f t="shared" si="713"/>
        <v>0</v>
      </c>
      <c r="R842" s="47">
        <f t="shared" si="714"/>
        <v>0</v>
      </c>
      <c r="S842" s="47">
        <f t="shared" si="715"/>
        <v>0</v>
      </c>
      <c r="T842" s="47">
        <f t="shared" si="716"/>
        <v>262382.73433102609</v>
      </c>
      <c r="U842" s="47">
        <f t="shared" si="717"/>
        <v>234763.49913828651</v>
      </c>
      <c r="V842" s="3"/>
      <c r="W842" s="47">
        <f t="shared" si="718"/>
        <v>0</v>
      </c>
      <c r="X842" s="47">
        <f t="shared" si="719"/>
        <v>0</v>
      </c>
      <c r="Y842" s="47">
        <f t="shared" si="720"/>
        <v>0</v>
      </c>
      <c r="Z842" s="47">
        <f t="shared" si="721"/>
        <v>23780.161500948787</v>
      </c>
      <c r="AA842" s="47">
        <f t="shared" si="722"/>
        <v>36540.248159994473</v>
      </c>
      <c r="AB842" s="3"/>
      <c r="AC842" s="47">
        <f t="shared" si="712"/>
        <v>0</v>
      </c>
      <c r="AD842" s="47">
        <f t="shared" si="712"/>
        <v>0</v>
      </c>
      <c r="AE842" s="47">
        <f t="shared" si="712"/>
        <v>0</v>
      </c>
      <c r="AF842" s="47">
        <f t="shared" si="712"/>
        <v>2761.9235192739593</v>
      </c>
      <c r="AG842" s="47">
        <f t="shared" si="712"/>
        <v>2855.4091065543444</v>
      </c>
      <c r="AH842" s="3"/>
      <c r="AI842" s="47">
        <f t="shared" si="723"/>
        <v>0</v>
      </c>
      <c r="AJ842" s="47">
        <f t="shared" si="724"/>
        <v>0</v>
      </c>
      <c r="AK842" s="47">
        <f t="shared" si="725"/>
        <v>0</v>
      </c>
      <c r="AL842" s="47">
        <f t="shared" si="726"/>
        <v>26542.085020222745</v>
      </c>
      <c r="AM842" s="47">
        <f t="shared" si="727"/>
        <v>39395.65726654882</v>
      </c>
    </row>
    <row r="843" spans="1:39" s="227" customFormat="1">
      <c r="A843" s="3"/>
      <c r="B843" s="37" t="str">
        <f>'8. Input IC huur Gasunie'!B299</f>
        <v>Asset 41</v>
      </c>
      <c r="C843" s="3"/>
      <c r="D843" s="3"/>
      <c r="E843" s="3"/>
      <c r="F843" s="37" t="str">
        <f>'8. Input IC huur Gasunie'!F299</f>
        <v>05 Wegen en terreinvoorzieningen</v>
      </c>
      <c r="G843" s="37">
        <f>'8. Input IC huur Gasunie'!G299</f>
        <v>2025</v>
      </c>
      <c r="H843" s="42">
        <f>'8. Input IC huur Gasunie'!H299</f>
        <v>84632.380796501107</v>
      </c>
      <c r="I843" s="37">
        <f>'8. Input IC huur Gasunie'!I299</f>
        <v>10</v>
      </c>
      <c r="J843" s="3"/>
      <c r="K843" s="43">
        <f t="shared" si="728"/>
        <v>0</v>
      </c>
      <c r="L843" s="43">
        <f t="shared" si="728"/>
        <v>0</v>
      </c>
      <c r="M843" s="43">
        <f t="shared" si="728"/>
        <v>0</v>
      </c>
      <c r="N843" s="43">
        <f t="shared" si="728"/>
        <v>4231.6190398250556</v>
      </c>
      <c r="O843" s="43">
        <f t="shared" si="728"/>
        <v>8463.2380796501093</v>
      </c>
      <c r="P843" s="3"/>
      <c r="Q843" s="47">
        <f t="shared" si="713"/>
        <v>0</v>
      </c>
      <c r="R843" s="47">
        <f t="shared" si="714"/>
        <v>0</v>
      </c>
      <c r="S843" s="47">
        <f t="shared" si="715"/>
        <v>0</v>
      </c>
      <c r="T843" s="47">
        <f t="shared" si="716"/>
        <v>80400.761756676045</v>
      </c>
      <c r="U843" s="47">
        <f t="shared" si="717"/>
        <v>71937.523677025936</v>
      </c>
      <c r="V843" s="3"/>
      <c r="W843" s="47">
        <f t="shared" si="718"/>
        <v>0</v>
      </c>
      <c r="X843" s="47">
        <f t="shared" si="719"/>
        <v>0</v>
      </c>
      <c r="Y843" s="47">
        <f t="shared" si="720"/>
        <v>0</v>
      </c>
      <c r="Z843" s="47">
        <f t="shared" si="721"/>
        <v>7286.8479865787449</v>
      </c>
      <c r="AA843" s="47">
        <f t="shared" si="722"/>
        <v>11196.863979377094</v>
      </c>
      <c r="AB843" s="3"/>
      <c r="AC843" s="47">
        <f t="shared" ref="AC843:AG858" si="729">IF(AC$801&gt;=$G843,$H843*INDEX($G$40:$M$46,$G843-2019,AC$801-2019)*INDEX($G$49:$M$55,$G843-2019,AC$801-2019)*$F$28,0)</f>
        <v>0</v>
      </c>
      <c r="AD843" s="47">
        <f t="shared" si="729"/>
        <v>0</v>
      </c>
      <c r="AE843" s="47">
        <f t="shared" si="729"/>
        <v>0</v>
      </c>
      <c r="AF843" s="47">
        <f t="shared" si="729"/>
        <v>846.32380796501104</v>
      </c>
      <c r="AG843" s="47">
        <f t="shared" si="729"/>
        <v>874.9701762170107</v>
      </c>
      <c r="AH843" s="3"/>
      <c r="AI843" s="47">
        <f t="shared" si="723"/>
        <v>0</v>
      </c>
      <c r="AJ843" s="47">
        <f t="shared" si="724"/>
        <v>0</v>
      </c>
      <c r="AK843" s="47">
        <f t="shared" si="725"/>
        <v>0</v>
      </c>
      <c r="AL843" s="47">
        <f t="shared" si="726"/>
        <v>8133.1717945437558</v>
      </c>
      <c r="AM843" s="47">
        <f t="shared" si="727"/>
        <v>12071.834155594104</v>
      </c>
    </row>
    <row r="844" spans="1:39" s="227" customFormat="1">
      <c r="A844" s="3"/>
      <c r="B844" s="37" t="str">
        <f>'8. Input IC huur Gasunie'!B300</f>
        <v>Asset 42</v>
      </c>
      <c r="C844" s="3"/>
      <c r="D844" s="3"/>
      <c r="E844" s="3"/>
      <c r="F844" s="37" t="str">
        <f>'8. Input IC huur Gasunie'!F300</f>
        <v>08 Inrichting gebouwen</v>
      </c>
      <c r="G844" s="37">
        <f>'8. Input IC huur Gasunie'!G300</f>
        <v>2025</v>
      </c>
      <c r="H844" s="42">
        <f>'8. Input IC huur Gasunie'!H300</f>
        <v>121066.85850569428</v>
      </c>
      <c r="I844" s="37">
        <f>'8. Input IC huur Gasunie'!I300</f>
        <v>10</v>
      </c>
      <c r="J844" s="3"/>
      <c r="K844" s="43">
        <f t="shared" si="728"/>
        <v>0</v>
      </c>
      <c r="L844" s="43">
        <f t="shared" si="728"/>
        <v>0</v>
      </c>
      <c r="M844" s="43">
        <f t="shared" si="728"/>
        <v>0</v>
      </c>
      <c r="N844" s="43">
        <f t="shared" si="728"/>
        <v>6053.3429252847145</v>
      </c>
      <c r="O844" s="43">
        <f t="shared" si="728"/>
        <v>12106.685850569429</v>
      </c>
      <c r="P844" s="3"/>
      <c r="Q844" s="47">
        <f t="shared" si="713"/>
        <v>0</v>
      </c>
      <c r="R844" s="47">
        <f t="shared" si="714"/>
        <v>0</v>
      </c>
      <c r="S844" s="47">
        <f t="shared" si="715"/>
        <v>0</v>
      </c>
      <c r="T844" s="47">
        <f t="shared" si="716"/>
        <v>115013.51558040957</v>
      </c>
      <c r="U844" s="47">
        <f t="shared" si="717"/>
        <v>102906.82972984014</v>
      </c>
      <c r="V844" s="3"/>
      <c r="W844" s="47">
        <f t="shared" si="718"/>
        <v>0</v>
      </c>
      <c r="X844" s="47">
        <f t="shared" si="719"/>
        <v>0</v>
      </c>
      <c r="Y844" s="47">
        <f t="shared" si="720"/>
        <v>0</v>
      </c>
      <c r="Z844" s="47">
        <f t="shared" si="721"/>
        <v>10423.856517340279</v>
      </c>
      <c r="AA844" s="47">
        <f t="shared" si="722"/>
        <v>16017.145380303355</v>
      </c>
      <c r="AB844" s="3"/>
      <c r="AC844" s="47">
        <f t="shared" si="729"/>
        <v>0</v>
      </c>
      <c r="AD844" s="47">
        <f t="shared" si="729"/>
        <v>0</v>
      </c>
      <c r="AE844" s="47">
        <f t="shared" si="729"/>
        <v>0</v>
      </c>
      <c r="AF844" s="47">
        <f t="shared" si="729"/>
        <v>1210.6685850569429</v>
      </c>
      <c r="AG844" s="47">
        <f t="shared" si="729"/>
        <v>1251.6472953239502</v>
      </c>
      <c r="AH844" s="3"/>
      <c r="AI844" s="47">
        <f t="shared" si="723"/>
        <v>0</v>
      </c>
      <c r="AJ844" s="47">
        <f t="shared" si="724"/>
        <v>0</v>
      </c>
      <c r="AK844" s="47">
        <f t="shared" si="725"/>
        <v>0</v>
      </c>
      <c r="AL844" s="47">
        <f t="shared" si="726"/>
        <v>11634.525102397221</v>
      </c>
      <c r="AM844" s="47">
        <f t="shared" si="727"/>
        <v>17268.792675627305</v>
      </c>
    </row>
    <row r="845" spans="1:39" s="227" customFormat="1">
      <c r="A845" s="3"/>
      <c r="B845" s="37" t="str">
        <f>'8. Input IC huur Gasunie'!B301</f>
        <v>Asset 43</v>
      </c>
      <c r="C845" s="3"/>
      <c r="D845" s="3"/>
      <c r="E845" s="3"/>
      <c r="F845" s="37" t="str">
        <f>'8. Input IC huur Gasunie'!F301</f>
        <v>08 Inrichting gebouwen</v>
      </c>
      <c r="G845" s="37">
        <f>'8. Input IC huur Gasunie'!G301</f>
        <v>2025</v>
      </c>
      <c r="H845" s="42">
        <f>'8. Input IC huur Gasunie'!H301</f>
        <v>447550.44191847811</v>
      </c>
      <c r="I845" s="37">
        <f>'8. Input IC huur Gasunie'!I301</f>
        <v>10</v>
      </c>
      <c r="J845" s="3"/>
      <c r="K845" s="43">
        <f t="shared" si="728"/>
        <v>0</v>
      </c>
      <c r="L845" s="43">
        <f t="shared" si="728"/>
        <v>0</v>
      </c>
      <c r="M845" s="43">
        <f t="shared" si="728"/>
        <v>0</v>
      </c>
      <c r="N845" s="43">
        <f t="shared" si="728"/>
        <v>22377.522095923909</v>
      </c>
      <c r="O845" s="43">
        <f t="shared" si="728"/>
        <v>44755.04419184781</v>
      </c>
      <c r="P845" s="3"/>
      <c r="Q845" s="47">
        <f t="shared" si="713"/>
        <v>0</v>
      </c>
      <c r="R845" s="47">
        <f t="shared" si="714"/>
        <v>0</v>
      </c>
      <c r="S845" s="47">
        <f t="shared" si="715"/>
        <v>0</v>
      </c>
      <c r="T845" s="47">
        <f t="shared" si="716"/>
        <v>425172.91982255422</v>
      </c>
      <c r="U845" s="47">
        <f t="shared" si="717"/>
        <v>380417.87563070643</v>
      </c>
      <c r="V845" s="3"/>
      <c r="W845" s="47">
        <f t="shared" si="718"/>
        <v>0</v>
      </c>
      <c r="X845" s="47">
        <f t="shared" si="719"/>
        <v>0</v>
      </c>
      <c r="Y845" s="47">
        <f t="shared" si="720"/>
        <v>0</v>
      </c>
      <c r="Z845" s="47">
        <f t="shared" si="721"/>
        <v>38534.09304918097</v>
      </c>
      <c r="AA845" s="47">
        <f t="shared" si="722"/>
        <v>59210.923465814652</v>
      </c>
      <c r="AB845" s="3"/>
      <c r="AC845" s="47">
        <f t="shared" si="729"/>
        <v>0</v>
      </c>
      <c r="AD845" s="47">
        <f t="shared" si="729"/>
        <v>0</v>
      </c>
      <c r="AE845" s="47">
        <f t="shared" si="729"/>
        <v>0</v>
      </c>
      <c r="AF845" s="47">
        <f t="shared" si="729"/>
        <v>4475.504419184781</v>
      </c>
      <c r="AG845" s="47">
        <f t="shared" si="729"/>
        <v>4626.9912927653477</v>
      </c>
      <c r="AH845" s="3"/>
      <c r="AI845" s="47">
        <f t="shared" si="723"/>
        <v>0</v>
      </c>
      <c r="AJ845" s="47">
        <f t="shared" si="724"/>
        <v>0</v>
      </c>
      <c r="AK845" s="47">
        <f t="shared" si="725"/>
        <v>0</v>
      </c>
      <c r="AL845" s="47">
        <f t="shared" si="726"/>
        <v>43009.597468365755</v>
      </c>
      <c r="AM845" s="47">
        <f t="shared" si="727"/>
        <v>63837.914758580002</v>
      </c>
    </row>
    <row r="846" spans="1:39" s="227" customFormat="1">
      <c r="A846" s="3"/>
      <c r="B846" s="37" t="str">
        <f>'8. Input IC huur Gasunie'!B302</f>
        <v>Asset 44</v>
      </c>
      <c r="C846" s="3"/>
      <c r="D846" s="3"/>
      <c r="E846" s="3"/>
      <c r="F846" s="37" t="str">
        <f>'8. Input IC huur Gasunie'!F302</f>
        <v>10 Gereedschap</v>
      </c>
      <c r="G846" s="37">
        <f>'8. Input IC huur Gasunie'!G302</f>
        <v>2025</v>
      </c>
      <c r="H846" s="42">
        <f>'8. Input IC huur Gasunie'!H302</f>
        <v>277600.2937007302</v>
      </c>
      <c r="I846" s="37">
        <f>'8. Input IC huur Gasunie'!I302</f>
        <v>10</v>
      </c>
      <c r="J846" s="3"/>
      <c r="K846" s="43">
        <f t="shared" si="728"/>
        <v>0</v>
      </c>
      <c r="L846" s="43">
        <f t="shared" si="728"/>
        <v>0</v>
      </c>
      <c r="M846" s="43">
        <f t="shared" si="728"/>
        <v>0</v>
      </c>
      <c r="N846" s="43">
        <f t="shared" si="728"/>
        <v>13880.014685036511</v>
      </c>
      <c r="O846" s="43">
        <f t="shared" si="728"/>
        <v>27760.029370073022</v>
      </c>
      <c r="P846" s="3"/>
      <c r="Q846" s="47">
        <f t="shared" si="713"/>
        <v>0</v>
      </c>
      <c r="R846" s="47">
        <f t="shared" si="714"/>
        <v>0</v>
      </c>
      <c r="S846" s="47">
        <f t="shared" si="715"/>
        <v>0</v>
      </c>
      <c r="T846" s="47">
        <f t="shared" si="716"/>
        <v>263720.2790156937</v>
      </c>
      <c r="U846" s="47">
        <f t="shared" si="717"/>
        <v>235960.24964562067</v>
      </c>
      <c r="V846" s="3"/>
      <c r="W846" s="47">
        <f t="shared" si="718"/>
        <v>0</v>
      </c>
      <c r="X846" s="47">
        <f t="shared" si="719"/>
        <v>0</v>
      </c>
      <c r="Y846" s="47">
        <f t="shared" si="720"/>
        <v>0</v>
      </c>
      <c r="Z846" s="47">
        <f t="shared" si="721"/>
        <v>23901.385287632871</v>
      </c>
      <c r="AA846" s="47">
        <f t="shared" si="722"/>
        <v>36726.518856606606</v>
      </c>
      <c r="AB846" s="3"/>
      <c r="AC846" s="47">
        <f t="shared" si="729"/>
        <v>0</v>
      </c>
      <c r="AD846" s="47">
        <f t="shared" si="729"/>
        <v>0</v>
      </c>
      <c r="AE846" s="47">
        <f t="shared" si="729"/>
        <v>0</v>
      </c>
      <c r="AF846" s="47">
        <f t="shared" si="729"/>
        <v>2776.0029370073021</v>
      </c>
      <c r="AG846" s="47">
        <f t="shared" si="729"/>
        <v>2869.9650844191256</v>
      </c>
      <c r="AH846" s="3"/>
      <c r="AI846" s="47">
        <f t="shared" si="723"/>
        <v>0</v>
      </c>
      <c r="AJ846" s="47">
        <f t="shared" si="724"/>
        <v>0</v>
      </c>
      <c r="AK846" s="47">
        <f t="shared" si="725"/>
        <v>0</v>
      </c>
      <c r="AL846" s="47">
        <f t="shared" si="726"/>
        <v>26677.388224640174</v>
      </c>
      <c r="AM846" s="47">
        <f t="shared" si="727"/>
        <v>39596.483941025734</v>
      </c>
    </row>
    <row r="847" spans="1:39" s="227" customFormat="1">
      <c r="A847" s="3"/>
      <c r="B847" s="37" t="str">
        <f>'8. Input IC huur Gasunie'!B303</f>
        <v>Asset 45</v>
      </c>
      <c r="C847" s="3"/>
      <c r="D847" s="3"/>
      <c r="E847" s="3"/>
      <c r="F847" s="37" t="str">
        <f>'8. Input IC huur Gasunie'!F303</f>
        <v>10 Gereedschap</v>
      </c>
      <c r="G847" s="37">
        <f>'8. Input IC huur Gasunie'!G303</f>
        <v>2025</v>
      </c>
      <c r="H847" s="42">
        <f>'8. Input IC huur Gasunie'!H303</f>
        <v>90158.086544321428</v>
      </c>
      <c r="I847" s="37">
        <f>'8. Input IC huur Gasunie'!I303</f>
        <v>10</v>
      </c>
      <c r="J847" s="3"/>
      <c r="K847" s="43">
        <f t="shared" si="728"/>
        <v>0</v>
      </c>
      <c r="L847" s="43">
        <f t="shared" si="728"/>
        <v>0</v>
      </c>
      <c r="M847" s="43">
        <f t="shared" si="728"/>
        <v>0</v>
      </c>
      <c r="N847" s="43">
        <f t="shared" si="728"/>
        <v>4507.9043272160716</v>
      </c>
      <c r="O847" s="43">
        <f t="shared" si="728"/>
        <v>9015.8086544321413</v>
      </c>
      <c r="P847" s="3"/>
      <c r="Q847" s="47">
        <f t="shared" si="713"/>
        <v>0</v>
      </c>
      <c r="R847" s="47">
        <f t="shared" si="714"/>
        <v>0</v>
      </c>
      <c r="S847" s="47">
        <f t="shared" si="715"/>
        <v>0</v>
      </c>
      <c r="T847" s="47">
        <f t="shared" si="716"/>
        <v>85650.18221710535</v>
      </c>
      <c r="U847" s="47">
        <f t="shared" si="717"/>
        <v>76634.373562673209</v>
      </c>
      <c r="V847" s="3"/>
      <c r="W847" s="47">
        <f t="shared" si="718"/>
        <v>0</v>
      </c>
      <c r="X847" s="47">
        <f t="shared" si="719"/>
        <v>0</v>
      </c>
      <c r="Y847" s="47">
        <f t="shared" si="720"/>
        <v>0</v>
      </c>
      <c r="Z847" s="47">
        <f t="shared" si="721"/>
        <v>7762.6112514660745</v>
      </c>
      <c r="AA847" s="47">
        <f t="shared" si="722"/>
        <v>11927.914849813724</v>
      </c>
      <c r="AB847" s="3"/>
      <c r="AC847" s="47">
        <f t="shared" si="729"/>
        <v>0</v>
      </c>
      <c r="AD847" s="47">
        <f t="shared" si="729"/>
        <v>0</v>
      </c>
      <c r="AE847" s="47">
        <f t="shared" si="729"/>
        <v>0</v>
      </c>
      <c r="AF847" s="47">
        <f t="shared" si="729"/>
        <v>901.58086544321429</v>
      </c>
      <c r="AG847" s="47">
        <f t="shared" si="729"/>
        <v>932.09757457673629</v>
      </c>
      <c r="AH847" s="3"/>
      <c r="AI847" s="47">
        <f t="shared" si="723"/>
        <v>0</v>
      </c>
      <c r="AJ847" s="47">
        <f t="shared" si="724"/>
        <v>0</v>
      </c>
      <c r="AK847" s="47">
        <f t="shared" si="725"/>
        <v>0</v>
      </c>
      <c r="AL847" s="47">
        <f t="shared" si="726"/>
        <v>8664.1921169092893</v>
      </c>
      <c r="AM847" s="47">
        <f t="shared" si="727"/>
        <v>12860.012424390459</v>
      </c>
    </row>
    <row r="848" spans="1:39" s="227" customFormat="1">
      <c r="A848" s="3"/>
      <c r="B848" s="37" t="str">
        <f>'8. Input IC huur Gasunie'!B304</f>
        <v>Asset 46</v>
      </c>
      <c r="C848" s="3"/>
      <c r="D848" s="3"/>
      <c r="E848" s="3"/>
      <c r="F848" s="37" t="str">
        <f>'8. Input IC huur Gasunie'!F304</f>
        <v>10 Gereedschap</v>
      </c>
      <c r="G848" s="37">
        <f>'8. Input IC huur Gasunie'!G304</f>
        <v>2025</v>
      </c>
      <c r="H848" s="42">
        <f>'8. Input IC huur Gasunie'!H304</f>
        <v>257382.92525200447</v>
      </c>
      <c r="I848" s="37">
        <f>'8. Input IC huur Gasunie'!I304</f>
        <v>10</v>
      </c>
      <c r="J848" s="3"/>
      <c r="K848" s="43">
        <f t="shared" si="728"/>
        <v>0</v>
      </c>
      <c r="L848" s="43">
        <f t="shared" si="728"/>
        <v>0</v>
      </c>
      <c r="M848" s="43">
        <f t="shared" si="728"/>
        <v>0</v>
      </c>
      <c r="N848" s="43">
        <f t="shared" si="728"/>
        <v>12869.146262600225</v>
      </c>
      <c r="O848" s="43">
        <f t="shared" si="728"/>
        <v>25738.292525200446</v>
      </c>
      <c r="P848" s="3"/>
      <c r="Q848" s="47">
        <f t="shared" si="713"/>
        <v>0</v>
      </c>
      <c r="R848" s="47">
        <f t="shared" si="714"/>
        <v>0</v>
      </c>
      <c r="S848" s="47">
        <f t="shared" si="715"/>
        <v>0</v>
      </c>
      <c r="T848" s="47">
        <f t="shared" si="716"/>
        <v>244513.77898940424</v>
      </c>
      <c r="U848" s="47">
        <f t="shared" si="717"/>
        <v>218775.4864642038</v>
      </c>
      <c r="V848" s="3"/>
      <c r="W848" s="47">
        <f t="shared" si="718"/>
        <v>0</v>
      </c>
      <c r="X848" s="47">
        <f t="shared" si="719"/>
        <v>0</v>
      </c>
      <c r="Y848" s="47">
        <f t="shared" si="720"/>
        <v>0</v>
      </c>
      <c r="Z848" s="47">
        <f t="shared" si="721"/>
        <v>22160.669864197585</v>
      </c>
      <c r="AA848" s="47">
        <f t="shared" si="722"/>
        <v>34051.761010840186</v>
      </c>
      <c r="AB848" s="3"/>
      <c r="AC848" s="47">
        <f t="shared" si="729"/>
        <v>0</v>
      </c>
      <c r="AD848" s="47">
        <f t="shared" si="729"/>
        <v>0</v>
      </c>
      <c r="AE848" s="47">
        <f t="shared" si="729"/>
        <v>0</v>
      </c>
      <c r="AF848" s="47">
        <f t="shared" si="729"/>
        <v>2573.8292525200445</v>
      </c>
      <c r="AG848" s="47">
        <f t="shared" si="729"/>
        <v>2660.9482250593428</v>
      </c>
      <c r="AH848" s="3"/>
      <c r="AI848" s="47">
        <f t="shared" si="723"/>
        <v>0</v>
      </c>
      <c r="AJ848" s="47">
        <f t="shared" si="724"/>
        <v>0</v>
      </c>
      <c r="AK848" s="47">
        <f t="shared" si="725"/>
        <v>0</v>
      </c>
      <c r="AL848" s="47">
        <f t="shared" si="726"/>
        <v>24734.49911671763</v>
      </c>
      <c r="AM848" s="47">
        <f t="shared" si="727"/>
        <v>36712.709235899529</v>
      </c>
    </row>
    <row r="849" spans="1:39" s="227" customFormat="1">
      <c r="A849" s="3"/>
      <c r="B849" s="37" t="str">
        <f>'8. Input IC huur Gasunie'!B305</f>
        <v>Asset 47</v>
      </c>
      <c r="C849" s="3"/>
      <c r="D849" s="3"/>
      <c r="E849" s="3"/>
      <c r="F849" s="37" t="str">
        <f>'8. Input IC huur Gasunie'!F305</f>
        <v>10 Gereedschap</v>
      </c>
      <c r="G849" s="37">
        <f>'8. Input IC huur Gasunie'!G305</f>
        <v>2025</v>
      </c>
      <c r="H849" s="42">
        <f>'8. Input IC huur Gasunie'!H305</f>
        <v>171995.69866994492</v>
      </c>
      <c r="I849" s="37">
        <f>'8. Input IC huur Gasunie'!I305</f>
        <v>10</v>
      </c>
      <c r="J849" s="3"/>
      <c r="K849" s="43">
        <f t="shared" si="728"/>
        <v>0</v>
      </c>
      <c r="L849" s="43">
        <f t="shared" si="728"/>
        <v>0</v>
      </c>
      <c r="M849" s="43">
        <f t="shared" si="728"/>
        <v>0</v>
      </c>
      <c r="N849" s="43">
        <f t="shared" si="728"/>
        <v>8599.784933497247</v>
      </c>
      <c r="O849" s="43">
        <f t="shared" si="728"/>
        <v>17199.56986699449</v>
      </c>
      <c r="P849" s="3"/>
      <c r="Q849" s="47">
        <f t="shared" si="713"/>
        <v>0</v>
      </c>
      <c r="R849" s="47">
        <f t="shared" si="714"/>
        <v>0</v>
      </c>
      <c r="S849" s="47">
        <f t="shared" si="715"/>
        <v>0</v>
      </c>
      <c r="T849" s="47">
        <f t="shared" si="716"/>
        <v>163395.91373644766</v>
      </c>
      <c r="U849" s="47">
        <f t="shared" si="717"/>
        <v>146196.34386945318</v>
      </c>
      <c r="V849" s="3"/>
      <c r="W849" s="47">
        <f t="shared" si="718"/>
        <v>0</v>
      </c>
      <c r="X849" s="47">
        <f t="shared" si="719"/>
        <v>0</v>
      </c>
      <c r="Y849" s="47">
        <f t="shared" si="720"/>
        <v>0</v>
      </c>
      <c r="Z849" s="47">
        <f t="shared" si="721"/>
        <v>14808.829655482259</v>
      </c>
      <c r="AA849" s="47">
        <f t="shared" si="722"/>
        <v>22755.030934033712</v>
      </c>
      <c r="AB849" s="3"/>
      <c r="AC849" s="47">
        <f t="shared" si="729"/>
        <v>0</v>
      </c>
      <c r="AD849" s="47">
        <f t="shared" si="729"/>
        <v>0</v>
      </c>
      <c r="AE849" s="47">
        <f t="shared" si="729"/>
        <v>0</v>
      </c>
      <c r="AF849" s="47">
        <f t="shared" si="729"/>
        <v>1719.9569866994493</v>
      </c>
      <c r="AG849" s="47">
        <f t="shared" si="729"/>
        <v>1778.1740907852525</v>
      </c>
      <c r="AH849" s="3"/>
      <c r="AI849" s="47">
        <f t="shared" si="723"/>
        <v>0</v>
      </c>
      <c r="AJ849" s="47">
        <f t="shared" si="724"/>
        <v>0</v>
      </c>
      <c r="AK849" s="47">
        <f t="shared" si="725"/>
        <v>0</v>
      </c>
      <c r="AL849" s="47">
        <f t="shared" si="726"/>
        <v>16528.786642181709</v>
      </c>
      <c r="AM849" s="47">
        <f t="shared" si="727"/>
        <v>24533.205024818963</v>
      </c>
    </row>
    <row r="850" spans="1:39" s="227" customFormat="1">
      <c r="A850" s="3"/>
      <c r="B850" s="37" t="str">
        <f>'8. Input IC huur Gasunie'!B306</f>
        <v>Asset 48</v>
      </c>
      <c r="C850" s="3"/>
      <c r="D850" s="3"/>
      <c r="E850" s="3"/>
      <c r="F850" s="37" t="str">
        <f>'8. Input IC huur Gasunie'!F306</f>
        <v>10 Gereedschap</v>
      </c>
      <c r="G850" s="37">
        <f>'8. Input IC huur Gasunie'!G306</f>
        <v>2025</v>
      </c>
      <c r="H850" s="42">
        <f>'8. Input IC huur Gasunie'!H306</f>
        <v>40529.953802321266</v>
      </c>
      <c r="I850" s="37">
        <f>'8. Input IC huur Gasunie'!I306</f>
        <v>10</v>
      </c>
      <c r="J850" s="3"/>
      <c r="K850" s="43">
        <f t="shared" si="728"/>
        <v>0</v>
      </c>
      <c r="L850" s="43">
        <f t="shared" si="728"/>
        <v>0</v>
      </c>
      <c r="M850" s="43">
        <f t="shared" si="728"/>
        <v>0</v>
      </c>
      <c r="N850" s="43">
        <f t="shared" si="728"/>
        <v>2026.4976901160635</v>
      </c>
      <c r="O850" s="43">
        <f t="shared" si="728"/>
        <v>4052.9953802321265</v>
      </c>
      <c r="P850" s="3"/>
      <c r="Q850" s="47">
        <f t="shared" si="713"/>
        <v>0</v>
      </c>
      <c r="R850" s="47">
        <f t="shared" si="714"/>
        <v>0</v>
      </c>
      <c r="S850" s="47">
        <f t="shared" si="715"/>
        <v>0</v>
      </c>
      <c r="T850" s="47">
        <f t="shared" si="716"/>
        <v>38503.456112205204</v>
      </c>
      <c r="U850" s="47">
        <f t="shared" si="717"/>
        <v>34450.460731973079</v>
      </c>
      <c r="V850" s="3"/>
      <c r="W850" s="47">
        <f t="shared" si="718"/>
        <v>0</v>
      </c>
      <c r="X850" s="47">
        <f t="shared" si="719"/>
        <v>0</v>
      </c>
      <c r="Y850" s="47">
        <f t="shared" si="720"/>
        <v>0</v>
      </c>
      <c r="Z850" s="47">
        <f t="shared" si="721"/>
        <v>3489.6290223798615</v>
      </c>
      <c r="AA850" s="47">
        <f t="shared" si="722"/>
        <v>5362.1128880471033</v>
      </c>
      <c r="AB850" s="3"/>
      <c r="AC850" s="47">
        <f t="shared" si="729"/>
        <v>0</v>
      </c>
      <c r="AD850" s="47">
        <f t="shared" si="729"/>
        <v>0</v>
      </c>
      <c r="AE850" s="47">
        <f t="shared" si="729"/>
        <v>0</v>
      </c>
      <c r="AF850" s="47">
        <f t="shared" si="729"/>
        <v>405.29953802321268</v>
      </c>
      <c r="AG850" s="47">
        <f t="shared" si="729"/>
        <v>419.01811678622238</v>
      </c>
      <c r="AH850" s="3"/>
      <c r="AI850" s="47">
        <f t="shared" si="723"/>
        <v>0</v>
      </c>
      <c r="AJ850" s="47">
        <f t="shared" si="724"/>
        <v>0</v>
      </c>
      <c r="AK850" s="47">
        <f t="shared" si="725"/>
        <v>0</v>
      </c>
      <c r="AL850" s="47">
        <f t="shared" si="726"/>
        <v>3894.9285604030742</v>
      </c>
      <c r="AM850" s="47">
        <f t="shared" si="727"/>
        <v>5781.1310048333253</v>
      </c>
    </row>
    <row r="851" spans="1:39" s="227" customFormat="1">
      <c r="A851" s="3"/>
      <c r="B851" s="37" t="str">
        <f>'8. Input IC huur Gasunie'!B307</f>
        <v>Asset 49</v>
      </c>
      <c r="C851" s="3"/>
      <c r="D851" s="3"/>
      <c r="E851" s="3"/>
      <c r="F851" s="37" t="str">
        <f>'8. Input IC huur Gasunie'!F307</f>
        <v>10 Gereedschap</v>
      </c>
      <c r="G851" s="37">
        <f>'8. Input IC huur Gasunie'!G307</f>
        <v>2025</v>
      </c>
      <c r="H851" s="42">
        <f>'8. Input IC huur Gasunie'!H307</f>
        <v>498043.26023031282</v>
      </c>
      <c r="I851" s="37">
        <f>'8. Input IC huur Gasunie'!I307</f>
        <v>10</v>
      </c>
      <c r="J851" s="3"/>
      <c r="K851" s="43">
        <f t="shared" si="728"/>
        <v>0</v>
      </c>
      <c r="L851" s="43">
        <f t="shared" si="728"/>
        <v>0</v>
      </c>
      <c r="M851" s="43">
        <f t="shared" si="728"/>
        <v>0</v>
      </c>
      <c r="N851" s="43">
        <f t="shared" si="728"/>
        <v>24902.163011515644</v>
      </c>
      <c r="O851" s="43">
        <f t="shared" si="728"/>
        <v>49804.326023031281</v>
      </c>
      <c r="P851" s="3"/>
      <c r="Q851" s="47">
        <f t="shared" si="713"/>
        <v>0</v>
      </c>
      <c r="R851" s="47">
        <f t="shared" si="714"/>
        <v>0</v>
      </c>
      <c r="S851" s="47">
        <f t="shared" si="715"/>
        <v>0</v>
      </c>
      <c r="T851" s="47">
        <f t="shared" si="716"/>
        <v>473141.09721879719</v>
      </c>
      <c r="U851" s="47">
        <f t="shared" si="717"/>
        <v>423336.77119576593</v>
      </c>
      <c r="V851" s="3"/>
      <c r="W851" s="47">
        <f t="shared" si="718"/>
        <v>0</v>
      </c>
      <c r="X851" s="47">
        <f t="shared" si="719"/>
        <v>0</v>
      </c>
      <c r="Y851" s="47">
        <f t="shared" si="720"/>
        <v>0</v>
      </c>
      <c r="Z851" s="47">
        <f t="shared" si="721"/>
        <v>42881.524705829936</v>
      </c>
      <c r="AA851" s="47">
        <f t="shared" si="722"/>
        <v>65891.123328470392</v>
      </c>
      <c r="AB851" s="3"/>
      <c r="AC851" s="47">
        <f t="shared" si="729"/>
        <v>0</v>
      </c>
      <c r="AD851" s="47">
        <f t="shared" si="729"/>
        <v>0</v>
      </c>
      <c r="AE851" s="47">
        <f t="shared" si="729"/>
        <v>0</v>
      </c>
      <c r="AF851" s="47">
        <f t="shared" si="729"/>
        <v>4980.4326023031281</v>
      </c>
      <c r="AG851" s="47">
        <f t="shared" si="729"/>
        <v>5149.0102850258845</v>
      </c>
      <c r="AH851" s="3"/>
      <c r="AI851" s="47">
        <f t="shared" si="723"/>
        <v>0</v>
      </c>
      <c r="AJ851" s="47">
        <f t="shared" si="724"/>
        <v>0</v>
      </c>
      <c r="AK851" s="47">
        <f t="shared" si="725"/>
        <v>0</v>
      </c>
      <c r="AL851" s="47">
        <f t="shared" si="726"/>
        <v>47861.95730813306</v>
      </c>
      <c r="AM851" s="47">
        <f t="shared" si="727"/>
        <v>71040.133613496277</v>
      </c>
    </row>
    <row r="852" spans="1:39" s="227" customFormat="1">
      <c r="A852" s="3"/>
      <c r="B852" s="37" t="str">
        <f>'8. Input IC huur Gasunie'!B308</f>
        <v>Asset 50</v>
      </c>
      <c r="C852" s="3"/>
      <c r="D852" s="3"/>
      <c r="E852" s="3"/>
      <c r="F852" s="37" t="str">
        <f>'8. Input IC huur Gasunie'!F308</f>
        <v>10 Gereedschap</v>
      </c>
      <c r="G852" s="37">
        <f>'8. Input IC huur Gasunie'!G308</f>
        <v>2025</v>
      </c>
      <c r="H852" s="42">
        <f>'8. Input IC huur Gasunie'!H308</f>
        <v>447746.86834126408</v>
      </c>
      <c r="I852" s="37">
        <f>'8. Input IC huur Gasunie'!I308</f>
        <v>10</v>
      </c>
      <c r="J852" s="3"/>
      <c r="K852" s="43">
        <f t="shared" si="728"/>
        <v>0</v>
      </c>
      <c r="L852" s="43">
        <f t="shared" si="728"/>
        <v>0</v>
      </c>
      <c r="M852" s="43">
        <f t="shared" si="728"/>
        <v>0</v>
      </c>
      <c r="N852" s="43">
        <f t="shared" si="728"/>
        <v>22387.343417063206</v>
      </c>
      <c r="O852" s="43">
        <f t="shared" si="728"/>
        <v>44774.686834126413</v>
      </c>
      <c r="P852" s="3"/>
      <c r="Q852" s="47">
        <f t="shared" si="713"/>
        <v>0</v>
      </c>
      <c r="R852" s="47">
        <f t="shared" si="714"/>
        <v>0</v>
      </c>
      <c r="S852" s="47">
        <f t="shared" si="715"/>
        <v>0</v>
      </c>
      <c r="T852" s="47">
        <f t="shared" si="716"/>
        <v>425359.5249242009</v>
      </c>
      <c r="U852" s="47">
        <f t="shared" si="717"/>
        <v>380584.83809007448</v>
      </c>
      <c r="V852" s="3"/>
      <c r="W852" s="47">
        <f t="shared" si="718"/>
        <v>0</v>
      </c>
      <c r="X852" s="47">
        <f t="shared" si="719"/>
        <v>0</v>
      </c>
      <c r="Y852" s="47">
        <f t="shared" si="720"/>
        <v>0</v>
      </c>
      <c r="Z852" s="47">
        <f t="shared" si="721"/>
        <v>38551.005364182842</v>
      </c>
      <c r="AA852" s="47">
        <f t="shared" si="722"/>
        <v>59236.910681549241</v>
      </c>
      <c r="AB852" s="3"/>
      <c r="AC852" s="47">
        <f t="shared" si="729"/>
        <v>0</v>
      </c>
      <c r="AD852" s="47">
        <f t="shared" si="729"/>
        <v>0</v>
      </c>
      <c r="AE852" s="47">
        <f t="shared" si="729"/>
        <v>0</v>
      </c>
      <c r="AF852" s="47">
        <f t="shared" si="729"/>
        <v>4477.4686834126405</v>
      </c>
      <c r="AG852" s="47">
        <f t="shared" si="729"/>
        <v>4629.0220434087923</v>
      </c>
      <c r="AH852" s="3"/>
      <c r="AI852" s="47">
        <f t="shared" si="723"/>
        <v>0</v>
      </c>
      <c r="AJ852" s="47">
        <f t="shared" si="724"/>
        <v>0</v>
      </c>
      <c r="AK852" s="47">
        <f t="shared" si="725"/>
        <v>0</v>
      </c>
      <c r="AL852" s="47">
        <f t="shared" si="726"/>
        <v>43028.474047595482</v>
      </c>
      <c r="AM852" s="47">
        <f t="shared" si="727"/>
        <v>63865.932724958031</v>
      </c>
    </row>
    <row r="853" spans="1:39" s="227" customFormat="1">
      <c r="A853" s="3"/>
      <c r="B853" s="37" t="str">
        <f>'8. Input IC huur Gasunie'!B309</f>
        <v>Asset 51</v>
      </c>
      <c r="C853" s="3"/>
      <c r="D853" s="3"/>
      <c r="E853" s="3"/>
      <c r="F853" s="37" t="str">
        <f>'8. Input IC huur Gasunie'!F309</f>
        <v>10 Gereedschap</v>
      </c>
      <c r="G853" s="37">
        <f>'8. Input IC huur Gasunie'!G309</f>
        <v>2025</v>
      </c>
      <c r="H853" s="42">
        <f>'8. Input IC huur Gasunie'!H309</f>
        <v>189082.81131048431</v>
      </c>
      <c r="I853" s="37">
        <f>'8. Input IC huur Gasunie'!I309</f>
        <v>10</v>
      </c>
      <c r="J853" s="3"/>
      <c r="K853" s="43">
        <f t="shared" si="728"/>
        <v>0</v>
      </c>
      <c r="L853" s="43">
        <f t="shared" si="728"/>
        <v>0</v>
      </c>
      <c r="M853" s="43">
        <f t="shared" si="728"/>
        <v>0</v>
      </c>
      <c r="N853" s="43">
        <f t="shared" si="728"/>
        <v>9454.1405655242161</v>
      </c>
      <c r="O853" s="43">
        <f t="shared" si="728"/>
        <v>18908.281131048429</v>
      </c>
      <c r="P853" s="3"/>
      <c r="Q853" s="47">
        <f t="shared" si="713"/>
        <v>0</v>
      </c>
      <c r="R853" s="47">
        <f t="shared" si="714"/>
        <v>0</v>
      </c>
      <c r="S853" s="47">
        <f t="shared" si="715"/>
        <v>0</v>
      </c>
      <c r="T853" s="47">
        <f t="shared" si="716"/>
        <v>179628.67074496008</v>
      </c>
      <c r="U853" s="47">
        <f t="shared" si="717"/>
        <v>160720.38961391166</v>
      </c>
      <c r="V853" s="3"/>
      <c r="W853" s="47">
        <f t="shared" si="718"/>
        <v>0</v>
      </c>
      <c r="X853" s="47">
        <f t="shared" si="719"/>
        <v>0</v>
      </c>
      <c r="Y853" s="47">
        <f t="shared" si="720"/>
        <v>0</v>
      </c>
      <c r="Z853" s="47">
        <f t="shared" si="721"/>
        <v>16280.030053832699</v>
      </c>
      <c r="AA853" s="47">
        <f t="shared" si="722"/>
        <v>25015.655936377072</v>
      </c>
      <c r="AB853" s="3"/>
      <c r="AC853" s="47">
        <f t="shared" si="729"/>
        <v>0</v>
      </c>
      <c r="AD853" s="47">
        <f t="shared" si="729"/>
        <v>0</v>
      </c>
      <c r="AE853" s="47">
        <f t="shared" si="729"/>
        <v>0</v>
      </c>
      <c r="AF853" s="47">
        <f t="shared" si="729"/>
        <v>1890.8281131048432</v>
      </c>
      <c r="AG853" s="47">
        <f t="shared" si="729"/>
        <v>1954.8288630772158</v>
      </c>
      <c r="AH853" s="3"/>
      <c r="AI853" s="47">
        <f t="shared" si="723"/>
        <v>0</v>
      </c>
      <c r="AJ853" s="47">
        <f t="shared" si="724"/>
        <v>0</v>
      </c>
      <c r="AK853" s="47">
        <f t="shared" si="725"/>
        <v>0</v>
      </c>
      <c r="AL853" s="47">
        <f t="shared" si="726"/>
        <v>18170.858166937542</v>
      </c>
      <c r="AM853" s="47">
        <f t="shared" si="727"/>
        <v>26970.484799454287</v>
      </c>
    </row>
    <row r="854" spans="1:39" s="227" customFormat="1">
      <c r="A854" s="3"/>
      <c r="B854" s="37" t="str">
        <f>'8. Input IC huur Gasunie'!B310</f>
        <v>Asset 52</v>
      </c>
      <c r="C854" s="3"/>
      <c r="D854" s="3"/>
      <c r="E854" s="3"/>
      <c r="F854" s="37" t="str">
        <f>'8. Input IC huur Gasunie'!F310</f>
        <v>37 ICT middelen 1</v>
      </c>
      <c r="G854" s="37">
        <f>'8. Input IC huur Gasunie'!G310</f>
        <v>2025</v>
      </c>
      <c r="H854" s="42">
        <f>'8. Input IC huur Gasunie'!H310</f>
        <v>297114.52824447717</v>
      </c>
      <c r="I854" s="37">
        <f>'8. Input IC huur Gasunie'!I310</f>
        <v>5</v>
      </c>
      <c r="J854" s="3"/>
      <c r="K854" s="43">
        <f t="shared" si="728"/>
        <v>0</v>
      </c>
      <c r="L854" s="43">
        <f t="shared" si="728"/>
        <v>0</v>
      </c>
      <c r="M854" s="43">
        <f t="shared" si="728"/>
        <v>0</v>
      </c>
      <c r="N854" s="43">
        <f t="shared" si="728"/>
        <v>29711.452824447719</v>
      </c>
      <c r="O854" s="43">
        <f t="shared" si="728"/>
        <v>59422.905648895437</v>
      </c>
      <c r="P854" s="3"/>
      <c r="Q854" s="47">
        <f t="shared" ref="Q854:Q865" si="730">IF($I854=0,$H854,IF(OR($G854&gt;Q$801,$G854+$I854&lt;=Q$801),0,IF($G854=Q$801,$H854-K854,$H854-K854)))</f>
        <v>0</v>
      </c>
      <c r="R854" s="47">
        <f t="shared" ref="R854:R865" si="731">IF($I854=0,$H854,IF(OR($G854&gt;R$801,$G854+$I854&lt;=R$801),0,IF($G854=R$801,$H854-L854,Q854-L854)))</f>
        <v>0</v>
      </c>
      <c r="S854" s="47">
        <f t="shared" ref="S854:S865" si="732">IF($I854=0,$H854,IF(OR($G854&gt;S$801,$G854+$I854&lt;=S$801),0,IF($G854=S$801,$H854-M854,R854-M854)))</f>
        <v>0</v>
      </c>
      <c r="T854" s="47">
        <f t="shared" ref="T854:T865" si="733">IF($I854=0,$H854,IF(OR($G854&gt;T$801,$G854+$I854&lt;=T$801),0,IF($G854=T$801,$H854-N854,S854-N854)))</f>
        <v>267403.07542002946</v>
      </c>
      <c r="U854" s="47">
        <f t="shared" ref="U854:U865" si="734">IF($I854=0,$H854,IF(OR($G854&gt;U$801,$G854+$I854&lt;=U$801),0,IF($G854=U$801,$H854-O854,T854-O854)))</f>
        <v>207980.16977113404</v>
      </c>
      <c r="V854" s="3"/>
      <c r="W854" s="47">
        <f t="shared" ref="W854:W865" si="735">(K854+Q854*I$16)</f>
        <v>0</v>
      </c>
      <c r="X854" s="47">
        <f t="shared" ref="X854:X865" si="736">(L854+R854*J$16)</f>
        <v>0</v>
      </c>
      <c r="Y854" s="47">
        <f t="shared" ref="Y854:Y865" si="737">(M854+S854*K$16)</f>
        <v>0</v>
      </c>
      <c r="Z854" s="47">
        <f t="shared" ref="Z854:Z865" si="738">(N854+T854*L$16)</f>
        <v>39872.769690408837</v>
      </c>
      <c r="AA854" s="47">
        <f t="shared" ref="AA854:AA865" si="739">(O854+U854*M$16)</f>
        <v>67326.152100198524</v>
      </c>
      <c r="AB854" s="3"/>
      <c r="AC854" s="47">
        <f t="shared" si="729"/>
        <v>0</v>
      </c>
      <c r="AD854" s="47">
        <f t="shared" si="729"/>
        <v>0</v>
      </c>
      <c r="AE854" s="47">
        <f t="shared" si="729"/>
        <v>0</v>
      </c>
      <c r="AF854" s="47">
        <f t="shared" si="729"/>
        <v>2971.145282444772</v>
      </c>
      <c r="AG854" s="47">
        <f t="shared" si="729"/>
        <v>3071.7126079649624</v>
      </c>
      <c r="AH854" s="3"/>
      <c r="AI854" s="47">
        <f t="shared" ref="AI854:AI865" si="740">W854+AC854</f>
        <v>0</v>
      </c>
      <c r="AJ854" s="47">
        <f t="shared" ref="AJ854:AJ865" si="741">X854+AD854</f>
        <v>0</v>
      </c>
      <c r="AK854" s="47">
        <f t="shared" ref="AK854:AK865" si="742">Y854+AE854</f>
        <v>0</v>
      </c>
      <c r="AL854" s="47">
        <f t="shared" ref="AL854:AL865" si="743">Z854+AF854</f>
        <v>42843.914972853607</v>
      </c>
      <c r="AM854" s="47">
        <f t="shared" ref="AM854:AM865" si="744">AA854+AG854</f>
        <v>70397.864708163484</v>
      </c>
    </row>
    <row r="855" spans="1:39" s="227" customFormat="1">
      <c r="A855" s="3"/>
      <c r="B855" s="37" t="str">
        <f>'8. Input IC huur Gasunie'!B311</f>
        <v>Asset 53</v>
      </c>
      <c r="C855" s="3"/>
      <c r="D855" s="3"/>
      <c r="E855" s="3"/>
      <c r="F855" s="37" t="str">
        <f>'8. Input IC huur Gasunie'!F311</f>
        <v>37 ICT middelen 1</v>
      </c>
      <c r="G855" s="37">
        <f>'8. Input IC huur Gasunie'!G311</f>
        <v>2025</v>
      </c>
      <c r="H855" s="42">
        <f>'8. Input IC huur Gasunie'!H311</f>
        <v>217468.61428458735</v>
      </c>
      <c r="I855" s="37">
        <f>'8. Input IC huur Gasunie'!I311</f>
        <v>5</v>
      </c>
      <c r="J855" s="3"/>
      <c r="K855" s="43">
        <f t="shared" ref="K855:O869" si="745">IF($I855=0,0,IF($G855&lt;=K$801,VDB(ABS($H855),0,$I855,MAX(0,K$801-$G855-0.5),MIN(K$801-$G855+0.5),1),0))</f>
        <v>0</v>
      </c>
      <c r="L855" s="43">
        <f t="shared" si="745"/>
        <v>0</v>
      </c>
      <c r="M855" s="43">
        <f t="shared" si="745"/>
        <v>0</v>
      </c>
      <c r="N855" s="43">
        <f t="shared" si="745"/>
        <v>21746.861428458738</v>
      </c>
      <c r="O855" s="43">
        <f t="shared" si="745"/>
        <v>43493.722856917469</v>
      </c>
      <c r="P855" s="3"/>
      <c r="Q855" s="47">
        <f t="shared" si="730"/>
        <v>0</v>
      </c>
      <c r="R855" s="47">
        <f t="shared" si="731"/>
        <v>0</v>
      </c>
      <c r="S855" s="47">
        <f t="shared" si="732"/>
        <v>0</v>
      </c>
      <c r="T855" s="47">
        <f t="shared" si="733"/>
        <v>195721.75285612862</v>
      </c>
      <c r="U855" s="47">
        <f t="shared" si="734"/>
        <v>152228.02999921114</v>
      </c>
      <c r="V855" s="3"/>
      <c r="W855" s="47">
        <f t="shared" si="735"/>
        <v>0</v>
      </c>
      <c r="X855" s="47">
        <f t="shared" si="736"/>
        <v>0</v>
      </c>
      <c r="Y855" s="47">
        <f t="shared" si="737"/>
        <v>0</v>
      </c>
      <c r="Z855" s="47">
        <f t="shared" si="738"/>
        <v>29184.288036991624</v>
      </c>
      <c r="AA855" s="47">
        <f t="shared" si="739"/>
        <v>49278.38799688749</v>
      </c>
      <c r="AB855" s="3"/>
      <c r="AC855" s="47">
        <f t="shared" si="729"/>
        <v>0</v>
      </c>
      <c r="AD855" s="47">
        <f t="shared" si="729"/>
        <v>0</v>
      </c>
      <c r="AE855" s="47">
        <f t="shared" si="729"/>
        <v>0</v>
      </c>
      <c r="AF855" s="47">
        <f t="shared" si="729"/>
        <v>2174.6861428458737</v>
      </c>
      <c r="AG855" s="47">
        <f t="shared" si="729"/>
        <v>2248.294919408921</v>
      </c>
      <c r="AH855" s="3"/>
      <c r="AI855" s="47">
        <f t="shared" si="740"/>
        <v>0</v>
      </c>
      <c r="AJ855" s="47">
        <f t="shared" si="741"/>
        <v>0</v>
      </c>
      <c r="AK855" s="47">
        <f t="shared" si="742"/>
        <v>0</v>
      </c>
      <c r="AL855" s="47">
        <f t="shared" si="743"/>
        <v>31358.974179837496</v>
      </c>
      <c r="AM855" s="47">
        <f t="shared" si="744"/>
        <v>51526.682916296413</v>
      </c>
    </row>
    <row r="856" spans="1:39" s="227" customFormat="1">
      <c r="A856" s="3"/>
      <c r="B856" s="37" t="str">
        <f>'8. Input IC huur Gasunie'!B312</f>
        <v>Asset 54</v>
      </c>
      <c r="C856" s="3"/>
      <c r="D856" s="3"/>
      <c r="E856" s="3"/>
      <c r="F856" s="37" t="str">
        <f>'8. Input IC huur Gasunie'!F312</f>
        <v>37 ICT middelen 1</v>
      </c>
      <c r="G856" s="37">
        <f>'8. Input IC huur Gasunie'!G312</f>
        <v>2025</v>
      </c>
      <c r="H856" s="42">
        <f>'8. Input IC huur Gasunie'!H312</f>
        <v>1353184.1664081584</v>
      </c>
      <c r="I856" s="37">
        <f>'8. Input IC huur Gasunie'!I312</f>
        <v>5</v>
      </c>
      <c r="J856" s="3"/>
      <c r="K856" s="43">
        <f t="shared" si="745"/>
        <v>0</v>
      </c>
      <c r="L856" s="43">
        <f t="shared" si="745"/>
        <v>0</v>
      </c>
      <c r="M856" s="43">
        <f t="shared" si="745"/>
        <v>0</v>
      </c>
      <c r="N856" s="43">
        <f t="shared" si="745"/>
        <v>135318.41664081585</v>
      </c>
      <c r="O856" s="43">
        <f t="shared" si="745"/>
        <v>270636.8332816317</v>
      </c>
      <c r="P856" s="3"/>
      <c r="Q856" s="47">
        <f t="shared" si="730"/>
        <v>0</v>
      </c>
      <c r="R856" s="47">
        <f t="shared" si="731"/>
        <v>0</v>
      </c>
      <c r="S856" s="47">
        <f t="shared" si="732"/>
        <v>0</v>
      </c>
      <c r="T856" s="47">
        <f t="shared" si="733"/>
        <v>1217865.7497673426</v>
      </c>
      <c r="U856" s="47">
        <f t="shared" si="734"/>
        <v>947228.91648571088</v>
      </c>
      <c r="V856" s="3"/>
      <c r="W856" s="47">
        <f t="shared" si="735"/>
        <v>0</v>
      </c>
      <c r="X856" s="47">
        <f t="shared" si="736"/>
        <v>0</v>
      </c>
      <c r="Y856" s="47">
        <f t="shared" si="737"/>
        <v>0</v>
      </c>
      <c r="Z856" s="47">
        <f t="shared" si="738"/>
        <v>181597.31513197487</v>
      </c>
      <c r="AA856" s="47">
        <f t="shared" si="739"/>
        <v>306631.53210808872</v>
      </c>
      <c r="AB856" s="3"/>
      <c r="AC856" s="47">
        <f t="shared" si="729"/>
        <v>0</v>
      </c>
      <c r="AD856" s="47">
        <f t="shared" si="729"/>
        <v>0</v>
      </c>
      <c r="AE856" s="47">
        <f t="shared" si="729"/>
        <v>0</v>
      </c>
      <c r="AF856" s="47">
        <f t="shared" si="729"/>
        <v>13531.841664081585</v>
      </c>
      <c r="AG856" s="47">
        <f t="shared" si="729"/>
        <v>13989.867440727419</v>
      </c>
      <c r="AH856" s="3"/>
      <c r="AI856" s="47">
        <f t="shared" si="740"/>
        <v>0</v>
      </c>
      <c r="AJ856" s="47">
        <f t="shared" si="741"/>
        <v>0</v>
      </c>
      <c r="AK856" s="47">
        <f t="shared" si="742"/>
        <v>0</v>
      </c>
      <c r="AL856" s="47">
        <f t="shared" si="743"/>
        <v>195129.15679605646</v>
      </c>
      <c r="AM856" s="47">
        <f t="shared" si="744"/>
        <v>320621.39954881615</v>
      </c>
    </row>
    <row r="857" spans="1:39" s="227" customFormat="1">
      <c r="A857" s="3"/>
      <c r="B857" s="37" t="str">
        <f>'8. Input IC huur Gasunie'!B313</f>
        <v>Asset 55</v>
      </c>
      <c r="C857" s="3"/>
      <c r="D857" s="3"/>
      <c r="E857" s="3"/>
      <c r="F857" s="37" t="str">
        <f>'8. Input IC huur Gasunie'!F313</f>
        <v>37 ICT middelen 1</v>
      </c>
      <c r="G857" s="37">
        <f>'8. Input IC huur Gasunie'!G313</f>
        <v>2025</v>
      </c>
      <c r="H857" s="42">
        <f>'8. Input IC huur Gasunie'!H313</f>
        <v>878537.45827228902</v>
      </c>
      <c r="I857" s="37">
        <f>'8. Input IC huur Gasunie'!I313</f>
        <v>5</v>
      </c>
      <c r="J857" s="3"/>
      <c r="K857" s="43">
        <f t="shared" si="745"/>
        <v>0</v>
      </c>
      <c r="L857" s="43">
        <f t="shared" si="745"/>
        <v>0</v>
      </c>
      <c r="M857" s="43">
        <f t="shared" si="745"/>
        <v>0</v>
      </c>
      <c r="N857" s="43">
        <f t="shared" si="745"/>
        <v>87853.745827228908</v>
      </c>
      <c r="O857" s="43">
        <f t="shared" si="745"/>
        <v>175707.49165445782</v>
      </c>
      <c r="P857" s="3"/>
      <c r="Q857" s="47">
        <f t="shared" si="730"/>
        <v>0</v>
      </c>
      <c r="R857" s="47">
        <f t="shared" si="731"/>
        <v>0</v>
      </c>
      <c r="S857" s="47">
        <f t="shared" si="732"/>
        <v>0</v>
      </c>
      <c r="T857" s="47">
        <f t="shared" si="733"/>
        <v>790683.71244506014</v>
      </c>
      <c r="U857" s="47">
        <f t="shared" si="734"/>
        <v>614976.22079060227</v>
      </c>
      <c r="V857" s="3"/>
      <c r="W857" s="47">
        <f t="shared" si="735"/>
        <v>0</v>
      </c>
      <c r="X857" s="47">
        <f t="shared" si="736"/>
        <v>0</v>
      </c>
      <c r="Y857" s="47">
        <f t="shared" si="737"/>
        <v>0</v>
      </c>
      <c r="Z857" s="47">
        <f t="shared" si="738"/>
        <v>117899.72690014119</v>
      </c>
      <c r="AA857" s="47">
        <f t="shared" si="739"/>
        <v>199076.58804450071</v>
      </c>
      <c r="AB857" s="3"/>
      <c r="AC857" s="47">
        <f t="shared" si="729"/>
        <v>0</v>
      </c>
      <c r="AD857" s="47">
        <f t="shared" si="729"/>
        <v>0</v>
      </c>
      <c r="AE857" s="47">
        <f t="shared" si="729"/>
        <v>0</v>
      </c>
      <c r="AF857" s="47">
        <f t="shared" si="729"/>
        <v>8785.3745827228904</v>
      </c>
      <c r="AG857" s="47">
        <f t="shared" si="729"/>
        <v>9082.7419415988952</v>
      </c>
      <c r="AH857" s="3"/>
      <c r="AI857" s="47">
        <f t="shared" si="740"/>
        <v>0</v>
      </c>
      <c r="AJ857" s="47">
        <f t="shared" si="741"/>
        <v>0</v>
      </c>
      <c r="AK857" s="47">
        <f t="shared" si="742"/>
        <v>0</v>
      </c>
      <c r="AL857" s="47">
        <f t="shared" si="743"/>
        <v>126685.10148286408</v>
      </c>
      <c r="AM857" s="47">
        <f t="shared" si="744"/>
        <v>208159.32998609959</v>
      </c>
    </row>
    <row r="858" spans="1:39" s="227" customFormat="1">
      <c r="A858" s="3"/>
      <c r="B858" s="37" t="str">
        <f>'8. Input IC huur Gasunie'!B314</f>
        <v>Asset 56</v>
      </c>
      <c r="C858" s="3"/>
      <c r="D858" s="3"/>
      <c r="E858" s="3"/>
      <c r="F858" s="37" t="str">
        <f>'8. Input IC huur Gasunie'!F314</f>
        <v>37 ICT middelen 1</v>
      </c>
      <c r="G858" s="37">
        <f>'8. Input IC huur Gasunie'!G314</f>
        <v>2025</v>
      </c>
      <c r="H858" s="42">
        <f>'8. Input IC huur Gasunie'!H314</f>
        <v>478319.2748695566</v>
      </c>
      <c r="I858" s="37">
        <f>'8. Input IC huur Gasunie'!I314</f>
        <v>5</v>
      </c>
      <c r="J858" s="3"/>
      <c r="K858" s="43">
        <f t="shared" si="745"/>
        <v>0</v>
      </c>
      <c r="L858" s="43">
        <f t="shared" si="745"/>
        <v>0</v>
      </c>
      <c r="M858" s="43">
        <f t="shared" si="745"/>
        <v>0</v>
      </c>
      <c r="N858" s="43">
        <f t="shared" si="745"/>
        <v>47831.927486955661</v>
      </c>
      <c r="O858" s="43">
        <f t="shared" si="745"/>
        <v>95663.854973911322</v>
      </c>
      <c r="P858" s="3"/>
      <c r="Q858" s="47">
        <f t="shared" si="730"/>
        <v>0</v>
      </c>
      <c r="R858" s="47">
        <f t="shared" si="731"/>
        <v>0</v>
      </c>
      <c r="S858" s="47">
        <f t="shared" si="732"/>
        <v>0</v>
      </c>
      <c r="T858" s="47">
        <f t="shared" si="733"/>
        <v>430487.34738260094</v>
      </c>
      <c r="U858" s="47">
        <f t="shared" si="734"/>
        <v>334823.49240868964</v>
      </c>
      <c r="V858" s="3"/>
      <c r="W858" s="47">
        <f t="shared" si="735"/>
        <v>0</v>
      </c>
      <c r="X858" s="47">
        <f t="shared" si="736"/>
        <v>0</v>
      </c>
      <c r="Y858" s="47">
        <f t="shared" si="737"/>
        <v>0</v>
      </c>
      <c r="Z858" s="47">
        <f t="shared" si="738"/>
        <v>64190.446687494499</v>
      </c>
      <c r="AA858" s="47">
        <f t="shared" si="739"/>
        <v>108387.14768544152</v>
      </c>
      <c r="AB858" s="3"/>
      <c r="AC858" s="47">
        <f t="shared" si="729"/>
        <v>0</v>
      </c>
      <c r="AD858" s="47">
        <f t="shared" si="729"/>
        <v>0</v>
      </c>
      <c r="AE858" s="47">
        <f t="shared" si="729"/>
        <v>0</v>
      </c>
      <c r="AF858" s="47">
        <f t="shared" si="729"/>
        <v>4783.1927486955665</v>
      </c>
      <c r="AG858" s="47">
        <f t="shared" si="729"/>
        <v>4945.0942568534138</v>
      </c>
      <c r="AH858" s="3"/>
      <c r="AI858" s="47">
        <f t="shared" si="740"/>
        <v>0</v>
      </c>
      <c r="AJ858" s="47">
        <f t="shared" si="741"/>
        <v>0</v>
      </c>
      <c r="AK858" s="47">
        <f t="shared" si="742"/>
        <v>0</v>
      </c>
      <c r="AL858" s="47">
        <f t="shared" si="743"/>
        <v>68973.63943619006</v>
      </c>
      <c r="AM858" s="47">
        <f t="shared" si="744"/>
        <v>113332.24194229493</v>
      </c>
    </row>
    <row r="859" spans="1:39" s="227" customFormat="1">
      <c r="A859" s="3"/>
      <c r="B859" s="37" t="str">
        <f>'8. Input IC huur Gasunie'!B315</f>
        <v>Asset 57</v>
      </c>
      <c r="C859" s="3"/>
      <c r="D859" s="3"/>
      <c r="E859" s="3"/>
      <c r="F859" s="37" t="str">
        <f>'8. Input IC huur Gasunie'!F315</f>
        <v>37 ICT middelen 1</v>
      </c>
      <c r="G859" s="37">
        <f>'8. Input IC huur Gasunie'!G315</f>
        <v>2025</v>
      </c>
      <c r="H859" s="42">
        <f>'8. Input IC huur Gasunie'!H315</f>
        <v>1877219.2567050811</v>
      </c>
      <c r="I859" s="37">
        <f>'8. Input IC huur Gasunie'!I315</f>
        <v>5</v>
      </c>
      <c r="J859" s="3"/>
      <c r="K859" s="43">
        <f t="shared" si="745"/>
        <v>0</v>
      </c>
      <c r="L859" s="43">
        <f t="shared" si="745"/>
        <v>0</v>
      </c>
      <c r="M859" s="43">
        <f t="shared" si="745"/>
        <v>0</v>
      </c>
      <c r="N859" s="43">
        <f t="shared" si="745"/>
        <v>187721.92567050812</v>
      </c>
      <c r="O859" s="43">
        <f t="shared" si="745"/>
        <v>375443.85134101624</v>
      </c>
      <c r="P859" s="3"/>
      <c r="Q859" s="47">
        <f t="shared" si="730"/>
        <v>0</v>
      </c>
      <c r="R859" s="47">
        <f t="shared" si="731"/>
        <v>0</v>
      </c>
      <c r="S859" s="47">
        <f t="shared" si="732"/>
        <v>0</v>
      </c>
      <c r="T859" s="47">
        <f t="shared" si="733"/>
        <v>1689497.331034573</v>
      </c>
      <c r="U859" s="47">
        <f t="shared" si="734"/>
        <v>1314053.4796935567</v>
      </c>
      <c r="V859" s="3"/>
      <c r="W859" s="47">
        <f t="shared" si="735"/>
        <v>0</v>
      </c>
      <c r="X859" s="47">
        <f t="shared" si="736"/>
        <v>0</v>
      </c>
      <c r="Y859" s="47">
        <f t="shared" si="737"/>
        <v>0</v>
      </c>
      <c r="Z859" s="47">
        <f t="shared" si="738"/>
        <v>251922.82424982189</v>
      </c>
      <c r="AA859" s="47">
        <f t="shared" si="739"/>
        <v>425377.88356937142</v>
      </c>
      <c r="AB859" s="3"/>
      <c r="AC859" s="47">
        <f t="shared" ref="AC859:AG869" si="746">IF(AC$801&gt;=$G859,$H859*INDEX($G$40:$M$46,$G859-2019,AC$801-2019)*INDEX($G$49:$M$55,$G859-2019,AC$801-2019)*$F$28,0)</f>
        <v>0</v>
      </c>
      <c r="AD859" s="47">
        <f t="shared" si="746"/>
        <v>0</v>
      </c>
      <c r="AE859" s="47">
        <f t="shared" si="746"/>
        <v>0</v>
      </c>
      <c r="AF859" s="47">
        <f t="shared" si="746"/>
        <v>18772.19256705081</v>
      </c>
      <c r="AG859" s="47">
        <f t="shared" si="746"/>
        <v>19407.593741060347</v>
      </c>
      <c r="AH859" s="3"/>
      <c r="AI859" s="47">
        <f t="shared" si="740"/>
        <v>0</v>
      </c>
      <c r="AJ859" s="47">
        <f t="shared" si="741"/>
        <v>0</v>
      </c>
      <c r="AK859" s="47">
        <f t="shared" si="742"/>
        <v>0</v>
      </c>
      <c r="AL859" s="47">
        <f t="shared" si="743"/>
        <v>270695.0168168727</v>
      </c>
      <c r="AM859" s="47">
        <f t="shared" si="744"/>
        <v>444785.47731043177</v>
      </c>
    </row>
    <row r="860" spans="1:39" s="227" customFormat="1">
      <c r="A860" s="3"/>
      <c r="B860" s="37" t="str">
        <f>'8. Input IC huur Gasunie'!B316</f>
        <v>Asset 58</v>
      </c>
      <c r="C860" s="3"/>
      <c r="D860" s="3"/>
      <c r="E860" s="3"/>
      <c r="F860" s="37" t="str">
        <f>'8. Input IC huur Gasunie'!F316</f>
        <v>37 ICT middelen 1</v>
      </c>
      <c r="G860" s="37">
        <f>'8. Input IC huur Gasunie'!G316</f>
        <v>2025</v>
      </c>
      <c r="H860" s="42">
        <f>'8. Input IC huur Gasunie'!H316</f>
        <v>2724326.998950419</v>
      </c>
      <c r="I860" s="37">
        <f>'8. Input IC huur Gasunie'!I316</f>
        <v>5</v>
      </c>
      <c r="J860" s="3"/>
      <c r="K860" s="43">
        <f t="shared" si="745"/>
        <v>0</v>
      </c>
      <c r="L860" s="43">
        <f t="shared" si="745"/>
        <v>0</v>
      </c>
      <c r="M860" s="43">
        <f t="shared" si="745"/>
        <v>0</v>
      </c>
      <c r="N860" s="43">
        <f t="shared" si="745"/>
        <v>272432.69989504194</v>
      </c>
      <c r="O860" s="43">
        <f t="shared" si="745"/>
        <v>544865.39979008376</v>
      </c>
      <c r="P860" s="3"/>
      <c r="Q860" s="47">
        <f t="shared" si="730"/>
        <v>0</v>
      </c>
      <c r="R860" s="47">
        <f t="shared" si="731"/>
        <v>0</v>
      </c>
      <c r="S860" s="47">
        <f t="shared" si="732"/>
        <v>0</v>
      </c>
      <c r="T860" s="47">
        <f t="shared" si="733"/>
        <v>2451894.299055377</v>
      </c>
      <c r="U860" s="47">
        <f t="shared" si="734"/>
        <v>1907028.8992652933</v>
      </c>
      <c r="V860" s="3"/>
      <c r="W860" s="47">
        <f t="shared" si="735"/>
        <v>0</v>
      </c>
      <c r="X860" s="47">
        <f t="shared" si="736"/>
        <v>0</v>
      </c>
      <c r="Y860" s="47">
        <f t="shared" si="737"/>
        <v>0</v>
      </c>
      <c r="Z860" s="47">
        <f t="shared" si="738"/>
        <v>365604.68325914629</v>
      </c>
      <c r="AA860" s="47">
        <f t="shared" si="739"/>
        <v>617332.49796216493</v>
      </c>
      <c r="AB860" s="3"/>
      <c r="AC860" s="47">
        <f t="shared" si="746"/>
        <v>0</v>
      </c>
      <c r="AD860" s="47">
        <f t="shared" si="746"/>
        <v>0</v>
      </c>
      <c r="AE860" s="47">
        <f t="shared" si="746"/>
        <v>0</v>
      </c>
      <c r="AF860" s="47">
        <f t="shared" si="746"/>
        <v>27243.269989504191</v>
      </c>
      <c r="AG860" s="47">
        <f t="shared" si="746"/>
        <v>28165.400192108929</v>
      </c>
      <c r="AH860" s="3"/>
      <c r="AI860" s="47">
        <f t="shared" si="740"/>
        <v>0</v>
      </c>
      <c r="AJ860" s="47">
        <f t="shared" si="741"/>
        <v>0</v>
      </c>
      <c r="AK860" s="47">
        <f t="shared" si="742"/>
        <v>0</v>
      </c>
      <c r="AL860" s="47">
        <f t="shared" si="743"/>
        <v>392847.95324865048</v>
      </c>
      <c r="AM860" s="47">
        <f t="shared" si="744"/>
        <v>645497.89815427386</v>
      </c>
    </row>
    <row r="861" spans="1:39" s="227" customFormat="1">
      <c r="A861" s="3"/>
      <c r="B861" s="37" t="str">
        <f>'8. Input IC huur Gasunie'!B317</f>
        <v>Asset 59</v>
      </c>
      <c r="C861" s="3"/>
      <c r="D861" s="3"/>
      <c r="E861" s="3"/>
      <c r="F861" s="37" t="str">
        <f>'8. Input IC huur Gasunie'!F317</f>
        <v>37 ICT middelen 1</v>
      </c>
      <c r="G861" s="37">
        <f>'8. Input IC huur Gasunie'!G317</f>
        <v>2025</v>
      </c>
      <c r="H861" s="42">
        <f>'8. Input IC huur Gasunie'!H317</f>
        <v>9316677.3270368613</v>
      </c>
      <c r="I861" s="37">
        <f>'8. Input IC huur Gasunie'!I317</f>
        <v>5</v>
      </c>
      <c r="J861" s="3"/>
      <c r="K861" s="43">
        <f t="shared" si="745"/>
        <v>0</v>
      </c>
      <c r="L861" s="43">
        <f t="shared" si="745"/>
        <v>0</v>
      </c>
      <c r="M861" s="43">
        <f t="shared" si="745"/>
        <v>0</v>
      </c>
      <c r="N861" s="43">
        <f t="shared" si="745"/>
        <v>931667.73270368623</v>
      </c>
      <c r="O861" s="43">
        <f t="shared" si="745"/>
        <v>1863335.4654073725</v>
      </c>
      <c r="P861" s="3"/>
      <c r="Q861" s="47">
        <f t="shared" si="730"/>
        <v>0</v>
      </c>
      <c r="R861" s="47">
        <f t="shared" si="731"/>
        <v>0</v>
      </c>
      <c r="S861" s="47">
        <f t="shared" si="732"/>
        <v>0</v>
      </c>
      <c r="T861" s="47">
        <f t="shared" si="733"/>
        <v>8385009.5943331756</v>
      </c>
      <c r="U861" s="47">
        <f t="shared" si="734"/>
        <v>6521674.1289258031</v>
      </c>
      <c r="V861" s="3"/>
      <c r="W861" s="47">
        <f t="shared" si="735"/>
        <v>0</v>
      </c>
      <c r="X861" s="47">
        <f t="shared" si="736"/>
        <v>0</v>
      </c>
      <c r="Y861" s="47">
        <f t="shared" si="737"/>
        <v>0</v>
      </c>
      <c r="Z861" s="47">
        <f t="shared" si="738"/>
        <v>1250298.0972883468</v>
      </c>
      <c r="AA861" s="47">
        <f t="shared" si="739"/>
        <v>2111159.0823065531</v>
      </c>
      <c r="AB861" s="3"/>
      <c r="AC861" s="47">
        <f t="shared" si="746"/>
        <v>0</v>
      </c>
      <c r="AD861" s="47">
        <f t="shared" si="746"/>
        <v>0</v>
      </c>
      <c r="AE861" s="47">
        <f t="shared" si="746"/>
        <v>0</v>
      </c>
      <c r="AF861" s="47">
        <f t="shared" si="746"/>
        <v>93166.77327036862</v>
      </c>
      <c r="AG861" s="47">
        <f t="shared" si="746"/>
        <v>96320.28221202406</v>
      </c>
      <c r="AH861" s="3"/>
      <c r="AI861" s="47">
        <f t="shared" si="740"/>
        <v>0</v>
      </c>
      <c r="AJ861" s="47">
        <f t="shared" si="741"/>
        <v>0</v>
      </c>
      <c r="AK861" s="47">
        <f t="shared" si="742"/>
        <v>0</v>
      </c>
      <c r="AL861" s="47">
        <f t="shared" si="743"/>
        <v>1343464.8705587154</v>
      </c>
      <c r="AM861" s="47">
        <f t="shared" si="744"/>
        <v>2207479.3645185772</v>
      </c>
    </row>
    <row r="862" spans="1:39" s="227" customFormat="1">
      <c r="A862" s="3"/>
      <c r="B862" s="37" t="str">
        <f>'8. Input IC huur Gasunie'!B318</f>
        <v>Asset 60</v>
      </c>
      <c r="C862" s="3"/>
      <c r="D862" s="3"/>
      <c r="E862" s="3"/>
      <c r="F862" s="37" t="str">
        <f>'8. Input IC huur Gasunie'!F318</f>
        <v>37 ICT middelen 1</v>
      </c>
      <c r="G862" s="37">
        <f>'8. Input IC huur Gasunie'!G318</f>
        <v>2025</v>
      </c>
      <c r="H862" s="42">
        <f>'8. Input IC huur Gasunie'!H318</f>
        <v>6448701.9665837865</v>
      </c>
      <c r="I862" s="37">
        <f>'8. Input IC huur Gasunie'!I318</f>
        <v>5</v>
      </c>
      <c r="J862" s="3"/>
      <c r="K862" s="43">
        <f t="shared" si="745"/>
        <v>0</v>
      </c>
      <c r="L862" s="43">
        <f t="shared" si="745"/>
        <v>0</v>
      </c>
      <c r="M862" s="43">
        <f t="shared" si="745"/>
        <v>0</v>
      </c>
      <c r="N862" s="43">
        <f t="shared" si="745"/>
        <v>644870.1966583787</v>
      </c>
      <c r="O862" s="43">
        <f t="shared" si="745"/>
        <v>1289740.3933167574</v>
      </c>
      <c r="P862" s="3"/>
      <c r="Q862" s="47">
        <f t="shared" si="730"/>
        <v>0</v>
      </c>
      <c r="R862" s="47">
        <f t="shared" si="731"/>
        <v>0</v>
      </c>
      <c r="S862" s="47">
        <f t="shared" si="732"/>
        <v>0</v>
      </c>
      <c r="T862" s="47">
        <f t="shared" si="733"/>
        <v>5803831.7699254081</v>
      </c>
      <c r="U862" s="47">
        <f t="shared" si="734"/>
        <v>4514091.3766086511</v>
      </c>
      <c r="V862" s="3"/>
      <c r="W862" s="47">
        <f t="shared" si="735"/>
        <v>0</v>
      </c>
      <c r="X862" s="47">
        <f t="shared" si="736"/>
        <v>0</v>
      </c>
      <c r="Y862" s="47">
        <f t="shared" si="737"/>
        <v>0</v>
      </c>
      <c r="Z862" s="47">
        <f t="shared" si="738"/>
        <v>865415.80391554418</v>
      </c>
      <c r="AA862" s="47">
        <f t="shared" si="739"/>
        <v>1461275.8656278863</v>
      </c>
      <c r="AB862" s="3"/>
      <c r="AC862" s="47">
        <f t="shared" si="746"/>
        <v>0</v>
      </c>
      <c r="AD862" s="47">
        <f t="shared" si="746"/>
        <v>0</v>
      </c>
      <c r="AE862" s="47">
        <f t="shared" si="746"/>
        <v>0</v>
      </c>
      <c r="AF862" s="47">
        <f t="shared" si="746"/>
        <v>64487.01966583787</v>
      </c>
      <c r="AG862" s="47">
        <f t="shared" si="746"/>
        <v>66669.776307487147</v>
      </c>
      <c r="AH862" s="3"/>
      <c r="AI862" s="47">
        <f t="shared" si="740"/>
        <v>0</v>
      </c>
      <c r="AJ862" s="47">
        <f t="shared" si="741"/>
        <v>0</v>
      </c>
      <c r="AK862" s="47">
        <f t="shared" si="742"/>
        <v>0</v>
      </c>
      <c r="AL862" s="47">
        <f t="shared" si="743"/>
        <v>929902.82358138205</v>
      </c>
      <c r="AM862" s="47">
        <f t="shared" si="744"/>
        <v>1527945.6419353734</v>
      </c>
    </row>
    <row r="863" spans="1:39" s="227" customFormat="1">
      <c r="A863" s="3"/>
      <c r="B863" s="37" t="str">
        <f>'8. Input IC huur Gasunie'!B319</f>
        <v>Asset 61</v>
      </c>
      <c r="C863" s="3"/>
      <c r="D863" s="3"/>
      <c r="E863" s="3"/>
      <c r="F863" s="37" t="str">
        <f>'8. Input IC huur Gasunie'!F319</f>
        <v>38 ICT middelen 2</v>
      </c>
      <c r="G863" s="37">
        <f>'8. Input IC huur Gasunie'!G319</f>
        <v>2025</v>
      </c>
      <c r="H863" s="42">
        <f>'8. Input IC huur Gasunie'!H319</f>
        <v>110.98759755843852</v>
      </c>
      <c r="I863" s="37">
        <f>'8. Input IC huur Gasunie'!I319</f>
        <v>10</v>
      </c>
      <c r="J863" s="3"/>
      <c r="K863" s="43">
        <f t="shared" si="745"/>
        <v>0</v>
      </c>
      <c r="L863" s="43">
        <f t="shared" si="745"/>
        <v>0</v>
      </c>
      <c r="M863" s="43">
        <f t="shared" si="745"/>
        <v>0</v>
      </c>
      <c r="N863" s="43">
        <f t="shared" si="745"/>
        <v>5.5493798779219263</v>
      </c>
      <c r="O863" s="43">
        <f t="shared" si="745"/>
        <v>11.098759755843853</v>
      </c>
      <c r="P863" s="3"/>
      <c r="Q863" s="47">
        <f t="shared" si="730"/>
        <v>0</v>
      </c>
      <c r="R863" s="47">
        <f t="shared" si="731"/>
        <v>0</v>
      </c>
      <c r="S863" s="47">
        <f t="shared" si="732"/>
        <v>0</v>
      </c>
      <c r="T863" s="47">
        <f t="shared" si="733"/>
        <v>105.4382176805166</v>
      </c>
      <c r="U863" s="47">
        <f t="shared" si="734"/>
        <v>94.339457924672743</v>
      </c>
      <c r="V863" s="3"/>
      <c r="W863" s="47">
        <f t="shared" si="735"/>
        <v>0</v>
      </c>
      <c r="X863" s="47">
        <f t="shared" si="736"/>
        <v>0</v>
      </c>
      <c r="Y863" s="47">
        <f t="shared" si="737"/>
        <v>0</v>
      </c>
      <c r="Z863" s="47">
        <f t="shared" si="738"/>
        <v>9.5560321497815579</v>
      </c>
      <c r="AA863" s="47">
        <f t="shared" si="739"/>
        <v>14.683659156981417</v>
      </c>
      <c r="AB863" s="3"/>
      <c r="AC863" s="47">
        <f t="shared" si="746"/>
        <v>0</v>
      </c>
      <c r="AD863" s="47">
        <f t="shared" si="746"/>
        <v>0</v>
      </c>
      <c r="AE863" s="47">
        <f t="shared" si="746"/>
        <v>0</v>
      </c>
      <c r="AF863" s="47">
        <f t="shared" si="746"/>
        <v>1.1098759755843852</v>
      </c>
      <c r="AG863" s="47">
        <f t="shared" si="746"/>
        <v>1.1474430576059655</v>
      </c>
      <c r="AH863" s="3"/>
      <c r="AI863" s="47">
        <f t="shared" si="740"/>
        <v>0</v>
      </c>
      <c r="AJ863" s="47">
        <f t="shared" si="741"/>
        <v>0</v>
      </c>
      <c r="AK863" s="47">
        <f t="shared" si="742"/>
        <v>0</v>
      </c>
      <c r="AL863" s="47">
        <f t="shared" si="743"/>
        <v>10.665908125365943</v>
      </c>
      <c r="AM863" s="47">
        <f t="shared" si="744"/>
        <v>15.831102214587382</v>
      </c>
    </row>
    <row r="864" spans="1:39" s="227" customFormat="1">
      <c r="A864" s="3"/>
      <c r="B864" s="37" t="str">
        <f>'8. Input IC huur Gasunie'!B320</f>
        <v>Asset 62</v>
      </c>
      <c r="C864" s="3"/>
      <c r="D864" s="3"/>
      <c r="E864" s="3"/>
      <c r="F864" s="37" t="str">
        <f>'8. Input IC huur Gasunie'!F320</f>
        <v>38 ICT middelen 2</v>
      </c>
      <c r="G864" s="37">
        <f>'8. Input IC huur Gasunie'!G320</f>
        <v>2025</v>
      </c>
      <c r="H864" s="42">
        <f>'8. Input IC huur Gasunie'!H320</f>
        <v>114758.60095242156</v>
      </c>
      <c r="I864" s="37">
        <f>'8. Input IC huur Gasunie'!I320</f>
        <v>10</v>
      </c>
      <c r="J864" s="3"/>
      <c r="K864" s="43">
        <f t="shared" si="745"/>
        <v>0</v>
      </c>
      <c r="L864" s="43">
        <f t="shared" si="745"/>
        <v>0</v>
      </c>
      <c r="M864" s="43">
        <f t="shared" si="745"/>
        <v>0</v>
      </c>
      <c r="N864" s="43">
        <f t="shared" si="745"/>
        <v>5737.9300476210783</v>
      </c>
      <c r="O864" s="43">
        <f t="shared" si="745"/>
        <v>11475.860095242157</v>
      </c>
      <c r="P864" s="3"/>
      <c r="Q864" s="47">
        <f t="shared" si="730"/>
        <v>0</v>
      </c>
      <c r="R864" s="47">
        <f t="shared" si="731"/>
        <v>0</v>
      </c>
      <c r="S864" s="47">
        <f t="shared" si="732"/>
        <v>0</v>
      </c>
      <c r="T864" s="47">
        <f t="shared" si="733"/>
        <v>109020.67090480049</v>
      </c>
      <c r="U864" s="47">
        <f t="shared" si="734"/>
        <v>97544.81080955833</v>
      </c>
      <c r="V864" s="3"/>
      <c r="W864" s="47">
        <f t="shared" si="735"/>
        <v>0</v>
      </c>
      <c r="X864" s="47">
        <f t="shared" si="736"/>
        <v>0</v>
      </c>
      <c r="Y864" s="47">
        <f t="shared" si="737"/>
        <v>0</v>
      </c>
      <c r="Z864" s="47">
        <f t="shared" si="738"/>
        <v>9880.7155420034978</v>
      </c>
      <c r="AA864" s="47">
        <f t="shared" si="739"/>
        <v>15182.562906005372</v>
      </c>
      <c r="AB864" s="3"/>
      <c r="AC864" s="47">
        <f t="shared" si="746"/>
        <v>0</v>
      </c>
      <c r="AD864" s="47">
        <f t="shared" si="746"/>
        <v>0</v>
      </c>
      <c r="AE864" s="47">
        <f t="shared" si="746"/>
        <v>0</v>
      </c>
      <c r="AF864" s="47">
        <f t="shared" si="746"/>
        <v>1147.5860095242156</v>
      </c>
      <c r="AG864" s="47">
        <f t="shared" si="746"/>
        <v>1186.4295007745914</v>
      </c>
      <c r="AH864" s="3"/>
      <c r="AI864" s="47">
        <f t="shared" si="740"/>
        <v>0</v>
      </c>
      <c r="AJ864" s="47">
        <f t="shared" si="741"/>
        <v>0</v>
      </c>
      <c r="AK864" s="47">
        <f t="shared" si="742"/>
        <v>0</v>
      </c>
      <c r="AL864" s="47">
        <f t="shared" si="743"/>
        <v>11028.301551527713</v>
      </c>
      <c r="AM864" s="47">
        <f t="shared" si="744"/>
        <v>16368.992406779964</v>
      </c>
    </row>
    <row r="865" spans="1:39" s="227" customFormat="1">
      <c r="A865" s="3"/>
      <c r="B865" s="37" t="str">
        <f>'8. Input IC huur Gasunie'!B321</f>
        <v>Asset 63</v>
      </c>
      <c r="C865" s="3"/>
      <c r="D865" s="3"/>
      <c r="E865" s="3"/>
      <c r="F865" s="37" t="str">
        <f>'8. Input IC huur Gasunie'!F321</f>
        <v>38 ICT middelen 2</v>
      </c>
      <c r="G865" s="37">
        <f>'8. Input IC huur Gasunie'!G321</f>
        <v>2025</v>
      </c>
      <c r="H865" s="42">
        <f>'8. Input IC huur Gasunie'!H321</f>
        <v>499173.21952495427</v>
      </c>
      <c r="I865" s="37">
        <f>'8. Input IC huur Gasunie'!I321</f>
        <v>10</v>
      </c>
      <c r="J865" s="3"/>
      <c r="K865" s="43">
        <f t="shared" si="745"/>
        <v>0</v>
      </c>
      <c r="L865" s="43">
        <f t="shared" si="745"/>
        <v>0</v>
      </c>
      <c r="M865" s="43">
        <f t="shared" si="745"/>
        <v>0</v>
      </c>
      <c r="N865" s="43">
        <f t="shared" si="745"/>
        <v>24958.660976247716</v>
      </c>
      <c r="O865" s="43">
        <f t="shared" si="745"/>
        <v>49917.321952495433</v>
      </c>
      <c r="P865" s="3"/>
      <c r="Q865" s="47">
        <f t="shared" si="730"/>
        <v>0</v>
      </c>
      <c r="R865" s="47">
        <f t="shared" si="731"/>
        <v>0</v>
      </c>
      <c r="S865" s="47">
        <f t="shared" si="732"/>
        <v>0</v>
      </c>
      <c r="T865" s="47">
        <f t="shared" si="733"/>
        <v>474214.55854870658</v>
      </c>
      <c r="U865" s="47">
        <f t="shared" si="734"/>
        <v>424297.23659621115</v>
      </c>
      <c r="V865" s="3"/>
      <c r="W865" s="47">
        <f t="shared" si="735"/>
        <v>0</v>
      </c>
      <c r="X865" s="47">
        <f t="shared" si="736"/>
        <v>0</v>
      </c>
      <c r="Y865" s="47">
        <f t="shared" si="737"/>
        <v>0</v>
      </c>
      <c r="Z865" s="47">
        <f t="shared" si="738"/>
        <v>42978.814201098561</v>
      </c>
      <c r="AA865" s="47">
        <f t="shared" si="739"/>
        <v>66040.616943151457</v>
      </c>
      <c r="AB865" s="3"/>
      <c r="AC865" s="47">
        <f t="shared" si="746"/>
        <v>0</v>
      </c>
      <c r="AD865" s="47">
        <f t="shared" si="746"/>
        <v>0</v>
      </c>
      <c r="AE865" s="47">
        <f t="shared" si="746"/>
        <v>0</v>
      </c>
      <c r="AF865" s="47">
        <f t="shared" si="746"/>
        <v>4991.7321952495431</v>
      </c>
      <c r="AG865" s="47">
        <f t="shared" si="746"/>
        <v>5160.6923465943491</v>
      </c>
      <c r="AH865" s="3"/>
      <c r="AI865" s="47">
        <f t="shared" si="740"/>
        <v>0</v>
      </c>
      <c r="AJ865" s="47">
        <f t="shared" si="741"/>
        <v>0</v>
      </c>
      <c r="AK865" s="47">
        <f t="shared" si="742"/>
        <v>0</v>
      </c>
      <c r="AL865" s="47">
        <f t="shared" si="743"/>
        <v>47970.546396348102</v>
      </c>
      <c r="AM865" s="47">
        <f t="shared" si="744"/>
        <v>71201.309289745812</v>
      </c>
    </row>
    <row r="866" spans="1:39" s="227" customFormat="1">
      <c r="A866" s="3"/>
      <c r="B866" s="37" t="str">
        <f>'8. Input IC huur Gasunie'!B322</f>
        <v>Asset 64</v>
      </c>
      <c r="C866" s="3"/>
      <c r="D866" s="3"/>
      <c r="E866" s="3"/>
      <c r="F866" s="37" t="str">
        <f>'8. Input IC huur Gasunie'!F322</f>
        <v>38 ICT middelen 2</v>
      </c>
      <c r="G866" s="37">
        <f>'8. Input IC huur Gasunie'!G322</f>
        <v>2025</v>
      </c>
      <c r="H866" s="42">
        <f>'8. Input IC huur Gasunie'!H322</f>
        <v>0</v>
      </c>
      <c r="I866" s="37">
        <f>'8. Input IC huur Gasunie'!I322</f>
        <v>10</v>
      </c>
      <c r="J866" s="3"/>
      <c r="K866" s="43">
        <f t="shared" si="745"/>
        <v>0</v>
      </c>
      <c r="L866" s="43">
        <f t="shared" si="745"/>
        <v>0</v>
      </c>
      <c r="M866" s="43">
        <f t="shared" si="745"/>
        <v>0</v>
      </c>
      <c r="N866" s="43">
        <f t="shared" si="745"/>
        <v>0</v>
      </c>
      <c r="O866" s="43">
        <f t="shared" si="745"/>
        <v>0</v>
      </c>
      <c r="P866" s="3"/>
      <c r="Q866" s="47">
        <f t="shared" ref="Q866:Q869" si="747">IF($I866=0,$H866,IF(OR($G866&gt;Q$801,$G866+$I866&lt;=Q$801),0,IF($G866=Q$801,$H866-K866,$H866-K866)))</f>
        <v>0</v>
      </c>
      <c r="R866" s="47">
        <f t="shared" ref="R866:R869" si="748">IF($I866=0,$H866,IF(OR($G866&gt;R$801,$G866+$I866&lt;=R$801),0,IF($G866=R$801,$H866-L866,Q866-L866)))</f>
        <v>0</v>
      </c>
      <c r="S866" s="47">
        <f t="shared" ref="S866:S869" si="749">IF($I866=0,$H866,IF(OR($G866&gt;S$801,$G866+$I866&lt;=S$801),0,IF($G866=S$801,$H866-M866,R866-M866)))</f>
        <v>0</v>
      </c>
      <c r="T866" s="47">
        <f t="shared" ref="T866:T869" si="750">IF($I866=0,$H866,IF(OR($G866&gt;T$801,$G866+$I866&lt;=T$801),0,IF($G866=T$801,$H866-N866,S866-N866)))</f>
        <v>0</v>
      </c>
      <c r="U866" s="47">
        <f t="shared" ref="U866:U869" si="751">IF($I866=0,$H866,IF(OR($G866&gt;U$801,$G866+$I866&lt;=U$801),0,IF($G866=U$801,$H866-O866,T866-O866)))</f>
        <v>0</v>
      </c>
      <c r="V866" s="3"/>
      <c r="W866" s="47">
        <f t="shared" ref="W866:W869" si="752">(K866+Q866*I$16)</f>
        <v>0</v>
      </c>
      <c r="X866" s="47">
        <f t="shared" ref="X866:X869" si="753">(L866+R866*J$16)</f>
        <v>0</v>
      </c>
      <c r="Y866" s="47">
        <f t="shared" ref="Y866:Y869" si="754">(M866+S866*K$16)</f>
        <v>0</v>
      </c>
      <c r="Z866" s="47">
        <f t="shared" ref="Z866:Z869" si="755">(N866+T866*L$16)</f>
        <v>0</v>
      </c>
      <c r="AA866" s="47">
        <f t="shared" ref="AA866:AA869" si="756">(O866+U866*M$16)</f>
        <v>0</v>
      </c>
      <c r="AB866" s="3"/>
      <c r="AC866" s="47">
        <f t="shared" si="746"/>
        <v>0</v>
      </c>
      <c r="AD866" s="47">
        <f t="shared" si="746"/>
        <v>0</v>
      </c>
      <c r="AE866" s="47">
        <f t="shared" si="746"/>
        <v>0</v>
      </c>
      <c r="AF866" s="47">
        <f t="shared" si="746"/>
        <v>0</v>
      </c>
      <c r="AG866" s="47">
        <f t="shared" si="746"/>
        <v>0</v>
      </c>
      <c r="AH866" s="3"/>
      <c r="AI866" s="47">
        <f t="shared" ref="AI866:AI869" si="757">W866+AC866</f>
        <v>0</v>
      </c>
      <c r="AJ866" s="47">
        <f t="shared" ref="AJ866:AJ869" si="758">X866+AD866</f>
        <v>0</v>
      </c>
      <c r="AK866" s="47">
        <f t="shared" ref="AK866:AK869" si="759">Y866+AE866</f>
        <v>0</v>
      </c>
      <c r="AL866" s="47">
        <f t="shared" ref="AL866:AL869" si="760">Z866+AF866</f>
        <v>0</v>
      </c>
      <c r="AM866" s="47">
        <f t="shared" ref="AM866:AM869" si="761">AA866+AG866</f>
        <v>0</v>
      </c>
    </row>
    <row r="867" spans="1:39" s="227" customFormat="1">
      <c r="A867" s="3"/>
      <c r="B867" s="37" t="str">
        <f>'8. Input IC huur Gasunie'!B323</f>
        <v>Asset 65</v>
      </c>
      <c r="C867" s="3"/>
      <c r="D867" s="3"/>
      <c r="E867" s="3"/>
      <c r="F867" s="37" t="str">
        <f>'8. Input IC huur Gasunie'!F323</f>
        <v>39 ICT middelen 3</v>
      </c>
      <c r="G867" s="37">
        <f>'8. Input IC huur Gasunie'!G323</f>
        <v>2025</v>
      </c>
      <c r="H867" s="42">
        <f>'8. Input IC huur Gasunie'!H323</f>
        <v>474545.29911399848</v>
      </c>
      <c r="I867" s="37">
        <f>'8. Input IC huur Gasunie'!I323</f>
        <v>15</v>
      </c>
      <c r="J867" s="3"/>
      <c r="K867" s="43">
        <f t="shared" si="745"/>
        <v>0</v>
      </c>
      <c r="L867" s="43">
        <f t="shared" si="745"/>
        <v>0</v>
      </c>
      <c r="M867" s="43">
        <f t="shared" si="745"/>
        <v>0</v>
      </c>
      <c r="N867" s="43">
        <f t="shared" si="745"/>
        <v>15818.176637133283</v>
      </c>
      <c r="O867" s="43">
        <f t="shared" si="745"/>
        <v>31636.353274266563</v>
      </c>
      <c r="P867" s="3"/>
      <c r="Q867" s="47">
        <f t="shared" si="747"/>
        <v>0</v>
      </c>
      <c r="R867" s="47">
        <f t="shared" si="748"/>
        <v>0</v>
      </c>
      <c r="S867" s="47">
        <f t="shared" si="749"/>
        <v>0</v>
      </c>
      <c r="T867" s="47">
        <f t="shared" si="750"/>
        <v>458727.12247686519</v>
      </c>
      <c r="U867" s="47">
        <f t="shared" si="751"/>
        <v>427090.7692025986</v>
      </c>
      <c r="V867" s="3"/>
      <c r="W867" s="47">
        <f t="shared" si="752"/>
        <v>0</v>
      </c>
      <c r="X867" s="47">
        <f t="shared" si="753"/>
        <v>0</v>
      </c>
      <c r="Y867" s="47">
        <f t="shared" si="754"/>
        <v>0</v>
      </c>
      <c r="Z867" s="47">
        <f t="shared" si="755"/>
        <v>33249.807291254161</v>
      </c>
      <c r="AA867" s="47">
        <f t="shared" si="756"/>
        <v>47865.802503965308</v>
      </c>
      <c r="AB867" s="3"/>
      <c r="AC867" s="47">
        <f t="shared" si="746"/>
        <v>0</v>
      </c>
      <c r="AD867" s="47">
        <f t="shared" si="746"/>
        <v>0</v>
      </c>
      <c r="AE867" s="47">
        <f t="shared" si="746"/>
        <v>0</v>
      </c>
      <c r="AF867" s="47">
        <f t="shared" si="746"/>
        <v>4745.452991139985</v>
      </c>
      <c r="AG867" s="47">
        <f t="shared" si="746"/>
        <v>4906.0770839840916</v>
      </c>
      <c r="AH867" s="3"/>
      <c r="AI867" s="47">
        <f t="shared" si="757"/>
        <v>0</v>
      </c>
      <c r="AJ867" s="47">
        <f t="shared" si="758"/>
        <v>0</v>
      </c>
      <c r="AK867" s="47">
        <f t="shared" si="759"/>
        <v>0</v>
      </c>
      <c r="AL867" s="47">
        <f t="shared" si="760"/>
        <v>37995.260282394149</v>
      </c>
      <c r="AM867" s="47">
        <f t="shared" si="761"/>
        <v>52771.879587949399</v>
      </c>
    </row>
    <row r="868" spans="1:39" s="227" customFormat="1">
      <c r="A868" s="3"/>
      <c r="B868" s="37" t="str">
        <f>'8. Input IC huur Gasunie'!B324</f>
        <v>Asset 66</v>
      </c>
      <c r="C868" s="3"/>
      <c r="D868" s="3"/>
      <c r="E868" s="3"/>
      <c r="F868" s="37" t="str">
        <f>'8. Input IC huur Gasunie'!F324</f>
        <v>39 ICT middelen 3</v>
      </c>
      <c r="G868" s="37">
        <f>'8. Input IC huur Gasunie'!G324</f>
        <v>2025</v>
      </c>
      <c r="H868" s="42">
        <f>'8. Input IC huur Gasunie'!H324</f>
        <v>448390.27327665774</v>
      </c>
      <c r="I868" s="37">
        <f>'8. Input IC huur Gasunie'!I324</f>
        <v>15</v>
      </c>
      <c r="J868" s="3"/>
      <c r="K868" s="43">
        <f t="shared" si="745"/>
        <v>0</v>
      </c>
      <c r="L868" s="43">
        <f t="shared" si="745"/>
        <v>0</v>
      </c>
      <c r="M868" s="43">
        <f t="shared" si="745"/>
        <v>0</v>
      </c>
      <c r="N868" s="43">
        <f t="shared" si="745"/>
        <v>14946.342442555258</v>
      </c>
      <c r="O868" s="43">
        <f t="shared" si="745"/>
        <v>29892.684885110517</v>
      </c>
      <c r="P868" s="3"/>
      <c r="Q868" s="47">
        <f t="shared" si="747"/>
        <v>0</v>
      </c>
      <c r="R868" s="47">
        <f t="shared" si="748"/>
        <v>0</v>
      </c>
      <c r="S868" s="47">
        <f t="shared" si="749"/>
        <v>0</v>
      </c>
      <c r="T868" s="47">
        <f t="shared" si="750"/>
        <v>433443.9308341025</v>
      </c>
      <c r="U868" s="47">
        <f t="shared" si="751"/>
        <v>403551.24594899197</v>
      </c>
      <c r="V868" s="3"/>
      <c r="W868" s="47">
        <f t="shared" si="752"/>
        <v>0</v>
      </c>
      <c r="X868" s="47">
        <f t="shared" si="753"/>
        <v>0</v>
      </c>
      <c r="Y868" s="47">
        <f t="shared" si="754"/>
        <v>0</v>
      </c>
      <c r="Z868" s="47">
        <f t="shared" si="755"/>
        <v>31417.211814251154</v>
      </c>
      <c r="AA868" s="47">
        <f t="shared" si="756"/>
        <v>45227.632231172211</v>
      </c>
      <c r="AB868" s="3"/>
      <c r="AC868" s="47">
        <f t="shared" si="746"/>
        <v>0</v>
      </c>
      <c r="AD868" s="47">
        <f t="shared" si="746"/>
        <v>0</v>
      </c>
      <c r="AE868" s="47">
        <f t="shared" si="746"/>
        <v>0</v>
      </c>
      <c r="AF868" s="47">
        <f t="shared" si="746"/>
        <v>4483.9027327665772</v>
      </c>
      <c r="AG868" s="47">
        <f t="shared" si="746"/>
        <v>4635.6738724652605</v>
      </c>
      <c r="AH868" s="3"/>
      <c r="AI868" s="47">
        <f t="shared" si="757"/>
        <v>0</v>
      </c>
      <c r="AJ868" s="47">
        <f t="shared" si="758"/>
        <v>0</v>
      </c>
      <c r="AK868" s="47">
        <f t="shared" si="759"/>
        <v>0</v>
      </c>
      <c r="AL868" s="47">
        <f t="shared" si="760"/>
        <v>35901.114547017729</v>
      </c>
      <c r="AM868" s="47">
        <f t="shared" si="761"/>
        <v>49863.306103637471</v>
      </c>
    </row>
    <row r="869" spans="1:39" s="227" customFormat="1">
      <c r="A869" s="3"/>
      <c r="B869" s="37" t="str">
        <f>'8. Input IC huur Gasunie'!B325</f>
        <v>Asset 67</v>
      </c>
      <c r="C869" s="3"/>
      <c r="D869" s="3"/>
      <c r="E869" s="3"/>
      <c r="F869" s="37" t="str">
        <f>'8. Input IC huur Gasunie'!F325</f>
        <v>39 ICT middelen 3</v>
      </c>
      <c r="G869" s="37">
        <f>'8. Input IC huur Gasunie'!G325</f>
        <v>2025</v>
      </c>
      <c r="H869" s="42">
        <f>'8. Input IC huur Gasunie'!H325</f>
        <v>5747091.0393672939</v>
      </c>
      <c r="I869" s="37">
        <f>'8. Input IC huur Gasunie'!I325</f>
        <v>15</v>
      </c>
      <c r="J869" s="3"/>
      <c r="K869" s="43">
        <f t="shared" si="745"/>
        <v>0</v>
      </c>
      <c r="L869" s="43">
        <f t="shared" si="745"/>
        <v>0</v>
      </c>
      <c r="M869" s="43">
        <f t="shared" si="745"/>
        <v>0</v>
      </c>
      <c r="N869" s="43">
        <f t="shared" si="745"/>
        <v>191569.70131224312</v>
      </c>
      <c r="O869" s="43">
        <f t="shared" si="745"/>
        <v>383139.40262448625</v>
      </c>
      <c r="P869" s="3"/>
      <c r="Q869" s="47">
        <f t="shared" si="747"/>
        <v>0</v>
      </c>
      <c r="R869" s="47">
        <f t="shared" si="748"/>
        <v>0</v>
      </c>
      <c r="S869" s="47">
        <f t="shared" si="749"/>
        <v>0</v>
      </c>
      <c r="T869" s="47">
        <f t="shared" si="750"/>
        <v>5555521.3380550509</v>
      </c>
      <c r="U869" s="47">
        <f t="shared" si="751"/>
        <v>5172381.9354305649</v>
      </c>
      <c r="V869" s="3"/>
      <c r="W869" s="47">
        <f t="shared" si="752"/>
        <v>0</v>
      </c>
      <c r="X869" s="47">
        <f t="shared" si="753"/>
        <v>0</v>
      </c>
      <c r="Y869" s="47">
        <f t="shared" si="754"/>
        <v>0</v>
      </c>
      <c r="Z869" s="47">
        <f t="shared" si="755"/>
        <v>402679.51215833507</v>
      </c>
      <c r="AA869" s="47">
        <f t="shared" si="756"/>
        <v>579689.91617084772</v>
      </c>
      <c r="AB869" s="3"/>
      <c r="AC869" s="47">
        <f t="shared" si="746"/>
        <v>0</v>
      </c>
      <c r="AD869" s="47">
        <f t="shared" si="746"/>
        <v>0</v>
      </c>
      <c r="AE869" s="47">
        <f t="shared" si="746"/>
        <v>0</v>
      </c>
      <c r="AF869" s="47">
        <f t="shared" si="746"/>
        <v>57470.910393672937</v>
      </c>
      <c r="AG869" s="47">
        <f t="shared" si="746"/>
        <v>59416.185768677984</v>
      </c>
      <c r="AH869" s="3"/>
      <c r="AI869" s="47">
        <f t="shared" si="757"/>
        <v>0</v>
      </c>
      <c r="AJ869" s="47">
        <f t="shared" si="758"/>
        <v>0</v>
      </c>
      <c r="AK869" s="47">
        <f t="shared" si="759"/>
        <v>0</v>
      </c>
      <c r="AL869" s="47">
        <f t="shared" si="760"/>
        <v>460150.42255200801</v>
      </c>
      <c r="AM869" s="47">
        <f t="shared" si="761"/>
        <v>639106.10193952569</v>
      </c>
    </row>
    <row r="870" spans="1:39">
      <c r="AL870" s="88"/>
    </row>
    <row r="871" spans="1:39" s="8" customFormat="1" ht="13">
      <c r="B871" s="8" t="s">
        <v>1022</v>
      </c>
      <c r="D871" s="8" t="s">
        <v>184</v>
      </c>
      <c r="G871" s="46"/>
      <c r="H871" s="46">
        <v>2021</v>
      </c>
      <c r="I871" s="46">
        <v>2022</v>
      </c>
      <c r="J871" s="46">
        <v>2023</v>
      </c>
      <c r="K871" s="46">
        <v>2024</v>
      </c>
      <c r="L871" s="46">
        <v>2025</v>
      </c>
      <c r="M871" s="46">
        <v>2026</v>
      </c>
      <c r="N871" s="46">
        <v>2027</v>
      </c>
      <c r="P871" s="8" t="s">
        <v>187</v>
      </c>
    </row>
    <row r="873" spans="1:39">
      <c r="B873" s="3" t="s">
        <v>1023</v>
      </c>
      <c r="D873" s="3" t="s">
        <v>189</v>
      </c>
      <c r="H873" s="10"/>
      <c r="I873" s="47">
        <f>SUM(AJ307:AJ549)</f>
        <v>47303712.275716439</v>
      </c>
      <c r="J873" s="47">
        <f>SUM(AK307:AK549)</f>
        <v>31689565.787792545</v>
      </c>
      <c r="K873" s="47">
        <f>SUM(AL307:AL549)</f>
        <v>27885415.248524517</v>
      </c>
      <c r="L873" s="47">
        <f>SUM(AM307:AM549)</f>
        <v>22650429.620528437</v>
      </c>
      <c r="M873" s="47">
        <f>SUM(AN307:AN549)</f>
        <v>17735981.863229234</v>
      </c>
      <c r="N873" s="10"/>
    </row>
    <row r="874" spans="1:39">
      <c r="B874" s="3" t="s">
        <v>1024</v>
      </c>
      <c r="D874" s="3" t="s">
        <v>189</v>
      </c>
      <c r="H874" s="10"/>
      <c r="I874" s="47">
        <f>SUM(AB555:AB797)</f>
        <v>39217738.402224623</v>
      </c>
      <c r="J874" s="47">
        <f>SUM(AC555:AC797)</f>
        <v>33189273.645462066</v>
      </c>
      <c r="K874" s="47">
        <f>SUM(AD555:AD797)</f>
        <v>29216317.285462335</v>
      </c>
      <c r="L874" s="47">
        <f>SUM(AE555:AE797)</f>
        <v>24012638.624367848</v>
      </c>
      <c r="M874" s="47">
        <f>SUM(AF555:AF797)</f>
        <v>18660000.753578022</v>
      </c>
      <c r="N874" s="10"/>
    </row>
    <row r="875" spans="1:39">
      <c r="B875" s="3" t="s">
        <v>1025</v>
      </c>
      <c r="D875" s="3" t="s">
        <v>189</v>
      </c>
      <c r="H875" s="174">
        <f>MAX(SUM(M59:M301),H876)</f>
        <v>216951830.34509885</v>
      </c>
      <c r="I875" s="10"/>
      <c r="J875" s="10"/>
      <c r="K875" s="103"/>
      <c r="L875" s="10"/>
      <c r="M875" s="10"/>
      <c r="N875" s="10"/>
      <c r="P875" s="3" t="s">
        <v>1026</v>
      </c>
    </row>
    <row r="876" spans="1:39">
      <c r="B876" s="3" t="s">
        <v>1027</v>
      </c>
      <c r="D876" s="3" t="s">
        <v>189</v>
      </c>
      <c r="H876" s="43">
        <f>SUM(N307:N549)</f>
        <v>216951830.34509885</v>
      </c>
      <c r="I876" s="10"/>
      <c r="J876" s="10"/>
      <c r="K876" s="10"/>
      <c r="L876" s="10"/>
      <c r="M876" s="10"/>
      <c r="N876" s="10"/>
    </row>
    <row r="877" spans="1:39">
      <c r="B877" s="3" t="s">
        <v>1028</v>
      </c>
      <c r="D877" s="3" t="s">
        <v>189</v>
      </c>
      <c r="H877" s="10"/>
      <c r="I877" s="47">
        <f t="shared" ref="I877:L877" si="762">SUMIF($G$803:$G$853,2022,AI803:AI853)</f>
        <v>1428124.2132085976</v>
      </c>
      <c r="J877" s="47">
        <f t="shared" si="762"/>
        <v>2217707.8337649051</v>
      </c>
      <c r="K877" s="47">
        <f t="shared" si="762"/>
        <v>2220228.5401113494</v>
      </c>
      <c r="L877" s="47">
        <f t="shared" si="762"/>
        <v>2159320.7927243733</v>
      </c>
      <c r="M877" s="47">
        <f>SUMIF($G$803:$G$853,2022,AM803:AM853)</f>
        <v>2100101.5141843641</v>
      </c>
      <c r="N877" s="10"/>
    </row>
    <row r="878" spans="1:39">
      <c r="B878" s="3" t="s">
        <v>1029</v>
      </c>
      <c r="D878" s="3" t="s">
        <v>189</v>
      </c>
      <c r="H878" s="10"/>
      <c r="I878" s="10"/>
      <c r="J878" s="47">
        <f t="shared" ref="J878:L878" si="763">SUMIF($G$803:$G$853,2023,AJ803:AJ853)</f>
        <v>1028574.5024785999</v>
      </c>
      <c r="K878" s="47">
        <f t="shared" si="763"/>
        <v>1712271.072741084</v>
      </c>
      <c r="L878" s="47">
        <f t="shared" si="763"/>
        <v>1661865.047384599</v>
      </c>
      <c r="M878" s="47">
        <f>SUMIF($G$803:$G$853,2023,AM803:AM853)</f>
        <v>1612428.4349268554</v>
      </c>
      <c r="N878" s="10"/>
    </row>
    <row r="879" spans="1:39">
      <c r="B879" s="3" t="s">
        <v>1030</v>
      </c>
      <c r="D879" s="3" t="s">
        <v>189</v>
      </c>
      <c r="H879" s="10"/>
      <c r="I879" s="10"/>
      <c r="J879" s="10"/>
      <c r="K879" s="47">
        <f t="shared" ref="K879:L879" si="764">SUMIF($G$803:$G$853,2024,AK803:AK853)</f>
        <v>5721939.4973236667</v>
      </c>
      <c r="L879" s="47">
        <f t="shared" si="764"/>
        <v>8267219.8231534604</v>
      </c>
      <c r="M879" s="47">
        <f>SUMIF($G$803:$G$853,2024,AM803:AM853)</f>
        <v>8081427.3833027044</v>
      </c>
      <c r="N879" s="10"/>
    </row>
    <row r="880" spans="1:39">
      <c r="B880" s="3" t="s">
        <v>1112</v>
      </c>
      <c r="D880" s="3" t="s">
        <v>189</v>
      </c>
      <c r="H880" s="10"/>
      <c r="I880" s="10"/>
      <c r="J880" s="10"/>
      <c r="K880" s="10"/>
      <c r="L880" s="47">
        <f>SUMIF($G$803:$G$869,2025,AL803:AL869)</f>
        <v>4363349.486306766</v>
      </c>
      <c r="M880" s="47">
        <f>SUMIF($G$803:$G$869,2025,AM803:AM869)</f>
        <v>6944519.4645798942</v>
      </c>
      <c r="N880" s="10"/>
    </row>
    <row r="881" spans="2:16">
      <c r="B881" s="3" t="s">
        <v>1031</v>
      </c>
      <c r="D881" s="3" t="s">
        <v>189</v>
      </c>
      <c r="H881" s="10"/>
      <c r="I881" s="10"/>
      <c r="J881" s="174">
        <f>(-H875+H876)*J32+(-I873+I874)*J33+(-J873+J874)</f>
        <v>-6747985.4932921315</v>
      </c>
      <c r="K881" s="51">
        <f>-K873+K874</f>
        <v>1330902.0369378179</v>
      </c>
      <c r="L881" s="174">
        <f>-L873+L874+I877*L33+SUM(J877:J878)*L34+SUM(K877:K878)*L35+SUM(L877:L878)</f>
        <v>14624633.370419957</v>
      </c>
      <c r="M881" s="51">
        <f>-M873+M874+SUM(M877:M879)+K879*M35+L879*M36</f>
        <v>27827156.062316984</v>
      </c>
      <c r="N881" s="174">
        <f>L880*N36+M880*N37</f>
        <v>11987077.88221008</v>
      </c>
      <c r="O881" s="170"/>
    </row>
    <row r="883" spans="2:16">
      <c r="M883" s="88"/>
    </row>
    <row r="884" spans="2:16">
      <c r="M884" s="88"/>
      <c r="P884" s="88"/>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T137"/>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796875" defaultRowHeight="12.5"/>
  <cols>
    <col min="1" max="1" width="2.54296875" style="3" customWidth="1"/>
    <col min="2" max="2" width="70" style="3" bestFit="1" customWidth="1"/>
    <col min="3" max="3" width="2.54296875" style="3" customWidth="1"/>
    <col min="4" max="4" width="15.1796875" style="3" bestFit="1" customWidth="1"/>
    <col min="5" max="5" width="2.54296875" style="3" customWidth="1"/>
    <col min="6" max="6" width="12.54296875" style="3" bestFit="1" customWidth="1"/>
    <col min="7" max="7" width="2.54296875" style="3" customWidth="1"/>
    <col min="8" max="9" width="10.81640625" style="3" bestFit="1" customWidth="1"/>
    <col min="10" max="10" width="11.453125" style="3" bestFit="1" customWidth="1"/>
    <col min="11" max="11" width="13.1796875" style="3" bestFit="1" customWidth="1"/>
    <col min="12" max="12" width="14.54296875" style="3" bestFit="1" customWidth="1"/>
    <col min="13" max="13" width="12.54296875" style="3" bestFit="1" customWidth="1"/>
    <col min="14" max="14" width="12.453125" style="3" bestFit="1" customWidth="1"/>
    <col min="15" max="15" width="12.54296875" style="3" bestFit="1" customWidth="1"/>
    <col min="16" max="17" width="12.453125" style="3" bestFit="1" customWidth="1"/>
    <col min="18" max="18" width="12.453125" style="3" customWidth="1"/>
    <col min="19" max="19" width="2.54296875" style="3" customWidth="1"/>
    <col min="20" max="20" width="12.81640625" style="3" bestFit="1" customWidth="1"/>
    <col min="21" max="33" width="13.54296875" style="3" customWidth="1"/>
    <col min="34" max="16384" width="9.1796875" style="3"/>
  </cols>
  <sheetData>
    <row r="2" spans="2:20" s="12" customFormat="1" ht="18">
      <c r="B2" s="12" t="s">
        <v>1032</v>
      </c>
    </row>
    <row r="4" spans="2:20" ht="13">
      <c r="B4" s="16" t="s">
        <v>837</v>
      </c>
      <c r="C4" s="2"/>
      <c r="L4"/>
    </row>
    <row r="5" spans="2:20" ht="16.5" customHeight="1">
      <c r="B5" s="352" t="s">
        <v>1033</v>
      </c>
      <c r="C5" s="352"/>
      <c r="D5" s="352"/>
      <c r="F5" s="13"/>
    </row>
    <row r="6" spans="2:20" ht="13">
      <c r="B6" s="4"/>
    </row>
    <row r="7" spans="2:20" ht="13">
      <c r="B7" s="17" t="s">
        <v>140</v>
      </c>
    </row>
    <row r="8" spans="2:20" ht="38.25" customHeight="1">
      <c r="B8" s="352" t="s">
        <v>1034</v>
      </c>
      <c r="C8" s="352"/>
      <c r="D8" s="352"/>
    </row>
    <row r="10" spans="2:20" s="8" customFormat="1" ht="13">
      <c r="B10" s="8" t="s">
        <v>143</v>
      </c>
      <c r="D10" s="8" t="s">
        <v>184</v>
      </c>
      <c r="F10" s="8" t="s">
        <v>185</v>
      </c>
      <c r="H10" s="46">
        <v>2017</v>
      </c>
      <c r="I10" s="46">
        <v>2018</v>
      </c>
      <c r="J10" s="46">
        <v>2019</v>
      </c>
      <c r="K10" s="46">
        <v>2020</v>
      </c>
      <c r="L10" s="46">
        <v>2021</v>
      </c>
      <c r="M10" s="46">
        <v>2022</v>
      </c>
      <c r="N10" s="46">
        <v>2023</v>
      </c>
      <c r="O10" s="46">
        <v>2024</v>
      </c>
      <c r="P10" s="46">
        <v>2025</v>
      </c>
      <c r="Q10" s="46">
        <v>2026</v>
      </c>
      <c r="R10" s="46">
        <v>2027</v>
      </c>
      <c r="T10" s="8" t="s">
        <v>187</v>
      </c>
    </row>
    <row r="12" spans="2:20" s="8" customFormat="1" ht="13">
      <c r="B12" s="8" t="s">
        <v>841</v>
      </c>
    </row>
    <row r="13" spans="2:20">
      <c r="P13" s="88"/>
    </row>
    <row r="14" spans="2:20" ht="13">
      <c r="B14" s="2" t="s">
        <v>198</v>
      </c>
    </row>
    <row r="15" spans="2:20">
      <c r="B15" s="144" t="s">
        <v>195</v>
      </c>
      <c r="D15" s="3" t="s">
        <v>188</v>
      </c>
      <c r="H15" s="10"/>
      <c r="I15" s="10"/>
      <c r="J15" s="10"/>
      <c r="K15" s="10"/>
      <c r="L15" s="10"/>
      <c r="M15" s="55">
        <f>'2. Parameters'!M23</f>
        <v>4.1000000000000002E-2</v>
      </c>
      <c r="N15" s="55">
        <f>'2. Parameters'!N23</f>
        <v>5.0999999999999997E-2</v>
      </c>
      <c r="O15" s="55">
        <f>'2. Parameters'!O23</f>
        <v>5.0999999999999997E-2</v>
      </c>
      <c r="P15" s="55">
        <f>'2. Parameters'!P23</f>
        <v>5.5E-2</v>
      </c>
      <c r="Q15" s="10"/>
      <c r="R15" s="10"/>
    </row>
    <row r="17" spans="1:18" ht="13">
      <c r="B17" s="2" t="s">
        <v>200</v>
      </c>
    </row>
    <row r="18" spans="1:18">
      <c r="B18" s="3" t="s">
        <v>200</v>
      </c>
      <c r="D18" s="3" t="s">
        <v>188</v>
      </c>
      <c r="F18" s="173">
        <f>'2. Parameters'!F27</f>
        <v>0.01</v>
      </c>
    </row>
    <row r="19" spans="1:18" ht="13">
      <c r="B19" s="16"/>
    </row>
    <row r="20" spans="1:18" s="89" customFormat="1" ht="13">
      <c r="A20" s="3"/>
      <c r="B20" s="105" t="s">
        <v>947</v>
      </c>
    </row>
    <row r="21" spans="1:18" s="89" customFormat="1">
      <c r="A21" s="3"/>
      <c r="B21" s="89" t="s">
        <v>948</v>
      </c>
      <c r="D21" s="89" t="s">
        <v>188</v>
      </c>
      <c r="F21" s="78">
        <f>'2. Parameters'!F95</f>
        <v>0.25</v>
      </c>
    </row>
    <row r="22" spans="1:18">
      <c r="B22" s="3" t="s">
        <v>949</v>
      </c>
      <c r="D22" s="3" t="s">
        <v>188</v>
      </c>
      <c r="F22" s="78">
        <f>'2. Parameters'!F96</f>
        <v>0.2</v>
      </c>
    </row>
    <row r="24" spans="1:18" ht="13">
      <c r="B24" s="2" t="s">
        <v>227</v>
      </c>
    </row>
    <row r="25" spans="1:18">
      <c r="B25" s="3" t="s">
        <v>227</v>
      </c>
      <c r="D25" s="3" t="s">
        <v>188</v>
      </c>
      <c r="F25" s="78">
        <f>'2. Parameters'!F91</f>
        <v>0.9</v>
      </c>
    </row>
    <row r="27" spans="1:18" ht="13">
      <c r="B27" s="16" t="s">
        <v>220</v>
      </c>
    </row>
    <row r="28" spans="1:18">
      <c r="B28" s="28" t="s">
        <v>208</v>
      </c>
      <c r="D28" s="3" t="s">
        <v>223</v>
      </c>
      <c r="H28" s="10"/>
      <c r="I28" s="10"/>
      <c r="J28" s="10"/>
      <c r="K28" s="54">
        <f>'2. Parameters'!K69</f>
        <v>1</v>
      </c>
      <c r="L28" s="54">
        <f>'2. Parameters'!L69</f>
        <v>1.02</v>
      </c>
      <c r="M28" s="54">
        <f>'2. Parameters'!M69</f>
        <v>1.0404</v>
      </c>
      <c r="N28" s="54">
        <f>'2. Parameters'!N69</f>
        <v>1.0612079999999999</v>
      </c>
      <c r="O28" s="54">
        <f>'2. Parameters'!O69</f>
        <v>1.10365632</v>
      </c>
      <c r="P28" s="54">
        <f>'2. Parameters'!P69</f>
        <v>1.1809122624000001</v>
      </c>
      <c r="Q28" s="54">
        <f>'2. Parameters'!Q69</f>
        <v>1.2399578755200003</v>
      </c>
      <c r="R28" s="54">
        <f>'2. Parameters'!R69</f>
        <v>1.2895561905408004</v>
      </c>
    </row>
    <row r="29" spans="1:18">
      <c r="B29" s="28" t="s">
        <v>209</v>
      </c>
      <c r="D29" s="3" t="s">
        <v>223</v>
      </c>
      <c r="H29" s="10"/>
      <c r="I29" s="10"/>
      <c r="J29" s="10"/>
      <c r="K29" s="10"/>
      <c r="L29" s="54">
        <f>'2. Parameters'!L70</f>
        <v>1</v>
      </c>
      <c r="M29" s="54">
        <f>'2. Parameters'!M70</f>
        <v>1.02</v>
      </c>
      <c r="N29" s="54">
        <f>'2. Parameters'!N70</f>
        <v>1.0404</v>
      </c>
      <c r="O29" s="54">
        <f>'2. Parameters'!O70</f>
        <v>1.0820160000000001</v>
      </c>
      <c r="P29" s="54">
        <f>'2. Parameters'!P70</f>
        <v>1.1577571200000001</v>
      </c>
      <c r="Q29" s="54">
        <f>'2. Parameters'!Q70</f>
        <v>1.2156449760000001</v>
      </c>
      <c r="R29" s="54">
        <f>'2. Parameters'!R70</f>
        <v>1.2642707750400002</v>
      </c>
    </row>
    <row r="30" spans="1:18">
      <c r="B30" s="28" t="s">
        <v>210</v>
      </c>
      <c r="D30" s="3" t="s">
        <v>223</v>
      </c>
      <c r="H30" s="10"/>
      <c r="I30" s="10"/>
      <c r="J30" s="10"/>
      <c r="K30" s="10"/>
      <c r="L30" s="10"/>
      <c r="M30" s="54">
        <f>'2. Parameters'!M71</f>
        <v>1</v>
      </c>
      <c r="N30" s="54">
        <f>'2. Parameters'!N71</f>
        <v>1.02</v>
      </c>
      <c r="O30" s="54">
        <f>'2. Parameters'!O71</f>
        <v>1.0608</v>
      </c>
      <c r="P30" s="54">
        <f>'2. Parameters'!P71</f>
        <v>1.1350560000000001</v>
      </c>
      <c r="Q30" s="54">
        <f>'2. Parameters'!Q71</f>
        <v>1.1918088000000002</v>
      </c>
      <c r="R30" s="54">
        <f>'2. Parameters'!R71</f>
        <v>1.2394811520000002</v>
      </c>
    </row>
    <row r="31" spans="1:18">
      <c r="B31" s="28" t="s">
        <v>211</v>
      </c>
      <c r="D31" s="3" t="s">
        <v>223</v>
      </c>
      <c r="H31" s="10"/>
      <c r="I31" s="10"/>
      <c r="J31" s="10"/>
      <c r="K31" s="10"/>
      <c r="L31" s="10"/>
      <c r="M31" s="10"/>
      <c r="N31" s="54">
        <f>'2. Parameters'!N72</f>
        <v>1</v>
      </c>
      <c r="O31" s="54">
        <f>'2. Parameters'!O72</f>
        <v>1.04</v>
      </c>
      <c r="P31" s="54">
        <f>'2. Parameters'!P72</f>
        <v>1.1128</v>
      </c>
      <c r="Q31" s="54">
        <f>'2. Parameters'!Q72</f>
        <v>1.1684400000000001</v>
      </c>
      <c r="R31" s="54">
        <f>'2. Parameters'!R72</f>
        <v>1.2151776000000003</v>
      </c>
    </row>
    <row r="32" spans="1:18">
      <c r="B32" s="28" t="s">
        <v>212</v>
      </c>
      <c r="D32" s="3" t="s">
        <v>223</v>
      </c>
      <c r="H32" s="10"/>
      <c r="I32" s="10"/>
      <c r="J32" s="10"/>
      <c r="K32" s="10"/>
      <c r="L32" s="10"/>
      <c r="M32" s="10"/>
      <c r="N32" s="10"/>
      <c r="O32" s="54">
        <f>'2. Parameters'!O73</f>
        <v>1</v>
      </c>
      <c r="P32" s="54">
        <f>'2. Parameters'!P73</f>
        <v>1.07</v>
      </c>
      <c r="Q32" s="54">
        <f>'2. Parameters'!Q73</f>
        <v>1.1235000000000002</v>
      </c>
      <c r="R32" s="54">
        <f>'2. Parameters'!R73</f>
        <v>1.1684400000000001</v>
      </c>
    </row>
    <row r="33" spans="2:18">
      <c r="B33" s="28" t="s">
        <v>213</v>
      </c>
      <c r="D33" s="3" t="s">
        <v>223</v>
      </c>
      <c r="H33" s="10"/>
      <c r="I33" s="10"/>
      <c r="J33" s="10"/>
      <c r="K33" s="10"/>
      <c r="L33" s="10"/>
      <c r="M33" s="10"/>
      <c r="N33" s="10"/>
      <c r="O33" s="10"/>
      <c r="P33" s="54">
        <f>'2. Parameters'!P74</f>
        <v>1</v>
      </c>
      <c r="Q33" s="54">
        <f>'2. Parameters'!Q74</f>
        <v>1.05</v>
      </c>
      <c r="R33" s="54">
        <f>'2. Parameters'!R74</f>
        <v>1.0920000000000001</v>
      </c>
    </row>
    <row r="34" spans="2:18">
      <c r="B34" s="28" t="s">
        <v>214</v>
      </c>
      <c r="D34" s="3" t="s">
        <v>223</v>
      </c>
      <c r="H34" s="10"/>
      <c r="I34" s="10"/>
      <c r="J34" s="10"/>
      <c r="K34" s="10"/>
      <c r="L34" s="10"/>
      <c r="M34" s="10"/>
      <c r="N34" s="10"/>
      <c r="O34" s="10"/>
      <c r="P34" s="10"/>
      <c r="Q34" s="54">
        <f>'2. Parameters'!Q75</f>
        <v>1</v>
      </c>
      <c r="R34" s="54">
        <f>'2. Parameters'!R75</f>
        <v>1.04</v>
      </c>
    </row>
    <row r="36" spans="2:18" ht="13">
      <c r="B36" s="2" t="s">
        <v>201</v>
      </c>
    </row>
    <row r="37" spans="2:18">
      <c r="B37" s="3" t="s">
        <v>1035</v>
      </c>
      <c r="D37" s="3" t="s">
        <v>205</v>
      </c>
      <c r="H37" s="32">
        <f>'2. Parameters'!H35</f>
        <v>1</v>
      </c>
      <c r="I37" s="32">
        <f>'2. Parameters'!I35</f>
        <v>1.014</v>
      </c>
      <c r="J37" s="32">
        <f>'2. Parameters'!J35</f>
        <v>1.026168</v>
      </c>
      <c r="K37" s="32">
        <f>'2. Parameters'!K35</f>
        <v>1.052848368</v>
      </c>
      <c r="L37" s="32">
        <f>'2. Parameters'!L35</f>
        <v>1.069693941888</v>
      </c>
      <c r="M37" s="32">
        <f>'2. Parameters'!M35</f>
        <v>1.0889484328419841</v>
      </c>
      <c r="N37" s="32">
        <f>'2. Parameters'!N35</f>
        <v>1.1564632356781872</v>
      </c>
      <c r="O37" s="32">
        <f>'2. Parameters'!O35</f>
        <v>1.2489802945324422</v>
      </c>
      <c r="P37" s="32">
        <f>'2. Parameters'!P35</f>
        <v>1.2839517427793505</v>
      </c>
      <c r="Q37" s="32">
        <f>'2. Parameters'!Q35</f>
        <v>1.3327419090049659</v>
      </c>
      <c r="R37" s="10"/>
    </row>
    <row r="38" spans="2:18">
      <c r="B38" s="3" t="s">
        <v>1036</v>
      </c>
      <c r="D38" s="3" t="s">
        <v>205</v>
      </c>
      <c r="H38" s="10"/>
      <c r="I38" s="32">
        <f>'2. Parameters'!I36</f>
        <v>1</v>
      </c>
      <c r="J38" s="32">
        <f>'2. Parameters'!J36</f>
        <v>1.012</v>
      </c>
      <c r="K38" s="32">
        <f>'2. Parameters'!K36</f>
        <v>1.0383120000000001</v>
      </c>
      <c r="L38" s="32">
        <f>'2. Parameters'!L36</f>
        <v>1.0549249920000001</v>
      </c>
      <c r="M38" s="32">
        <f>'2. Parameters'!M36</f>
        <v>1.0739136418560002</v>
      </c>
      <c r="N38" s="32">
        <f>'2. Parameters'!N36</f>
        <v>1.1404962876510722</v>
      </c>
      <c r="O38" s="32">
        <f>'2. Parameters'!O36</f>
        <v>1.2317359906631582</v>
      </c>
      <c r="P38" s="32">
        <f>'2. Parameters'!P36</f>
        <v>1.2662245984017266</v>
      </c>
      <c r="Q38" s="32">
        <f>'2. Parameters'!Q36</f>
        <v>1.3143411331409922</v>
      </c>
      <c r="R38" s="10"/>
    </row>
    <row r="39" spans="2:18">
      <c r="B39" s="3" t="s">
        <v>1037</v>
      </c>
      <c r="D39" s="3" t="s">
        <v>205</v>
      </c>
      <c r="H39" s="10"/>
      <c r="I39" s="10"/>
      <c r="J39" s="32">
        <f>'2. Parameters'!J37</f>
        <v>1</v>
      </c>
      <c r="K39" s="32">
        <f>'2. Parameters'!K37</f>
        <v>1.026</v>
      </c>
      <c r="L39" s="32">
        <f>'2. Parameters'!L37</f>
        <v>1.042416</v>
      </c>
      <c r="M39" s="32">
        <f>'2. Parameters'!M37</f>
        <v>1.0611794880000001</v>
      </c>
      <c r="N39" s="32">
        <f>'2. Parameters'!N37</f>
        <v>1.1269726162560001</v>
      </c>
      <c r="O39" s="32">
        <f>'2. Parameters'!O37</f>
        <v>1.2171304255564801</v>
      </c>
      <c r="P39" s="32">
        <f>'2. Parameters'!P37</f>
        <v>1.2512100774720616</v>
      </c>
      <c r="Q39" s="32">
        <f>'2. Parameters'!Q37</f>
        <v>1.298756060416</v>
      </c>
      <c r="R39" s="10"/>
    </row>
    <row r="40" spans="2:18">
      <c r="B40" s="3" t="s">
        <v>844</v>
      </c>
      <c r="D40" s="3" t="s">
        <v>205</v>
      </c>
      <c r="H40" s="10"/>
      <c r="I40" s="10"/>
      <c r="J40" s="10"/>
      <c r="K40" s="32">
        <f>'2. Parameters'!K38</f>
        <v>1</v>
      </c>
      <c r="L40" s="32">
        <f>'2. Parameters'!L38</f>
        <v>1.016</v>
      </c>
      <c r="M40" s="32">
        <f>'2. Parameters'!M38</f>
        <v>1.0342880000000001</v>
      </c>
      <c r="N40" s="32">
        <f>'2. Parameters'!N38</f>
        <v>1.0984138560000001</v>
      </c>
      <c r="O40" s="32">
        <f>'2. Parameters'!O38</f>
        <v>1.1862869644800003</v>
      </c>
      <c r="P40" s="32">
        <f>'2. Parameters'!P38</f>
        <v>1.2195029994854403</v>
      </c>
      <c r="Q40" s="32">
        <f>'2. Parameters'!Q38</f>
        <v>1.2658441134658871</v>
      </c>
      <c r="R40" s="10"/>
    </row>
    <row r="41" spans="2:18">
      <c r="B41" s="3" t="s">
        <v>845</v>
      </c>
      <c r="D41" s="3" t="s">
        <v>205</v>
      </c>
      <c r="H41" s="10"/>
      <c r="I41" s="10"/>
      <c r="J41" s="10"/>
      <c r="K41" s="10"/>
      <c r="L41" s="32">
        <f>'2. Parameters'!L39</f>
        <v>1</v>
      </c>
      <c r="M41" s="32">
        <f>'2. Parameters'!M39</f>
        <v>1.018</v>
      </c>
      <c r="N41" s="32">
        <f>'2. Parameters'!N39</f>
        <v>1.081116</v>
      </c>
      <c r="O41" s="32">
        <f>'2. Parameters'!O39</f>
        <v>1.1676052800000001</v>
      </c>
      <c r="P41" s="32">
        <f>'2. Parameters'!P39</f>
        <v>1.2002982278400001</v>
      </c>
      <c r="Q41" s="32">
        <f>'2. Parameters'!Q39</f>
        <v>1.24590956049792</v>
      </c>
      <c r="R41" s="10"/>
    </row>
    <row r="42" spans="2:18">
      <c r="B42" s="3" t="s">
        <v>846</v>
      </c>
      <c r="D42" s="3" t="s">
        <v>205</v>
      </c>
      <c r="H42" s="10"/>
      <c r="I42" s="10"/>
      <c r="J42" s="10"/>
      <c r="K42" s="10"/>
      <c r="L42" s="10"/>
      <c r="M42" s="32">
        <f>'2. Parameters'!M40</f>
        <v>1</v>
      </c>
      <c r="N42" s="32">
        <f>'2. Parameters'!N40</f>
        <v>1.0620000000000001</v>
      </c>
      <c r="O42" s="32">
        <f>'2. Parameters'!O40</f>
        <v>1.1469600000000002</v>
      </c>
      <c r="P42" s="32">
        <f>'2. Parameters'!P40</f>
        <v>1.1790748800000002</v>
      </c>
      <c r="Q42" s="32">
        <f>'2. Parameters'!Q40</f>
        <v>1.2238797254400002</v>
      </c>
      <c r="R42" s="10"/>
    </row>
    <row r="43" spans="2:18">
      <c r="B43" s="3" t="s">
        <v>847</v>
      </c>
      <c r="D43" s="3" t="s">
        <v>205</v>
      </c>
      <c r="H43" s="10"/>
      <c r="I43" s="10"/>
      <c r="J43" s="10"/>
      <c r="K43" s="10"/>
      <c r="L43" s="10"/>
      <c r="M43" s="10"/>
      <c r="N43" s="32">
        <f>'2. Parameters'!N41</f>
        <v>1</v>
      </c>
      <c r="O43" s="32">
        <f>'2. Parameters'!O41</f>
        <v>1.08</v>
      </c>
      <c r="P43" s="32">
        <f>'2. Parameters'!P41</f>
        <v>1.1102400000000001</v>
      </c>
      <c r="Q43" s="32">
        <f>'2. Parameters'!Q41</f>
        <v>1.1524291200000001</v>
      </c>
      <c r="R43" s="10"/>
    </row>
    <row r="44" spans="2:18">
      <c r="B44" s="3" t="s">
        <v>848</v>
      </c>
      <c r="D44" s="3" t="s">
        <v>205</v>
      </c>
      <c r="H44" s="10"/>
      <c r="I44" s="10"/>
      <c r="J44" s="10"/>
      <c r="K44" s="10"/>
      <c r="L44" s="10"/>
      <c r="M44" s="10"/>
      <c r="N44" s="10"/>
      <c r="O44" s="32">
        <f>'2. Parameters'!O42</f>
        <v>1</v>
      </c>
      <c r="P44" s="32">
        <f>'2. Parameters'!P42</f>
        <v>1.028</v>
      </c>
      <c r="Q44" s="32">
        <f>'2. Parameters'!Q42</f>
        <v>1.067064</v>
      </c>
      <c r="R44" s="10"/>
    </row>
    <row r="45" spans="2:18">
      <c r="B45" s="3" t="s">
        <v>849</v>
      </c>
      <c r="D45" s="3" t="s">
        <v>205</v>
      </c>
      <c r="H45" s="10"/>
      <c r="I45" s="10"/>
      <c r="J45" s="10"/>
      <c r="K45" s="10"/>
      <c r="L45" s="10"/>
      <c r="M45" s="10"/>
      <c r="N45" s="10"/>
      <c r="O45" s="10"/>
      <c r="P45" s="32">
        <f>'2. Parameters'!P43</f>
        <v>1</v>
      </c>
      <c r="Q45" s="32">
        <f>'2. Parameters'!Q43</f>
        <v>1.038</v>
      </c>
      <c r="R45" s="10"/>
    </row>
    <row r="46" spans="2:18">
      <c r="B46" s="3" t="s">
        <v>850</v>
      </c>
      <c r="D46" s="3" t="s">
        <v>205</v>
      </c>
      <c r="H46" s="10"/>
      <c r="I46" s="10"/>
      <c r="J46" s="10"/>
      <c r="K46" s="10"/>
      <c r="L46" s="10"/>
      <c r="M46" s="10"/>
      <c r="N46" s="10"/>
      <c r="O46" s="10"/>
      <c r="P46" s="10"/>
      <c r="Q46" s="32">
        <f>'2. Parameters'!Q44</f>
        <v>1</v>
      </c>
      <c r="R46" s="10"/>
    </row>
    <row r="47" spans="2:18" ht="13.5" customHeight="1"/>
    <row r="48" spans="2:18" ht="13">
      <c r="B48" s="2" t="s">
        <v>215</v>
      </c>
    </row>
    <row r="49" spans="2:18">
      <c r="B49" s="28" t="s">
        <v>204</v>
      </c>
      <c r="D49" s="3" t="s">
        <v>219</v>
      </c>
      <c r="H49" s="32">
        <f>'2. Parameters'!H52</f>
        <v>1</v>
      </c>
      <c r="I49" s="32">
        <f>'2. Parameters'!I52</f>
        <v>0.999</v>
      </c>
      <c r="J49" s="32">
        <f>'2. Parameters'!J52</f>
        <v>0.99800100000000003</v>
      </c>
      <c r="K49" s="32">
        <f>'2. Parameters'!K52</f>
        <v>0.997002999</v>
      </c>
      <c r="L49" s="32">
        <f>'2. Parameters'!L52</f>
        <v>0.99600599600100004</v>
      </c>
      <c r="M49" s="32">
        <f>'2. Parameters'!M52</f>
        <v>0.99202197201699605</v>
      </c>
      <c r="N49" s="32">
        <f>'2. Parameters'!N52</f>
        <v>0.98805388412892803</v>
      </c>
      <c r="O49" s="32">
        <f>'2. Parameters'!O52</f>
        <v>0.98410166859241233</v>
      </c>
      <c r="P49" s="32">
        <f>'2. Parameters'!P52</f>
        <v>0.98016526191804265</v>
      </c>
      <c r="Q49" s="32">
        <f>'2. Parameters'!Q52</f>
        <v>0.97624460087037046</v>
      </c>
      <c r="R49" s="10"/>
    </row>
    <row r="50" spans="2:18">
      <c r="B50" s="28" t="s">
        <v>206</v>
      </c>
      <c r="D50" s="3" t="s">
        <v>219</v>
      </c>
      <c r="H50" s="10"/>
      <c r="I50" s="32">
        <f>'2. Parameters'!I53</f>
        <v>1</v>
      </c>
      <c r="J50" s="32">
        <f>'2. Parameters'!J53</f>
        <v>0.999</v>
      </c>
      <c r="K50" s="32">
        <f>'2. Parameters'!K53</f>
        <v>0.99800100000000003</v>
      </c>
      <c r="L50" s="32">
        <f>'2. Parameters'!L53</f>
        <v>0.997002999</v>
      </c>
      <c r="M50" s="32">
        <f>'2. Parameters'!M53</f>
        <v>0.99301498700400004</v>
      </c>
      <c r="N50" s="32">
        <f>'2. Parameters'!N53</f>
        <v>0.98904292705598407</v>
      </c>
      <c r="O50" s="32">
        <f>'2. Parameters'!O53</f>
        <v>0.98508675534776013</v>
      </c>
      <c r="P50" s="32">
        <f>'2. Parameters'!P53</f>
        <v>0.98114640832636912</v>
      </c>
      <c r="Q50" s="32">
        <f>'2. Parameters'!Q53</f>
        <v>0.97722182269306368</v>
      </c>
      <c r="R50" s="10"/>
    </row>
    <row r="51" spans="2:18">
      <c r="B51" s="28" t="s">
        <v>207</v>
      </c>
      <c r="D51" s="3" t="s">
        <v>219</v>
      </c>
      <c r="H51" s="10"/>
      <c r="I51" s="10"/>
      <c r="J51" s="32">
        <f>'2. Parameters'!J54</f>
        <v>1</v>
      </c>
      <c r="K51" s="32">
        <f>'2. Parameters'!K54</f>
        <v>0.999</v>
      </c>
      <c r="L51" s="32">
        <f>'2. Parameters'!L54</f>
        <v>0.99800100000000003</v>
      </c>
      <c r="M51" s="32">
        <f>'2. Parameters'!M54</f>
        <v>0.99400899600000003</v>
      </c>
      <c r="N51" s="32">
        <f>'2. Parameters'!N54</f>
        <v>0.99003296001600005</v>
      </c>
      <c r="O51" s="32">
        <f>'2. Parameters'!O54</f>
        <v>0.986072828175936</v>
      </c>
      <c r="P51" s="32">
        <f>'2. Parameters'!P54</f>
        <v>0.9821285368632322</v>
      </c>
      <c r="Q51" s="32">
        <f>'2. Parameters'!Q54</f>
        <v>0.97820002271577933</v>
      </c>
      <c r="R51" s="10"/>
    </row>
    <row r="52" spans="2:18">
      <c r="B52" s="28" t="s">
        <v>208</v>
      </c>
      <c r="D52" s="3" t="s">
        <v>219</v>
      </c>
      <c r="H52" s="10"/>
      <c r="I52" s="10"/>
      <c r="J52" s="10"/>
      <c r="K52" s="32">
        <f>'2. Parameters'!K55</f>
        <v>1</v>
      </c>
      <c r="L52" s="32">
        <f>'2. Parameters'!L55</f>
        <v>0.999</v>
      </c>
      <c r="M52" s="32">
        <f>'2. Parameters'!M55</f>
        <v>0.995004</v>
      </c>
      <c r="N52" s="32">
        <f>'2. Parameters'!N55</f>
        <v>0.99102398400000002</v>
      </c>
      <c r="O52" s="32">
        <f>'2. Parameters'!O55</f>
        <v>0.98705988806400002</v>
      </c>
      <c r="P52" s="32">
        <f>'2. Parameters'!P55</f>
        <v>0.98311164851174404</v>
      </c>
      <c r="Q52" s="32">
        <f>'2. Parameters'!Q55</f>
        <v>0.97917920191769703</v>
      </c>
      <c r="R52" s="10"/>
    </row>
    <row r="53" spans="2:18">
      <c r="B53" s="28" t="s">
        <v>209</v>
      </c>
      <c r="D53" s="3" t="s">
        <v>219</v>
      </c>
      <c r="H53" s="10"/>
      <c r="I53" s="10"/>
      <c r="J53" s="10"/>
      <c r="K53" s="10"/>
      <c r="L53" s="32">
        <f>'2. Parameters'!L56</f>
        <v>1</v>
      </c>
      <c r="M53" s="32">
        <f>'2. Parameters'!M56</f>
        <v>0.996</v>
      </c>
      <c r="N53" s="32">
        <f>'2. Parameters'!N56</f>
        <v>0.99201600000000001</v>
      </c>
      <c r="O53" s="32">
        <f>'2. Parameters'!O56</f>
        <v>0.98804793599999996</v>
      </c>
      <c r="P53" s="32">
        <f>'2. Parameters'!P56</f>
        <v>0.98409574425599999</v>
      </c>
      <c r="Q53" s="32">
        <f>'2. Parameters'!Q56</f>
        <v>0.98015936127897596</v>
      </c>
      <c r="R53" s="10"/>
    </row>
    <row r="54" spans="2:18">
      <c r="B54" s="28" t="s">
        <v>210</v>
      </c>
      <c r="D54" s="3" t="s">
        <v>219</v>
      </c>
      <c r="H54" s="10"/>
      <c r="I54" s="10"/>
      <c r="J54" s="10"/>
      <c r="K54" s="10"/>
      <c r="L54" s="10"/>
      <c r="M54" s="32">
        <f>'2. Parameters'!M57</f>
        <v>1</v>
      </c>
      <c r="N54" s="32">
        <f>'2. Parameters'!N57</f>
        <v>0.996</v>
      </c>
      <c r="O54" s="32">
        <f>'2. Parameters'!O57</f>
        <v>0.99201600000000001</v>
      </c>
      <c r="P54" s="32">
        <f>'2. Parameters'!P57</f>
        <v>0.98804793599999996</v>
      </c>
      <c r="Q54" s="32">
        <f>'2. Parameters'!Q57</f>
        <v>0.98409574425599999</v>
      </c>
      <c r="R54" s="10"/>
    </row>
    <row r="55" spans="2:18">
      <c r="B55" s="28" t="s">
        <v>211</v>
      </c>
      <c r="D55" s="3" t="s">
        <v>219</v>
      </c>
      <c r="H55" s="10"/>
      <c r="I55" s="10"/>
      <c r="J55" s="10"/>
      <c r="K55" s="10"/>
      <c r="L55" s="10"/>
      <c r="M55" s="10"/>
      <c r="N55" s="32">
        <f>'2. Parameters'!N58</f>
        <v>1</v>
      </c>
      <c r="O55" s="32">
        <f>'2. Parameters'!O58</f>
        <v>0.996</v>
      </c>
      <c r="P55" s="32">
        <f>'2. Parameters'!P58</f>
        <v>0.99201600000000001</v>
      </c>
      <c r="Q55" s="32">
        <f>'2. Parameters'!Q58</f>
        <v>0.98804793599999996</v>
      </c>
      <c r="R55" s="10"/>
    </row>
    <row r="56" spans="2:18">
      <c r="B56" s="28" t="s">
        <v>212</v>
      </c>
      <c r="D56" s="3" t="s">
        <v>219</v>
      </c>
      <c r="H56" s="10"/>
      <c r="I56" s="10"/>
      <c r="J56" s="10"/>
      <c r="K56" s="10"/>
      <c r="L56" s="10"/>
      <c r="M56" s="10"/>
      <c r="N56" s="10"/>
      <c r="O56" s="32">
        <f>'2. Parameters'!O59</f>
        <v>1</v>
      </c>
      <c r="P56" s="32">
        <f>'2. Parameters'!P59</f>
        <v>0.996</v>
      </c>
      <c r="Q56" s="32">
        <f>'2. Parameters'!Q59</f>
        <v>0.99201600000000001</v>
      </c>
      <c r="R56" s="10"/>
    </row>
    <row r="57" spans="2:18">
      <c r="B57" s="28" t="s">
        <v>213</v>
      </c>
      <c r="D57" s="3" t="s">
        <v>219</v>
      </c>
      <c r="H57" s="10"/>
      <c r="I57" s="10"/>
      <c r="J57" s="10"/>
      <c r="K57" s="10"/>
      <c r="L57" s="10"/>
      <c r="M57" s="10"/>
      <c r="N57" s="10"/>
      <c r="O57" s="10"/>
      <c r="P57" s="32">
        <f>'2. Parameters'!P60</f>
        <v>1</v>
      </c>
      <c r="Q57" s="32">
        <f>'2. Parameters'!Q60</f>
        <v>0.996</v>
      </c>
      <c r="R57" s="10"/>
    </row>
    <row r="58" spans="2:18">
      <c r="B58" s="28" t="s">
        <v>214</v>
      </c>
      <c r="D58" s="3" t="s">
        <v>219</v>
      </c>
      <c r="H58" s="10"/>
      <c r="I58" s="10"/>
      <c r="J58" s="10"/>
      <c r="K58" s="10"/>
      <c r="L58" s="10"/>
      <c r="M58" s="10"/>
      <c r="N58" s="10"/>
      <c r="O58" s="10"/>
      <c r="P58" s="10"/>
      <c r="Q58" s="32">
        <f>'2. Parameters'!Q61</f>
        <v>1</v>
      </c>
      <c r="R58" s="10"/>
    </row>
    <row r="60" spans="2:18" s="8" customFormat="1" ht="13">
      <c r="B60" s="8" t="s">
        <v>1038</v>
      </c>
    </row>
    <row r="62" spans="2:18" ht="13">
      <c r="B62" s="241" t="s">
        <v>508</v>
      </c>
    </row>
    <row r="63" spans="2:18">
      <c r="B63" s="162" t="s">
        <v>508</v>
      </c>
      <c r="D63" s="3" t="s">
        <v>188</v>
      </c>
      <c r="F63" s="173">
        <f>'7. Input IC peakshaver'!F17</f>
        <v>0.77</v>
      </c>
    </row>
    <row r="65" spans="2:18" ht="13">
      <c r="B65" s="241" t="s">
        <v>510</v>
      </c>
      <c r="C65" s="241"/>
      <c r="D65" s="241"/>
    </row>
    <row r="66" spans="2:18">
      <c r="B66" s="3" t="s">
        <v>511</v>
      </c>
      <c r="D66" s="3" t="s">
        <v>189</v>
      </c>
      <c r="H66" s="10"/>
      <c r="I66" s="10"/>
      <c r="J66" s="10"/>
      <c r="K66" s="10"/>
      <c r="L66" s="10"/>
      <c r="M66" s="242">
        <f>'7. Input IC peakshaver'!M21</f>
        <v>7339829.2418518746</v>
      </c>
      <c r="N66" s="242">
        <f>'7. Input IC peakshaver'!N21</f>
        <v>6662159.7393988082</v>
      </c>
      <c r="O66" s="242">
        <f>'7. Input IC peakshaver'!O21</f>
        <v>6117183.5197096057</v>
      </c>
      <c r="P66" s="242">
        <f>'7. Input IC peakshaver'!P21</f>
        <v>5719048.4597574808</v>
      </c>
      <c r="Q66" s="242">
        <f>'7. Input IC peakshaver'!Q21</f>
        <v>5428026.4892949341</v>
      </c>
      <c r="R66" s="340"/>
    </row>
    <row r="67" spans="2:18">
      <c r="B67" s="3" t="s">
        <v>512</v>
      </c>
      <c r="D67" s="3" t="s">
        <v>189</v>
      </c>
      <c r="H67" s="10"/>
      <c r="I67" s="10"/>
      <c r="J67" s="10"/>
      <c r="K67" s="10"/>
      <c r="L67" s="10"/>
      <c r="M67" s="242">
        <f>'7. Input IC peakshaver'!M22</f>
        <v>92112966.285529599</v>
      </c>
      <c r="N67" s="242">
        <f>'7. Input IC peakshaver'!N22</f>
        <v>85450806.546130821</v>
      </c>
      <c r="O67" s="242">
        <f>'7. Input IC peakshaver'!O22</f>
        <v>79333623.026421189</v>
      </c>
      <c r="P67" s="242">
        <f>'7. Input IC peakshaver'!P22</f>
        <v>73614574.566663712</v>
      </c>
      <c r="Q67" s="242">
        <f>'7. Input IC peakshaver'!Q22</f>
        <v>68186548.077368766</v>
      </c>
      <c r="R67" s="340"/>
    </row>
    <row r="69" spans="2:18" ht="13">
      <c r="B69" s="2" t="s">
        <v>513</v>
      </c>
    </row>
    <row r="70" spans="2:18">
      <c r="B70" t="s">
        <v>514</v>
      </c>
      <c r="D70" s="3" t="s">
        <v>189</v>
      </c>
      <c r="H70" s="10"/>
      <c r="I70" s="10"/>
      <c r="J70" s="242">
        <f>'7. Input IC peakshaver'!J27</f>
        <v>4311221.7573385285</v>
      </c>
      <c r="K70" s="10"/>
      <c r="L70" s="10"/>
      <c r="M70" s="10"/>
      <c r="N70" s="10"/>
      <c r="O70" s="10"/>
      <c r="P70" s="10"/>
      <c r="Q70" s="10"/>
      <c r="R70" s="10"/>
    </row>
    <row r="71" spans="2:18">
      <c r="B71" s="117" t="s">
        <v>516</v>
      </c>
      <c r="D71" s="3" t="s">
        <v>189</v>
      </c>
      <c r="H71" s="10"/>
      <c r="I71" s="10"/>
      <c r="J71" s="242">
        <f>'7. Input IC peakshaver'!J28</f>
        <v>5089135.5900731999</v>
      </c>
      <c r="K71" s="10"/>
      <c r="L71" s="10"/>
      <c r="M71" s="10"/>
      <c r="N71" s="10"/>
      <c r="O71" s="10"/>
      <c r="P71" s="10"/>
      <c r="Q71" s="10"/>
      <c r="R71" s="10"/>
    </row>
    <row r="73" spans="2:18" ht="13">
      <c r="B73" s="2" t="s">
        <v>517</v>
      </c>
    </row>
    <row r="74" spans="2:18">
      <c r="B74" s="3" t="s">
        <v>945</v>
      </c>
      <c r="D74" s="3" t="s">
        <v>189</v>
      </c>
      <c r="H74" s="242">
        <f>'7. Input IC peakshaver'!H31</f>
        <v>1320509.5900000001</v>
      </c>
      <c r="I74" s="242">
        <f>'7. Input IC peakshaver'!I31</f>
        <v>1966066.3200000003</v>
      </c>
      <c r="J74" s="242">
        <f>'7. Input IC peakshaver'!J31</f>
        <v>1575548.13</v>
      </c>
      <c r="K74" s="10"/>
      <c r="L74" s="10"/>
      <c r="M74" s="10"/>
      <c r="N74" s="10"/>
      <c r="O74" s="10"/>
      <c r="P74" s="10"/>
      <c r="Q74" s="10"/>
      <c r="R74" s="10"/>
    </row>
    <row r="76" spans="2:18" s="240" customFormat="1" ht="13">
      <c r="B76" s="8" t="s">
        <v>1039</v>
      </c>
    </row>
    <row r="78" spans="2:18" ht="13">
      <c r="B78" s="2" t="s">
        <v>1040</v>
      </c>
    </row>
    <row r="79" spans="2:18">
      <c r="B79" s="3" t="s">
        <v>1041</v>
      </c>
      <c r="D79" s="3" t="s">
        <v>189</v>
      </c>
      <c r="H79" s="10"/>
      <c r="I79" s="10"/>
      <c r="J79" s="10"/>
      <c r="K79" s="10"/>
      <c r="L79" s="10"/>
      <c r="M79" s="43">
        <f>M67*M$15</f>
        <v>3776631.6177067137</v>
      </c>
      <c r="N79" s="43">
        <f>N67*N$15</f>
        <v>4357991.1338526718</v>
      </c>
      <c r="O79" s="43">
        <f>O67*O$15</f>
        <v>4046014.7743474804</v>
      </c>
      <c r="P79" s="43">
        <f>P67*P$15</f>
        <v>4048801.601166504</v>
      </c>
      <c r="Q79" s="243"/>
      <c r="R79" s="243"/>
    </row>
    <row r="80" spans="2:18">
      <c r="B80" s="3" t="s">
        <v>1042</v>
      </c>
      <c r="D80" s="3" t="s">
        <v>189</v>
      </c>
      <c r="H80" s="10"/>
      <c r="I80" s="10"/>
      <c r="J80" s="10"/>
      <c r="K80" s="10"/>
      <c r="L80" s="10"/>
      <c r="M80" s="43">
        <f>M66+M79</f>
        <v>11116460.859558588</v>
      </c>
      <c r="N80" s="43">
        <f>N66+N79</f>
        <v>11020150.873251479</v>
      </c>
      <c r="O80" s="43">
        <f>O66+O79</f>
        <v>10163198.294057086</v>
      </c>
      <c r="P80" s="43">
        <f>P66+P79</f>
        <v>9767850.0609239843</v>
      </c>
      <c r="Q80" s="10"/>
      <c r="R80" s="10"/>
    </row>
    <row r="81" spans="1:18">
      <c r="B81" s="3" t="s">
        <v>1043</v>
      </c>
      <c r="D81" s="3" t="s">
        <v>189</v>
      </c>
      <c r="H81" s="10"/>
      <c r="I81" s="10"/>
      <c r="J81" s="10"/>
      <c r="K81" s="10"/>
      <c r="L81" s="10"/>
      <c r="M81" s="10"/>
      <c r="N81" s="10"/>
      <c r="O81" s="43">
        <f>-$F$63*M80*O30</f>
        <v>-9080103.093461208</v>
      </c>
      <c r="P81" s="43">
        <f>-$F$63*N80*P31</f>
        <v>-9442682.3966507707</v>
      </c>
      <c r="Q81" s="43">
        <f>-$F$63*O80*Q32</f>
        <v>-8792132.0281973165</v>
      </c>
      <c r="R81" s="43">
        <f>-$F$63*P80*R33</f>
        <v>-8213199.0452273237</v>
      </c>
    </row>
    <row r="83" spans="1:18" s="240" customFormat="1" ht="13">
      <c r="B83" s="8" t="s">
        <v>1044</v>
      </c>
    </row>
    <row r="85" spans="1:18" ht="13">
      <c r="B85" s="2" t="s">
        <v>1045</v>
      </c>
    </row>
    <row r="86" spans="1:18">
      <c r="B86" s="3" t="s">
        <v>1046</v>
      </c>
      <c r="D86" s="3" t="s">
        <v>189</v>
      </c>
      <c r="H86" s="10"/>
      <c r="I86" s="10"/>
      <c r="J86" s="10"/>
      <c r="K86" s="10"/>
      <c r="L86" s="10"/>
      <c r="M86" s="43">
        <f>SUM($J$70:$J$71)*M$39*M$51</f>
        <v>9915703.3378574643</v>
      </c>
      <c r="N86" s="43">
        <f>SUM($J$70:$J$71)*N$39*N$51</f>
        <v>10488355.037025411</v>
      </c>
      <c r="O86" s="43">
        <f>SUM($J$70:$J$71)*O$39*O$51</f>
        <v>11282113.746227492</v>
      </c>
      <c r="P86" s="43">
        <f>SUM($J$70:$J$71)*P$39*P$51</f>
        <v>11551620.879397374</v>
      </c>
      <c r="Q86" s="10"/>
      <c r="R86" s="10"/>
    </row>
    <row r="88" spans="1:18">
      <c r="B88" s="3" t="s">
        <v>1043</v>
      </c>
      <c r="D88" s="3" t="s">
        <v>189</v>
      </c>
      <c r="H88" s="10"/>
      <c r="I88" s="10"/>
      <c r="J88" s="10"/>
      <c r="K88" s="10"/>
      <c r="L88" s="10"/>
      <c r="M88" s="10"/>
      <c r="N88" s="10"/>
      <c r="O88" s="43">
        <f>-$F$63*(M86*O30)</f>
        <v>-8099305.1376153817</v>
      </c>
      <c r="P88" s="43">
        <f>-$F$63*(N86*P31)</f>
        <v>-8987009.9436054453</v>
      </c>
      <c r="Q88" s="43">
        <f>-$F$63*(O86*Q32)</f>
        <v>-9760100.1912926733</v>
      </c>
      <c r="R88" s="43">
        <f>-$F$63*(P86*R33)</f>
        <v>-9713064.9002324883</v>
      </c>
    </row>
    <row r="90" spans="1:18" s="240" customFormat="1" ht="13">
      <c r="B90" s="8" t="s">
        <v>1047</v>
      </c>
    </row>
    <row r="92" spans="1:18">
      <c r="B92" s="3" t="s">
        <v>1048</v>
      </c>
      <c r="D92" s="3" t="s">
        <v>189</v>
      </c>
      <c r="H92" s="10"/>
      <c r="I92" s="10"/>
      <c r="J92" s="10"/>
      <c r="K92" s="10"/>
      <c r="L92" s="10"/>
      <c r="M92" s="43">
        <f>AVERAGE($H$74*M$37*M$49,$I$74*M$38*M$50,$J$74*M$39*M$51)</f>
        <v>1728351.6194830742</v>
      </c>
      <c r="N92" s="43">
        <f>AVERAGE($H$74*N$37*N$49,$I$74*N$38*N$50,$J$74*N$39*N$51)</f>
        <v>1828167.3822114607</v>
      </c>
      <c r="O92" s="43">
        <f>AVERAGE($H$74*O$37*O$49,$I$74*O$38*O$50,$J$74*O$39*O$51)</f>
        <v>1966523.0896972241</v>
      </c>
      <c r="P92" s="43">
        <f>AVERAGE($H$74*P$37*P$49,$I$74*P$38*P$50,$J$74*P$39*P$51)</f>
        <v>2013499.3932639111</v>
      </c>
      <c r="Q92" s="10"/>
      <c r="R92" s="10"/>
    </row>
    <row r="94" spans="1:18">
      <c r="B94" s="3" t="s">
        <v>1043</v>
      </c>
      <c r="D94" s="3" t="s">
        <v>189</v>
      </c>
      <c r="H94" s="10"/>
      <c r="I94" s="10"/>
      <c r="J94" s="10"/>
      <c r="K94" s="10"/>
      <c r="L94" s="10"/>
      <c r="M94" s="10"/>
      <c r="N94" s="10"/>
      <c r="O94" s="43">
        <f>-$F$63*M92*O30</f>
        <v>-1411745.2564196866</v>
      </c>
      <c r="P94" s="43">
        <f>-$F$63*N92*P31</f>
        <v>-1566476.1904521834</v>
      </c>
      <c r="Q94" s="43">
        <f>-$F$63*O92*Q32</f>
        <v>-1701229.2922816202</v>
      </c>
      <c r="R94" s="43">
        <f>-$F$63*P92*R33</f>
        <v>-1693030.8298320272</v>
      </c>
    </row>
    <row r="95" spans="1:18" s="89" customFormat="1">
      <c r="A95" s="3"/>
      <c r="O95" s="186"/>
    </row>
    <row r="96" spans="1:18" s="240" customFormat="1" ht="13">
      <c r="B96" s="8" t="s">
        <v>1049</v>
      </c>
    </row>
    <row r="98" spans="2:18">
      <c r="B98" s="3" t="s">
        <v>1050</v>
      </c>
      <c r="D98" s="3" t="s">
        <v>189</v>
      </c>
      <c r="H98" s="10"/>
      <c r="I98" s="10"/>
      <c r="J98" s="10"/>
      <c r="K98" s="10"/>
      <c r="L98" s="10"/>
      <c r="M98" s="43">
        <f>SUMIFS('17. Nacalculatie bijschatten'!AN$217:AN$339,'17. Nacalculatie bijschatten'!$I$217:$I$339,"16 LNG installaties",'17. Nacalculatie bijschatten'!$H$217:$H$339,2020)*M$15
+SUMIFS('17. Nacalculatie bijschatten'!AT$217:AT$339,'17. Nacalculatie bijschatten'!$I$217:$I$339,"16 LNG installaties",'17. Nacalculatie bijschatten'!$H$217:$H$339,2020)
+SUMIFS('17. Nacalculatie bijschatten'!AH$217:AH$339,'17. Nacalculatie bijschatten'!$I$217:$I$339,"16 LNG installaties",'17. Nacalculatie bijschatten'!$H$217:$H$339,2020)</f>
        <v>46064.373901539235</v>
      </c>
      <c r="N98" s="43">
        <f>SUMIFS('17. Nacalculatie bijschatten'!AO$217:AO$339,'17. Nacalculatie bijschatten'!$I$217:$I$339,"16 LNG installaties",'17. Nacalculatie bijschatten'!$H$217:$H$339,2020)*N$15
+SUMIFS('17. Nacalculatie bijschatten'!AU$217:AU$339,'17. Nacalculatie bijschatten'!$I$217:$I$339,"16 LNG installaties",'17. Nacalculatie bijschatten'!$H$217:$H$339,2020)
+SUMIFS('17. Nacalculatie bijschatten'!AI$217:AI$339,'17. Nacalculatie bijschatten'!$I$217:$I$339,"16 LNG installaties",'17. Nacalculatie bijschatten'!$H$217:$H$339,2020)</f>
        <v>49051.074670627742</v>
      </c>
      <c r="O98" s="43">
        <f>SUMIFS('17. Nacalculatie bijschatten'!AP$217:AP$339,'17. Nacalculatie bijschatten'!$I$217:$I$339,"16 LNG installaties",'17. Nacalculatie bijschatten'!$H$217:$H$339,2020)*O$15
+SUMIFS('17. Nacalculatie bijschatten'!AV$217:AV$339,'17. Nacalculatie bijschatten'!$I$217:$I$339,"16 LNG installaties",'17. Nacalculatie bijschatten'!$H$217:$H$339,2020)
+SUMIFS('17. Nacalculatie bijschatten'!AJ$217:AJ$339,'17. Nacalculatie bijschatten'!$I$217:$I$339,"16 LNG installaties",'17. Nacalculatie bijschatten'!$H$217:$H$339,2020)</f>
        <v>47577.535665136267</v>
      </c>
      <c r="P98" s="43">
        <f>SUMIFS('17. Nacalculatie bijschatten'!AQ$217:AQ$339,'17. Nacalculatie bijschatten'!$I$217:$I$339,"16 LNG installaties",'17. Nacalculatie bijschatten'!$H$217:$H$339,2020)*P$15
+SUMIFS('17. Nacalculatie bijschatten'!AW$217:AW$339,'17. Nacalculatie bijschatten'!$I$217:$I$339,"16 LNG installaties",'17. Nacalculatie bijschatten'!$H$217:$H$339,2020)
+SUMIFS('17. Nacalculatie bijschatten'!AK$217:AK$339,'17. Nacalculatie bijschatten'!$I$217:$I$339,"16 LNG installaties",'17. Nacalculatie bijschatten'!$H$217:$H$339,2020)</f>
        <v>47536.431696589076</v>
      </c>
      <c r="Q98" s="10"/>
      <c r="R98" s="10"/>
    </row>
    <row r="99" spans="2:18">
      <c r="B99" s="3" t="s">
        <v>1051</v>
      </c>
      <c r="D99" s="3" t="s">
        <v>189</v>
      </c>
      <c r="H99" s="10"/>
      <c r="I99" s="10"/>
      <c r="J99" s="10"/>
      <c r="K99" s="10"/>
      <c r="L99" s="10"/>
      <c r="M99" s="43">
        <f>SUMIFS('17. Nacalculatie bijschatten'!AN$217:AN$339,'17. Nacalculatie bijschatten'!$I$217:$I$339,"16 LNG installaties",'17. Nacalculatie bijschatten'!$H$217:$H$339,2021)*M$15
+SUMIFS('17. Nacalculatie bijschatten'!AT$217:AT$339,'17. Nacalculatie bijschatten'!$I$217:$I$339,"16 LNG installaties",'17. Nacalculatie bijschatten'!$H$217:$H$339,2021)
+SUMIFS('17. Nacalculatie bijschatten'!AH$217:AH$339,'17. Nacalculatie bijschatten'!$I$217:$I$339,"16 LNG installaties",'17. Nacalculatie bijschatten'!$H$217:$H$339,2021)</f>
        <v>27541.27802254694</v>
      </c>
      <c r="N99" s="43">
        <f>SUMIFS('17. Nacalculatie bijschatten'!AO$217:AO$339,'17. Nacalculatie bijschatten'!$I$217:$I$339,"16 LNG installaties",'17. Nacalculatie bijschatten'!$H$217:$H$339,2021)*N$15
+SUMIFS('17. Nacalculatie bijschatten'!AU$217:AU$339,'17. Nacalculatie bijschatten'!$I$217:$I$339,"16 LNG installaties",'17. Nacalculatie bijschatten'!$H$217:$H$339,2021)
+SUMIFS('17. Nacalculatie bijschatten'!AI$217:AI$339,'17. Nacalculatie bijschatten'!$I$217:$I$339,"16 LNG installaties",'17. Nacalculatie bijschatten'!$H$217:$H$339,2021)</f>
        <v>29418.296798326017</v>
      </c>
      <c r="O99" s="43">
        <f>SUMIFS('17. Nacalculatie bijschatten'!AP$217:AP$339,'17. Nacalculatie bijschatten'!$I$217:$I$339,"16 LNG installaties",'17. Nacalculatie bijschatten'!$H$217:$H$339,2021)*O$15
+SUMIFS('17. Nacalculatie bijschatten'!AV$217:AV$339,'17. Nacalculatie bijschatten'!$I$217:$I$339,"16 LNG installaties",'17. Nacalculatie bijschatten'!$H$217:$H$339,2021)
+SUMIFS('17. Nacalculatie bijschatten'!AJ$217:AJ$339,'17. Nacalculatie bijschatten'!$I$217:$I$339,"16 LNG installaties",'17. Nacalculatie bijschatten'!$H$217:$H$339,2021)</f>
        <v>28565.681728396528</v>
      </c>
      <c r="P99" s="43">
        <f>SUMIFS('17. Nacalculatie bijschatten'!AQ$217:AQ$339,'17. Nacalculatie bijschatten'!$I$217:$I$339,"16 LNG installaties",'17. Nacalculatie bijschatten'!$H$217:$H$339,2021)*P$15
+SUMIFS('17. Nacalculatie bijschatten'!AW$217:AW$339,'17. Nacalculatie bijschatten'!$I$217:$I$339,"16 LNG installaties",'17. Nacalculatie bijschatten'!$H$217:$H$339,2021)
+SUMIFS('17. Nacalculatie bijschatten'!AK$217:AK$339,'17. Nacalculatie bijschatten'!$I$217:$I$339,"16 LNG installaties",'17. Nacalculatie bijschatten'!$H$217:$H$339,2021)</f>
        <v>28594.011379385287</v>
      </c>
      <c r="Q99" s="10"/>
      <c r="R99" s="10"/>
    </row>
    <row r="100" spans="2:18">
      <c r="B100" s="3" t="s">
        <v>1052</v>
      </c>
      <c r="D100" s="3" t="s">
        <v>189</v>
      </c>
      <c r="H100" s="10"/>
      <c r="I100" s="10"/>
      <c r="J100" s="10"/>
      <c r="K100" s="10"/>
      <c r="L100" s="10"/>
      <c r="M100" s="43">
        <f>SUMIFS('17. Nacalculatie bijschatten'!AN$217:AN$339,'17. Nacalculatie bijschatten'!$I$217:$I$339,"16 LNG installaties",'17. Nacalculatie bijschatten'!$H$217:$H$339,2022)*M$15
+SUMIFS('17. Nacalculatie bijschatten'!AT$217:AT$339,'17. Nacalculatie bijschatten'!$I$217:$I$339,"16 LNG installaties",'17. Nacalculatie bijschatten'!$H$217:$H$339,2022)
+SUMIFS('17. Nacalculatie bijschatten'!AH$217:AH$339,'17. Nacalculatie bijschatten'!$I$217:$I$339,"16 LNG installaties",'17. Nacalculatie bijschatten'!$H$217:$H$339,2022)</f>
        <v>741850.1575410401</v>
      </c>
      <c r="N100" s="43">
        <f>SUMIFS('17. Nacalculatie bijschatten'!AO$217:AO$339,'17. Nacalculatie bijschatten'!$I$217:$I$339,"16 LNG installaties",'17. Nacalculatie bijschatten'!$H$217:$H$339,2022)*N$15
+SUMIFS('17. Nacalculatie bijschatten'!AU$217:AU$339,'17. Nacalculatie bijschatten'!$I$217:$I$339,"16 LNG installaties",'17. Nacalculatie bijschatten'!$H$217:$H$339,2022)
+SUMIFS('17. Nacalculatie bijschatten'!AI$217:AI$339,'17. Nacalculatie bijschatten'!$I$217:$I$339,"16 LNG installaties",'17. Nacalculatie bijschatten'!$H$217:$H$339,2022)</f>
        <v>1039132.1199240423</v>
      </c>
      <c r="O100" s="43">
        <f>SUMIFS('17. Nacalculatie bijschatten'!AP$217:AP$339,'17. Nacalculatie bijschatten'!$I$217:$I$339,"16 LNG installaties",'17. Nacalculatie bijschatten'!$H$217:$H$339,2022)*O$15
+SUMIFS('17. Nacalculatie bijschatten'!AV$217:AV$339,'17. Nacalculatie bijschatten'!$I$217:$I$339,"16 LNG installaties",'17. Nacalculatie bijschatten'!$H$217:$H$339,2022)
+SUMIFS('17. Nacalculatie bijschatten'!AJ$217:AJ$339,'17. Nacalculatie bijschatten'!$I$217:$I$339,"16 LNG installaties",'17. Nacalculatie bijschatten'!$H$217:$H$339,2022)</f>
        <v>1009119.8979105589</v>
      </c>
      <c r="P100" s="43">
        <f>SUMIFS('17. Nacalculatie bijschatten'!AQ$217:AQ$339,'17. Nacalculatie bijschatten'!$I$217:$I$339,"16 LNG installaties",'17. Nacalculatie bijschatten'!$H$217:$H$339,2022)*P$15
+SUMIFS('17. Nacalculatie bijschatten'!AW$217:AW$339,'17. Nacalculatie bijschatten'!$I$217:$I$339,"16 LNG installaties",'17. Nacalculatie bijschatten'!$H$217:$H$339,2022)
+SUMIFS('17. Nacalculatie bijschatten'!AK$217:AK$339,'17. Nacalculatie bijschatten'!$I$217:$I$339,"16 LNG installaties",'17. Nacalculatie bijschatten'!$H$217:$H$339,2022)</f>
        <v>1010952.9642065404</v>
      </c>
      <c r="Q100" s="10"/>
      <c r="R100" s="10"/>
    </row>
    <row r="101" spans="2:18">
      <c r="B101" s="3" t="s">
        <v>1053</v>
      </c>
      <c r="D101" s="3" t="s">
        <v>189</v>
      </c>
      <c r="H101" s="10"/>
      <c r="I101" s="10"/>
      <c r="J101" s="10"/>
      <c r="K101" s="10"/>
      <c r="L101" s="10"/>
      <c r="M101" s="10"/>
      <c r="N101" s="43">
        <f>SUMIFS('17. Nacalculatie bijschatten'!AO$217:AO$339,'17. Nacalculatie bijschatten'!$I$217:$I$339,"16 LNG installaties",'17. Nacalculatie bijschatten'!$H$217:$H$339,2023)*N$15
+SUMIFS('17. Nacalculatie bijschatten'!AU$217:AU$339,'17. Nacalculatie bijschatten'!$I$217:$I$339,"16 LNG installaties",'17. Nacalculatie bijschatten'!$H$217:$H$339,2023)
+SUMIFS('17. Nacalculatie bijschatten'!AI$217:AI$339,'17. Nacalculatie bijschatten'!$I$217:$I$339,"16 LNG installaties",'17. Nacalculatie bijschatten'!$H$217:$H$339,2023)</f>
        <v>177048.90175185984</v>
      </c>
      <c r="O101" s="43">
        <f>SUMIFS('17. Nacalculatie bijschatten'!AP$217:AP$339,'17. Nacalculatie bijschatten'!$I$217:$I$339,"16 LNG installaties",'17. Nacalculatie bijschatten'!$H$217:$H$339,2023)*O$15
+SUMIFS('17. Nacalculatie bijschatten'!AV$217:AV$339,'17. Nacalculatie bijschatten'!$I$217:$I$339,"16 LNG installaties",'17. Nacalculatie bijschatten'!$H$217:$H$339,2023)
+SUMIFS('17. Nacalculatie bijschatten'!AJ$217:AJ$339,'17. Nacalculatie bijschatten'!$I$217:$I$339,"16 LNG installaties",'17. Nacalculatie bijschatten'!$H$217:$H$339,2023)</f>
        <v>218452.50303054863</v>
      </c>
      <c r="P101" s="43">
        <f>SUMIFS('17. Nacalculatie bijschatten'!AQ$217:AQ$339,'17. Nacalculatie bijschatten'!$I$217:$I$339,"16 LNG installaties",'17. Nacalculatie bijschatten'!$H$217:$H$339,2023)*P$15
+SUMIFS('17. Nacalculatie bijschatten'!AW$217:AW$339,'17. Nacalculatie bijschatten'!$I$217:$I$339,"16 LNG installaties",'17. Nacalculatie bijschatten'!$H$217:$H$339,2023)
+SUMIFS('17. Nacalculatie bijschatten'!AK$217:AK$339,'17. Nacalculatie bijschatten'!$I$217:$I$339,"16 LNG installaties",'17. Nacalculatie bijschatten'!$H$217:$H$339,2023)</f>
        <v>218806.29192485299</v>
      </c>
      <c r="Q101" s="10"/>
      <c r="R101" s="10"/>
    </row>
    <row r="102" spans="2:18">
      <c r="B102" s="3" t="s">
        <v>1054</v>
      </c>
      <c r="D102" s="3" t="s">
        <v>189</v>
      </c>
      <c r="H102" s="10"/>
      <c r="I102" s="10"/>
      <c r="J102" s="10"/>
      <c r="K102" s="10"/>
      <c r="L102" s="10"/>
      <c r="M102" s="10"/>
      <c r="N102" s="10"/>
      <c r="O102" s="43">
        <f>SUMIFS('17. Nacalculatie bijschatten'!AP$217:AP$339,'17. Nacalculatie bijschatten'!$I$217:$I$339,"16 LNG installaties",'17. Nacalculatie bijschatten'!$H$217:$H$339,2024)*O$15
+SUMIFS('17. Nacalculatie bijschatten'!AV$217:AV$339,'17. Nacalculatie bijschatten'!$I$217:$I$339,"16 LNG installaties",'17. Nacalculatie bijschatten'!$H$217:$H$339,2024)
+SUMIFS('17. Nacalculatie bijschatten'!AJ$217:AJ$339,'17. Nacalculatie bijschatten'!$I$217:$I$339,"16 LNG installaties",'17. Nacalculatie bijschatten'!$H$217:$H$339,2024)</f>
        <v>26304.94165591224</v>
      </c>
      <c r="P102" s="43">
        <f>SUMIFS('17. Nacalculatie bijschatten'!AQ$217:AQ$339,'17. Nacalculatie bijschatten'!$I$217:$I$339,"16 LNG installaties",'17. Nacalculatie bijschatten'!$H$217:$H$339,2024)*P$15
+SUMIFS('17. Nacalculatie bijschatten'!AW$217:AW$339,'17. Nacalculatie bijschatten'!$I$217:$I$339,"16 LNG installaties",'17. Nacalculatie bijschatten'!$H$217:$H$339,2024)
+SUMIFS('17. Nacalculatie bijschatten'!AK$217:AK$339,'17. Nacalculatie bijschatten'!$I$217:$I$339,"16 LNG installaties",'17. Nacalculatie bijschatten'!$H$217:$H$339,2024)</f>
        <v>33504.754758911098</v>
      </c>
      <c r="Q102" s="10"/>
      <c r="R102" s="10"/>
    </row>
    <row r="103" spans="2:18">
      <c r="B103" s="3" t="s">
        <v>1113</v>
      </c>
      <c r="D103" s="3" t="s">
        <v>189</v>
      </c>
      <c r="H103" s="10"/>
      <c r="I103" s="10"/>
      <c r="J103" s="10"/>
      <c r="K103" s="10"/>
      <c r="L103" s="10"/>
      <c r="M103" s="10"/>
      <c r="N103" s="10"/>
      <c r="O103" s="10"/>
      <c r="P103" s="43">
        <f>SUMIFS('17. Nacalculatie bijschatten'!AQ$217:AQ$339,'17. Nacalculatie bijschatten'!$I$217:$I$339,"16 LNG installaties",'17. Nacalculatie bijschatten'!$H$217:$H$339,2025)*P$15
+SUMIFS('17. Nacalculatie bijschatten'!AW$217:AW$339,'17. Nacalculatie bijschatten'!$I$217:$I$339,"16 LNG installaties",'17. Nacalculatie bijschatten'!$H$217:$H$339,2025)
+SUMIFS('17. Nacalculatie bijschatten'!AK$217:AK$339,'17. Nacalculatie bijschatten'!$I$217:$I$339,"16 LNG installaties",'17. Nacalculatie bijschatten'!$H$217:$H$339,2025)</f>
        <v>456012.21897617722</v>
      </c>
      <c r="Q103" s="10"/>
      <c r="R103" s="10"/>
    </row>
    <row r="105" spans="2:18">
      <c r="B105" s="3" t="s">
        <v>1043</v>
      </c>
      <c r="D105" s="3" t="s">
        <v>189</v>
      </c>
      <c r="H105" s="228"/>
      <c r="I105" s="228"/>
      <c r="J105" s="228"/>
      <c r="K105" s="228"/>
      <c r="L105" s="228"/>
      <c r="M105" s="10"/>
      <c r="N105" s="10"/>
      <c r="O105" s="43">
        <f>-$F$63*SUM(M98:M100)*O30</f>
        <v>-666077.35246406659</v>
      </c>
      <c r="P105" s="43">
        <f>-$F$63*SUM(N98:N101)*P31</f>
        <v>-1109328.9572685286</v>
      </c>
      <c r="Q105" s="43">
        <f>-$F$63*SUM(O98:O102)*Q32</f>
        <v>-1150594.1363450272</v>
      </c>
      <c r="R105" s="43">
        <f>-$F$63*SUM(P98:P103)*R33</f>
        <v>-1509649.746876935</v>
      </c>
    </row>
    <row r="107" spans="2:18" s="240" customFormat="1" ht="13">
      <c r="B107" s="8" t="s">
        <v>1055</v>
      </c>
    </row>
    <row r="108" spans="2:18">
      <c r="K108" s="166"/>
      <c r="L108" s="166"/>
      <c r="M108" s="166"/>
      <c r="N108" s="166"/>
    </row>
    <row r="109" spans="2:18">
      <c r="B109" s="3" t="s">
        <v>1056</v>
      </c>
      <c r="D109" s="3" t="s">
        <v>189</v>
      </c>
      <c r="H109" s="10"/>
      <c r="I109" s="10"/>
      <c r="J109" s="10"/>
      <c r="K109" s="42">
        <f>SUMIFS('19. Indexatie desinvesteringen'!$D$895:$D$1672,'19. Indexatie desinvesteringen'!$D$18:$D$795,"16 LNG installaties",'19. Indexatie desinvesteringen'!$G$18:$G$795,'23. Correctie peakshaver'!K10)+
SUMIFS('19. Indexatie desinvesteringen'!$D$895:$D$1672,'19. Indexatie desinvesteringen'!$D$18:$D$795,"06 Utiliteitsgebouwen (LNG)",'19. Indexatie desinvesteringen'!$G$18:$G$795,'23. Correctie peakshaver'!K10)</f>
        <v>417533.58819327998</v>
      </c>
      <c r="L109" s="42">
        <f>SUMIFS('19. Indexatie desinvesteringen'!$D$895:$D$1672,'19. Indexatie desinvesteringen'!$D$18:$D$795,"16 LNG installaties",'19. Indexatie desinvesteringen'!$G$18:$G$795,'23. Correctie peakshaver'!L10)+
SUMIFS('19. Indexatie desinvesteringen'!$D$895:$D$1672,'19. Indexatie desinvesteringen'!$D$18:$D$795,"06 Utiliteitsgebouwen (LNG)",'19. Indexatie desinvesteringen'!$G$18:$G$795,'23. Correctie peakshaver'!L10)</f>
        <v>132355954.29857111</v>
      </c>
      <c r="M109" s="42">
        <f>SUMIFS('19. Indexatie desinvesteringen'!$D$895:$D$1672,'19. Indexatie desinvesteringen'!$D$18:$D$795,"16 LNG installaties",'19. Indexatie desinvesteringen'!$G$18:$G$795,'23. Correctie peakshaver'!M10)+
SUMIFS('19. Indexatie desinvesteringen'!$D$895:$D$1672,'19. Indexatie desinvesteringen'!$D$18:$D$795,"06 Utiliteitsgebouwen (LNG)",'19. Indexatie desinvesteringen'!$G$18:$G$795,'23. Correctie peakshaver'!M10)</f>
        <v>6175396.5452503702</v>
      </c>
      <c r="N109" s="42">
        <f>SUMIFS('19. Indexatie desinvesteringen'!$D$895:$D$1672,'19. Indexatie desinvesteringen'!$D$18:$D$795,"16 LNG installaties",'19. Indexatie desinvesteringen'!$G$18:$G$795,'23. Correctie peakshaver'!N10)+
SUMIFS('19. Indexatie desinvesteringen'!$D$895:$D$1672,'19. Indexatie desinvesteringen'!$D$18:$D$795,"06 Utiliteitsgebouwen (LNG)",'19. Indexatie desinvesteringen'!$G$18:$G$795,'23. Correctie peakshaver'!N10)</f>
        <v>2525665.1004047501</v>
      </c>
      <c r="O109" s="42">
        <f>SUMIFS('19. Indexatie desinvesteringen'!$D$895:$D$1672,'19. Indexatie desinvesteringen'!$D$18:$D$795,"16 LNG installaties",'19. Indexatie desinvesteringen'!$G$18:$G$795,'23. Correctie peakshaver'!O10)+
SUMIFS('19. Indexatie desinvesteringen'!$D$895:$D$1672,'19. Indexatie desinvesteringen'!$D$18:$D$795,"06 Utiliteitsgebouwen (LNG)",'19. Indexatie desinvesteringen'!$G$18:$G$795,'23. Correctie peakshaver'!O10)</f>
        <v>0</v>
      </c>
      <c r="P109" s="42">
        <f>SUMIFS('19. Indexatie desinvesteringen'!$D$895:$D$1672,'19. Indexatie desinvesteringen'!$D$18:$D$795,"16 LNG installaties",'19. Indexatie desinvesteringen'!$G$18:$G$795,'23. Correctie peakshaver'!P10)+
SUMIFS('19. Indexatie desinvesteringen'!$D$895:$D$1672,'19. Indexatie desinvesteringen'!$D$18:$D$795,"06 Utiliteitsgebouwen (LNG)",'19. Indexatie desinvesteringen'!$G$18:$G$795,'23. Correctie peakshaver'!P10)</f>
        <v>1747558.4142420378</v>
      </c>
      <c r="Q109" s="10"/>
      <c r="R109" s="10"/>
    </row>
    <row r="111" spans="2:18">
      <c r="B111" s="3" t="s">
        <v>968</v>
      </c>
      <c r="D111" s="3" t="s">
        <v>189</v>
      </c>
      <c r="H111" s="228"/>
      <c r="I111" s="228"/>
      <c r="J111" s="228"/>
      <c r="K111" s="228"/>
      <c r="L111" s="228"/>
      <c r="M111" s="47">
        <f>$F$18*$K$109*M$40*M$52</f>
        <v>4296.9245736584444</v>
      </c>
      <c r="N111" s="47">
        <f>$F$18*$K$109*N$40*N$52</f>
        <v>4545.0805616363659</v>
      </c>
      <c r="O111" s="47">
        <f>$F$18*$K$109*O$40*O$52</f>
        <v>4889.0522585410072</v>
      </c>
      <c r="P111" s="47">
        <f>$F$18*$K$109*P$40*P$52</f>
        <v>5005.8419388930351</v>
      </c>
      <c r="Q111" s="95"/>
      <c r="R111" s="95"/>
    </row>
    <row r="112" spans="2:18">
      <c r="B112" s="3" t="s">
        <v>970</v>
      </c>
      <c r="D112" s="3" t="s">
        <v>189</v>
      </c>
      <c r="H112" s="228"/>
      <c r="I112" s="228"/>
      <c r="J112" s="228"/>
      <c r="K112" s="228"/>
      <c r="L112" s="228"/>
      <c r="M112" s="47">
        <f>$F$18*$L$109*M$41*M$53</f>
        <v>1341994.0803004161</v>
      </c>
      <c r="N112" s="47">
        <f>$F$18*$L$109*N$41*N$53</f>
        <v>1419496.9224259255</v>
      </c>
      <c r="O112" s="47">
        <f>$F$18*$L$109*O$41*O$53</f>
        <v>1526924.4495151197</v>
      </c>
      <c r="P112" s="47">
        <f>$F$18*$L$109*P$41*P$53</f>
        <v>1563399.620765137</v>
      </c>
      <c r="Q112" s="95"/>
      <c r="R112" s="95"/>
    </row>
    <row r="113" spans="2:20">
      <c r="B113" s="3" t="s">
        <v>972</v>
      </c>
      <c r="D113" s="3" t="s">
        <v>189</v>
      </c>
      <c r="H113" s="228"/>
      <c r="I113" s="228"/>
      <c r="J113" s="228"/>
      <c r="K113" s="228"/>
      <c r="L113" s="228"/>
      <c r="M113" s="47">
        <f>$F$18*$M$109*M$42*M$54</f>
        <v>61753.965452503704</v>
      </c>
      <c r="N113" s="47">
        <f>$F$18*$M$109*N$42*N$54</f>
        <v>65320.380465316703</v>
      </c>
      <c r="O113" s="47">
        <f>$F$18*$M$109*O$42*O$54</f>
        <v>70263.826858931876</v>
      </c>
      <c r="P113" s="47">
        <f>$F$18*$M$109*P$42*P$54</f>
        <v>71942.289154938029</v>
      </c>
      <c r="Q113" s="95"/>
      <c r="R113" s="95"/>
    </row>
    <row r="114" spans="2:20">
      <c r="B114" s="3" t="s">
        <v>974</v>
      </c>
      <c r="D114" s="3" t="s">
        <v>189</v>
      </c>
      <c r="H114" s="228"/>
      <c r="I114" s="228"/>
      <c r="J114" s="228"/>
      <c r="K114" s="228"/>
      <c r="L114" s="228"/>
      <c r="M114" s="228"/>
      <c r="N114" s="47">
        <f>$F$18*$N$109*N$43*N$55</f>
        <v>25256.6510040475</v>
      </c>
      <c r="O114" s="47">
        <f>$F$18*$N$109*O$43*O$55</f>
        <v>27168.074352033818</v>
      </c>
      <c r="P114" s="47">
        <f>$F$18*$N$109*P$43*P$55</f>
        <v>27817.065312155202</v>
      </c>
      <c r="Q114" s="95"/>
      <c r="R114" s="95"/>
    </row>
    <row r="115" spans="2:20">
      <c r="B115" s="3" t="s">
        <v>976</v>
      </c>
      <c r="D115" s="3" t="s">
        <v>189</v>
      </c>
      <c r="H115" s="228"/>
      <c r="I115" s="228"/>
      <c r="J115" s="228"/>
      <c r="K115" s="228"/>
      <c r="L115" s="228"/>
      <c r="M115" s="228"/>
      <c r="N115" s="228"/>
      <c r="O115" s="47">
        <f>$F$18*$O$109*O$44*O$56</f>
        <v>0</v>
      </c>
      <c r="P115" s="47">
        <f>$F$18*$O$109*P$44*P$56</f>
        <v>0</v>
      </c>
      <c r="Q115" s="95"/>
      <c r="R115" s="95"/>
    </row>
    <row r="116" spans="2:20">
      <c r="B116" s="3" t="s">
        <v>1111</v>
      </c>
      <c r="D116" s="3" t="s">
        <v>189</v>
      </c>
      <c r="H116" s="228"/>
      <c r="I116" s="228"/>
      <c r="J116" s="228"/>
      <c r="K116" s="228"/>
      <c r="L116" s="228"/>
      <c r="M116" s="228"/>
      <c r="N116" s="228"/>
      <c r="O116" s="228"/>
      <c r="P116" s="47">
        <f>$F$18*$P$109*P$45*P$57</f>
        <v>17475.584142420379</v>
      </c>
      <c r="Q116" s="95"/>
      <c r="R116" s="95"/>
    </row>
    <row r="118" spans="2:20">
      <c r="B118" s="3" t="s">
        <v>1043</v>
      </c>
      <c r="D118" s="3" t="s">
        <v>189</v>
      </c>
      <c r="H118" s="228"/>
      <c r="I118" s="228"/>
      <c r="J118" s="228"/>
      <c r="K118" s="228"/>
      <c r="L118" s="228"/>
      <c r="M118" s="10"/>
      <c r="N118" s="10"/>
      <c r="O118" s="47">
        <f>-$F$63*(-SUM(M111:M113)*O30)</f>
        <v>1150113.6604822744</v>
      </c>
      <c r="P118" s="47">
        <f>-$F$63*(-SUM(N111:N114)*P31)</f>
        <v>1297810.407388624</v>
      </c>
      <c r="Q118" s="47">
        <f>-$F$63*(-SUM(O111:O115)*Q32)</f>
        <v>1409452.0518949858</v>
      </c>
      <c r="R118" s="47">
        <f>-$F$63*(-SUM(P111:P116)*R33)</f>
        <v>1417353.8750404802</v>
      </c>
    </row>
    <row r="119" spans="2:20">
      <c r="M119" s="88"/>
      <c r="N119" s="88"/>
      <c r="O119" s="88"/>
    </row>
    <row r="120" spans="2:20" s="240" customFormat="1" ht="13">
      <c r="B120" s="8" t="s">
        <v>469</v>
      </c>
    </row>
    <row r="122" spans="2:20">
      <c r="B122" s="3" t="s">
        <v>901</v>
      </c>
      <c r="D122" s="3" t="s">
        <v>189</v>
      </c>
      <c r="H122" s="228"/>
      <c r="I122" s="228"/>
      <c r="J122" s="228"/>
      <c r="K122" s="228"/>
      <c r="L122" s="228"/>
      <c r="M122" s="10"/>
      <c r="N122" s="10"/>
      <c r="O122" s="10"/>
      <c r="P122" s="10"/>
      <c r="Q122" s="10"/>
      <c r="R122" s="10"/>
      <c r="T122" s="3" t="s">
        <v>1057</v>
      </c>
    </row>
    <row r="123" spans="2:20">
      <c r="B123" s="3" t="s">
        <v>904</v>
      </c>
      <c r="D123" s="3" t="s">
        <v>189</v>
      </c>
      <c r="H123" s="228"/>
      <c r="I123" s="228"/>
      <c r="J123" s="228"/>
      <c r="K123" s="228"/>
      <c r="L123" s="228"/>
      <c r="M123" s="43">
        <f>SUMIFS('18. Nacalculatie desinv.'!AH$52:AH384,'18. Nacalculatie desinv.'!$H52:$H384,M$10,'18. Nacalculatie desinv.'!$I$52:$I$384,"16 LNG installaties")
-SUMIFS('18. Nacalculatie desinv.'!$J$52:$J$384,'18. Nacalculatie desinv.'!$H52:$H384,M$10,'18. Nacalculatie desinv.'!$I$52:$I$384,"16 LNG installaties")*$F$25</f>
        <v>494801.16396341531</v>
      </c>
      <c r="N123" s="43">
        <f>SUMIFS('18. Nacalculatie desinv.'!AI$52:AI384,'18. Nacalculatie desinv.'!$H52:$H384,N$10,'18. Nacalculatie desinv.'!$I$52:$I$384,"16 LNG installaties")
-SUMIFS('18. Nacalculatie desinv.'!$J$52:$J$384,'18. Nacalculatie desinv.'!$H52:$H384,N$10,'18. Nacalculatie desinv.'!$I$52:$I$384,"16 LNG installaties")*$F$25</f>
        <v>0</v>
      </c>
      <c r="O123" s="43">
        <f>SUMIFS('18. Nacalculatie desinv.'!AJ$52:AJ384,'18. Nacalculatie desinv.'!$H52:$H384,O$10,'18. Nacalculatie desinv.'!$I$52:$I$384,"16 LNG installaties")
-SUMIFS('18. Nacalculatie desinv.'!$J$52:$J$384,'18. Nacalculatie desinv.'!$H52:$H384,O$10,'18. Nacalculatie desinv.'!$I$52:$I$384,"16 LNG installaties")*$F$25</f>
        <v>0</v>
      </c>
      <c r="P123" s="43">
        <f>SUMIFS('18. Nacalculatie desinv.'!AK$52:AK384,'18. Nacalculatie desinv.'!$H52:$H384,P$10,'18. Nacalculatie desinv.'!$I$52:$I$384,"16 LNG installaties")
-SUMIFS('18. Nacalculatie desinv.'!$J$52:$J$384,'18. Nacalculatie desinv.'!$H52:$H384,P$10,'18. Nacalculatie desinv.'!$I$52:$I$384,"16 LNG installaties")*$F$25</f>
        <v>0</v>
      </c>
      <c r="Q123" s="10"/>
      <c r="R123" s="10"/>
    </row>
    <row r="125" spans="2:20">
      <c r="B125" s="3" t="s">
        <v>1043</v>
      </c>
      <c r="D125" s="3" t="s">
        <v>189</v>
      </c>
      <c r="H125" s="228"/>
      <c r="I125" s="228"/>
      <c r="J125" s="228"/>
      <c r="K125" s="228"/>
      <c r="L125" s="228"/>
      <c r="M125" s="10"/>
      <c r="N125" s="10"/>
      <c r="O125" s="43">
        <f>-$F$63*((M123-M122)*O30)</f>
        <v>-404161.50754394103</v>
      </c>
      <c r="P125" s="43">
        <f>-$F$63*((N123-N122)*P31)</f>
        <v>0</v>
      </c>
      <c r="Q125" s="43">
        <f>-$F$63*((O123-O122)*Q32)</f>
        <v>0</v>
      </c>
      <c r="R125" s="43">
        <f>-$F$63*((P123-P122)*R33)</f>
        <v>0</v>
      </c>
    </row>
    <row r="126" spans="2:20">
      <c r="M126" s="88"/>
      <c r="N126" s="88"/>
      <c r="O126" s="88"/>
    </row>
    <row r="127" spans="2:20" s="8" customFormat="1" ht="13">
      <c r="B127" s="8" t="s">
        <v>1058</v>
      </c>
    </row>
    <row r="129" spans="2:18">
      <c r="B129" s="3" t="s">
        <v>1059</v>
      </c>
      <c r="D129" s="3" t="s">
        <v>189</v>
      </c>
      <c r="H129" s="228"/>
      <c r="I129" s="228"/>
      <c r="J129" s="228"/>
      <c r="K129" s="228"/>
      <c r="L129" s="228"/>
      <c r="M129" s="228"/>
      <c r="N129" s="93"/>
      <c r="O129" s="43">
        <f>O125+O118+O88+O105+O94+O81</f>
        <v>-18511278.687022008</v>
      </c>
      <c r="P129" s="43">
        <f>P125+P118+P88+P105+P94+P81</f>
        <v>-19807687.080588304</v>
      </c>
      <c r="Q129" s="43">
        <f>Q125+Q118+Q88+Q105+Q94+Q81</f>
        <v>-19994603.596221652</v>
      </c>
      <c r="R129" s="51">
        <f>R125+R118+R88+R105+R94+R81</f>
        <v>-19711590.647128295</v>
      </c>
    </row>
    <row r="132" spans="2:18">
      <c r="P132" s="88"/>
    </row>
    <row r="135" spans="2:18">
      <c r="M135" s="88"/>
    </row>
    <row r="136" spans="2:18">
      <c r="M136" s="88"/>
    </row>
    <row r="137" spans="2:18">
      <c r="M137" s="88"/>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3"/>
  <sheetViews>
    <sheetView showGridLines="0" zoomScale="85" zoomScaleNormal="85" workbookViewId="0">
      <pane ySplit="3" topLeftCell="A4" activePane="bottomLeft" state="frozen"/>
      <selection activeCell="C40" sqref="C40"/>
      <selection pane="bottomLeft" activeCell="A4" sqref="A4"/>
    </sheetView>
  </sheetViews>
  <sheetFormatPr defaultColWidth="9.1796875" defaultRowHeight="12.5"/>
  <cols>
    <col min="1" max="1" width="2.54296875" style="3" customWidth="1"/>
    <col min="2" max="2" width="7.54296875" style="3" customWidth="1"/>
    <col min="3" max="3" width="71.1796875" style="3" bestFit="1" customWidth="1"/>
    <col min="4" max="4" width="51.453125" style="3" bestFit="1" customWidth="1"/>
    <col min="5" max="5" width="36.453125" style="3" customWidth="1"/>
    <col min="6" max="6" width="40.54296875" style="3" customWidth="1"/>
    <col min="7" max="7" width="4.54296875" style="3" customWidth="1"/>
    <col min="8" max="16384" width="9.1796875" style="3"/>
  </cols>
  <sheetData>
    <row r="2" spans="2:10" s="12" customFormat="1" ht="18">
      <c r="B2" s="12" t="s">
        <v>85</v>
      </c>
    </row>
    <row r="4" spans="2:10" s="8" customFormat="1" ht="13">
      <c r="B4" s="8" t="s">
        <v>86</v>
      </c>
    </row>
    <row r="6" spans="2:10" ht="13">
      <c r="B6" s="17" t="s">
        <v>87</v>
      </c>
    </row>
    <row r="7" spans="2:10" ht="13">
      <c r="B7" s="17" t="s">
        <v>88</v>
      </c>
    </row>
    <row r="9" spans="2:10" ht="13">
      <c r="B9" s="11" t="s">
        <v>89</v>
      </c>
      <c r="C9" s="11" t="s">
        <v>90</v>
      </c>
      <c r="D9" s="11" t="s">
        <v>91</v>
      </c>
      <c r="E9" s="11" t="s">
        <v>92</v>
      </c>
      <c r="F9" s="11" t="s">
        <v>93</v>
      </c>
      <c r="J9" s="13"/>
    </row>
    <row r="10" spans="2:10">
      <c r="B10" s="15"/>
      <c r="C10" s="15" t="s">
        <v>94</v>
      </c>
      <c r="D10" s="15" t="s">
        <v>95</v>
      </c>
      <c r="E10" s="15" t="s">
        <v>96</v>
      </c>
      <c r="F10" s="15" t="s">
        <v>97</v>
      </c>
    </row>
    <row r="11" spans="2:10">
      <c r="B11" s="6">
        <v>1</v>
      </c>
      <c r="C11" s="6" t="s">
        <v>98</v>
      </c>
      <c r="D11" s="135" t="s">
        <v>98</v>
      </c>
      <c r="E11" s="6" t="s">
        <v>99</v>
      </c>
      <c r="F11" s="6"/>
    </row>
    <row r="12" spans="2:10">
      <c r="B12" s="6">
        <v>2</v>
      </c>
      <c r="C12" s="6" t="s">
        <v>100</v>
      </c>
      <c r="D12" s="90" t="s">
        <v>101</v>
      </c>
      <c r="E12" s="6" t="s">
        <v>102</v>
      </c>
      <c r="F12" s="6"/>
    </row>
    <row r="13" spans="2:10">
      <c r="B13" s="6">
        <v>3</v>
      </c>
      <c r="C13" s="6" t="s">
        <v>103</v>
      </c>
      <c r="D13" s="29" t="s">
        <v>104</v>
      </c>
      <c r="E13" s="6" t="s">
        <v>7</v>
      </c>
      <c r="F13" s="6"/>
    </row>
    <row r="14" spans="2:10" ht="12" customHeight="1">
      <c r="B14" s="6">
        <v>4</v>
      </c>
      <c r="C14" s="6" t="s">
        <v>105</v>
      </c>
      <c r="D14" s="29" t="s">
        <v>106</v>
      </c>
      <c r="E14" s="6" t="s">
        <v>107</v>
      </c>
      <c r="F14" s="6"/>
    </row>
    <row r="15" spans="2:10">
      <c r="B15" s="6">
        <v>5</v>
      </c>
      <c r="C15" s="6" t="s">
        <v>108</v>
      </c>
      <c r="D15" s="151" t="s">
        <v>109</v>
      </c>
      <c r="E15" s="6" t="s">
        <v>110</v>
      </c>
      <c r="F15" s="6"/>
    </row>
    <row r="16" spans="2:10">
      <c r="B16" s="6">
        <v>6</v>
      </c>
      <c r="C16" s="6" t="s">
        <v>111</v>
      </c>
      <c r="D16" s="29" t="s">
        <v>112</v>
      </c>
      <c r="E16" s="6" t="s">
        <v>7</v>
      </c>
      <c r="F16" s="6"/>
    </row>
    <row r="17" spans="2:6">
      <c r="B17" s="6">
        <v>7</v>
      </c>
      <c r="C17" s="6" t="s">
        <v>113</v>
      </c>
      <c r="D17" s="139" t="s">
        <v>114</v>
      </c>
      <c r="E17" s="6" t="s">
        <v>115</v>
      </c>
      <c r="F17" s="6"/>
    </row>
    <row r="18" spans="2:6">
      <c r="B18" s="6">
        <v>8</v>
      </c>
      <c r="C18" s="6" t="s">
        <v>116</v>
      </c>
      <c r="D18" s="191" t="s">
        <v>117</v>
      </c>
      <c r="E18" s="6" t="s">
        <v>118</v>
      </c>
      <c r="F18" s="6"/>
    </row>
    <row r="19" spans="2:6">
      <c r="B19" s="6">
        <v>9</v>
      </c>
      <c r="C19" s="6" t="s">
        <v>119</v>
      </c>
      <c r="D19" s="29" t="s">
        <v>119</v>
      </c>
      <c r="E19" s="6" t="s">
        <v>7</v>
      </c>
      <c r="F19" s="6"/>
    </row>
    <row r="20" spans="2:6">
      <c r="B20" s="6">
        <v>10</v>
      </c>
      <c r="C20" s="6" t="s">
        <v>120</v>
      </c>
      <c r="D20" s="29" t="s">
        <v>120</v>
      </c>
      <c r="E20" s="6" t="s">
        <v>121</v>
      </c>
      <c r="F20" s="6"/>
    </row>
    <row r="21" spans="2:6">
      <c r="B21" s="6">
        <v>11</v>
      </c>
      <c r="C21" s="6" t="s">
        <v>122</v>
      </c>
      <c r="D21" s="29" t="s">
        <v>123</v>
      </c>
      <c r="E21" s="6" t="s">
        <v>124</v>
      </c>
      <c r="F21" s="6"/>
    </row>
    <row r="22" spans="2:6">
      <c r="B22" s="6">
        <v>12</v>
      </c>
      <c r="C22" s="6" t="s">
        <v>125</v>
      </c>
      <c r="D22" s="29" t="s">
        <v>126</v>
      </c>
      <c r="E22" s="6" t="s">
        <v>121</v>
      </c>
      <c r="F22" s="6"/>
    </row>
    <row r="23" spans="2:6">
      <c r="B23" s="6">
        <v>13</v>
      </c>
      <c r="C23" s="6" t="s">
        <v>127</v>
      </c>
      <c r="D23" s="135" t="s">
        <v>128</v>
      </c>
      <c r="E23" s="6" t="s">
        <v>129</v>
      </c>
      <c r="F23" s="6"/>
    </row>
    <row r="24" spans="2:6">
      <c r="B24" s="6">
        <v>14</v>
      </c>
      <c r="C24" s="6" t="s">
        <v>130</v>
      </c>
      <c r="D24" s="328" t="s">
        <v>130</v>
      </c>
      <c r="E24" s="6" t="s">
        <v>131</v>
      </c>
      <c r="F24" s="6"/>
    </row>
    <row r="25" spans="2:6">
      <c r="B25" s="6">
        <v>15</v>
      </c>
      <c r="C25" s="6" t="s">
        <v>1160</v>
      </c>
      <c r="D25" s="294" t="s">
        <v>132</v>
      </c>
      <c r="E25" s="6" t="s">
        <v>1161</v>
      </c>
      <c r="F25" s="6"/>
    </row>
    <row r="26" spans="2:6">
      <c r="B26" s="6">
        <v>16</v>
      </c>
      <c r="C26" s="6" t="s">
        <v>134</v>
      </c>
      <c r="D26" s="151" t="s">
        <v>1143</v>
      </c>
      <c r="E26" s="6" t="s">
        <v>133</v>
      </c>
      <c r="F26" s="6"/>
    </row>
    <row r="27" spans="2:6">
      <c r="B27" s="6">
        <v>17</v>
      </c>
      <c r="C27" s="6" t="s">
        <v>1141</v>
      </c>
      <c r="D27" s="349" t="s">
        <v>1142</v>
      </c>
      <c r="E27" s="6" t="s">
        <v>133</v>
      </c>
      <c r="F27" s="6"/>
    </row>
    <row r="28" spans="2:6">
      <c r="B28" s="6">
        <v>18</v>
      </c>
      <c r="C28" s="6" t="s">
        <v>1120</v>
      </c>
      <c r="D28" s="349" t="s">
        <v>1166</v>
      </c>
      <c r="E28" s="6" t="s">
        <v>1121</v>
      </c>
      <c r="F28" s="6"/>
    </row>
    <row r="29" spans="2:6" ht="13">
      <c r="D29" s="292"/>
      <c r="E29" s="293"/>
    </row>
    <row r="30" spans="2:6" s="8" customFormat="1" ht="13">
      <c r="B30" s="8" t="s">
        <v>135</v>
      </c>
      <c r="E30" s="152"/>
    </row>
    <row r="32" spans="2:6" ht="13">
      <c r="B32" s="17" t="s">
        <v>136</v>
      </c>
    </row>
    <row r="33" spans="2:2" ht="13">
      <c r="B33"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 ref="D27" r:id="rId15" xr:uid="{88EEA329-0639-4B35-B1EB-2ED3BD9F0F67}"/>
    <hyperlink ref="D26" r:id="rId16" xr:uid="{2C7D7BBB-9625-4678-AAFE-88F4BE9AD5FA}"/>
    <hyperlink ref="D28" r:id="rId17" display="https://www.acm.nl/nl/publicaties/inkomstenbesluit-gts-2027-2031" xr:uid="{DA193A00-76D7-45BF-AA76-6921686B40BB}"/>
  </hyperlinks>
  <pageMargins left="0.75" right="0.75" top="1" bottom="1" header="0.5" footer="0.5"/>
  <pageSetup paperSize="9" scale="45" orientation="portrait" r:id="rId18"/>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AC59-B00A-44AA-8F68-1963F33DE64D}">
  <sheetPr>
    <tabColor rgb="FFFFFFCC"/>
  </sheetPr>
  <dimension ref="B2:T25"/>
  <sheetViews>
    <sheetView showGridLines="0" zoomScale="85" zoomScaleNormal="85" workbookViewId="0">
      <pane xSplit="4" ySplit="9" topLeftCell="E10" activePane="bottomRight" state="frozen"/>
      <selection pane="topRight" activeCell="E1" sqref="E1"/>
      <selection pane="bottomLeft" activeCell="A11" sqref="A11"/>
      <selection pane="bottomRight" activeCell="E10" sqref="E10"/>
    </sheetView>
  </sheetViews>
  <sheetFormatPr defaultColWidth="9.1796875" defaultRowHeight="12.5"/>
  <cols>
    <col min="1" max="1" width="2.54296875" style="3" customWidth="1"/>
    <col min="2" max="2" width="57.453125" style="3" customWidth="1"/>
    <col min="3" max="3" width="2.54296875" style="3" customWidth="1"/>
    <col min="4" max="4" width="13.54296875" style="3" customWidth="1"/>
    <col min="5" max="5" width="2.54296875" style="3" customWidth="1"/>
    <col min="6" max="6" width="13.54296875" style="3" customWidth="1"/>
    <col min="7" max="7" width="2.54296875" style="3" customWidth="1"/>
    <col min="8" max="18" width="14.54296875" style="3" customWidth="1"/>
    <col min="19" max="19" width="2.54296875" style="3" customWidth="1"/>
    <col min="20" max="33" width="13.54296875" style="3" customWidth="1"/>
    <col min="34" max="16384" width="9.1796875" style="3"/>
  </cols>
  <sheetData>
    <row r="2" spans="2:20" s="12" customFormat="1" ht="18">
      <c r="B2" s="12" t="s">
        <v>1134</v>
      </c>
    </row>
    <row r="4" spans="2:20" ht="13">
      <c r="B4" s="16" t="s">
        <v>837</v>
      </c>
      <c r="C4" s="2"/>
    </row>
    <row r="5" spans="2:20" ht="67" customHeight="1">
      <c r="B5" s="352" t="s">
        <v>1135</v>
      </c>
      <c r="C5" s="352"/>
      <c r="D5" s="352"/>
      <c r="F5" s="13"/>
    </row>
    <row r="6" spans="2:20" ht="13">
      <c r="B6" s="4"/>
    </row>
    <row r="7" spans="2:20" ht="13">
      <c r="B7" s="17" t="s">
        <v>140</v>
      </c>
    </row>
    <row r="9" spans="2:20" s="8" customFormat="1" ht="13">
      <c r="B9" s="8" t="s">
        <v>143</v>
      </c>
      <c r="D9" s="8" t="s">
        <v>184</v>
      </c>
      <c r="F9" s="8" t="s">
        <v>185</v>
      </c>
      <c r="H9" s="46">
        <v>2017</v>
      </c>
      <c r="I9" s="46">
        <v>2018</v>
      </c>
      <c r="J9" s="46">
        <v>2019</v>
      </c>
      <c r="K9" s="46">
        <v>2020</v>
      </c>
      <c r="L9" s="46">
        <v>2021</v>
      </c>
      <c r="M9" s="46">
        <v>2022</v>
      </c>
      <c r="N9" s="46">
        <v>2023</v>
      </c>
      <c r="O9" s="46">
        <v>2024</v>
      </c>
      <c r="P9" s="46">
        <v>2025</v>
      </c>
      <c r="Q9" s="46">
        <v>2026</v>
      </c>
      <c r="R9" s="46">
        <v>2027</v>
      </c>
      <c r="T9" s="8" t="s">
        <v>187</v>
      </c>
    </row>
    <row r="11" spans="2:20" s="8" customFormat="1" ht="13">
      <c r="B11" s="8" t="s">
        <v>841</v>
      </c>
    </row>
    <row r="12" spans="2:20">
      <c r="P12" s="88"/>
    </row>
    <row r="13" spans="2:20" ht="13">
      <c r="B13" s="16" t="s">
        <v>220</v>
      </c>
    </row>
    <row r="14" spans="2:20">
      <c r="B14" s="28" t="s">
        <v>213</v>
      </c>
      <c r="D14" s="3" t="s">
        <v>223</v>
      </c>
      <c r="H14" s="10"/>
      <c r="I14" s="10"/>
      <c r="J14" s="10"/>
      <c r="K14" s="10"/>
      <c r="L14" s="10"/>
      <c r="M14" s="10"/>
      <c r="N14" s="10"/>
      <c r="O14" s="10"/>
      <c r="P14" s="10"/>
      <c r="Q14" s="10"/>
      <c r="R14" s="54">
        <f xml:space="preserve"> '2. Parameters'!R74</f>
        <v>1.0920000000000001</v>
      </c>
    </row>
    <row r="16" spans="2:20" s="8" customFormat="1" ht="13">
      <c r="B16" s="8" t="s">
        <v>1011</v>
      </c>
    </row>
    <row r="18" spans="2:18">
      <c r="B18" s="3" t="s">
        <v>1133</v>
      </c>
      <c r="D18" s="3" t="s">
        <v>189</v>
      </c>
      <c r="H18" s="10"/>
      <c r="I18" s="10"/>
      <c r="J18" s="10"/>
      <c r="K18" s="10"/>
      <c r="L18" s="10"/>
      <c r="M18" s="10"/>
      <c r="N18" s="10"/>
      <c r="O18" s="10"/>
      <c r="P18" s="52">
        <f xml:space="preserve"> '4. Input nacalculaties'!Q55</f>
        <v>-10000000</v>
      </c>
      <c r="Q18" s="10"/>
      <c r="R18" s="10"/>
    </row>
    <row r="20" spans="2:18" s="8" customFormat="1" ht="13">
      <c r="B20" s="8" t="s">
        <v>1022</v>
      </c>
    </row>
    <row r="22" spans="2:18">
      <c r="B22" s="3" t="s">
        <v>1031</v>
      </c>
      <c r="D22" s="3" t="s">
        <v>189</v>
      </c>
      <c r="H22" s="10"/>
      <c r="I22" s="10"/>
      <c r="J22" s="10"/>
      <c r="K22" s="10"/>
      <c r="L22" s="10"/>
      <c r="M22" s="10"/>
      <c r="N22" s="10"/>
      <c r="O22" s="10"/>
      <c r="P22" s="10"/>
      <c r="Q22" s="10"/>
      <c r="R22" s="51">
        <f xml:space="preserve"> - P18 * R14</f>
        <v>10920000</v>
      </c>
    </row>
    <row r="25" spans="2:18">
      <c r="P25" s="88"/>
    </row>
  </sheetData>
  <mergeCells count="1">
    <mergeCell ref="B5:D5"/>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4"/>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796875" defaultRowHeight="12.5"/>
  <cols>
    <col min="1" max="1" width="2.54296875" style="3" customWidth="1"/>
    <col min="2" max="2" width="57.453125" style="3" customWidth="1"/>
    <col min="3" max="3" width="2.54296875" style="3" customWidth="1"/>
    <col min="4" max="4" width="13.54296875" style="3" customWidth="1"/>
    <col min="5" max="5" width="2.54296875" style="3" customWidth="1"/>
    <col min="6" max="6" width="13.54296875" style="3" customWidth="1"/>
    <col min="7" max="7" width="2.54296875" style="3" customWidth="1"/>
    <col min="8" max="17" width="14.54296875" style="3" customWidth="1"/>
    <col min="18" max="18" width="2.54296875" style="3" customWidth="1"/>
    <col min="19" max="32" width="13.54296875" style="3" customWidth="1"/>
    <col min="33" max="16384" width="9.1796875" style="3"/>
  </cols>
  <sheetData>
    <row r="2" spans="2:19" s="12" customFormat="1" ht="18">
      <c r="B2" s="12" t="s">
        <v>1136</v>
      </c>
    </row>
    <row r="4" spans="2:19" ht="13">
      <c r="B4" s="16" t="s">
        <v>837</v>
      </c>
      <c r="C4" s="2"/>
    </row>
    <row r="5" spans="2:19" ht="16.5" customHeight="1">
      <c r="B5" s="352" t="s">
        <v>1009</v>
      </c>
      <c r="C5" s="352"/>
      <c r="D5" s="352"/>
      <c r="F5" s="13"/>
    </row>
    <row r="6" spans="2:19" ht="13">
      <c r="B6" s="4"/>
    </row>
    <row r="7" spans="2:19" ht="13">
      <c r="B7" s="17" t="s">
        <v>140</v>
      </c>
    </row>
    <row r="8" spans="2:19" ht="42" customHeight="1">
      <c r="B8" s="360" t="s">
        <v>1034</v>
      </c>
      <c r="C8" s="360"/>
      <c r="D8" s="360"/>
    </row>
    <row r="10" spans="2:19" s="8" customFormat="1" ht="13">
      <c r="B10" s="8" t="s">
        <v>143</v>
      </c>
      <c r="D10" s="8" t="s">
        <v>184</v>
      </c>
      <c r="F10" s="8" t="s">
        <v>185</v>
      </c>
      <c r="H10" s="46">
        <v>2017</v>
      </c>
      <c r="I10" s="46">
        <v>2018</v>
      </c>
      <c r="J10" s="46">
        <v>2019</v>
      </c>
      <c r="K10" s="46">
        <v>2020</v>
      </c>
      <c r="L10" s="46">
        <v>2021</v>
      </c>
      <c r="M10" s="46">
        <v>2022</v>
      </c>
      <c r="N10" s="46">
        <v>2023</v>
      </c>
      <c r="O10" s="46">
        <v>2024</v>
      </c>
      <c r="P10" s="46">
        <v>2025</v>
      </c>
      <c r="Q10" s="46">
        <v>2026</v>
      </c>
      <c r="S10" s="8" t="s">
        <v>187</v>
      </c>
    </row>
    <row r="12" spans="2:19" s="8" customFormat="1" ht="13">
      <c r="B12" s="8" t="s">
        <v>841</v>
      </c>
    </row>
    <row r="13" spans="2:19">
      <c r="P13" s="88"/>
    </row>
    <row r="14" spans="2:19" ht="13">
      <c r="B14" s="2"/>
    </row>
    <row r="16" spans="2:19" s="8" customFormat="1" ht="13">
      <c r="B16" s="8" t="s">
        <v>1011</v>
      </c>
    </row>
    <row r="19" spans="2:17" s="8" customFormat="1" ht="13">
      <c r="B19" s="8" t="s">
        <v>1022</v>
      </c>
    </row>
    <row r="21" spans="2:17">
      <c r="B21" s="3" t="s">
        <v>1031</v>
      </c>
      <c r="D21" s="3" t="s">
        <v>189</v>
      </c>
      <c r="M21" s="283"/>
      <c r="N21" s="51"/>
      <c r="O21" s="283"/>
      <c r="P21" s="283"/>
      <c r="Q21" s="283"/>
    </row>
    <row r="24" spans="2:17">
      <c r="P24" s="8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A2:X57"/>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1796875" defaultRowHeight="12.5"/>
  <cols>
    <col min="1" max="1" width="2.54296875" style="3" customWidth="1"/>
    <col min="2" max="2" width="83.54296875" style="3" customWidth="1"/>
    <col min="3" max="3" width="2.54296875" style="3" customWidth="1"/>
    <col min="4" max="4" width="15.453125" style="3" customWidth="1"/>
    <col min="5" max="5" width="2.54296875" style="3" customWidth="1"/>
    <col min="6" max="6" width="13.54296875" style="3" customWidth="1"/>
    <col min="7" max="7" width="2.54296875" style="3" customWidth="1"/>
    <col min="8" max="9" width="14.81640625" style="3" bestFit="1" customWidth="1"/>
    <col min="10" max="10" width="18" style="3" bestFit="1" customWidth="1"/>
    <col min="11" max="11" width="14.81640625" style="3" bestFit="1" customWidth="1"/>
    <col min="12" max="12" width="15.54296875" style="3" bestFit="1" customWidth="1"/>
    <col min="13" max="13" width="15.54296875" style="3" customWidth="1"/>
    <col min="14" max="14" width="14" style="3" bestFit="1" customWidth="1"/>
    <col min="15" max="15" width="2.54296875" style="3" customWidth="1"/>
    <col min="16" max="16" width="15.453125" style="3" customWidth="1"/>
    <col min="17" max="20" width="13.54296875" style="3" customWidth="1"/>
    <col min="21" max="16384" width="9.1796875" style="3"/>
  </cols>
  <sheetData>
    <row r="2" spans="2:16" s="12" customFormat="1" ht="18">
      <c r="B2" s="12" t="s">
        <v>1137</v>
      </c>
    </row>
    <row r="4" spans="2:16" ht="13">
      <c r="B4" s="16" t="s">
        <v>837</v>
      </c>
      <c r="C4" s="2"/>
    </row>
    <row r="5" spans="2:16" ht="39.75" customHeight="1">
      <c r="B5" s="352" t="s">
        <v>1060</v>
      </c>
      <c r="C5" s="352"/>
      <c r="D5" s="352"/>
      <c r="F5" s="13"/>
    </row>
    <row r="7" spans="2:16" s="8" customFormat="1" ht="13">
      <c r="B7" s="8" t="s">
        <v>143</v>
      </c>
      <c r="D7" s="8" t="s">
        <v>184</v>
      </c>
      <c r="F7" s="8" t="s">
        <v>185</v>
      </c>
      <c r="H7" s="46">
        <v>2021</v>
      </c>
      <c r="I7" s="46">
        <v>2022</v>
      </c>
      <c r="J7" s="46">
        <v>2023</v>
      </c>
      <c r="K7" s="46">
        <v>2024</v>
      </c>
      <c r="L7" s="46">
        <v>2025</v>
      </c>
      <c r="M7" s="46">
        <v>2026</v>
      </c>
      <c r="N7" s="46">
        <v>2027</v>
      </c>
      <c r="P7" s="8" t="s">
        <v>187</v>
      </c>
    </row>
    <row r="9" spans="2:16" s="8" customFormat="1" ht="13">
      <c r="B9" s="8" t="s">
        <v>841</v>
      </c>
    </row>
    <row r="11" spans="2:16" ht="13">
      <c r="B11" s="16" t="s">
        <v>1127</v>
      </c>
    </row>
    <row r="12" spans="2:16">
      <c r="B12" s="3" t="s">
        <v>1061</v>
      </c>
      <c r="D12" s="3" t="s">
        <v>188</v>
      </c>
      <c r="H12" s="44"/>
      <c r="I12" s="164">
        <f xml:space="preserve"> '2. Parameters'!M12</f>
        <v>929870695.57498884</v>
      </c>
      <c r="J12" s="164">
        <f xml:space="preserve"> '2. Parameters'!N12</f>
        <v>952373566.40790355</v>
      </c>
      <c r="K12" s="164">
        <f xml:space="preserve"> '2. Parameters'!O12</f>
        <v>992563730.91031706</v>
      </c>
      <c r="L12" s="164">
        <f xml:space="preserve"> '2. Parameters'!P12</f>
        <v>1069326535.024132</v>
      </c>
      <c r="M12" s="164">
        <f xml:space="preserve"> '2. Parameters'!Q12</f>
        <v>1075956359.5412817</v>
      </c>
      <c r="N12" s="164">
        <f xml:space="preserve"> '2. Parameters'!R12</f>
        <v>1231080909.7252641</v>
      </c>
    </row>
    <row r="13" spans="2:16">
      <c r="K13" s="88"/>
      <c r="P13" s="166"/>
    </row>
    <row r="14" spans="2:16" ht="13">
      <c r="B14" s="16" t="s">
        <v>220</v>
      </c>
    </row>
    <row r="15" spans="2:16">
      <c r="B15" s="28" t="s">
        <v>214</v>
      </c>
      <c r="D15" s="3" t="s">
        <v>223</v>
      </c>
      <c r="H15" s="10"/>
      <c r="I15" s="10"/>
      <c r="J15" s="10"/>
      <c r="K15" s="10"/>
      <c r="L15" s="10"/>
      <c r="M15" s="10"/>
      <c r="N15" s="54">
        <f xml:space="preserve"> '2. Parameters'!R75</f>
        <v>1.04</v>
      </c>
    </row>
    <row r="16" spans="2:16">
      <c r="K16" s="88"/>
      <c r="P16" s="166"/>
    </row>
    <row r="17" spans="2:17" s="8" customFormat="1" ht="13">
      <c r="B17" s="8" t="s">
        <v>1062</v>
      </c>
      <c r="P17" s="335"/>
    </row>
    <row r="18" spans="2:17">
      <c r="P18" s="166"/>
    </row>
    <row r="19" spans="2:17">
      <c r="B19" s="3" t="s">
        <v>461</v>
      </c>
      <c r="D19" s="3" t="s">
        <v>189</v>
      </c>
      <c r="H19" s="44"/>
      <c r="I19" s="164">
        <f>'4. Input nacalculaties'!N36</f>
        <v>0</v>
      </c>
      <c r="J19" s="164">
        <f>'4. Input nacalculaties'!O36</f>
        <v>0</v>
      </c>
      <c r="K19" s="164">
        <f>'4. Input nacalculaties'!P36</f>
        <v>0</v>
      </c>
      <c r="L19" s="164">
        <f>'4. Input nacalculaties'!Q36</f>
        <v>53053730.542234212</v>
      </c>
      <c r="M19" s="164">
        <f>'4. Input nacalculaties'!R36</f>
        <v>141713845.03448284</v>
      </c>
      <c r="N19" s="164">
        <f>'16. WUI &amp; ombouwtaak'!O103</f>
        <v>1624598.3652195698</v>
      </c>
      <c r="O19" s="166"/>
      <c r="P19" s="166"/>
      <c r="Q19" s="88"/>
    </row>
    <row r="20" spans="2:17">
      <c r="B20" s="3" t="s">
        <v>462</v>
      </c>
      <c r="D20" s="3" t="s">
        <v>189</v>
      </c>
      <c r="H20" s="44"/>
      <c r="I20" s="164">
        <f>'4. Input nacalculaties'!N37</f>
        <v>119072.05535743562</v>
      </c>
      <c r="J20" s="164">
        <f>'4. Input nacalculaties'!O37</f>
        <v>43971.119724233969</v>
      </c>
      <c r="K20" s="164">
        <f>'4. Input nacalculaties'!P37</f>
        <v>2404144.6778045101</v>
      </c>
      <c r="L20" s="164">
        <f>'4. Input nacalculaties'!Q37</f>
        <v>2407837.6116711642</v>
      </c>
      <c r="M20" s="164">
        <f>'4. Input nacalculaties'!R37</f>
        <v>9785566.4517509788</v>
      </c>
      <c r="N20" s="42">
        <f>'16. WUI &amp; ombouwtaak'!O104</f>
        <v>7856427.2372001</v>
      </c>
      <c r="O20" s="166"/>
      <c r="P20" s="166"/>
      <c r="Q20" s="88"/>
    </row>
    <row r="21" spans="2:17">
      <c r="B21" s="3" t="s">
        <v>463</v>
      </c>
      <c r="D21" s="3" t="s">
        <v>189</v>
      </c>
      <c r="H21" s="44"/>
      <c r="I21" s="164">
        <f>'4. Input nacalculaties'!N38</f>
        <v>-2514124.5400079801</v>
      </c>
      <c r="J21" s="42">
        <f>'4. Input nacalculaties'!O38</f>
        <v>-892610.16077459906</v>
      </c>
      <c r="K21" s="42">
        <f>'4. Input nacalculaties'!P38</f>
        <v>-418587875.91763008</v>
      </c>
      <c r="L21" s="164">
        <f>'4. Input nacalculaties'!Q38</f>
        <v>-31230124.495261651</v>
      </c>
      <c r="M21" s="164">
        <f>'4. Input nacalculaties'!R38</f>
        <v>66872286.285418212</v>
      </c>
      <c r="N21" s="42">
        <f>'20. Nacalculaties'!R75</f>
        <v>68446359.191942587</v>
      </c>
      <c r="O21" s="166"/>
      <c r="P21" s="166"/>
      <c r="Q21" s="88"/>
    </row>
    <row r="22" spans="2:17">
      <c r="B22" s="3" t="s">
        <v>464</v>
      </c>
      <c r="D22" s="3" t="s">
        <v>189</v>
      </c>
      <c r="H22" s="44"/>
      <c r="I22" s="164">
        <f>'4. Input nacalculaties'!N39</f>
        <v>-3840127.8443999998</v>
      </c>
      <c r="J22" s="42">
        <f>'4. Input nacalculaties'!O39</f>
        <v>-7019622.9493739996</v>
      </c>
      <c r="K22" s="42">
        <f>'4. Input nacalculaties'!P39</f>
        <v>-17676502.662623998</v>
      </c>
      <c r="L22" s="164">
        <f>'4. Input nacalculaties'!Q39</f>
        <v>-20334638.624196</v>
      </c>
      <c r="M22" s="164">
        <f>'4. Input nacalculaties'!R39</f>
        <v>-9566363.896687502</v>
      </c>
      <c r="N22" s="42">
        <f>'20. Nacalculaties'!R82</f>
        <v>-7997049.7861800008</v>
      </c>
      <c r="O22" s="166"/>
      <c r="P22" s="166"/>
      <c r="Q22" s="88"/>
    </row>
    <row r="23" spans="2:17">
      <c r="B23" s="3" t="s">
        <v>465</v>
      </c>
      <c r="D23" s="3" t="s">
        <v>189</v>
      </c>
      <c r="H23" s="44"/>
      <c r="I23" s="164">
        <f>'4. Input nacalculaties'!N40</f>
        <v>-1510375</v>
      </c>
      <c r="J23" s="42">
        <f>'4. Input nacalculaties'!O40</f>
        <v>-1091840.3578679999</v>
      </c>
      <c r="K23" s="42">
        <f>'4. Input nacalculaties'!P40</f>
        <v>0</v>
      </c>
      <c r="L23" s="164">
        <f>'4. Input nacalculaties'!Q40</f>
        <v>-430850783.87126899</v>
      </c>
      <c r="M23" s="164">
        <f>'4. Input nacalculaties'!R40</f>
        <v>-54292976.244045004</v>
      </c>
      <c r="N23" s="42">
        <f>'20. Nacalculaties'!R92</f>
        <v>-5120776.1841599997</v>
      </c>
      <c r="O23" s="166"/>
      <c r="P23" s="166"/>
      <c r="Q23" s="88"/>
    </row>
    <row r="24" spans="2:17">
      <c r="B24" s="3" t="s">
        <v>466</v>
      </c>
      <c r="D24" s="3" t="s">
        <v>189</v>
      </c>
      <c r="H24" s="44"/>
      <c r="I24" s="164">
        <f>'4. Input nacalculaties'!N41</f>
        <v>37459989.57773035</v>
      </c>
      <c r="J24" s="42">
        <f>'4. Input nacalculaties'!O41</f>
        <v>94853547.603668377</v>
      </c>
      <c r="K24" s="44"/>
      <c r="L24" s="164">
        <f>'4. Input nacalculaties'!Q41</f>
        <v>218988596.2163403</v>
      </c>
      <c r="M24" s="164">
        <f>'4. Input nacalculaties'!R41</f>
        <v>83371027.523610294</v>
      </c>
      <c r="N24" s="164">
        <f>'20. Nacalculaties'!R148</f>
        <v>55536968.182296149</v>
      </c>
      <c r="O24" s="166"/>
      <c r="P24" s="166"/>
      <c r="Q24" s="88"/>
    </row>
    <row r="25" spans="2:17">
      <c r="B25" s="3" t="s">
        <v>467</v>
      </c>
      <c r="D25" s="3" t="s">
        <v>189</v>
      </c>
      <c r="H25" s="44"/>
      <c r="I25" s="164">
        <f>'4. Input nacalculaties'!N42</f>
        <v>7429834.5300000003</v>
      </c>
      <c r="J25" s="42">
        <f>'4. Input nacalculaties'!O42</f>
        <v>22739593.510152001</v>
      </c>
      <c r="K25" s="42">
        <f>'4. Input nacalculaties'!P42</f>
        <v>2370440.480303999</v>
      </c>
      <c r="L25" s="164">
        <f>'4. Input nacalculaties'!Q42</f>
        <v>84987160.105392396</v>
      </c>
      <c r="M25" s="164">
        <f>'4. Input nacalculaties'!R42</f>
        <v>46590933.973290004</v>
      </c>
      <c r="N25" s="42">
        <f>'20. Nacalculaties'!R99</f>
        <v>52092913.050360009</v>
      </c>
      <c r="O25" s="166"/>
      <c r="P25" s="166"/>
      <c r="Q25" s="88"/>
    </row>
    <row r="26" spans="2:17">
      <c r="B26" s="3" t="s">
        <v>468</v>
      </c>
      <c r="D26" s="3" t="s">
        <v>189</v>
      </c>
      <c r="H26" s="44"/>
      <c r="I26" s="164">
        <f>'4. Input nacalculaties'!N43</f>
        <v>-6987581.421986118</v>
      </c>
      <c r="J26" s="42">
        <f>'4. Input nacalculaties'!O43</f>
        <v>-26590510.266268313</v>
      </c>
      <c r="K26" s="42">
        <f>'4. Input nacalculaties'!P43</f>
        <v>-37620979.270649046</v>
      </c>
      <c r="L26" s="164">
        <f>'4. Input nacalculaties'!Q43</f>
        <v>-85362788.83980006</v>
      </c>
      <c r="M26" s="164">
        <f>'4. Input nacalculaties'!R43</f>
        <v>-92141688.170288146</v>
      </c>
      <c r="N26" s="301">
        <f>'17. Nacalculatie bijschatten'!O362</f>
        <v>-27025999.470454138</v>
      </c>
      <c r="O26" s="166"/>
      <c r="P26" s="166"/>
      <c r="Q26" s="88"/>
    </row>
    <row r="27" spans="2:17">
      <c r="B27" s="3" t="s">
        <v>469</v>
      </c>
      <c r="D27" s="3" t="s">
        <v>189</v>
      </c>
      <c r="H27" s="44"/>
      <c r="I27" s="44"/>
      <c r="J27" s="44"/>
      <c r="K27" s="42">
        <f>'4. Input nacalculaties'!P44</f>
        <v>2363403.9056672235</v>
      </c>
      <c r="L27" s="164">
        <f>'4. Input nacalculaties'!Q44</f>
        <v>14755154.906724626</v>
      </c>
      <c r="M27" s="164">
        <f>'4. Input nacalculaties'!R44</f>
        <v>34143314.35257566</v>
      </c>
      <c r="N27" s="42">
        <f>'18. Nacalculatie desinv.'!M531</f>
        <v>6269766.8791049654</v>
      </c>
      <c r="O27" s="166"/>
      <c r="P27" s="166"/>
      <c r="Q27" s="88"/>
    </row>
    <row r="28" spans="2:17">
      <c r="B28" s="3" t="s">
        <v>470</v>
      </c>
      <c r="D28" s="3" t="s">
        <v>189</v>
      </c>
      <c r="H28" s="44"/>
      <c r="I28" s="44"/>
      <c r="J28" s="44"/>
      <c r="K28" s="42">
        <f>'4. Input nacalculaties'!P45</f>
        <v>14652295.895247623</v>
      </c>
      <c r="L28" s="164">
        <f>'4. Input nacalculaties'!Q45</f>
        <v>16724582.409155497</v>
      </c>
      <c r="M28" s="164">
        <f>'4. Input nacalculaties'!R45</f>
        <v>18703759.82677523</v>
      </c>
      <c r="N28" s="42">
        <f>'20. Nacalculaties'!R106</f>
        <v>37578631.046943188</v>
      </c>
      <c r="O28" s="166"/>
      <c r="P28" s="166"/>
      <c r="Q28" s="88"/>
    </row>
    <row r="29" spans="2:17">
      <c r="B29" s="3" t="s">
        <v>471</v>
      </c>
      <c r="D29" s="3" t="s">
        <v>189</v>
      </c>
      <c r="H29" s="44"/>
      <c r="I29" s="164">
        <f>'4. Input nacalculaties'!N46</f>
        <v>-651743.81498073554</v>
      </c>
      <c r="J29" s="42">
        <f>'4. Input nacalculaties'!O46</f>
        <v>-2713634.922561896</v>
      </c>
      <c r="K29" s="42">
        <f>'4. Input nacalculaties'!P46</f>
        <v>-6263691.195662085</v>
      </c>
      <c r="L29" s="164">
        <f>'4. Input nacalculaties'!Q46</f>
        <v>-7178437.7711590901</v>
      </c>
      <c r="M29" s="164">
        <f>'4. Input nacalculaties'!R46</f>
        <v>-13167856.604152044</v>
      </c>
      <c r="N29" s="42">
        <f>'20. Nacalculaties'!R126</f>
        <v>-1377185.9309533215</v>
      </c>
      <c r="O29" s="166"/>
      <c r="P29" s="166"/>
      <c r="Q29" s="88"/>
    </row>
    <row r="30" spans="2:17">
      <c r="B30" s="3" t="s">
        <v>472</v>
      </c>
      <c r="D30" s="3" t="s">
        <v>189</v>
      </c>
      <c r="H30" s="44"/>
      <c r="I30" s="44"/>
      <c r="J30" s="44"/>
      <c r="K30" s="42">
        <f>'4. Input nacalculaties'!P47</f>
        <v>56578492.792342328</v>
      </c>
      <c r="L30" s="164">
        <f>'4. Input nacalculaties'!Q47</f>
        <v>122315270.04842561</v>
      </c>
      <c r="M30" s="164">
        <f>'4. Input nacalculaties'!R47</f>
        <v>93323791.857641906</v>
      </c>
      <c r="N30" s="42">
        <f>'20. Nacalculaties'!R139</f>
        <v>115041606.54338491</v>
      </c>
      <c r="O30" s="166"/>
      <c r="P30" s="166"/>
      <c r="Q30" s="88"/>
    </row>
    <row r="31" spans="2:17">
      <c r="B31" s="3" t="s">
        <v>473</v>
      </c>
      <c r="D31" s="3" t="s">
        <v>189</v>
      </c>
      <c r="H31" s="44"/>
      <c r="I31" s="44"/>
      <c r="J31" s="44"/>
      <c r="K31" s="42">
        <f>'4. Input nacalculaties'!P48</f>
        <v>5993118.6408960866</v>
      </c>
      <c r="L31" s="164">
        <f>'4. Input nacalculaties'!Q48</f>
        <v>6269821.1828594869</v>
      </c>
      <c r="M31" s="164">
        <f>'4. Input nacalculaties'!R48</f>
        <v>6247008.5743884807</v>
      </c>
      <c r="N31" s="42">
        <f>'21. Correctie WQA'!M57</f>
        <v>6367083.1825901708</v>
      </c>
      <c r="O31" s="166"/>
      <c r="P31" s="166"/>
      <c r="Q31" s="88"/>
    </row>
    <row r="32" spans="2:17">
      <c r="B32" s="3" t="s">
        <v>474</v>
      </c>
      <c r="D32" s="3" t="s">
        <v>189</v>
      </c>
      <c r="H32" s="44"/>
      <c r="I32" s="164">
        <f>'4. Input nacalculaties'!N49</f>
        <v>109745.32379785551</v>
      </c>
      <c r="J32" s="93"/>
      <c r="K32" s="93"/>
      <c r="L32" s="44"/>
      <c r="M32" s="44"/>
      <c r="N32" s="44"/>
      <c r="O32" s="166"/>
      <c r="P32" s="166"/>
      <c r="Q32" s="88"/>
    </row>
    <row r="33" spans="1:24">
      <c r="B33" s="3" t="s">
        <v>475</v>
      </c>
      <c r="D33" s="3" t="s">
        <v>189</v>
      </c>
      <c r="H33" s="44"/>
      <c r="I33" s="44"/>
      <c r="J33" s="93"/>
      <c r="K33" s="164">
        <f>'4. Input nacalculaties'!P50</f>
        <v>270388092.45989364</v>
      </c>
      <c r="L33" s="289"/>
      <c r="M33" s="289"/>
      <c r="N33" s="289"/>
      <c r="O33" s="166"/>
      <c r="P33" s="166"/>
      <c r="Q33" s="88"/>
    </row>
    <row r="34" spans="1:24">
      <c r="B34" s="3" t="s">
        <v>476</v>
      </c>
      <c r="D34" s="3" t="s">
        <v>189</v>
      </c>
      <c r="H34" s="44"/>
      <c r="I34" s="164">
        <f>'4. Input nacalculaties'!N51</f>
        <v>0</v>
      </c>
      <c r="J34" s="42">
        <f>'4. Input nacalculaties'!O51</f>
        <v>-6549650.4501419598</v>
      </c>
      <c r="K34" s="42">
        <f>'4. Input nacalculaties'!P51</f>
        <v>1236097.6837258562</v>
      </c>
      <c r="L34" s="164">
        <f>'4. Input nacalculaties'!Q51</f>
        <v>14624633.370419957</v>
      </c>
      <c r="M34" s="164">
        <f>'4. Input nacalculaties'!R51</f>
        <v>27827156.062316984</v>
      </c>
      <c r="N34" s="42">
        <f>'22. Correctie assetoverdracht'!N881</f>
        <v>11987077.88221008</v>
      </c>
      <c r="O34" s="166"/>
      <c r="P34" s="166"/>
      <c r="Q34" s="88"/>
    </row>
    <row r="35" spans="1:24">
      <c r="B35" s="3" t="s">
        <v>477</v>
      </c>
      <c r="D35" s="3" t="s">
        <v>189</v>
      </c>
      <c r="H35" s="44"/>
      <c r="I35" s="44"/>
      <c r="J35" s="44"/>
      <c r="K35" s="164">
        <f>'4. Input nacalculaties'!P52</f>
        <v>-18434074.327111505</v>
      </c>
      <c r="L35" s="164">
        <f>'4. Input nacalculaties'!Q52</f>
        <v>-19829873.659733675</v>
      </c>
      <c r="M35" s="164">
        <f>'4. Input nacalculaties'!R52</f>
        <v>-19994603.596221652</v>
      </c>
      <c r="N35" s="164">
        <f>'23. Correctie peakshaver'!R129</f>
        <v>-19711590.647128295</v>
      </c>
      <c r="O35" s="166"/>
      <c r="P35" s="166"/>
      <c r="Q35" s="88"/>
    </row>
    <row r="36" spans="1:24">
      <c r="B36" s="3" t="s">
        <v>478</v>
      </c>
      <c r="D36" s="3" t="s">
        <v>189</v>
      </c>
      <c r="H36" s="44"/>
      <c r="I36" s="44"/>
      <c r="J36" s="44"/>
      <c r="K36" s="44"/>
      <c r="L36" s="164">
        <f>'4. Input nacalculaties'!Q53</f>
        <v>177577613.12560752</v>
      </c>
      <c r="M36" s="44"/>
      <c r="N36" s="44"/>
      <c r="P36" s="166"/>
    </row>
    <row r="37" spans="1:24">
      <c r="B37" s="3" t="s">
        <v>479</v>
      </c>
      <c r="D37" s="3" t="s">
        <v>189</v>
      </c>
      <c r="H37" s="44"/>
      <c r="I37" s="44"/>
      <c r="J37" s="44"/>
      <c r="K37" s="44"/>
      <c r="L37" s="164">
        <f>'4. Input nacalculaties'!Q54</f>
        <v>-106774394.81170595</v>
      </c>
      <c r="M37" s="44"/>
      <c r="N37" s="44"/>
      <c r="P37" s="166"/>
    </row>
    <row r="38" spans="1:24">
      <c r="B38" s="3" t="s">
        <v>480</v>
      </c>
      <c r="D38" s="3" t="s">
        <v>189</v>
      </c>
      <c r="H38" s="44"/>
      <c r="I38" s="44"/>
      <c r="J38" s="44"/>
      <c r="K38" s="44"/>
      <c r="L38" s="164">
        <f>'4. Input nacalculaties'!Q55</f>
        <v>-10000000</v>
      </c>
      <c r="M38" s="44"/>
      <c r="N38" s="44"/>
      <c r="P38" s="166"/>
    </row>
    <row r="39" spans="1:24">
      <c r="B39" s="3" t="s">
        <v>1140</v>
      </c>
      <c r="D39" s="3" t="s">
        <v>189</v>
      </c>
      <c r="H39" s="44"/>
      <c r="I39" s="44"/>
      <c r="J39" s="44"/>
      <c r="K39" s="44"/>
      <c r="L39" s="44"/>
      <c r="M39" s="44"/>
      <c r="N39" s="164">
        <f>'24. Correctie schatting ITC'!R22</f>
        <v>10920000</v>
      </c>
      <c r="P39" s="166"/>
    </row>
    <row r="40" spans="1:24">
      <c r="P40" s="166"/>
    </row>
    <row r="41" spans="1:24" s="8" customFormat="1" ht="13">
      <c r="A41" s="342"/>
      <c r="B41" s="342" t="s">
        <v>1151</v>
      </c>
      <c r="C41" s="342"/>
      <c r="D41" s="342"/>
      <c r="E41" s="342"/>
      <c r="F41" s="342"/>
      <c r="G41" s="342"/>
      <c r="H41" s="342"/>
      <c r="I41" s="342"/>
      <c r="J41" s="342"/>
      <c r="K41" s="342"/>
      <c r="L41" s="342"/>
      <c r="M41" s="342"/>
      <c r="N41" s="342"/>
      <c r="O41" s="342"/>
      <c r="P41" s="342"/>
      <c r="Q41" s="342"/>
      <c r="R41" s="342"/>
      <c r="S41" s="342"/>
      <c r="T41" s="342"/>
      <c r="U41" s="342"/>
      <c r="V41" s="342"/>
      <c r="W41" s="342"/>
      <c r="X41" s="342"/>
    </row>
    <row r="42" spans="1:24">
      <c r="P42" s="166"/>
    </row>
    <row r="43" spans="1:24">
      <c r="B43" s="343" t="s">
        <v>1154</v>
      </c>
      <c r="C43" s="343"/>
      <c r="D43" s="343" t="s">
        <v>189</v>
      </c>
      <c r="H43" s="44"/>
      <c r="I43" s="44"/>
      <c r="J43" s="44"/>
      <c r="K43" s="44"/>
      <c r="L43" s="44"/>
      <c r="M43" s="164">
        <f xml:space="preserve"> '4. Input nacalculaties'!R59</f>
        <v>0</v>
      </c>
      <c r="N43" s="44"/>
      <c r="P43" s="166"/>
    </row>
    <row r="44" spans="1:24">
      <c r="B44" s="343" t="s">
        <v>1155</v>
      </c>
      <c r="C44" s="343"/>
      <c r="D44" s="343" t="s">
        <v>189</v>
      </c>
      <c r="H44" s="44"/>
      <c r="I44" s="44"/>
      <c r="J44" s="44"/>
      <c r="K44" s="44"/>
      <c r="L44" s="44"/>
      <c r="M44" s="44"/>
      <c r="N44" s="47">
        <f xml:space="preserve"> M43 * N15</f>
        <v>0</v>
      </c>
      <c r="P44" s="166"/>
    </row>
    <row r="45" spans="1:24">
      <c r="B45" s="343" t="s">
        <v>1156</v>
      </c>
      <c r="C45" s="343"/>
      <c r="D45" s="343" t="s">
        <v>189</v>
      </c>
      <c r="H45" s="44"/>
      <c r="I45" s="44"/>
      <c r="J45" s="44"/>
      <c r="K45" s="44"/>
      <c r="L45" s="44"/>
      <c r="M45" s="44"/>
      <c r="N45" s="47">
        <f xml:space="preserve"> SUM(N19:N39)</f>
        <v>312488829.54237598</v>
      </c>
      <c r="P45" s="166"/>
    </row>
    <row r="46" spans="1:24">
      <c r="B46" s="343" t="s">
        <v>1153</v>
      </c>
      <c r="C46" s="343"/>
      <c r="D46" s="343" t="s">
        <v>189</v>
      </c>
      <c r="H46" s="44"/>
      <c r="I46" s="44"/>
      <c r="J46" s="44"/>
      <c r="K46" s="44"/>
      <c r="L46" s="44"/>
      <c r="M46" s="44"/>
      <c r="N46" s="47">
        <f xml:space="preserve"> N44 + N45</f>
        <v>312488829.54237598</v>
      </c>
      <c r="P46" s="166"/>
    </row>
    <row r="47" spans="1:24">
      <c r="B47" s="343" t="s">
        <v>1168</v>
      </c>
      <c r="C47" s="343"/>
      <c r="D47" s="343" t="s">
        <v>189</v>
      </c>
      <c r="H47" s="44"/>
      <c r="I47" s="44"/>
      <c r="J47" s="44"/>
      <c r="K47" s="44"/>
      <c r="L47" s="44"/>
      <c r="M47" s="44"/>
      <c r="N47" s="94">
        <f xml:space="preserve"> '4. Input nacalculaties'!S61</f>
        <v>253214655.21751785</v>
      </c>
      <c r="P47" s="166"/>
    </row>
    <row r="48" spans="1:24">
      <c r="B48" s="343" t="s">
        <v>1157</v>
      </c>
      <c r="C48" s="343"/>
      <c r="D48" s="343" t="s">
        <v>189</v>
      </c>
      <c r="H48" s="44"/>
      <c r="I48" s="44"/>
      <c r="J48" s="44"/>
      <c r="K48" s="44"/>
      <c r="L48" s="44"/>
      <c r="M48" s="44"/>
      <c r="N48" s="164">
        <f xml:space="preserve"> N47</f>
        <v>253214655.21751785</v>
      </c>
      <c r="P48" s="166"/>
    </row>
    <row r="49" spans="2:16">
      <c r="P49" s="166"/>
    </row>
    <row r="50" spans="2:16" s="8" customFormat="1" ht="13">
      <c r="B50" s="8" t="s">
        <v>1063</v>
      </c>
      <c r="P50" s="335"/>
    </row>
    <row r="51" spans="2:16">
      <c r="P51" s="166"/>
    </row>
    <row r="52" spans="2:16">
      <c r="B52" s="3" t="s">
        <v>1064</v>
      </c>
      <c r="D52" s="3" t="s">
        <v>189</v>
      </c>
      <c r="H52" s="44"/>
      <c r="I52" s="47">
        <f>I12+SUM(I19:I39)</f>
        <v>959485384.44049966</v>
      </c>
      <c r="J52" s="47">
        <f t="shared" ref="J52:M52" si="0">J12+SUM(J19:J39)</f>
        <v>1025152809.5344594</v>
      </c>
      <c r="K52" s="47">
        <f t="shared" si="0"/>
        <v>849966694.07252169</v>
      </c>
      <c r="L52" s="47">
        <f t="shared" si="0"/>
        <v>1069469892.4698374</v>
      </c>
      <c r="M52" s="47">
        <f t="shared" si="0"/>
        <v>1415371560.9721379</v>
      </c>
      <c r="N52" s="94">
        <f xml:space="preserve"> N12 + N46 - N47</f>
        <v>1290355084.0501223</v>
      </c>
      <c r="P52" s="166"/>
    </row>
    <row r="53" spans="2:16">
      <c r="J53" s="88"/>
      <c r="P53" s="88"/>
    </row>
    <row r="54" spans="2:16">
      <c r="J54" s="23"/>
      <c r="K54" s="88"/>
      <c r="M54" s="220"/>
    </row>
    <row r="55" spans="2:16">
      <c r="I55" s="88"/>
      <c r="J55" s="88"/>
      <c r="K55" s="23"/>
      <c r="L55" s="336"/>
      <c r="M55" s="336"/>
    </row>
    <row r="56" spans="2:16">
      <c r="M56" s="88"/>
    </row>
    <row r="57" spans="2:16">
      <c r="L57" s="220"/>
      <c r="M57" s="220"/>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Q54"/>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1796875" defaultRowHeight="12.5"/>
  <cols>
    <col min="1" max="1" width="2.54296875" style="3" customWidth="1"/>
    <col min="2" max="2" width="57.453125" style="3" bestFit="1" customWidth="1"/>
    <col min="3" max="3" width="2.54296875" style="3" customWidth="1"/>
    <col min="4" max="4" width="25.54296875" style="3" customWidth="1"/>
    <col min="5" max="5" width="2.54296875" style="3" customWidth="1"/>
    <col min="6" max="6" width="14.54296875" style="3" customWidth="1"/>
    <col min="7" max="7" width="2.54296875" style="3" customWidth="1"/>
    <col min="8" max="8" width="13.54296875" style="3" customWidth="1"/>
    <col min="9" max="10" width="17.54296875" style="3" customWidth="1"/>
    <col min="11" max="12" width="16.81640625" style="3" customWidth="1"/>
    <col min="13" max="13" width="16.54296875" style="3" bestFit="1" customWidth="1"/>
    <col min="14" max="14" width="16.54296875" style="3" customWidth="1"/>
    <col min="15" max="15" width="2.54296875" style="3" customWidth="1"/>
    <col min="16" max="23" width="13.54296875" style="3" customWidth="1"/>
    <col min="24" max="16384" width="9.1796875" style="3"/>
  </cols>
  <sheetData>
    <row r="2" spans="2:16" s="12" customFormat="1" ht="18">
      <c r="B2" s="12" t="s">
        <v>1138</v>
      </c>
    </row>
    <row r="4" spans="2:16" ht="13">
      <c r="B4" s="16" t="s">
        <v>837</v>
      </c>
      <c r="C4" s="2"/>
    </row>
    <row r="5" spans="2:16" ht="97.5" customHeight="1">
      <c r="B5" s="352" t="s">
        <v>1065</v>
      </c>
      <c r="C5" s="352"/>
      <c r="D5" s="352"/>
      <c r="F5" s="13"/>
    </row>
    <row r="7" spans="2:16" s="8" customFormat="1" ht="13">
      <c r="B7" s="8" t="s">
        <v>143</v>
      </c>
      <c r="D7" s="8" t="s">
        <v>184</v>
      </c>
      <c r="F7" s="8" t="s">
        <v>185</v>
      </c>
      <c r="H7" s="46">
        <v>2021</v>
      </c>
      <c r="I7" s="46">
        <v>2022</v>
      </c>
      <c r="J7" s="46">
        <v>2023</v>
      </c>
      <c r="K7" s="46">
        <v>2024</v>
      </c>
      <c r="L7" s="46">
        <v>2025</v>
      </c>
      <c r="M7" s="46">
        <v>2026</v>
      </c>
      <c r="N7" s="46">
        <v>2027</v>
      </c>
      <c r="P7" s="8" t="s">
        <v>187</v>
      </c>
    </row>
    <row r="9" spans="2:16" s="8" customFormat="1" ht="13">
      <c r="B9" s="8" t="s">
        <v>1066</v>
      </c>
    </row>
    <row r="11" spans="2:16" ht="13">
      <c r="B11" s="16" t="s">
        <v>776</v>
      </c>
    </row>
    <row r="12" spans="2:16">
      <c r="B12" s="3" t="s">
        <v>777</v>
      </c>
      <c r="D12" s="3" t="s">
        <v>778</v>
      </c>
      <c r="H12" s="10"/>
      <c r="I12" s="10"/>
      <c r="J12" s="10"/>
      <c r="K12" s="93"/>
      <c r="L12" s="93"/>
      <c r="M12" s="93"/>
      <c r="N12" s="42">
        <f>'10. Input capaciteit'!O12</f>
        <v>109121387</v>
      </c>
    </row>
    <row r="13" spans="2:16">
      <c r="B13" s="3" t="s">
        <v>779</v>
      </c>
      <c r="D13" s="3" t="s">
        <v>778</v>
      </c>
      <c r="H13" s="10"/>
      <c r="I13" s="10"/>
      <c r="J13" s="10"/>
      <c r="K13" s="93"/>
      <c r="L13" s="93"/>
      <c r="M13" s="93"/>
      <c r="N13" s="42">
        <f>'10. Input capaciteit'!O13</f>
        <v>175878613</v>
      </c>
    </row>
    <row r="15" spans="2:16">
      <c r="B15" s="3" t="s">
        <v>780</v>
      </c>
      <c r="D15" s="3" t="s">
        <v>778</v>
      </c>
      <c r="H15" s="10"/>
      <c r="I15" s="10"/>
      <c r="J15" s="10"/>
      <c r="K15" s="93"/>
      <c r="L15" s="93"/>
      <c r="M15" s="93"/>
      <c r="N15" s="42">
        <f>'10. Input capaciteit'!O15</f>
        <v>34958672</v>
      </c>
    </row>
    <row r="16" spans="2:16">
      <c r="B16" s="3" t="s">
        <v>781</v>
      </c>
      <c r="D16" s="3" t="s">
        <v>778</v>
      </c>
      <c r="H16" s="10"/>
      <c r="I16" s="10"/>
      <c r="J16" s="10"/>
      <c r="K16" s="93"/>
      <c r="L16" s="93"/>
      <c r="M16" s="93"/>
      <c r="N16" s="42">
        <f>'10. Input capaciteit'!O16</f>
        <v>15987135</v>
      </c>
    </row>
    <row r="18" spans="2:17">
      <c r="B18" s="3" t="s">
        <v>782</v>
      </c>
      <c r="D18" s="3" t="s">
        <v>778</v>
      </c>
      <c r="H18" s="10"/>
      <c r="I18" s="10"/>
      <c r="J18" s="10"/>
      <c r="K18" s="93"/>
      <c r="L18" s="93"/>
      <c r="M18" s="93"/>
      <c r="N18" s="42">
        <f>'10. Input capaciteit'!O18</f>
        <v>33329341</v>
      </c>
    </row>
    <row r="20" spans="2:17" ht="13">
      <c r="B20" s="2" t="s">
        <v>234</v>
      </c>
    </row>
    <row r="21" spans="2:17">
      <c r="B21" s="3" t="s">
        <v>235</v>
      </c>
      <c r="D21" s="3" t="s">
        <v>188</v>
      </c>
      <c r="F21" s="78">
        <f>'2. Parameters'!F105</f>
        <v>0.75</v>
      </c>
    </row>
    <row r="22" spans="2:17">
      <c r="B22" s="3" t="s">
        <v>236</v>
      </c>
      <c r="D22" s="3" t="s">
        <v>188</v>
      </c>
      <c r="F22" s="78">
        <f>'2. Parameters'!F106</f>
        <v>0.94</v>
      </c>
    </row>
    <row r="23" spans="2:17">
      <c r="B23" s="3" t="s">
        <v>237</v>
      </c>
      <c r="D23" s="3" t="s">
        <v>188</v>
      </c>
      <c r="F23" s="78">
        <f>'2. Parameters'!F107</f>
        <v>0</v>
      </c>
    </row>
    <row r="24" spans="2:17">
      <c r="F24" s="19"/>
    </row>
    <row r="25" spans="2:17" ht="13">
      <c r="B25" s="2" t="s">
        <v>231</v>
      </c>
      <c r="F25" s="19"/>
    </row>
    <row r="26" spans="2:17">
      <c r="B26" s="3" t="s">
        <v>232</v>
      </c>
      <c r="D26" s="3" t="s">
        <v>188</v>
      </c>
      <c r="F26" s="78">
        <f>'2. Parameters'!F100</f>
        <v>0.4</v>
      </c>
    </row>
    <row r="27" spans="2:17">
      <c r="B27" s="3" t="s">
        <v>233</v>
      </c>
      <c r="D27" s="3" t="s">
        <v>188</v>
      </c>
      <c r="F27" s="78">
        <f>'2. Parameters'!F101</f>
        <v>0.6</v>
      </c>
    </row>
    <row r="29" spans="2:17" s="8" customFormat="1" ht="13">
      <c r="B29" s="8" t="s">
        <v>1067</v>
      </c>
    </row>
    <row r="31" spans="2:17">
      <c r="B31" s="3" t="s">
        <v>1063</v>
      </c>
      <c r="D31" s="3" t="s">
        <v>189</v>
      </c>
      <c r="H31" s="10"/>
      <c r="I31" s="10"/>
      <c r="J31" s="93"/>
      <c r="K31" s="93"/>
      <c r="L31" s="93"/>
      <c r="M31" s="93"/>
      <c r="N31" s="42">
        <f>'26. Toegestane inkomsten'!N52</f>
        <v>1290355084.0501223</v>
      </c>
      <c r="P31" s="88"/>
      <c r="Q31" s="23"/>
    </row>
    <row r="33" spans="2:16">
      <c r="B33" s="3" t="s">
        <v>1068</v>
      </c>
      <c r="D33" s="3" t="s">
        <v>1069</v>
      </c>
      <c r="H33" s="10"/>
      <c r="I33" s="10"/>
      <c r="J33" s="10"/>
      <c r="K33" s="239"/>
      <c r="L33" s="93"/>
      <c r="M33" s="93"/>
      <c r="N33" s="27">
        <f>(N$31*$F26)/N12</f>
        <v>4.7299805089542062</v>
      </c>
      <c r="P33" s="329"/>
    </row>
    <row r="34" spans="2:16">
      <c r="B34" s="3" t="s">
        <v>1070</v>
      </c>
      <c r="D34" s="3" t="s">
        <v>1069</v>
      </c>
      <c r="H34" s="10"/>
      <c r="I34" s="10"/>
      <c r="J34" s="10"/>
      <c r="K34" s="295"/>
      <c r="L34" s="93"/>
      <c r="M34" s="93"/>
      <c r="N34" s="27">
        <f>(N$31*$F27)/N13</f>
        <v>4.4019738228779035</v>
      </c>
    </row>
    <row r="36" spans="2:16" s="8" customFormat="1" ht="13">
      <c r="B36" s="8" t="s">
        <v>1071</v>
      </c>
    </row>
    <row r="38" spans="2:16">
      <c r="B38" s="3" t="s">
        <v>1072</v>
      </c>
      <c r="D38" s="3" t="s">
        <v>189</v>
      </c>
      <c r="H38" s="10"/>
      <c r="I38" s="10"/>
      <c r="J38" s="10"/>
      <c r="K38" s="93"/>
      <c r="L38" s="93"/>
      <c r="M38" s="93"/>
      <c r="N38" s="43">
        <f>$F21*(N15*N33+N16*N34)+$F23*N18*N33</f>
        <v>176796590.21380371</v>
      </c>
      <c r="P38" s="88"/>
    </row>
    <row r="39" spans="2:16">
      <c r="B39" s="3" t="s">
        <v>1073</v>
      </c>
      <c r="H39" s="10"/>
      <c r="I39" s="10"/>
      <c r="J39" s="10"/>
      <c r="K39" s="239"/>
      <c r="L39" s="93"/>
      <c r="M39" s="93"/>
      <c r="N39" s="27">
        <f>N31/(N31-N38)</f>
        <v>1.1587672234484263</v>
      </c>
    </row>
    <row r="41" spans="2:16" s="8" customFormat="1" ht="13">
      <c r="B41" s="8" t="s">
        <v>1074</v>
      </c>
    </row>
    <row r="43" spans="2:16">
      <c r="B43" s="3" t="s">
        <v>1075</v>
      </c>
      <c r="D43" s="3" t="s">
        <v>1069</v>
      </c>
      <c r="H43" s="10"/>
      <c r="I43" s="10"/>
      <c r="J43" s="239"/>
      <c r="K43" s="296"/>
      <c r="L43" s="93"/>
      <c r="M43" s="93"/>
      <c r="N43" s="169">
        <f>N33*N$39</f>
        <v>5.4809463813260395</v>
      </c>
      <c r="P43" s="23"/>
    </row>
    <row r="44" spans="2:16">
      <c r="B44" s="3" t="s">
        <v>1076</v>
      </c>
      <c r="D44" s="3" t="s">
        <v>1069</v>
      </c>
      <c r="H44" s="10"/>
      <c r="I44" s="10"/>
      <c r="J44" s="239"/>
      <c r="K44" s="296"/>
      <c r="L44" s="93"/>
      <c r="M44" s="93"/>
      <c r="N44" s="169">
        <f>N34*N$39</f>
        <v>5.1008629844288826</v>
      </c>
      <c r="P44" s="238"/>
    </row>
    <row r="45" spans="2:16">
      <c r="B45" s="3" t="s">
        <v>1077</v>
      </c>
      <c r="D45" s="3" t="s">
        <v>1069</v>
      </c>
      <c r="H45" s="10"/>
      <c r="I45" s="10"/>
      <c r="J45" s="239"/>
      <c r="K45" s="296"/>
      <c r="L45" s="93"/>
      <c r="M45" s="93"/>
      <c r="N45" s="169">
        <f>(1-$F$21)*N33*N$39</f>
        <v>1.3702365953315099</v>
      </c>
      <c r="P45" s="238"/>
    </row>
    <row r="46" spans="2:16">
      <c r="B46" s="3" t="s">
        <v>1078</v>
      </c>
      <c r="D46" s="3" t="s">
        <v>1069</v>
      </c>
      <c r="H46" s="10"/>
      <c r="I46" s="10"/>
      <c r="J46" s="239"/>
      <c r="K46" s="296"/>
      <c r="L46" s="93"/>
      <c r="M46" s="93"/>
      <c r="N46" s="169">
        <f>(1-$F$21)*N34*N$39</f>
        <v>1.2752157461072207</v>
      </c>
      <c r="P46" s="238"/>
    </row>
    <row r="47" spans="2:16">
      <c r="B47" s="3" t="s">
        <v>1079</v>
      </c>
      <c r="D47" s="3" t="s">
        <v>1069</v>
      </c>
      <c r="H47" s="10"/>
      <c r="I47" s="10"/>
      <c r="J47" s="239"/>
      <c r="K47" s="296"/>
      <c r="L47" s="93"/>
      <c r="M47" s="93"/>
      <c r="N47" s="169">
        <f>(1-$F23)*N33*N39</f>
        <v>5.4809463813260395</v>
      </c>
      <c r="P47" s="238"/>
    </row>
    <row r="49" spans="2:14" s="8" customFormat="1" ht="13">
      <c r="B49" s="8" t="s">
        <v>1080</v>
      </c>
    </row>
    <row r="51" spans="2:14">
      <c r="B51" s="3" t="s">
        <v>1081</v>
      </c>
      <c r="D51" s="3" t="s">
        <v>189</v>
      </c>
      <c r="H51" s="10"/>
      <c r="I51" s="10"/>
      <c r="J51" s="10"/>
      <c r="K51" s="297"/>
      <c r="L51" s="93"/>
      <c r="M51" s="93"/>
      <c r="N51" s="22">
        <f>N12*N33+N13*N34</f>
        <v>1290355084.0501223</v>
      </c>
    </row>
    <row r="52" spans="2:14">
      <c r="B52" s="3" t="s">
        <v>1082</v>
      </c>
      <c r="D52" s="3" t="s">
        <v>189</v>
      </c>
      <c r="H52" s="10"/>
      <c r="I52" s="10"/>
      <c r="J52" s="10"/>
      <c r="K52" s="297"/>
      <c r="L52" s="93"/>
      <c r="M52" s="93"/>
      <c r="N52" s="22">
        <f>(N12-N15-N18)*N43+(N13-N16)*N44+N15*N45+N16*N46+N18*N47</f>
        <v>1290355084.0501223</v>
      </c>
    </row>
    <row r="54" spans="2:14">
      <c r="B54" s="3" t="s">
        <v>1083</v>
      </c>
      <c r="H54" s="10"/>
      <c r="I54" s="10"/>
      <c r="J54" s="10"/>
      <c r="K54" s="297"/>
      <c r="L54" s="93"/>
      <c r="M54" s="93"/>
      <c r="N54" s="22" t="b">
        <f>ROUND(N51,3)=ROUND(N52,3)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85" zoomScaleNormal="85" workbookViewId="0"/>
  </sheetViews>
  <sheetFormatPr defaultColWidth="9.1796875" defaultRowHeight="12.5"/>
  <cols>
    <col min="1" max="1" width="2.54296875" style="3" customWidth="1"/>
    <col min="2" max="2" width="45.54296875" style="3" customWidth="1"/>
    <col min="3" max="3" width="2.54296875" style="3" customWidth="1"/>
    <col min="4" max="4" width="25.54296875" style="3" customWidth="1"/>
    <col min="5" max="5" width="2.54296875" style="3" customWidth="1"/>
    <col min="6" max="6" width="18.1796875" style="3" customWidth="1"/>
    <col min="7" max="7" width="2.54296875" style="3" customWidth="1"/>
    <col min="8" max="12" width="20.54296875" style="3" customWidth="1"/>
    <col min="13" max="13" width="2.54296875" style="3" customWidth="1"/>
    <col min="14" max="18" width="20.54296875" style="3" customWidth="1"/>
    <col min="19" max="19" width="5" style="3" customWidth="1"/>
    <col min="20" max="24" width="20.54296875" style="3" customWidth="1"/>
    <col min="25" max="25" width="8.453125" style="3" customWidth="1"/>
    <col min="26" max="29" width="15.54296875" style="3" customWidth="1"/>
    <col min="30" max="32" width="2.54296875" style="3" customWidth="1"/>
    <col min="33" max="47" width="13.54296875" style="3" customWidth="1"/>
    <col min="48" max="16384" width="9.1796875" style="3"/>
  </cols>
  <sheetData>
    <row r="2" spans="2:26" s="12" customFormat="1" ht="18">
      <c r="B2" s="12" t="s">
        <v>1139</v>
      </c>
    </row>
    <row r="4" spans="2:26" ht="13">
      <c r="B4" s="16" t="s">
        <v>837</v>
      </c>
      <c r="C4" s="2"/>
    </row>
    <row r="5" spans="2:26" ht="123" customHeight="1">
      <c r="B5" s="352" t="s">
        <v>1084</v>
      </c>
      <c r="C5" s="352"/>
      <c r="D5" s="352"/>
    </row>
    <row r="7" spans="2:26" ht="12.65" customHeight="1">
      <c r="B7" s="17" t="s">
        <v>140</v>
      </c>
    </row>
    <row r="8" spans="2:26" ht="57.65" customHeight="1">
      <c r="B8" s="352" t="s">
        <v>1085</v>
      </c>
      <c r="C8" s="352"/>
      <c r="D8" s="352"/>
    </row>
    <row r="10" spans="2:26" s="8" customFormat="1" ht="13">
      <c r="B10" s="8" t="s">
        <v>143</v>
      </c>
      <c r="D10" s="8" t="s">
        <v>184</v>
      </c>
      <c r="F10" s="8" t="s">
        <v>185</v>
      </c>
      <c r="Z10" s="8" t="s">
        <v>187</v>
      </c>
    </row>
    <row r="12" spans="2:26" s="8" customFormat="1" ht="13">
      <c r="B12" s="8" t="s">
        <v>841</v>
      </c>
    </row>
    <row r="14" spans="2:26" ht="13">
      <c r="B14" s="16" t="s">
        <v>238</v>
      </c>
    </row>
    <row r="15" spans="2:26">
      <c r="B15" s="3" t="s">
        <v>239</v>
      </c>
      <c r="F15" s="37">
        <f>'2. Parameters'!F111</f>
        <v>1.25</v>
      </c>
    </row>
    <row r="16" spans="2:26">
      <c r="B16" s="3" t="s">
        <v>240</v>
      </c>
      <c r="F16" s="37">
        <f>'2. Parameters'!F112</f>
        <v>1.5</v>
      </c>
    </row>
    <row r="17" spans="2:6">
      <c r="B17" s="3" t="s">
        <v>241</v>
      </c>
      <c r="F17" s="37">
        <f>'2. Parameters'!F113</f>
        <v>1.75</v>
      </c>
    </row>
    <row r="18" spans="2:6">
      <c r="B18" s="3" t="s">
        <v>242</v>
      </c>
      <c r="F18" s="37">
        <f>'2. Parameters'!F114</f>
        <v>1.75</v>
      </c>
    </row>
    <row r="20" spans="2:6" ht="13">
      <c r="B20" s="2" t="s">
        <v>244</v>
      </c>
    </row>
    <row r="21" spans="2:6">
      <c r="B21" s="3" t="s">
        <v>245</v>
      </c>
      <c r="F21" s="37">
        <f>'2. Parameters'!F119</f>
        <v>1.482</v>
      </c>
    </row>
    <row r="22" spans="2:6">
      <c r="B22" s="3" t="s">
        <v>246</v>
      </c>
      <c r="F22" s="37">
        <f>'2. Parameters'!F120</f>
        <v>0.78400000000000003</v>
      </c>
    </row>
    <row r="23" spans="2:6">
      <c r="B23" s="3" t="s">
        <v>247</v>
      </c>
      <c r="F23" s="37">
        <f>'2. Parameters'!F121</f>
        <v>0.629</v>
      </c>
    </row>
    <row r="24" spans="2:6">
      <c r="B24" s="3" t="s">
        <v>248</v>
      </c>
      <c r="F24" s="37">
        <f>'2. Parameters'!F122</f>
        <v>1.105</v>
      </c>
    </row>
    <row r="26" spans="2:6" ht="13">
      <c r="B26" s="2" t="s">
        <v>249</v>
      </c>
    </row>
    <row r="27" spans="2:6">
      <c r="B27" s="3" t="s">
        <v>159</v>
      </c>
      <c r="F27" s="37">
        <f>'2. Parameters'!F125</f>
        <v>1.7150000000000001</v>
      </c>
    </row>
    <row r="28" spans="2:6">
      <c r="B28" s="3" t="s">
        <v>160</v>
      </c>
      <c r="F28" s="37">
        <f>'2. Parameters'!F126</f>
        <v>1.5329999999999999</v>
      </c>
    </row>
    <row r="29" spans="2:6">
      <c r="B29" s="3" t="s">
        <v>161</v>
      </c>
      <c r="F29" s="37">
        <f>'2. Parameters'!F127</f>
        <v>1.1990000000000001</v>
      </c>
    </row>
    <row r="30" spans="2:6">
      <c r="B30" s="3" t="s">
        <v>162</v>
      </c>
      <c r="F30" s="37">
        <f>'2. Parameters'!F128</f>
        <v>0.89400000000000002</v>
      </c>
    </row>
    <row r="31" spans="2:6">
      <c r="B31" s="3" t="s">
        <v>163</v>
      </c>
      <c r="F31" s="37">
        <f>'2. Parameters'!F129</f>
        <v>0.79200000000000004</v>
      </c>
    </row>
    <row r="32" spans="2:6">
      <c r="B32" s="3" t="s">
        <v>164</v>
      </c>
      <c r="F32" s="37">
        <f>'2. Parameters'!F130</f>
        <v>0.66500000000000004</v>
      </c>
    </row>
    <row r="33" spans="2:6">
      <c r="B33" s="3" t="s">
        <v>165</v>
      </c>
      <c r="F33" s="37">
        <f>'2. Parameters'!F131</f>
        <v>0.628</v>
      </c>
    </row>
    <row r="34" spans="2:6">
      <c r="B34" s="3" t="s">
        <v>166</v>
      </c>
      <c r="F34" s="37">
        <f>'2. Parameters'!F132</f>
        <v>0.59699999999999998</v>
      </c>
    </row>
    <row r="35" spans="2:6">
      <c r="B35" s="3" t="s">
        <v>167</v>
      </c>
      <c r="F35" s="37">
        <f>'2. Parameters'!F133</f>
        <v>0.66300000000000003</v>
      </c>
    </row>
    <row r="36" spans="2:6">
      <c r="B36" s="3" t="s">
        <v>168</v>
      </c>
      <c r="F36" s="37">
        <f>'2. Parameters'!F134</f>
        <v>0.76100000000000001</v>
      </c>
    </row>
    <row r="37" spans="2:6">
      <c r="B37" s="3" t="s">
        <v>169</v>
      </c>
      <c r="F37" s="37">
        <f>'2. Parameters'!F135</f>
        <v>1.1299999999999999</v>
      </c>
    </row>
    <row r="38" spans="2:6">
      <c r="B38" s="3" t="s">
        <v>170</v>
      </c>
      <c r="F38" s="37">
        <f>'2. Parameters'!F136</f>
        <v>1.4239999999999999</v>
      </c>
    </row>
    <row r="40" spans="2:6" ht="13">
      <c r="B40" s="2" t="s">
        <v>250</v>
      </c>
    </row>
    <row r="41" spans="2:6">
      <c r="B41" s="3" t="s">
        <v>159</v>
      </c>
      <c r="F41" s="54">
        <f>'2. Parameters'!F139</f>
        <v>1.7729999999999999</v>
      </c>
    </row>
    <row r="42" spans="2:6">
      <c r="B42" s="3" t="s">
        <v>160</v>
      </c>
      <c r="F42" s="54">
        <f>'2. Parameters'!F140</f>
        <v>1.585</v>
      </c>
    </row>
    <row r="43" spans="2:6">
      <c r="B43" s="3" t="s">
        <v>161</v>
      </c>
      <c r="F43" s="54">
        <f>'2. Parameters'!F141</f>
        <v>1.2390000000000001</v>
      </c>
    </row>
    <row r="44" spans="2:6">
      <c r="B44" s="3" t="s">
        <v>162</v>
      </c>
      <c r="F44" s="54">
        <f>'2. Parameters'!F142</f>
        <v>0.92400000000000004</v>
      </c>
    </row>
    <row r="45" spans="2:6">
      <c r="B45" s="3" t="s">
        <v>163</v>
      </c>
      <c r="F45" s="54">
        <f>'2. Parameters'!F143</f>
        <v>0.81899999999999995</v>
      </c>
    </row>
    <row r="46" spans="2:6">
      <c r="B46" s="3" t="s">
        <v>164</v>
      </c>
      <c r="F46" s="54">
        <f>'2. Parameters'!F144</f>
        <v>0.68799999999999994</v>
      </c>
    </row>
    <row r="47" spans="2:6">
      <c r="B47" s="3" t="s">
        <v>165</v>
      </c>
      <c r="F47" s="54">
        <f>'2. Parameters'!F145</f>
        <v>0.64900000000000002</v>
      </c>
    </row>
    <row r="48" spans="2:6">
      <c r="B48" s="3" t="s">
        <v>166</v>
      </c>
      <c r="F48" s="54">
        <f>'2. Parameters'!F146</f>
        <v>0.61799999999999999</v>
      </c>
    </row>
    <row r="49" spans="2:6">
      <c r="B49" s="3" t="s">
        <v>167</v>
      </c>
      <c r="F49" s="54">
        <f>'2. Parameters'!F147</f>
        <v>0.68600000000000005</v>
      </c>
    </row>
    <row r="50" spans="2:6">
      <c r="B50" s="3" t="s">
        <v>168</v>
      </c>
      <c r="F50" s="54">
        <f>'2. Parameters'!F148</f>
        <v>0.78700000000000003</v>
      </c>
    </row>
    <row r="51" spans="2:6">
      <c r="B51" s="3" t="s">
        <v>169</v>
      </c>
      <c r="F51" s="54">
        <f>'2. Parameters'!F149</f>
        <v>1.1679999999999999</v>
      </c>
    </row>
    <row r="52" spans="2:6">
      <c r="B52" s="3" t="s">
        <v>170</v>
      </c>
      <c r="F52" s="54">
        <f>'2. Parameters'!F150</f>
        <v>1.472</v>
      </c>
    </row>
    <row r="54" spans="2:6" ht="13">
      <c r="B54" s="2" t="s">
        <v>1128</v>
      </c>
    </row>
    <row r="55" spans="2:6">
      <c r="B55" s="3" t="s">
        <v>159</v>
      </c>
      <c r="F55" s="37">
        <f>'2. Parameters'!F155</f>
        <v>31</v>
      </c>
    </row>
    <row r="56" spans="2:6">
      <c r="B56" s="3" t="s">
        <v>160</v>
      </c>
      <c r="F56" s="37">
        <f>'2. Parameters'!F156</f>
        <v>28</v>
      </c>
    </row>
    <row r="57" spans="2:6">
      <c r="B57" s="3" t="s">
        <v>161</v>
      </c>
      <c r="F57" s="37">
        <f>'2. Parameters'!F157</f>
        <v>31</v>
      </c>
    </row>
    <row r="58" spans="2:6">
      <c r="B58" s="3" t="s">
        <v>162</v>
      </c>
      <c r="F58" s="37">
        <f>'2. Parameters'!F158</f>
        <v>30</v>
      </c>
    </row>
    <row r="59" spans="2:6">
      <c r="B59" s="3" t="s">
        <v>163</v>
      </c>
      <c r="F59" s="37">
        <f>'2. Parameters'!F159</f>
        <v>31</v>
      </c>
    </row>
    <row r="60" spans="2:6">
      <c r="B60" s="3" t="s">
        <v>164</v>
      </c>
      <c r="F60" s="37">
        <f>'2. Parameters'!F160</f>
        <v>30</v>
      </c>
    </row>
    <row r="61" spans="2:6">
      <c r="B61" s="3" t="s">
        <v>165</v>
      </c>
      <c r="F61" s="37">
        <f>'2. Parameters'!F161</f>
        <v>31</v>
      </c>
    </row>
    <row r="62" spans="2:6">
      <c r="B62" s="3" t="s">
        <v>166</v>
      </c>
      <c r="F62" s="37">
        <f>'2. Parameters'!F162</f>
        <v>31</v>
      </c>
    </row>
    <row r="63" spans="2:6">
      <c r="B63" s="3" t="s">
        <v>167</v>
      </c>
      <c r="F63" s="37">
        <f>'2. Parameters'!F163</f>
        <v>30</v>
      </c>
    </row>
    <row r="64" spans="2:6">
      <c r="B64" s="3" t="s">
        <v>168</v>
      </c>
      <c r="F64" s="37">
        <f>'2. Parameters'!F164</f>
        <v>31</v>
      </c>
    </row>
    <row r="65" spans="2:6">
      <c r="B65" s="3" t="s">
        <v>169</v>
      </c>
      <c r="F65" s="37">
        <f>'2. Parameters'!F165</f>
        <v>30</v>
      </c>
    </row>
    <row r="66" spans="2:6">
      <c r="B66" s="3" t="s">
        <v>170</v>
      </c>
      <c r="F66" s="37">
        <f>'2. Parameters'!F166</f>
        <v>31</v>
      </c>
    </row>
    <row r="68" spans="2:6" ht="13">
      <c r="B68" s="2" t="s">
        <v>1129</v>
      </c>
    </row>
    <row r="69" spans="2:6">
      <c r="B69" s="3" t="s">
        <v>245</v>
      </c>
      <c r="F69" s="37">
        <f>'2. Parameters'!F169</f>
        <v>90</v>
      </c>
    </row>
    <row r="70" spans="2:6">
      <c r="B70" s="3" t="s">
        <v>246</v>
      </c>
      <c r="F70" s="37">
        <f>'2. Parameters'!F170</f>
        <v>91</v>
      </c>
    </row>
    <row r="71" spans="2:6">
      <c r="B71" s="3" t="s">
        <v>247</v>
      </c>
      <c r="F71" s="37">
        <f>'2. Parameters'!F171</f>
        <v>92</v>
      </c>
    </row>
    <row r="72" spans="2:6">
      <c r="B72" s="3" t="s">
        <v>248</v>
      </c>
      <c r="F72" s="37">
        <f>'2. Parameters'!F172</f>
        <v>92</v>
      </c>
    </row>
    <row r="74" spans="2:6" ht="13">
      <c r="B74" s="2" t="s">
        <v>1130</v>
      </c>
    </row>
    <row r="75" spans="2:6">
      <c r="B75" s="3" t="s">
        <v>252</v>
      </c>
      <c r="F75" s="37">
        <f>'2. Parameters'!F175</f>
        <v>24</v>
      </c>
    </row>
    <row r="76" spans="2:6">
      <c r="B76" s="3" t="s">
        <v>253</v>
      </c>
      <c r="F76" s="37">
        <f>'2. Parameters'!F176</f>
        <v>365</v>
      </c>
    </row>
    <row r="77" spans="2:6">
      <c r="B77" s="3" t="s">
        <v>254</v>
      </c>
      <c r="F77" s="37">
        <f>'2. Parameters'!F177</f>
        <v>8760</v>
      </c>
    </row>
    <row r="78" spans="2:6" ht="13">
      <c r="B78" s="2"/>
    </row>
    <row r="79" spans="2:6" ht="13">
      <c r="B79" s="2" t="s">
        <v>234</v>
      </c>
    </row>
    <row r="80" spans="2:6">
      <c r="B80" s="3" t="s">
        <v>1086</v>
      </c>
      <c r="D80" s="3" t="s">
        <v>188</v>
      </c>
      <c r="F80" s="37" t="str">
        <f>'1. Entry- en exittarieven'!J8</f>
        <v>Alle overige entry- en exitpunten</v>
      </c>
    </row>
    <row r="81" spans="2:24">
      <c r="B81" s="3" t="s">
        <v>1087</v>
      </c>
      <c r="D81" s="3" t="s">
        <v>188</v>
      </c>
      <c r="F81" s="77">
        <f>_xlfn.XLOOKUP(F80,'2. Parameters'!B182:B196,'2. Parameters'!F182:F196)</f>
        <v>1E-4</v>
      </c>
    </row>
    <row r="82" spans="2:24">
      <c r="B82" s="3" t="s">
        <v>1088</v>
      </c>
      <c r="D82" s="3" t="s">
        <v>188</v>
      </c>
      <c r="F82" s="77">
        <f>_xlfn.XLOOKUP(F80,'2. Parameters'!B199:B213,'2. Parameters'!F199:F213)</f>
        <v>1E-4</v>
      </c>
    </row>
    <row r="83" spans="2:24">
      <c r="B83" s="3" t="s">
        <v>236</v>
      </c>
      <c r="D83" s="3" t="s">
        <v>188</v>
      </c>
      <c r="F83" s="77">
        <f>'2. Parameters'!F106</f>
        <v>0.94</v>
      </c>
    </row>
    <row r="85" spans="2:24" s="8" customFormat="1" ht="13">
      <c r="B85" s="8" t="s">
        <v>1089</v>
      </c>
    </row>
    <row r="87" spans="2:24">
      <c r="B87" s="3" t="s">
        <v>1075</v>
      </c>
      <c r="D87" s="3" t="s">
        <v>1131</v>
      </c>
      <c r="F87" s="32">
        <f>'27. RPM'!N43</f>
        <v>5.4809463813260395</v>
      </c>
    </row>
    <row r="88" spans="2:24">
      <c r="B88" s="3" t="s">
        <v>1076</v>
      </c>
      <c r="D88" s="3" t="s">
        <v>1131</v>
      </c>
      <c r="F88" s="32">
        <f>'27. RPM'!N44</f>
        <v>5.1008629844288826</v>
      </c>
    </row>
    <row r="89" spans="2:24">
      <c r="B89" s="3" t="s">
        <v>1077</v>
      </c>
      <c r="D89" s="3" t="s">
        <v>1131</v>
      </c>
      <c r="F89" s="32">
        <f>'27. RPM'!N45</f>
        <v>1.3702365953315099</v>
      </c>
      <c r="I89" s="220"/>
    </row>
    <row r="90" spans="2:24">
      <c r="B90" s="3" t="s">
        <v>1078</v>
      </c>
      <c r="D90" s="3" t="s">
        <v>1131</v>
      </c>
      <c r="F90" s="32">
        <f>'27. RPM'!N46</f>
        <v>1.2752157461072207</v>
      </c>
    </row>
    <row r="91" spans="2:24">
      <c r="B91" s="3" t="s">
        <v>1079</v>
      </c>
      <c r="D91" s="3" t="s">
        <v>1131</v>
      </c>
      <c r="F91" s="32">
        <f>'27. RPM'!N47</f>
        <v>5.4809463813260395</v>
      </c>
    </row>
    <row r="93" spans="2:24" s="33" customFormat="1" ht="13">
      <c r="B93" s="33" t="s">
        <v>144</v>
      </c>
      <c r="H93" s="33" t="s">
        <v>145</v>
      </c>
      <c r="N93" s="33" t="s">
        <v>146</v>
      </c>
      <c r="T93" s="33" t="s">
        <v>147</v>
      </c>
    </row>
    <row r="94" spans="2:24" s="36" customFormat="1" ht="13">
      <c r="B94" s="36" t="s">
        <v>148</v>
      </c>
      <c r="H94" s="36" t="s">
        <v>149</v>
      </c>
      <c r="I94" s="36" t="s">
        <v>150</v>
      </c>
      <c r="J94" s="36" t="s">
        <v>151</v>
      </c>
      <c r="K94" s="36" t="s">
        <v>152</v>
      </c>
      <c r="L94" s="36" t="s">
        <v>153</v>
      </c>
      <c r="N94" s="36" t="s">
        <v>149</v>
      </c>
      <c r="O94" s="36" t="s">
        <v>150</v>
      </c>
      <c r="P94" s="36" t="s">
        <v>151</v>
      </c>
      <c r="Q94" s="36" t="s">
        <v>152</v>
      </c>
      <c r="R94" s="36" t="s">
        <v>153</v>
      </c>
      <c r="T94" s="36" t="s">
        <v>149</v>
      </c>
      <c r="U94" s="36" t="s">
        <v>150</v>
      </c>
      <c r="V94" s="36" t="s">
        <v>151</v>
      </c>
      <c r="W94" s="36" t="s">
        <v>152</v>
      </c>
      <c r="X94" s="36" t="s">
        <v>153</v>
      </c>
    </row>
    <row r="95" spans="2:24" s="34" customFormat="1" ht="13">
      <c r="H95" s="34" t="s">
        <v>154</v>
      </c>
      <c r="I95" s="34" t="s">
        <v>155</v>
      </c>
      <c r="J95" s="34" t="s">
        <v>156</v>
      </c>
      <c r="K95" s="34" t="s">
        <v>157</v>
      </c>
      <c r="L95" s="34" t="s">
        <v>158</v>
      </c>
      <c r="N95" s="34" t="s">
        <v>154</v>
      </c>
      <c r="O95" s="34" t="s">
        <v>155</v>
      </c>
      <c r="P95" s="34" t="s">
        <v>156</v>
      </c>
      <c r="Q95" s="34" t="s">
        <v>157</v>
      </c>
      <c r="R95" s="34" t="s">
        <v>158</v>
      </c>
      <c r="T95" s="34" t="s">
        <v>154</v>
      </c>
      <c r="U95" s="34" t="s">
        <v>155</v>
      </c>
      <c r="V95" s="34" t="s">
        <v>156</v>
      </c>
      <c r="W95" s="34" t="s">
        <v>157</v>
      </c>
      <c r="X95" s="34" t="s">
        <v>158</v>
      </c>
    </row>
    <row r="97" spans="2:33" ht="12.75" customHeight="1">
      <c r="B97" s="3" t="s">
        <v>159</v>
      </c>
      <c r="H97" s="363">
        <f>ROUND(F87,8)</f>
        <v>5.4809463799999998</v>
      </c>
      <c r="I97" s="364">
        <f>ROUND($F$15*$F$21*$F$69/$F$76*$F$87,8)</f>
        <v>2.5035911899999999</v>
      </c>
      <c r="J97" s="86">
        <f t="shared" ref="J97:J108" si="0">ROUND($F$16*$F27*$F55/$F$76*$F$87,8)</f>
        <v>1.1975117</v>
      </c>
      <c r="K97" s="86">
        <f t="shared" ref="K97:K108" si="1">ROUND($F$17*$F41/$F$76*$F$87,8)</f>
        <v>4.6591800000000003E-2</v>
      </c>
      <c r="L97" s="254">
        <f t="shared" ref="L97:L108" si="2">ROUNDUP($F$18*$F41/$F$77*$F$87,8)</f>
        <v>1.94133E-3</v>
      </c>
      <c r="M97" s="87"/>
      <c r="N97" s="363">
        <f>ROUND(F89,8)</f>
        <v>1.3702365999999999</v>
      </c>
      <c r="O97" s="364">
        <f>ROUND($F$15*$F$21*$F$69/$F$76*$F$89,8)</f>
        <v>0.62589779999999995</v>
      </c>
      <c r="P97" s="86">
        <f>ROUND($F$16*$F$27*$F$55/$F$76*$F$89,8)</f>
        <v>0.29937793000000001</v>
      </c>
      <c r="Q97" s="86">
        <f>ROUND($F$17*$F$41/$F$76*$F$89,8)</f>
        <v>1.1647950000000001E-2</v>
      </c>
      <c r="R97" s="259">
        <f t="shared" ref="R97:R108" si="3">ROUNDUP($F$18*$F41/$F$77*$F$89,8)</f>
        <v>4.8534000000000001E-4</v>
      </c>
      <c r="S97" s="284"/>
      <c r="T97" s="363">
        <f>ROUND(F91,8)</f>
        <v>5.4809463799999998</v>
      </c>
      <c r="U97" s="364">
        <f>ROUND($F$15*$F$21*$F$69/$F$76*$F$91,8)</f>
        <v>2.5035911899999999</v>
      </c>
      <c r="V97" s="285">
        <f t="shared" ref="V97:V108" si="4">ROUND($F$16*$F27*$F55/$F$76*$F$91,8)</f>
        <v>1.1975117</v>
      </c>
      <c r="W97" s="285">
        <f t="shared" ref="W97:W108" si="5">ROUND($F$17*$F41/$F$76*$F$91,8)</f>
        <v>4.6591800000000003E-2</v>
      </c>
      <c r="X97" s="259">
        <f t="shared" ref="X97:X108" si="6">ROUNDUP($F$18*$F41/$F$77*$F$91,8)</f>
        <v>1.94133E-3</v>
      </c>
      <c r="Z97" s="365" t="s">
        <v>1090</v>
      </c>
      <c r="AA97" s="365"/>
      <c r="AB97" s="365"/>
      <c r="AG97" s="252"/>
    </row>
    <row r="98" spans="2:33">
      <c r="B98" s="3" t="s">
        <v>160</v>
      </c>
      <c r="H98" s="363"/>
      <c r="I98" s="364"/>
      <c r="J98" s="86">
        <f t="shared" si="0"/>
        <v>0.96683894000000004</v>
      </c>
      <c r="K98" s="86">
        <f t="shared" si="1"/>
        <v>4.1651439999999998E-2</v>
      </c>
      <c r="L98" s="254">
        <f t="shared" si="2"/>
        <v>1.73548E-3</v>
      </c>
      <c r="M98" s="87"/>
      <c r="N98" s="363"/>
      <c r="O98" s="364"/>
      <c r="P98" s="86">
        <f>ROUND($F$16*$F$28*$F$56/$F$76*$F$89,8)</f>
        <v>0.24170974000000001</v>
      </c>
      <c r="Q98" s="86">
        <f>ROUND($F$17*$F$42/$F$76*$F$89,8)</f>
        <v>1.0412859999999999E-2</v>
      </c>
      <c r="R98" s="259">
        <f t="shared" si="3"/>
        <v>4.3386999999999999E-4</v>
      </c>
      <c r="S98" s="284"/>
      <c r="T98" s="363"/>
      <c r="U98" s="364"/>
      <c r="V98" s="285">
        <f t="shared" si="4"/>
        <v>0.96683894000000004</v>
      </c>
      <c r="W98" s="285">
        <f t="shared" si="5"/>
        <v>4.1651439999999998E-2</v>
      </c>
      <c r="X98" s="259">
        <f t="shared" si="6"/>
        <v>1.73548E-3</v>
      </c>
      <c r="Z98" s="365"/>
      <c r="AA98" s="365"/>
      <c r="AB98" s="365"/>
    </row>
    <row r="99" spans="2:33">
      <c r="B99" s="3" t="s">
        <v>161</v>
      </c>
      <c r="H99" s="363"/>
      <c r="I99" s="364"/>
      <c r="J99" s="86">
        <f t="shared" si="0"/>
        <v>0.83721080999999997</v>
      </c>
      <c r="K99" s="86">
        <f t="shared" si="1"/>
        <v>3.2559070000000002E-2</v>
      </c>
      <c r="L99" s="254">
        <f t="shared" si="2"/>
        <v>1.3566299999999999E-3</v>
      </c>
      <c r="M99" s="87"/>
      <c r="N99" s="363"/>
      <c r="O99" s="364"/>
      <c r="P99" s="86">
        <f>ROUND($F$16*$F$29*$F$57/$F$76*$F$89,8)</f>
        <v>0.20930270000000001</v>
      </c>
      <c r="Q99" s="86">
        <f>ROUND($F$17*$F$43/$F$76*$F$89,8)</f>
        <v>8.1397699999999993E-3</v>
      </c>
      <c r="R99" s="259">
        <f t="shared" si="3"/>
        <v>3.3915999999999997E-4</v>
      </c>
      <c r="S99" s="284"/>
      <c r="T99" s="363"/>
      <c r="U99" s="364"/>
      <c r="V99" s="285">
        <f t="shared" si="4"/>
        <v>0.83721080999999997</v>
      </c>
      <c r="W99" s="285">
        <f t="shared" si="5"/>
        <v>3.2559070000000002E-2</v>
      </c>
      <c r="X99" s="259">
        <f t="shared" si="6"/>
        <v>1.3566299999999999E-3</v>
      </c>
      <c r="Z99" s="365"/>
      <c r="AA99" s="365"/>
      <c r="AB99" s="365"/>
    </row>
    <row r="100" spans="2:33">
      <c r="B100" s="3" t="s">
        <v>162</v>
      </c>
      <c r="H100" s="363"/>
      <c r="I100" s="364">
        <f>ROUND($F$15*$F$22*$F$70/$F$76*$F$87,8)</f>
        <v>1.3391528699999999</v>
      </c>
      <c r="J100" s="86">
        <f t="shared" si="0"/>
        <v>0.60410540999999995</v>
      </c>
      <c r="K100" s="86">
        <f t="shared" si="1"/>
        <v>2.4281339999999998E-2</v>
      </c>
      <c r="L100" s="254">
        <f t="shared" si="2"/>
        <v>1.01173E-3</v>
      </c>
      <c r="M100" s="87"/>
      <c r="N100" s="363"/>
      <c r="O100" s="364">
        <f>ROUND($F$15*$F$22*$F$70/$F$76*$F$89,8)</f>
        <v>0.33478822000000003</v>
      </c>
      <c r="P100" s="86">
        <f>ROUND($F$16*$F$30*$F$58/$F$76*$F$89,8)</f>
        <v>0.15102635</v>
      </c>
      <c r="Q100" s="86">
        <f>ROUND($F$17*$F$44/$F$76*$F$89,8)</f>
        <v>6.0703399999999996E-3</v>
      </c>
      <c r="R100" s="259">
        <f t="shared" si="3"/>
        <v>2.5294E-4</v>
      </c>
      <c r="S100" s="284"/>
      <c r="T100" s="363"/>
      <c r="U100" s="364">
        <f>ROUND($F$15*$F$22*$F$70/$F$76*$F$91,8)</f>
        <v>1.3391528699999999</v>
      </c>
      <c r="V100" s="285">
        <f t="shared" si="4"/>
        <v>0.60410540999999995</v>
      </c>
      <c r="W100" s="285">
        <f t="shared" si="5"/>
        <v>2.4281339999999998E-2</v>
      </c>
      <c r="X100" s="259">
        <f t="shared" si="6"/>
        <v>1.01173E-3</v>
      </c>
      <c r="Z100" s="365"/>
      <c r="AA100" s="365"/>
      <c r="AB100" s="365"/>
    </row>
    <row r="101" spans="2:33">
      <c r="B101" s="3" t="s">
        <v>163</v>
      </c>
      <c r="H101" s="363"/>
      <c r="I101" s="364"/>
      <c r="J101" s="86">
        <f t="shared" si="0"/>
        <v>0.55301997999999997</v>
      </c>
      <c r="K101" s="86">
        <f t="shared" si="1"/>
        <v>2.1522099999999999E-2</v>
      </c>
      <c r="L101" s="254">
        <f t="shared" si="2"/>
        <v>8.9676000000000003E-4</v>
      </c>
      <c r="M101" s="87"/>
      <c r="N101" s="363"/>
      <c r="O101" s="364"/>
      <c r="P101" s="86">
        <f>ROUND($F$16*$F$31*$F$59/$F$76*$F$89,8)</f>
        <v>0.13825499999999999</v>
      </c>
      <c r="Q101" s="86">
        <f>ROUND($F$17*$F$45/$F$76*$F$89,8)</f>
        <v>5.3805199999999997E-3</v>
      </c>
      <c r="R101" s="259">
        <f t="shared" si="3"/>
        <v>2.2419000000000001E-4</v>
      </c>
      <c r="S101" s="284"/>
      <c r="T101" s="363"/>
      <c r="U101" s="364"/>
      <c r="V101" s="285">
        <f t="shared" si="4"/>
        <v>0.55301997999999997</v>
      </c>
      <c r="W101" s="285">
        <f t="shared" si="5"/>
        <v>2.1522099999999999E-2</v>
      </c>
      <c r="X101" s="259">
        <f t="shared" si="6"/>
        <v>8.9676000000000003E-4</v>
      </c>
      <c r="Z101" s="365"/>
      <c r="AA101" s="365"/>
      <c r="AB101" s="365"/>
    </row>
    <row r="102" spans="2:33">
      <c r="B102" s="3" t="s">
        <v>164</v>
      </c>
      <c r="H102" s="363"/>
      <c r="I102" s="364"/>
      <c r="J102" s="86">
        <f t="shared" si="0"/>
        <v>0.44936251999999999</v>
      </c>
      <c r="K102" s="86">
        <f t="shared" si="1"/>
        <v>1.8079609999999999E-2</v>
      </c>
      <c r="L102" s="254">
        <f t="shared" si="2"/>
        <v>7.5332000000000003E-4</v>
      </c>
      <c r="M102" s="87"/>
      <c r="N102" s="363"/>
      <c r="O102" s="364"/>
      <c r="P102" s="86">
        <f>ROUND($F$16*$F$32*$F$60/$F$76*$F$89,8)</f>
        <v>0.11234063</v>
      </c>
      <c r="Q102" s="86">
        <f>ROUND($F$17*$F$46/$F$76*$F$89,8)</f>
        <v>4.5199000000000003E-3</v>
      </c>
      <c r="R102" s="259">
        <f t="shared" si="3"/>
        <v>1.8833000000000001E-4</v>
      </c>
      <c r="S102" s="284"/>
      <c r="T102" s="363"/>
      <c r="U102" s="364"/>
      <c r="V102" s="285">
        <f t="shared" si="4"/>
        <v>0.44936251999999999</v>
      </c>
      <c r="W102" s="285">
        <f t="shared" si="5"/>
        <v>1.8079609999999999E-2</v>
      </c>
      <c r="X102" s="259">
        <f t="shared" si="6"/>
        <v>7.5332000000000003E-4</v>
      </c>
      <c r="Z102" s="365"/>
      <c r="AA102" s="365"/>
      <c r="AB102" s="365"/>
    </row>
    <row r="103" spans="2:33">
      <c r="B103" s="3" t="s">
        <v>165</v>
      </c>
      <c r="H103" s="363"/>
      <c r="I103" s="364">
        <f>ROUND($F$15*$F$23*$F$71/$F$76*$F$87,8)</f>
        <v>1.08620344</v>
      </c>
      <c r="J103" s="86">
        <f t="shared" si="0"/>
        <v>0.43850573999999998</v>
      </c>
      <c r="K103" s="86">
        <f t="shared" si="1"/>
        <v>1.705475E-2</v>
      </c>
      <c r="L103" s="254">
        <f t="shared" si="2"/>
        <v>7.1062000000000002E-4</v>
      </c>
      <c r="M103" s="87"/>
      <c r="N103" s="363"/>
      <c r="O103" s="364">
        <f>ROUND($F$15*$F$23*$F$71/$F$76*$F$89,8)</f>
        <v>0.27155086000000001</v>
      </c>
      <c r="P103" s="86">
        <f>ROUND($F$16*$F$33*$F$61/$F$76*$F$89,8)</f>
        <v>0.10962644000000001</v>
      </c>
      <c r="Q103" s="86">
        <f>ROUND($F$17*$F$47/$F$76*$F$89,8)</f>
        <v>4.2636899999999997E-3</v>
      </c>
      <c r="R103" s="259">
        <f t="shared" si="3"/>
        <v>1.7766E-4</v>
      </c>
      <c r="S103" s="284"/>
      <c r="T103" s="363"/>
      <c r="U103" s="364">
        <f>ROUND($F$15*$F$23*$F$71/$F$76*$F$91,8)</f>
        <v>1.08620344</v>
      </c>
      <c r="V103" s="285">
        <f t="shared" si="4"/>
        <v>0.43850573999999998</v>
      </c>
      <c r="W103" s="285">
        <f t="shared" si="5"/>
        <v>1.705475E-2</v>
      </c>
      <c r="X103" s="259">
        <f t="shared" si="6"/>
        <v>7.1062000000000002E-4</v>
      </c>
      <c r="Z103" s="365"/>
      <c r="AA103" s="365"/>
      <c r="AB103" s="365"/>
    </row>
    <row r="104" spans="2:33">
      <c r="B104" s="3" t="s">
        <v>166</v>
      </c>
      <c r="H104" s="363"/>
      <c r="I104" s="364"/>
      <c r="J104" s="86">
        <f t="shared" si="0"/>
        <v>0.41685976000000002</v>
      </c>
      <c r="K104" s="86">
        <f t="shared" si="1"/>
        <v>1.624012E-2</v>
      </c>
      <c r="L104" s="254">
        <f t="shared" si="2"/>
        <v>6.7668000000000003E-4</v>
      </c>
      <c r="M104" s="87"/>
      <c r="N104" s="363"/>
      <c r="O104" s="364"/>
      <c r="P104" s="86">
        <f>ROUND($F$16*$F$34*$F$62/$F$76*$F$89,8)</f>
        <v>0.10421494000000001</v>
      </c>
      <c r="Q104" s="86">
        <f>ROUND($F$17*$F$48/$F$76*$F$89,8)</f>
        <v>4.0600300000000001E-3</v>
      </c>
      <c r="R104" s="259">
        <f t="shared" si="3"/>
        <v>1.6917000000000001E-4</v>
      </c>
      <c r="S104" s="284"/>
      <c r="T104" s="363"/>
      <c r="U104" s="364"/>
      <c r="V104" s="285">
        <f t="shared" si="4"/>
        <v>0.41685976000000002</v>
      </c>
      <c r="W104" s="285">
        <f t="shared" si="5"/>
        <v>1.624012E-2</v>
      </c>
      <c r="X104" s="259">
        <f t="shared" si="6"/>
        <v>6.7668000000000003E-4</v>
      </c>
      <c r="Z104" s="365"/>
      <c r="AA104" s="365"/>
      <c r="AB104" s="365"/>
    </row>
    <row r="105" spans="2:33">
      <c r="B105" s="3" t="s">
        <v>167</v>
      </c>
      <c r="H105" s="363"/>
      <c r="I105" s="364"/>
      <c r="J105" s="86">
        <f t="shared" si="0"/>
        <v>0.44801106000000002</v>
      </c>
      <c r="K105" s="86">
        <f t="shared" si="1"/>
        <v>1.8027060000000001E-2</v>
      </c>
      <c r="L105" s="254">
        <f t="shared" si="2"/>
        <v>7.5113000000000003E-4</v>
      </c>
      <c r="M105" s="87"/>
      <c r="N105" s="363"/>
      <c r="O105" s="364"/>
      <c r="P105" s="86">
        <f>ROUND($F$16*$F$35*$F$63/$F$76*$F$89,8)</f>
        <v>0.11200276000000001</v>
      </c>
      <c r="Q105" s="86">
        <f>ROUND($F$17*$F$49/$F$76*$F$89,8)</f>
        <v>4.5067600000000003E-3</v>
      </c>
      <c r="R105" s="259">
        <f t="shared" si="3"/>
        <v>1.8778999999999999E-4</v>
      </c>
      <c r="S105" s="284"/>
      <c r="T105" s="363"/>
      <c r="U105" s="364"/>
      <c r="V105" s="285">
        <f t="shared" si="4"/>
        <v>0.44801106000000002</v>
      </c>
      <c r="W105" s="285">
        <f t="shared" si="5"/>
        <v>1.8027060000000001E-2</v>
      </c>
      <c r="X105" s="259">
        <f t="shared" si="6"/>
        <v>7.5113000000000003E-4</v>
      </c>
      <c r="Z105" s="365"/>
      <c r="AA105" s="365"/>
      <c r="AB105" s="365"/>
    </row>
    <row r="106" spans="2:33">
      <c r="B106" s="3" t="s">
        <v>168</v>
      </c>
      <c r="H106" s="363"/>
      <c r="I106" s="364">
        <f>ROUND($F$15*$F$24*$F$72/$F$76*$F$87,8)</f>
        <v>1.90819524</v>
      </c>
      <c r="J106" s="86">
        <f t="shared" si="0"/>
        <v>0.53137400000000001</v>
      </c>
      <c r="K106" s="86">
        <f t="shared" si="1"/>
        <v>2.0681189999999999E-2</v>
      </c>
      <c r="L106" s="254">
        <f t="shared" si="2"/>
        <v>8.6172000000000006E-4</v>
      </c>
      <c r="M106" s="87"/>
      <c r="N106" s="363"/>
      <c r="O106" s="364">
        <f>ROUND($F$15*$F$24*$F$72/$F$76*$F$89,8)</f>
        <v>0.47704880999999999</v>
      </c>
      <c r="P106" s="86">
        <f>ROUND($F$16*$F$36*$F$64/$F$76*$F$89,8)</f>
        <v>0.1328435</v>
      </c>
      <c r="Q106" s="86">
        <f>ROUND($F$17*$F$50/$F$76*$F$89,8)</f>
        <v>5.1703000000000001E-3</v>
      </c>
      <c r="R106" s="259">
        <f t="shared" si="3"/>
        <v>2.1542999999999999E-4</v>
      </c>
      <c r="S106" s="284"/>
      <c r="T106" s="363"/>
      <c r="U106" s="364">
        <f>ROUND($F$15*$F$24*$F$72/$F$76*$F$91,8)</f>
        <v>1.90819524</v>
      </c>
      <c r="V106" s="285">
        <f t="shared" si="4"/>
        <v>0.53137400000000001</v>
      </c>
      <c r="W106" s="285">
        <f t="shared" si="5"/>
        <v>2.0681189999999999E-2</v>
      </c>
      <c r="X106" s="259">
        <f t="shared" si="6"/>
        <v>8.6172000000000006E-4</v>
      </c>
      <c r="Z106" s="365"/>
      <c r="AA106" s="365"/>
      <c r="AB106" s="365"/>
    </row>
    <row r="107" spans="2:33">
      <c r="B107" s="3" t="s">
        <v>169</v>
      </c>
      <c r="H107" s="363"/>
      <c r="I107" s="364"/>
      <c r="J107" s="86">
        <f t="shared" si="0"/>
        <v>0.76357841999999998</v>
      </c>
      <c r="K107" s="86">
        <f t="shared" si="1"/>
        <v>3.06933E-2</v>
      </c>
      <c r="L107" s="254">
        <f t="shared" si="2"/>
        <v>1.27889E-3</v>
      </c>
      <c r="M107" s="87"/>
      <c r="N107" s="363"/>
      <c r="O107" s="364"/>
      <c r="P107" s="86">
        <f>ROUND($F$16*$F$37*$F$65/$F$76*$F$89,8)</f>
        <v>0.19089460999999999</v>
      </c>
      <c r="Q107" s="86">
        <f>ROUND($F$17*$F$51/$F$76*$F$89,8)</f>
        <v>7.67332E-3</v>
      </c>
      <c r="R107" s="259">
        <f t="shared" si="3"/>
        <v>3.1973E-4</v>
      </c>
      <c r="S107" s="284"/>
      <c r="T107" s="363"/>
      <c r="U107" s="364"/>
      <c r="V107" s="285">
        <f t="shared" si="4"/>
        <v>0.76357841999999998</v>
      </c>
      <c r="W107" s="285">
        <f t="shared" si="5"/>
        <v>3.06933E-2</v>
      </c>
      <c r="X107" s="259">
        <f t="shared" si="6"/>
        <v>1.27889E-3</v>
      </c>
      <c r="Z107" s="365"/>
      <c r="AA107" s="365"/>
      <c r="AB107" s="365"/>
    </row>
    <row r="108" spans="2:33">
      <c r="B108" s="3" t="s">
        <v>170</v>
      </c>
      <c r="H108" s="363"/>
      <c r="I108" s="364"/>
      <c r="J108" s="86">
        <f t="shared" si="0"/>
        <v>0.99431875999999997</v>
      </c>
      <c r="K108" s="86">
        <f t="shared" si="1"/>
        <v>3.8681970000000003E-2</v>
      </c>
      <c r="L108" s="254">
        <f t="shared" si="2"/>
        <v>1.6117499999999999E-3</v>
      </c>
      <c r="M108" s="87"/>
      <c r="N108" s="363"/>
      <c r="O108" s="364"/>
      <c r="P108" s="86">
        <f>ROUND($F$16*$F$38*$F$66/$F$76*$F$89,8)</f>
        <v>0.24857968999999999</v>
      </c>
      <c r="Q108" s="86">
        <f>ROUND($F$17*$F$52/$F$76*$F$89,8)</f>
        <v>9.6704900000000003E-3</v>
      </c>
      <c r="R108" s="259">
        <f t="shared" si="3"/>
        <v>4.0294000000000001E-4</v>
      </c>
      <c r="S108" s="284"/>
      <c r="T108" s="363"/>
      <c r="U108" s="364"/>
      <c r="V108" s="285">
        <f t="shared" si="4"/>
        <v>0.99431875999999997</v>
      </c>
      <c r="W108" s="285">
        <f t="shared" si="5"/>
        <v>3.8681970000000003E-2</v>
      </c>
      <c r="X108" s="259">
        <f t="shared" si="6"/>
        <v>1.6117499999999999E-3</v>
      </c>
      <c r="Z108" s="365"/>
      <c r="AA108" s="365"/>
      <c r="AB108" s="365"/>
    </row>
    <row r="109" spans="2:33">
      <c r="L109" s="255"/>
      <c r="R109" s="251"/>
      <c r="S109" s="251"/>
      <c r="T109" s="251"/>
      <c r="U109" s="251"/>
      <c r="V109" s="251"/>
      <c r="W109" s="251"/>
      <c r="X109" s="251"/>
    </row>
    <row r="110" spans="2:33">
      <c r="L110" s="255"/>
      <c r="R110" s="251"/>
      <c r="S110" s="251"/>
      <c r="T110" s="251"/>
      <c r="U110" s="251"/>
      <c r="V110" s="251"/>
      <c r="W110" s="251"/>
      <c r="X110" s="251"/>
    </row>
    <row r="111" spans="2:33" s="33" customFormat="1" ht="13">
      <c r="B111" s="33" t="s">
        <v>171</v>
      </c>
      <c r="H111" s="33" t="s">
        <v>145</v>
      </c>
      <c r="L111" s="256"/>
      <c r="N111" s="33" t="s">
        <v>146</v>
      </c>
      <c r="R111" s="260"/>
      <c r="S111" s="260"/>
      <c r="T111" s="260"/>
      <c r="U111" s="260"/>
      <c r="V111" s="260"/>
      <c r="W111" s="260"/>
      <c r="X111" s="260"/>
    </row>
    <row r="112" spans="2:33" s="36" customFormat="1" ht="13">
      <c r="B112" s="36" t="s">
        <v>1091</v>
      </c>
      <c r="H112" s="36" t="s">
        <v>149</v>
      </c>
      <c r="I112" s="36" t="s">
        <v>150</v>
      </c>
      <c r="J112" s="36" t="s">
        <v>151</v>
      </c>
      <c r="K112" s="36" t="s">
        <v>152</v>
      </c>
      <c r="L112" s="257" t="s">
        <v>153</v>
      </c>
      <c r="N112" s="36" t="s">
        <v>149</v>
      </c>
      <c r="O112" s="36" t="s">
        <v>150</v>
      </c>
      <c r="P112" s="36" t="s">
        <v>151</v>
      </c>
      <c r="Q112" s="36" t="s">
        <v>152</v>
      </c>
      <c r="R112" s="261" t="s">
        <v>153</v>
      </c>
      <c r="S112" s="261"/>
      <c r="T112" s="261"/>
      <c r="U112" s="261"/>
      <c r="V112" s="261"/>
      <c r="W112" s="261"/>
      <c r="X112" s="261"/>
    </row>
    <row r="113" spans="2:24" s="34" customFormat="1" ht="13">
      <c r="H113" s="34" t="s">
        <v>154</v>
      </c>
      <c r="I113" s="34" t="s">
        <v>155</v>
      </c>
      <c r="J113" s="34" t="s">
        <v>156</v>
      </c>
      <c r="K113" s="34" t="s">
        <v>157</v>
      </c>
      <c r="L113" s="258" t="s">
        <v>158</v>
      </c>
      <c r="N113" s="34" t="s">
        <v>154</v>
      </c>
      <c r="O113" s="34" t="s">
        <v>155</v>
      </c>
      <c r="P113" s="34" t="s">
        <v>156</v>
      </c>
      <c r="Q113" s="34" t="s">
        <v>157</v>
      </c>
      <c r="R113" s="262" t="s">
        <v>158</v>
      </c>
      <c r="S113" s="262"/>
      <c r="T113" s="262"/>
      <c r="U113" s="262"/>
      <c r="V113" s="262"/>
      <c r="W113" s="262"/>
      <c r="X113" s="262"/>
    </row>
    <row r="114" spans="2:24">
      <c r="L114" s="255"/>
      <c r="R114" s="251"/>
      <c r="S114" s="251"/>
      <c r="T114" s="251"/>
      <c r="U114" s="251"/>
      <c r="V114" s="251"/>
      <c r="W114" s="251"/>
      <c r="X114" s="251"/>
    </row>
    <row r="115" spans="2:24" ht="12.75" customHeight="1">
      <c r="B115" s="3" t="s">
        <v>159</v>
      </c>
      <c r="H115" s="363">
        <f>ROUND(F88,8)</f>
        <v>5.1008629799999996</v>
      </c>
      <c r="I115" s="364">
        <f>ROUND($F$15*$F$21*$F$69/$F$76*$F$88,8)</f>
        <v>2.3299763900000001</v>
      </c>
      <c r="J115" s="86">
        <f t="shared" ref="J115:J126" si="7">ROUND($F$16*$F27*$F55/$F$76*$F$88,8)</f>
        <v>1.11446869</v>
      </c>
      <c r="K115" s="86">
        <f t="shared" ref="K115:K126" si="8">ROUND($F$17*$F41/$F$76*$F$88,8)</f>
        <v>4.3360830000000003E-2</v>
      </c>
      <c r="L115" s="254">
        <f t="shared" ref="L115:L126" si="9">ROUNDUP($F$18*$F41/$F$77*$F$88,8)</f>
        <v>1.80671E-3</v>
      </c>
      <c r="N115" s="363">
        <f>ROUND(F90,8)</f>
        <v>1.2752157500000001</v>
      </c>
      <c r="O115" s="364">
        <f>ROUND($F$15*$F$21*$F$69/$F$76*$F$90,8)</f>
        <v>0.58249410000000001</v>
      </c>
      <c r="P115" s="86">
        <f t="shared" ref="P115:P126" si="10">ROUND($F$16*$F27*$F55/$F$76*$F$90,8)</f>
        <v>0.27861717000000003</v>
      </c>
      <c r="Q115" s="86">
        <f t="shared" ref="Q115:Q126" si="11">ROUND($F$17*$F41/$F$76*$F$90,8)</f>
        <v>1.0840209999999999E-2</v>
      </c>
      <c r="R115" s="259">
        <f t="shared" ref="R115:R126" si="12">ROUNDUP($F$18*$F41/$F$77*$F$90,8)</f>
        <v>4.5167999999999999E-4</v>
      </c>
      <c r="S115" s="284"/>
      <c r="T115" s="365" t="s">
        <v>1090</v>
      </c>
      <c r="U115" s="365"/>
      <c r="V115" s="365"/>
      <c r="W115" s="284"/>
      <c r="X115" s="284"/>
    </row>
    <row r="116" spans="2:24">
      <c r="B116" s="3" t="s">
        <v>160</v>
      </c>
      <c r="H116" s="363"/>
      <c r="I116" s="364"/>
      <c r="J116" s="86">
        <f t="shared" si="7"/>
        <v>0.89979222999999997</v>
      </c>
      <c r="K116" s="86">
        <f t="shared" si="8"/>
        <v>3.8763060000000002E-2</v>
      </c>
      <c r="L116" s="254">
        <f t="shared" si="9"/>
        <v>1.61513E-3</v>
      </c>
      <c r="N116" s="363"/>
      <c r="O116" s="364"/>
      <c r="P116" s="86">
        <f t="shared" si="10"/>
        <v>0.22494806000000001</v>
      </c>
      <c r="Q116" s="86">
        <f t="shared" si="11"/>
        <v>9.6907699999999996E-3</v>
      </c>
      <c r="R116" s="259">
        <f t="shared" si="12"/>
        <v>4.0379000000000001E-4</v>
      </c>
      <c r="S116" s="284"/>
      <c r="T116" s="365"/>
      <c r="U116" s="365"/>
      <c r="V116" s="365"/>
      <c r="W116" s="284"/>
      <c r="X116" s="284"/>
    </row>
    <row r="117" spans="2:24">
      <c r="B117" s="3" t="s">
        <v>161</v>
      </c>
      <c r="H117" s="363"/>
      <c r="I117" s="364"/>
      <c r="J117" s="86">
        <f t="shared" si="7"/>
        <v>0.77915332999999998</v>
      </c>
      <c r="K117" s="86">
        <f t="shared" si="8"/>
        <v>3.030122E-2</v>
      </c>
      <c r="L117" s="254">
        <f t="shared" si="9"/>
        <v>1.26256E-3</v>
      </c>
      <c r="N117" s="363"/>
      <c r="O117" s="364"/>
      <c r="P117" s="86">
        <f t="shared" si="10"/>
        <v>0.19478833000000001</v>
      </c>
      <c r="Q117" s="86">
        <f t="shared" si="11"/>
        <v>7.57531E-3</v>
      </c>
      <c r="R117" s="259">
        <f t="shared" si="12"/>
        <v>3.1564000000000001E-4</v>
      </c>
      <c r="S117" s="284"/>
      <c r="T117" s="365"/>
      <c r="U117" s="365"/>
      <c r="V117" s="365"/>
      <c r="W117" s="284"/>
      <c r="X117" s="284"/>
    </row>
    <row r="118" spans="2:24">
      <c r="B118" s="3" t="s">
        <v>162</v>
      </c>
      <c r="H118" s="363"/>
      <c r="I118" s="364">
        <f>ROUND($F$15*$F$22*$F$70/$F$76*$F$88,8)</f>
        <v>1.2462875600000001</v>
      </c>
      <c r="J118" s="86">
        <f t="shared" si="7"/>
        <v>0.56221293000000006</v>
      </c>
      <c r="K118" s="86">
        <f t="shared" si="8"/>
        <v>2.2597519999999999E-2</v>
      </c>
      <c r="L118" s="254">
        <f t="shared" si="9"/>
        <v>9.4157000000000008E-4</v>
      </c>
      <c r="N118" s="363"/>
      <c r="O118" s="364">
        <f>ROUND($F$15*$F$22*$F$70/$F$76*$F$90,8)</f>
        <v>0.31157189000000002</v>
      </c>
      <c r="P118" s="86">
        <f t="shared" si="10"/>
        <v>0.14055323</v>
      </c>
      <c r="Q118" s="86">
        <f t="shared" si="11"/>
        <v>5.6493799999999999E-3</v>
      </c>
      <c r="R118" s="259">
        <f t="shared" si="12"/>
        <v>2.354E-4</v>
      </c>
      <c r="S118" s="284"/>
      <c r="T118" s="365"/>
      <c r="U118" s="365"/>
      <c r="V118" s="365"/>
      <c r="W118" s="284"/>
      <c r="X118" s="284"/>
    </row>
    <row r="119" spans="2:24">
      <c r="B119" s="3" t="s">
        <v>163</v>
      </c>
      <c r="H119" s="363"/>
      <c r="I119" s="364"/>
      <c r="J119" s="86">
        <f t="shared" si="7"/>
        <v>0.51467008999999997</v>
      </c>
      <c r="K119" s="86">
        <f t="shared" si="8"/>
        <v>2.0029620000000001E-2</v>
      </c>
      <c r="L119" s="254">
        <f t="shared" si="9"/>
        <v>8.3457000000000008E-4</v>
      </c>
      <c r="N119" s="363"/>
      <c r="O119" s="364"/>
      <c r="P119" s="86">
        <f t="shared" si="10"/>
        <v>0.12866752000000001</v>
      </c>
      <c r="Q119" s="86">
        <f t="shared" si="11"/>
        <v>5.0074100000000003E-3</v>
      </c>
      <c r="R119" s="259">
        <f t="shared" si="12"/>
        <v>2.0865E-4</v>
      </c>
      <c r="S119" s="284"/>
      <c r="T119" s="365"/>
      <c r="U119" s="365"/>
      <c r="V119" s="365"/>
      <c r="W119" s="284"/>
      <c r="X119" s="284"/>
    </row>
    <row r="120" spans="2:24">
      <c r="B120" s="3" t="s">
        <v>164</v>
      </c>
      <c r="H120" s="363"/>
      <c r="I120" s="364"/>
      <c r="J120" s="86">
        <f t="shared" si="7"/>
        <v>0.41820088999999999</v>
      </c>
      <c r="K120" s="86">
        <f t="shared" si="8"/>
        <v>1.6825860000000002E-2</v>
      </c>
      <c r="L120" s="254">
        <f t="shared" si="9"/>
        <v>7.0108000000000008E-4</v>
      </c>
      <c r="N120" s="363"/>
      <c r="O120" s="364"/>
      <c r="P120" s="86">
        <f t="shared" si="10"/>
        <v>0.10455022</v>
      </c>
      <c r="Q120" s="86">
        <f t="shared" si="11"/>
        <v>4.2064700000000003E-3</v>
      </c>
      <c r="R120" s="259">
        <f t="shared" si="12"/>
        <v>1.7526999999999999E-4</v>
      </c>
      <c r="S120" s="284"/>
      <c r="T120" s="365"/>
      <c r="U120" s="365"/>
      <c r="V120" s="365"/>
      <c r="W120" s="284"/>
      <c r="X120" s="284"/>
    </row>
    <row r="121" spans="2:24">
      <c r="B121" s="3" t="s">
        <v>165</v>
      </c>
      <c r="H121" s="363"/>
      <c r="I121" s="364">
        <f>ROUND($F$15*$F$23*$F$71/$F$76*$F$88,8)</f>
        <v>1.01087924</v>
      </c>
      <c r="J121" s="86">
        <f t="shared" si="7"/>
        <v>0.40809698999999999</v>
      </c>
      <c r="K121" s="86">
        <f t="shared" si="8"/>
        <v>1.5872069999999999E-2</v>
      </c>
      <c r="L121" s="254">
        <f t="shared" si="9"/>
        <v>6.6134000000000006E-4</v>
      </c>
      <c r="N121" s="363"/>
      <c r="O121" s="364">
        <f>ROUND($F$15*$F$23*$F$71/$F$76*$F$90,8)</f>
        <v>0.25271980999999999</v>
      </c>
      <c r="P121" s="86">
        <f t="shared" si="10"/>
        <v>0.10202425</v>
      </c>
      <c r="Q121" s="86">
        <f t="shared" si="11"/>
        <v>3.9680200000000001E-3</v>
      </c>
      <c r="R121" s="259">
        <f t="shared" si="12"/>
        <v>1.6533999999999999E-4</v>
      </c>
      <c r="S121" s="284"/>
      <c r="T121" s="365"/>
      <c r="U121" s="365"/>
      <c r="V121" s="365"/>
      <c r="W121" s="284"/>
      <c r="X121" s="284"/>
    </row>
    <row r="122" spans="2:24">
      <c r="B122" s="3" t="s">
        <v>166</v>
      </c>
      <c r="H122" s="363"/>
      <c r="I122" s="364"/>
      <c r="J122" s="86">
        <f t="shared" si="7"/>
        <v>0.38795206999999998</v>
      </c>
      <c r="K122" s="86">
        <f t="shared" si="8"/>
        <v>1.5113929999999999E-2</v>
      </c>
      <c r="L122" s="254">
        <f t="shared" si="9"/>
        <v>6.297500000000001E-4</v>
      </c>
      <c r="N122" s="363"/>
      <c r="O122" s="364"/>
      <c r="P122" s="86">
        <f t="shared" si="10"/>
        <v>9.6988019999999994E-2</v>
      </c>
      <c r="Q122" s="86">
        <f t="shared" si="11"/>
        <v>3.7784799999999999E-3</v>
      </c>
      <c r="R122" s="259">
        <f t="shared" si="12"/>
        <v>1.5743999999999998E-4</v>
      </c>
      <c r="S122" s="284"/>
      <c r="T122" s="365"/>
      <c r="U122" s="365"/>
      <c r="V122" s="365"/>
      <c r="W122" s="284"/>
      <c r="X122" s="284"/>
    </row>
    <row r="123" spans="2:24">
      <c r="B123" s="3" t="s">
        <v>167</v>
      </c>
      <c r="H123" s="363"/>
      <c r="I123" s="364"/>
      <c r="J123" s="86">
        <f t="shared" si="7"/>
        <v>0.41694313999999999</v>
      </c>
      <c r="K123" s="86">
        <f t="shared" si="8"/>
        <v>1.6776949999999999E-2</v>
      </c>
      <c r="L123" s="254">
        <f t="shared" si="9"/>
        <v>6.9904000000000006E-4</v>
      </c>
      <c r="N123" s="363"/>
      <c r="O123" s="364"/>
      <c r="P123" s="86">
        <f t="shared" si="10"/>
        <v>0.10423578999999999</v>
      </c>
      <c r="Q123" s="86">
        <f t="shared" si="11"/>
        <v>4.1942400000000001E-3</v>
      </c>
      <c r="R123" s="259">
        <f t="shared" si="12"/>
        <v>1.7475999999999999E-4</v>
      </c>
      <c r="S123" s="284"/>
      <c r="T123" s="365"/>
      <c r="U123" s="365"/>
      <c r="V123" s="365"/>
      <c r="W123" s="284"/>
      <c r="X123" s="284"/>
    </row>
    <row r="124" spans="2:24">
      <c r="B124" s="3" t="s">
        <v>168</v>
      </c>
      <c r="H124" s="363"/>
      <c r="I124" s="364">
        <f>ROUND($F$15*$F$24*$F$72/$F$76*$F$88,8)</f>
        <v>1.7758689400000001</v>
      </c>
      <c r="J124" s="86">
        <f t="shared" si="7"/>
        <v>0.49452517000000001</v>
      </c>
      <c r="K124" s="86">
        <f t="shared" si="8"/>
        <v>1.924702E-2</v>
      </c>
      <c r="L124" s="254">
        <f t="shared" si="9"/>
        <v>8.0196E-4</v>
      </c>
      <c r="N124" s="363"/>
      <c r="O124" s="364">
        <f>ROUND($F$15*$F$24*$F$72/$F$76*$F$90,8)</f>
        <v>0.44396723999999999</v>
      </c>
      <c r="P124" s="86">
        <f t="shared" si="10"/>
        <v>0.12363129</v>
      </c>
      <c r="Q124" s="86">
        <f t="shared" si="11"/>
        <v>4.81176E-3</v>
      </c>
      <c r="R124" s="259">
        <f t="shared" si="12"/>
        <v>2.0049E-4</v>
      </c>
      <c r="S124" s="284"/>
      <c r="T124" s="365"/>
      <c r="U124" s="365"/>
      <c r="V124" s="365"/>
      <c r="W124" s="284"/>
      <c r="X124" s="284"/>
    </row>
    <row r="125" spans="2:24">
      <c r="B125" s="3" t="s">
        <v>169</v>
      </c>
      <c r="H125" s="363"/>
      <c r="I125" s="364"/>
      <c r="J125" s="86">
        <f t="shared" si="7"/>
        <v>0.71062707999999997</v>
      </c>
      <c r="K125" s="86">
        <f t="shared" si="8"/>
        <v>2.8564829999999999E-2</v>
      </c>
      <c r="L125" s="254">
        <f t="shared" si="9"/>
        <v>1.1902099999999999E-3</v>
      </c>
      <c r="N125" s="363"/>
      <c r="O125" s="364"/>
      <c r="P125" s="86">
        <f t="shared" si="10"/>
        <v>0.17765676999999999</v>
      </c>
      <c r="Q125" s="86">
        <f t="shared" si="11"/>
        <v>7.1412100000000003E-3</v>
      </c>
      <c r="R125" s="259">
        <f t="shared" si="12"/>
        <v>2.9755999999999999E-4</v>
      </c>
      <c r="S125" s="284"/>
      <c r="T125" s="365"/>
      <c r="U125" s="365"/>
      <c r="V125" s="365"/>
      <c r="W125" s="284"/>
      <c r="X125" s="284"/>
    </row>
    <row r="126" spans="2:24">
      <c r="B126" s="3" t="s">
        <v>170</v>
      </c>
      <c r="H126" s="363"/>
      <c r="I126" s="364"/>
      <c r="J126" s="86">
        <f t="shared" si="7"/>
        <v>0.92536642000000002</v>
      </c>
      <c r="K126" s="86">
        <f t="shared" si="8"/>
        <v>3.599952E-2</v>
      </c>
      <c r="L126" s="254">
        <f t="shared" si="9"/>
        <v>1.4999799999999999E-3</v>
      </c>
      <c r="N126" s="363"/>
      <c r="O126" s="364"/>
      <c r="P126" s="86">
        <f t="shared" si="10"/>
        <v>0.23134161</v>
      </c>
      <c r="Q126" s="86">
        <f t="shared" si="11"/>
        <v>8.99988E-3</v>
      </c>
      <c r="R126" s="259">
        <f t="shared" si="12"/>
        <v>3.7500000000000001E-4</v>
      </c>
      <c r="S126" s="284"/>
      <c r="T126" s="365"/>
      <c r="U126" s="365"/>
      <c r="V126" s="365"/>
      <c r="W126" s="284"/>
      <c r="X126" s="284"/>
    </row>
    <row r="127" spans="2:24">
      <c r="L127" s="255"/>
      <c r="R127" s="251"/>
      <c r="S127" s="251"/>
      <c r="T127" s="251"/>
      <c r="U127" s="251"/>
      <c r="V127" s="251"/>
      <c r="W127" s="251"/>
      <c r="X127" s="251"/>
    </row>
    <row r="128" spans="2:24">
      <c r="L128" s="255"/>
      <c r="R128" s="251"/>
      <c r="S128" s="251"/>
      <c r="T128" s="251"/>
      <c r="U128" s="251"/>
      <c r="V128" s="251"/>
      <c r="W128" s="251"/>
      <c r="X128" s="251"/>
    </row>
    <row r="129" spans="2:33" s="33" customFormat="1" ht="26">
      <c r="B129" s="192" t="s">
        <v>173</v>
      </c>
      <c r="H129" s="33" t="s">
        <v>145</v>
      </c>
      <c r="L129" s="256"/>
      <c r="N129" s="33" t="s">
        <v>146</v>
      </c>
      <c r="R129" s="260"/>
      <c r="S129" s="260"/>
      <c r="T129" s="33" t="s">
        <v>147</v>
      </c>
    </row>
    <row r="130" spans="2:33" s="36" customFormat="1" ht="13">
      <c r="B130" s="36" t="s">
        <v>1092</v>
      </c>
      <c r="H130" s="36" t="s">
        <v>149</v>
      </c>
      <c r="I130" s="36" t="s">
        <v>150</v>
      </c>
      <c r="J130" s="36" t="s">
        <v>151</v>
      </c>
      <c r="K130" s="36" t="s">
        <v>152</v>
      </c>
      <c r="L130" s="257" t="s">
        <v>153</v>
      </c>
      <c r="N130" s="36" t="s">
        <v>149</v>
      </c>
      <c r="O130" s="36" t="s">
        <v>150</v>
      </c>
      <c r="P130" s="36" t="s">
        <v>151</v>
      </c>
      <c r="Q130" s="36" t="s">
        <v>152</v>
      </c>
      <c r="R130" s="261" t="s">
        <v>153</v>
      </c>
      <c r="S130" s="261"/>
      <c r="T130" s="36" t="s">
        <v>149</v>
      </c>
      <c r="U130" s="36" t="s">
        <v>150</v>
      </c>
      <c r="V130" s="36" t="s">
        <v>151</v>
      </c>
      <c r="W130" s="36" t="s">
        <v>152</v>
      </c>
      <c r="X130" s="36" t="s">
        <v>153</v>
      </c>
    </row>
    <row r="131" spans="2:33" s="34" customFormat="1" ht="13">
      <c r="H131" s="34" t="s">
        <v>154</v>
      </c>
      <c r="I131" s="34" t="s">
        <v>155</v>
      </c>
      <c r="J131" s="34" t="s">
        <v>156</v>
      </c>
      <c r="K131" s="34" t="s">
        <v>157</v>
      </c>
      <c r="L131" s="258" t="s">
        <v>158</v>
      </c>
      <c r="N131" s="34" t="s">
        <v>154</v>
      </c>
      <c r="O131" s="34" t="s">
        <v>155</v>
      </c>
      <c r="P131" s="34" t="s">
        <v>156</v>
      </c>
      <c r="Q131" s="34" t="s">
        <v>157</v>
      </c>
      <c r="R131" s="262" t="s">
        <v>158</v>
      </c>
      <c r="S131" s="262"/>
      <c r="T131" s="34" t="s">
        <v>154</v>
      </c>
      <c r="U131" s="34" t="s">
        <v>155</v>
      </c>
      <c r="V131" s="34" t="s">
        <v>156</v>
      </c>
      <c r="W131" s="34" t="s">
        <v>157</v>
      </c>
      <c r="X131" s="34" t="s">
        <v>158</v>
      </c>
    </row>
    <row r="132" spans="2:33">
      <c r="J132" s="87"/>
      <c r="L132" s="255"/>
      <c r="R132" s="251"/>
      <c r="S132" s="251"/>
      <c r="T132" s="251"/>
      <c r="U132" s="251"/>
      <c r="V132" s="251"/>
      <c r="W132" s="251"/>
      <c r="X132" s="251"/>
    </row>
    <row r="133" spans="2:33">
      <c r="B133" s="3" t="s">
        <v>159</v>
      </c>
      <c r="H133" s="363">
        <f>ROUND((1-$F$81)*F87,8)</f>
        <v>5.4803982900000001</v>
      </c>
      <c r="I133" s="364">
        <f>ROUND((1-$F$81)*$F$15*$F$21*$F$69/$F$76*$F$87,8)</f>
        <v>2.50334083</v>
      </c>
      <c r="J133" s="86">
        <f t="shared" ref="J133:J144" si="13">ROUND((1-$F$81)*$F$16*$F27*$F55/$F$76*$F$87,8)</f>
        <v>1.1973919500000001</v>
      </c>
      <c r="K133" s="86">
        <f t="shared" ref="K133:K144" si="14">ROUND((1-$F$81)*$F$17*$F41/$F$76*$F$87,8)</f>
        <v>4.6587139999999999E-2</v>
      </c>
      <c r="L133" s="254">
        <f t="shared" ref="L133:L144" si="15">ROUNDUP((1-$F$81)*$F$18*$F41/$F$77*$F$87,8)</f>
        <v>1.9411399999999998E-3</v>
      </c>
      <c r="N133" s="363">
        <f>ROUND((1-F81)*F89,8)</f>
        <v>1.37009957</v>
      </c>
      <c r="O133" s="364">
        <f>ROUND((1-$F$81)*$F$15*$F$21*$F$69/$F$76*$F$89,8)</f>
        <v>0.62583520999999998</v>
      </c>
      <c r="P133" s="86">
        <f t="shared" ref="P133:P144" si="16">ROUND((1-$F$81)*$F$16*$F27*$F55/$F$76*$F$89,8)</f>
        <v>0.29934799000000001</v>
      </c>
      <c r="Q133" s="86">
        <f t="shared" ref="Q133:Q144" si="17">ROUND((1-$F$81)*$F$17*$F41/$F$76*$F$89,8)</f>
        <v>1.1646780000000001E-2</v>
      </c>
      <c r="R133" s="259">
        <f t="shared" ref="R133:R144" si="18">ROUNDUP((1-$F$81)*$F$18*$F41/$F$77*$F$89,8)</f>
        <v>4.8528999999999998E-4</v>
      </c>
      <c r="S133" s="284"/>
      <c r="T133" s="363">
        <f>ROUND((1-F81)*F91,8)</f>
        <v>5.4803982900000001</v>
      </c>
      <c r="U133" s="364">
        <f>ROUND((1-$F$81)*$F$15*$F$21*$F$69/$F$76*$F$91,8)</f>
        <v>2.50334083</v>
      </c>
      <c r="V133" s="285">
        <f t="shared" ref="V133:V144" si="19">ROUND((1-$F$81)*$F$16*$F27*$F55/$F$76*$F$91,8)</f>
        <v>1.1973919500000001</v>
      </c>
      <c r="W133" s="285">
        <f t="shared" ref="W133:W144" si="20">ROUND((1-$F$81)*$F$17*$F41/$F$76*$F$91,8)</f>
        <v>4.6587139999999999E-2</v>
      </c>
      <c r="X133" s="259">
        <f t="shared" ref="X133:X144" si="21">ROUNDUP((1-$F$81)*$F$18*$F41/$F$77*$F$91,8)</f>
        <v>1.9411399999999998E-3</v>
      </c>
      <c r="AG133" s="253"/>
    </row>
    <row r="134" spans="2:33">
      <c r="B134" s="3" t="s">
        <v>160</v>
      </c>
      <c r="H134" s="363"/>
      <c r="I134" s="364"/>
      <c r="J134" s="86">
        <f t="shared" si="13"/>
        <v>0.96674225999999996</v>
      </c>
      <c r="K134" s="86">
        <f t="shared" si="14"/>
        <v>4.164727E-2</v>
      </c>
      <c r="L134" s="254">
        <f t="shared" si="15"/>
        <v>1.7353099999999999E-3</v>
      </c>
      <c r="N134" s="363"/>
      <c r="O134" s="364"/>
      <c r="P134" s="86">
        <f t="shared" si="16"/>
        <v>0.24168555999999999</v>
      </c>
      <c r="Q134" s="86">
        <f t="shared" si="17"/>
        <v>1.041182E-2</v>
      </c>
      <c r="R134" s="259">
        <f t="shared" si="18"/>
        <v>4.3383000000000001E-4</v>
      </c>
      <c r="S134" s="284"/>
      <c r="T134" s="363"/>
      <c r="U134" s="364"/>
      <c r="V134" s="285">
        <f t="shared" si="19"/>
        <v>0.96674225999999996</v>
      </c>
      <c r="W134" s="285">
        <f t="shared" si="20"/>
        <v>4.164727E-2</v>
      </c>
      <c r="X134" s="259">
        <f t="shared" si="21"/>
        <v>1.7353099999999999E-3</v>
      </c>
      <c r="AG134" s="253"/>
    </row>
    <row r="135" spans="2:33">
      <c r="B135" s="3" t="s">
        <v>161</v>
      </c>
      <c r="H135" s="363"/>
      <c r="I135" s="364"/>
      <c r="J135" s="86">
        <f t="shared" si="13"/>
        <v>0.83712708000000002</v>
      </c>
      <c r="K135" s="86">
        <f t="shared" si="14"/>
        <v>3.2555819999999999E-2</v>
      </c>
      <c r="L135" s="254">
        <f t="shared" si="15"/>
        <v>1.3564999999999998E-3</v>
      </c>
      <c r="N135" s="363"/>
      <c r="O135" s="364"/>
      <c r="P135" s="86">
        <f t="shared" si="16"/>
        <v>0.20928177000000001</v>
      </c>
      <c r="Q135" s="86">
        <f t="shared" si="17"/>
        <v>8.1389500000000007E-3</v>
      </c>
      <c r="R135" s="259">
        <f t="shared" si="18"/>
        <v>3.3912999999999999E-4</v>
      </c>
      <c r="S135" s="284"/>
      <c r="T135" s="363"/>
      <c r="U135" s="364"/>
      <c r="V135" s="285">
        <f t="shared" si="19"/>
        <v>0.83712708000000002</v>
      </c>
      <c r="W135" s="285">
        <f t="shared" si="20"/>
        <v>3.2555819999999999E-2</v>
      </c>
      <c r="X135" s="259">
        <f t="shared" si="21"/>
        <v>1.3564999999999998E-3</v>
      </c>
    </row>
    <row r="136" spans="2:33">
      <c r="B136" s="3" t="s">
        <v>162</v>
      </c>
      <c r="H136" s="363"/>
      <c r="I136" s="364">
        <f>ROUND((1-$F$81)*$F$15*$F$22*$F$70/$F$76*$F$87,8)</f>
        <v>1.33901896</v>
      </c>
      <c r="J136" s="86">
        <f t="shared" si="13"/>
        <v>0.60404499</v>
      </c>
      <c r="K136" s="86">
        <f t="shared" si="14"/>
        <v>2.4278919999999999E-2</v>
      </c>
      <c r="L136" s="254">
        <f t="shared" si="15"/>
        <v>1.0116299999999999E-3</v>
      </c>
      <c r="N136" s="363"/>
      <c r="O136" s="364">
        <f>ROUND((1-$F$81)*$F$15*$F$22*$F$70/$F$76*$F$89,8)</f>
        <v>0.33475474</v>
      </c>
      <c r="P136" s="86">
        <f t="shared" si="16"/>
        <v>0.15101125000000001</v>
      </c>
      <c r="Q136" s="86">
        <f t="shared" si="17"/>
        <v>6.0697299999999997E-3</v>
      </c>
      <c r="R136" s="259">
        <f t="shared" si="18"/>
        <v>2.5291000000000002E-4</v>
      </c>
      <c r="S136" s="284"/>
      <c r="T136" s="363"/>
      <c r="U136" s="364">
        <f>ROUND((1-$F$81)*$F$15*$F$22*$F$70/$F$76*$F$91,8)</f>
        <v>1.33901896</v>
      </c>
      <c r="V136" s="285">
        <f t="shared" si="19"/>
        <v>0.60404499</v>
      </c>
      <c r="W136" s="285">
        <f t="shared" si="20"/>
        <v>2.4278919999999999E-2</v>
      </c>
      <c r="X136" s="259">
        <f t="shared" si="21"/>
        <v>1.0116299999999999E-3</v>
      </c>
    </row>
    <row r="137" spans="2:33">
      <c r="B137" s="3" t="s">
        <v>163</v>
      </c>
      <c r="H137" s="363"/>
      <c r="I137" s="364"/>
      <c r="J137" s="86">
        <f t="shared" si="13"/>
        <v>0.55296467999999999</v>
      </c>
      <c r="K137" s="86">
        <f t="shared" si="14"/>
        <v>2.1519949999999999E-2</v>
      </c>
      <c r="L137" s="254">
        <f t="shared" si="15"/>
        <v>8.9667000000000002E-4</v>
      </c>
      <c r="N137" s="363"/>
      <c r="O137" s="364"/>
      <c r="P137" s="86">
        <f t="shared" si="16"/>
        <v>0.13824117</v>
      </c>
      <c r="Q137" s="86">
        <f t="shared" si="17"/>
        <v>5.3799900000000003E-3</v>
      </c>
      <c r="R137" s="259">
        <f t="shared" si="18"/>
        <v>2.2416999999999999E-4</v>
      </c>
      <c r="S137" s="284"/>
      <c r="T137" s="363"/>
      <c r="U137" s="364"/>
      <c r="V137" s="285">
        <f t="shared" si="19"/>
        <v>0.55296467999999999</v>
      </c>
      <c r="W137" s="285">
        <f t="shared" si="20"/>
        <v>2.1519949999999999E-2</v>
      </c>
      <c r="X137" s="259">
        <f t="shared" si="21"/>
        <v>8.9667000000000002E-4</v>
      </c>
    </row>
    <row r="138" spans="2:33">
      <c r="B138" s="3" t="s">
        <v>164</v>
      </c>
      <c r="H138" s="363"/>
      <c r="I138" s="364"/>
      <c r="J138" s="86">
        <f t="shared" si="13"/>
        <v>0.44931758999999999</v>
      </c>
      <c r="K138" s="86">
        <f t="shared" si="14"/>
        <v>1.807781E-2</v>
      </c>
      <c r="L138" s="254">
        <f t="shared" si="15"/>
        <v>7.5325000000000001E-4</v>
      </c>
      <c r="N138" s="363"/>
      <c r="O138" s="364"/>
      <c r="P138" s="86">
        <f t="shared" si="16"/>
        <v>0.1123294</v>
      </c>
      <c r="Q138" s="86">
        <f t="shared" si="17"/>
        <v>4.5194500000000004E-3</v>
      </c>
      <c r="R138" s="259">
        <f t="shared" si="18"/>
        <v>1.8831999999999999E-4</v>
      </c>
      <c r="S138" s="284"/>
      <c r="T138" s="363"/>
      <c r="U138" s="364"/>
      <c r="V138" s="285">
        <f t="shared" si="19"/>
        <v>0.44931758999999999</v>
      </c>
      <c r="W138" s="285">
        <f t="shared" si="20"/>
        <v>1.807781E-2</v>
      </c>
      <c r="X138" s="259">
        <f t="shared" si="21"/>
        <v>7.5325000000000001E-4</v>
      </c>
    </row>
    <row r="139" spans="2:33">
      <c r="B139" s="3" t="s">
        <v>165</v>
      </c>
      <c r="H139" s="363"/>
      <c r="I139" s="364">
        <f>ROUND((1-$F$81)*$F$15*$F$23*$F$71/$F$76*$F$87,8)</f>
        <v>1.08609482</v>
      </c>
      <c r="J139" s="86">
        <f t="shared" si="13"/>
        <v>0.43846189000000002</v>
      </c>
      <c r="K139" s="86">
        <f t="shared" si="14"/>
        <v>1.705305E-2</v>
      </c>
      <c r="L139" s="254">
        <f t="shared" si="15"/>
        <v>7.1055000000000001E-4</v>
      </c>
      <c r="N139" s="363"/>
      <c r="O139" s="364">
        <f>ROUND((1-$F$81)*$F$15*$F$23*$F$71/$F$76*$F$89,8)</f>
        <v>0.27152370999999997</v>
      </c>
      <c r="P139" s="86">
        <f t="shared" si="16"/>
        <v>0.10961547000000001</v>
      </c>
      <c r="Q139" s="86">
        <f t="shared" si="17"/>
        <v>4.2632599999999996E-3</v>
      </c>
      <c r="R139" s="259">
        <f t="shared" si="18"/>
        <v>1.7763999999999999E-4</v>
      </c>
      <c r="S139" s="284"/>
      <c r="T139" s="363"/>
      <c r="U139" s="364">
        <f>ROUND((1-$F$81)*$F$15*$F$23*$F$71/$F$76*$F$91,8)</f>
        <v>1.08609482</v>
      </c>
      <c r="V139" s="285">
        <f t="shared" si="19"/>
        <v>0.43846189000000002</v>
      </c>
      <c r="W139" s="285">
        <f t="shared" si="20"/>
        <v>1.705305E-2</v>
      </c>
      <c r="X139" s="259">
        <f t="shared" si="21"/>
        <v>7.1055000000000001E-4</v>
      </c>
    </row>
    <row r="140" spans="2:33">
      <c r="B140" s="3" t="s">
        <v>166</v>
      </c>
      <c r="H140" s="363"/>
      <c r="I140" s="364"/>
      <c r="J140" s="86">
        <f t="shared" si="13"/>
        <v>0.41681806999999998</v>
      </c>
      <c r="K140" s="86">
        <f t="shared" si="14"/>
        <v>1.6238499999999999E-2</v>
      </c>
      <c r="L140" s="254">
        <f t="shared" si="15"/>
        <v>6.7661000000000002E-4</v>
      </c>
      <c r="N140" s="363"/>
      <c r="O140" s="364"/>
      <c r="P140" s="86">
        <f t="shared" si="16"/>
        <v>0.10420451999999999</v>
      </c>
      <c r="Q140" s="86">
        <f t="shared" si="17"/>
        <v>4.0596199999999999E-3</v>
      </c>
      <c r="R140" s="259">
        <f t="shared" si="18"/>
        <v>1.6915999999999999E-4</v>
      </c>
      <c r="S140" s="284"/>
      <c r="T140" s="363"/>
      <c r="U140" s="364"/>
      <c r="V140" s="285">
        <f t="shared" si="19"/>
        <v>0.41681806999999998</v>
      </c>
      <c r="W140" s="285">
        <f t="shared" si="20"/>
        <v>1.6238499999999999E-2</v>
      </c>
      <c r="X140" s="259">
        <f t="shared" si="21"/>
        <v>6.7661000000000002E-4</v>
      </c>
    </row>
    <row r="141" spans="2:33">
      <c r="B141" s="3" t="s">
        <v>167</v>
      </c>
      <c r="H141" s="363"/>
      <c r="I141" s="364"/>
      <c r="J141" s="86">
        <f t="shared" si="13"/>
        <v>0.44796625000000001</v>
      </c>
      <c r="K141" s="86">
        <f t="shared" si="14"/>
        <v>1.8025260000000001E-2</v>
      </c>
      <c r="L141" s="254">
        <f t="shared" si="15"/>
        <v>7.5106000000000001E-4</v>
      </c>
      <c r="N141" s="363"/>
      <c r="O141" s="364"/>
      <c r="P141" s="86">
        <f t="shared" si="16"/>
        <v>0.11199156</v>
      </c>
      <c r="Q141" s="86">
        <f t="shared" si="17"/>
        <v>4.5063100000000004E-3</v>
      </c>
      <c r="R141" s="259">
        <f t="shared" si="18"/>
        <v>1.8777E-4</v>
      </c>
      <c r="S141" s="284"/>
      <c r="T141" s="363"/>
      <c r="U141" s="364"/>
      <c r="V141" s="285">
        <f t="shared" si="19"/>
        <v>0.44796625000000001</v>
      </c>
      <c r="W141" s="285">
        <f t="shared" si="20"/>
        <v>1.8025260000000001E-2</v>
      </c>
      <c r="X141" s="259">
        <f t="shared" si="21"/>
        <v>7.5106000000000001E-4</v>
      </c>
    </row>
    <row r="142" spans="2:33">
      <c r="B142" s="3" t="s">
        <v>168</v>
      </c>
      <c r="H142" s="363"/>
      <c r="I142" s="364">
        <f>ROUND((1-$F$81)*$F$15*$F$24*$F$72/$F$76*$F$87,8)</f>
        <v>1.9080044199999999</v>
      </c>
      <c r="J142" s="86">
        <f t="shared" si="13"/>
        <v>0.53132086000000001</v>
      </c>
      <c r="K142" s="86">
        <f t="shared" si="14"/>
        <v>2.0679119999999999E-2</v>
      </c>
      <c r="L142" s="254">
        <f t="shared" si="15"/>
        <v>8.6163000000000006E-4</v>
      </c>
      <c r="N142" s="363"/>
      <c r="O142" s="364">
        <f>ROUND((1-$F$81)*$F$15*$F$24*$F$72/$F$76*$F$89,8)</f>
        <v>0.47700110000000001</v>
      </c>
      <c r="P142" s="86">
        <f t="shared" si="16"/>
        <v>0.13283022</v>
      </c>
      <c r="Q142" s="86">
        <f t="shared" si="17"/>
        <v>5.1697799999999997E-3</v>
      </c>
      <c r="R142" s="259">
        <f t="shared" si="18"/>
        <v>2.1541E-4</v>
      </c>
      <c r="S142" s="284"/>
      <c r="T142" s="363"/>
      <c r="U142" s="364">
        <f>ROUND((1-$F$81)*$F$15*$F$24*$F$72/$F$76*$F$91,8)</f>
        <v>1.9080044199999999</v>
      </c>
      <c r="V142" s="285">
        <f t="shared" si="19"/>
        <v>0.53132086000000001</v>
      </c>
      <c r="W142" s="285">
        <f t="shared" si="20"/>
        <v>2.0679119999999999E-2</v>
      </c>
      <c r="X142" s="259">
        <f t="shared" si="21"/>
        <v>8.6163000000000006E-4</v>
      </c>
    </row>
    <row r="143" spans="2:33">
      <c r="B143" s="3" t="s">
        <v>169</v>
      </c>
      <c r="H143" s="363"/>
      <c r="I143" s="364"/>
      <c r="J143" s="86">
        <f t="shared" si="13"/>
        <v>0.76350205999999998</v>
      </c>
      <c r="K143" s="86">
        <f t="shared" si="14"/>
        <v>3.0690229999999999E-2</v>
      </c>
      <c r="L143" s="254">
        <f t="shared" si="15"/>
        <v>1.2787599999999999E-3</v>
      </c>
      <c r="N143" s="363"/>
      <c r="O143" s="364"/>
      <c r="P143" s="86">
        <f t="shared" si="16"/>
        <v>0.19087551999999999</v>
      </c>
      <c r="Q143" s="86">
        <f t="shared" si="17"/>
        <v>7.6725600000000001E-3</v>
      </c>
      <c r="R143" s="259">
        <f t="shared" si="18"/>
        <v>3.1968999999999997E-4</v>
      </c>
      <c r="S143" s="284"/>
      <c r="T143" s="363"/>
      <c r="U143" s="364"/>
      <c r="V143" s="285">
        <f t="shared" si="19"/>
        <v>0.76350205999999998</v>
      </c>
      <c r="W143" s="285">
        <f t="shared" si="20"/>
        <v>3.0690229999999999E-2</v>
      </c>
      <c r="X143" s="259">
        <f t="shared" si="21"/>
        <v>1.2787599999999999E-3</v>
      </c>
    </row>
    <row r="144" spans="2:33">
      <c r="B144" s="3" t="s">
        <v>170</v>
      </c>
      <c r="H144" s="363"/>
      <c r="I144" s="364"/>
      <c r="J144" s="86">
        <f t="shared" si="13"/>
        <v>0.99421932000000002</v>
      </c>
      <c r="K144" s="86">
        <f t="shared" si="14"/>
        <v>3.86781E-2</v>
      </c>
      <c r="L144" s="254">
        <f t="shared" si="15"/>
        <v>1.61159E-3</v>
      </c>
      <c r="N144" s="363"/>
      <c r="O144" s="364"/>
      <c r="P144" s="86">
        <f t="shared" si="16"/>
        <v>0.24855483</v>
      </c>
      <c r="Q144" s="86">
        <f t="shared" si="17"/>
        <v>9.6695199999999992E-3</v>
      </c>
      <c r="R144" s="259">
        <f t="shared" si="18"/>
        <v>4.0289999999999998E-4</v>
      </c>
      <c r="S144" s="284"/>
      <c r="T144" s="363"/>
      <c r="U144" s="364"/>
      <c r="V144" s="285">
        <f t="shared" si="19"/>
        <v>0.99421932000000002</v>
      </c>
      <c r="W144" s="285">
        <f t="shared" si="20"/>
        <v>3.86781E-2</v>
      </c>
      <c r="X144" s="259">
        <f t="shared" si="21"/>
        <v>1.61159E-3</v>
      </c>
    </row>
    <row r="145" spans="2:24">
      <c r="L145" s="255"/>
      <c r="R145" s="251"/>
      <c r="S145" s="251"/>
      <c r="T145" s="251"/>
      <c r="U145" s="251"/>
      <c r="V145" s="251"/>
      <c r="W145" s="251"/>
      <c r="X145" s="251"/>
    </row>
    <row r="146" spans="2:24" s="33" customFormat="1" ht="26">
      <c r="B146" s="192" t="s">
        <v>1093</v>
      </c>
      <c r="H146" s="33" t="s">
        <v>145</v>
      </c>
      <c r="L146" s="256"/>
      <c r="N146" s="33" t="s">
        <v>146</v>
      </c>
      <c r="R146" s="260"/>
      <c r="S146" s="260"/>
      <c r="T146" s="260"/>
      <c r="U146" s="260"/>
      <c r="V146" s="260"/>
      <c r="W146" s="260"/>
      <c r="X146" s="260"/>
    </row>
    <row r="147" spans="2:24" s="36" customFormat="1" ht="13">
      <c r="B147" s="36" t="s">
        <v>176</v>
      </c>
      <c r="H147" s="36" t="s">
        <v>149</v>
      </c>
      <c r="I147" s="36" t="s">
        <v>150</v>
      </c>
      <c r="J147" s="36" t="s">
        <v>151</v>
      </c>
      <c r="K147" s="36" t="s">
        <v>152</v>
      </c>
      <c r="L147" s="257" t="s">
        <v>153</v>
      </c>
      <c r="N147" s="36" t="s">
        <v>149</v>
      </c>
      <c r="O147" s="36" t="s">
        <v>150</v>
      </c>
      <c r="P147" s="36" t="s">
        <v>151</v>
      </c>
      <c r="Q147" s="36" t="s">
        <v>152</v>
      </c>
      <c r="R147" s="261" t="s">
        <v>153</v>
      </c>
      <c r="S147" s="261"/>
      <c r="T147" s="261"/>
      <c r="U147" s="261"/>
      <c r="V147" s="261"/>
      <c r="W147" s="261"/>
      <c r="X147" s="261"/>
    </row>
    <row r="148" spans="2:24" s="34" customFormat="1" ht="13">
      <c r="H148" s="34" t="s">
        <v>154</v>
      </c>
      <c r="I148" s="34" t="s">
        <v>155</v>
      </c>
      <c r="J148" s="34" t="s">
        <v>156</v>
      </c>
      <c r="K148" s="34" t="s">
        <v>157</v>
      </c>
      <c r="L148" s="258" t="s">
        <v>158</v>
      </c>
      <c r="N148" s="34" t="s">
        <v>154</v>
      </c>
      <c r="O148" s="34" t="s">
        <v>155</v>
      </c>
      <c r="P148" s="34" t="s">
        <v>156</v>
      </c>
      <c r="Q148" s="34" t="s">
        <v>157</v>
      </c>
      <c r="R148" s="262" t="s">
        <v>158</v>
      </c>
      <c r="S148" s="262"/>
      <c r="T148" s="262"/>
      <c r="U148" s="262"/>
      <c r="V148" s="262"/>
      <c r="W148" s="262"/>
      <c r="X148" s="262"/>
    </row>
    <row r="149" spans="2:24">
      <c r="L149" s="255"/>
      <c r="R149" s="251"/>
      <c r="S149" s="251"/>
      <c r="T149" s="251"/>
      <c r="U149" s="251"/>
      <c r="V149" s="251"/>
      <c r="W149" s="251"/>
      <c r="X149" s="251"/>
    </row>
    <row r="150" spans="2:24">
      <c r="B150" s="3" t="s">
        <v>159</v>
      </c>
      <c r="H150" s="363">
        <f>ROUND((1-$F$82)*F88,8)</f>
        <v>5.1003528999999999</v>
      </c>
      <c r="I150" s="364">
        <f>ROUND((1-$F$82)*$F$15*$F$21*$F$69/$F$76*$F$88,8)</f>
        <v>2.32974339</v>
      </c>
      <c r="J150" s="86">
        <f t="shared" ref="J150:J161" si="22">ROUND((1-$F$82)*$F$16*$F27*$F55/$F$76*$F$88,8)</f>
        <v>1.1143572399999999</v>
      </c>
      <c r="K150" s="86">
        <f t="shared" ref="K150:K161" si="23">ROUND((1-$F$82)*$F$17*$F41/$F$76*$F$88,8)</f>
        <v>4.3356489999999998E-2</v>
      </c>
      <c r="L150" s="254">
        <f t="shared" ref="L150:L161" si="24">ROUNDUP((1-$F$82)*$F$18*$F41/$F$77*$F$88,8)</f>
        <v>1.80653E-3</v>
      </c>
      <c r="N150" s="363">
        <f>ROUND((1-$F$82)*F90,8)</f>
        <v>1.27508822</v>
      </c>
      <c r="O150" s="364">
        <f>ROUND((1-$F$82)*$F$15*$F$21*$F$69/$F$76*$F$90,8)</f>
        <v>0.58243584999999998</v>
      </c>
      <c r="P150" s="86">
        <f t="shared" ref="P150:P161" si="25">ROUND((1-$F$82)*$F$16*$F27*$F55/$F$76*$F$90,8)</f>
        <v>0.27858930999999998</v>
      </c>
      <c r="Q150" s="86">
        <f t="shared" ref="Q150:Q161" si="26">ROUND((1-$F$82)*$F$17*$F41/$F$76*$F$90,8)</f>
        <v>1.0839120000000001E-2</v>
      </c>
      <c r="R150" s="259">
        <f t="shared" ref="R150:R161" si="27">ROUNDUP((1-$F$82)*$F$18*$F41/$F$77*$F$90,8)</f>
        <v>4.5164000000000001E-4</v>
      </c>
      <c r="S150" s="284"/>
      <c r="T150" s="284"/>
      <c r="U150" s="284"/>
      <c r="V150" s="284"/>
      <c r="W150" s="284"/>
      <c r="X150" s="284"/>
    </row>
    <row r="151" spans="2:24">
      <c r="B151" s="3" t="s">
        <v>160</v>
      </c>
      <c r="H151" s="363"/>
      <c r="I151" s="364"/>
      <c r="J151" s="86">
        <f t="shared" si="22"/>
        <v>0.89970225000000004</v>
      </c>
      <c r="K151" s="86">
        <f t="shared" si="23"/>
        <v>3.8759189999999999E-2</v>
      </c>
      <c r="L151" s="254">
        <f t="shared" si="24"/>
        <v>1.6149699999999999E-3</v>
      </c>
      <c r="N151" s="363"/>
      <c r="O151" s="364"/>
      <c r="P151" s="86">
        <f t="shared" si="25"/>
        <v>0.22492556</v>
      </c>
      <c r="Q151" s="86">
        <f t="shared" si="26"/>
        <v>9.6898000000000001E-3</v>
      </c>
      <c r="R151" s="259">
        <f t="shared" si="27"/>
        <v>4.0374999999999997E-4</v>
      </c>
      <c r="S151" s="284"/>
      <c r="T151" s="284"/>
      <c r="U151" s="284"/>
      <c r="V151" s="284"/>
      <c r="W151" s="284"/>
      <c r="X151" s="284"/>
    </row>
    <row r="152" spans="2:24">
      <c r="B152" s="3" t="s">
        <v>161</v>
      </c>
      <c r="H152" s="363"/>
      <c r="I152" s="364"/>
      <c r="J152" s="86">
        <f t="shared" si="22"/>
        <v>0.77907541000000002</v>
      </c>
      <c r="K152" s="86">
        <f t="shared" si="23"/>
        <v>3.0298189999999999E-2</v>
      </c>
      <c r="L152" s="254">
        <f t="shared" si="24"/>
        <v>1.2624299999999999E-3</v>
      </c>
      <c r="N152" s="363"/>
      <c r="O152" s="364"/>
      <c r="P152" s="86">
        <f t="shared" si="25"/>
        <v>0.19476884999999999</v>
      </c>
      <c r="Q152" s="86">
        <f t="shared" si="26"/>
        <v>7.5745500000000002E-3</v>
      </c>
      <c r="R152" s="259">
        <f t="shared" si="27"/>
        <v>3.1560999999999997E-4</v>
      </c>
      <c r="S152" s="284"/>
      <c r="T152" s="284"/>
      <c r="U152" s="284"/>
      <c r="V152" s="284"/>
      <c r="W152" s="284"/>
      <c r="X152" s="284"/>
    </row>
    <row r="153" spans="2:24">
      <c r="B153" s="3" t="s">
        <v>162</v>
      </c>
      <c r="H153" s="363"/>
      <c r="I153" s="364">
        <f>ROUND((1-$F$82)*$F$15*$F$22*$F$70/$F$76*$F$88,8)</f>
        <v>1.2461629400000001</v>
      </c>
      <c r="J153" s="86">
        <f t="shared" si="22"/>
        <v>0.56215669999999995</v>
      </c>
      <c r="K153" s="86">
        <f t="shared" si="23"/>
        <v>2.2595259999999999E-2</v>
      </c>
      <c r="L153" s="254">
        <f t="shared" si="24"/>
        <v>9.4147000000000002E-4</v>
      </c>
      <c r="N153" s="363"/>
      <c r="O153" s="364">
        <f>ROUND((1-$F$82)*$F$15*$F$22*$F$70/$F$76*$F$90,8)</f>
        <v>0.31154072999999999</v>
      </c>
      <c r="P153" s="86">
        <f t="shared" si="25"/>
        <v>0.14053918000000001</v>
      </c>
      <c r="Q153" s="86">
        <f t="shared" si="26"/>
        <v>5.6488199999999997E-3</v>
      </c>
      <c r="R153" s="259">
        <f t="shared" si="27"/>
        <v>2.3536999999999999E-4</v>
      </c>
      <c r="S153" s="284"/>
      <c r="T153" s="284"/>
      <c r="U153" s="284"/>
      <c r="V153" s="284"/>
      <c r="W153" s="284"/>
      <c r="X153" s="284"/>
    </row>
    <row r="154" spans="2:24">
      <c r="B154" s="3" t="s">
        <v>163</v>
      </c>
      <c r="H154" s="363"/>
      <c r="I154" s="364"/>
      <c r="J154" s="86">
        <f t="shared" si="22"/>
        <v>0.51461862000000003</v>
      </c>
      <c r="K154" s="86">
        <f t="shared" si="23"/>
        <v>2.0027619999999999E-2</v>
      </c>
      <c r="L154" s="254">
        <f t="shared" si="24"/>
        <v>8.3449000000000001E-4</v>
      </c>
      <c r="N154" s="363"/>
      <c r="O154" s="364"/>
      <c r="P154" s="86">
        <f t="shared" si="25"/>
        <v>0.12865466</v>
      </c>
      <c r="Q154" s="86">
        <f t="shared" si="26"/>
        <v>5.0068999999999999E-3</v>
      </c>
      <c r="R154" s="259">
        <f t="shared" si="27"/>
        <v>2.0862999999999999E-4</v>
      </c>
      <c r="S154" s="284"/>
      <c r="T154" s="284"/>
      <c r="U154" s="284"/>
      <c r="V154" s="284"/>
      <c r="W154" s="284"/>
      <c r="X154" s="284"/>
    </row>
    <row r="155" spans="2:24">
      <c r="B155" s="3" t="s">
        <v>164</v>
      </c>
      <c r="H155" s="363"/>
      <c r="I155" s="364"/>
      <c r="J155" s="86">
        <f t="shared" si="22"/>
        <v>0.41815907000000002</v>
      </c>
      <c r="K155" s="86">
        <f t="shared" si="23"/>
        <v>1.6824180000000001E-2</v>
      </c>
      <c r="L155" s="254">
        <f t="shared" si="24"/>
        <v>7.0101000000000007E-4</v>
      </c>
      <c r="N155" s="363"/>
      <c r="O155" s="364"/>
      <c r="P155" s="86">
        <f t="shared" si="25"/>
        <v>0.10453977</v>
      </c>
      <c r="Q155" s="86">
        <f t="shared" si="26"/>
        <v>4.2060400000000003E-3</v>
      </c>
      <c r="R155" s="259">
        <f t="shared" si="27"/>
        <v>1.7526E-4</v>
      </c>
      <c r="S155" s="284"/>
      <c r="T155" s="284"/>
      <c r="U155" s="284"/>
      <c r="V155" s="284"/>
      <c r="W155" s="284"/>
      <c r="X155" s="284"/>
    </row>
    <row r="156" spans="2:24">
      <c r="B156" s="3" t="s">
        <v>165</v>
      </c>
      <c r="H156" s="363"/>
      <c r="I156" s="364">
        <f>ROUND((1-$F$82)*$F$15*$F$23*$F$71/$F$76*$F$88,8)</f>
        <v>1.0107781600000001</v>
      </c>
      <c r="J156" s="86">
        <f t="shared" si="22"/>
        <v>0.40805617999999999</v>
      </c>
      <c r="K156" s="86">
        <f t="shared" si="23"/>
        <v>1.5870479999999999E-2</v>
      </c>
      <c r="L156" s="254">
        <f t="shared" si="24"/>
        <v>6.6128000000000009E-4</v>
      </c>
      <c r="N156" s="363"/>
      <c r="O156" s="364">
        <f>ROUND((1-$F$82)*$F$15*$F$23*$F$71/$F$76*$F$90,8)</f>
        <v>0.25269454000000002</v>
      </c>
      <c r="P156" s="86">
        <f t="shared" si="25"/>
        <v>0.10201404</v>
      </c>
      <c r="Q156" s="86">
        <f t="shared" si="26"/>
        <v>3.9676199999999998E-3</v>
      </c>
      <c r="R156" s="259">
        <f t="shared" si="27"/>
        <v>1.6532E-4</v>
      </c>
      <c r="S156" s="284"/>
      <c r="T156" s="284"/>
      <c r="U156" s="284"/>
      <c r="V156" s="284"/>
      <c r="W156" s="284"/>
      <c r="X156" s="284"/>
    </row>
    <row r="157" spans="2:24">
      <c r="B157" s="3" t="s">
        <v>166</v>
      </c>
      <c r="H157" s="363"/>
      <c r="I157" s="364"/>
      <c r="J157" s="86">
        <f t="shared" si="22"/>
        <v>0.38791328000000003</v>
      </c>
      <c r="K157" s="86">
        <f t="shared" si="23"/>
        <v>1.511242E-2</v>
      </c>
      <c r="L157" s="254">
        <f t="shared" si="24"/>
        <v>6.2969000000000002E-4</v>
      </c>
      <c r="N157" s="363"/>
      <c r="O157" s="364"/>
      <c r="P157" s="86">
        <f t="shared" si="25"/>
        <v>9.6978320000000007E-2</v>
      </c>
      <c r="Q157" s="86">
        <f t="shared" si="26"/>
        <v>3.7780999999999999E-3</v>
      </c>
      <c r="R157" s="259">
        <f t="shared" si="27"/>
        <v>1.5742999999999999E-4</v>
      </c>
      <c r="S157" s="284"/>
      <c r="T157" s="284"/>
      <c r="U157" s="284"/>
      <c r="V157" s="284"/>
      <c r="W157" s="284"/>
      <c r="X157" s="284"/>
    </row>
    <row r="158" spans="2:24">
      <c r="B158" s="3" t="s">
        <v>167</v>
      </c>
      <c r="H158" s="363"/>
      <c r="I158" s="364"/>
      <c r="J158" s="86">
        <f t="shared" si="22"/>
        <v>0.41690145000000001</v>
      </c>
      <c r="K158" s="86">
        <f t="shared" si="23"/>
        <v>1.6775269999999998E-2</v>
      </c>
      <c r="L158" s="254">
        <f t="shared" si="24"/>
        <v>6.9897000000000004E-4</v>
      </c>
      <c r="N158" s="363"/>
      <c r="O158" s="364"/>
      <c r="P158" s="86">
        <f t="shared" si="25"/>
        <v>0.10422536</v>
      </c>
      <c r="Q158" s="86">
        <f t="shared" si="26"/>
        <v>4.19382E-3</v>
      </c>
      <c r="R158" s="259">
        <f t="shared" si="27"/>
        <v>1.7474999999999999E-4</v>
      </c>
      <c r="S158" s="284"/>
      <c r="T158" s="284"/>
      <c r="U158" s="284"/>
      <c r="V158" s="284"/>
      <c r="W158" s="284"/>
      <c r="X158" s="284"/>
    </row>
    <row r="159" spans="2:24">
      <c r="B159" s="3" t="s">
        <v>168</v>
      </c>
      <c r="H159" s="363"/>
      <c r="I159" s="364">
        <f>ROUND((1-$F$82)*$F$15*$F$24*$F$72/$F$76*$F$88,8)</f>
        <v>1.77569135</v>
      </c>
      <c r="J159" s="86">
        <f t="shared" si="22"/>
        <v>0.49447572000000001</v>
      </c>
      <c r="K159" s="86">
        <f t="shared" si="23"/>
        <v>1.9245100000000001E-2</v>
      </c>
      <c r="L159" s="254">
        <f t="shared" si="24"/>
        <v>8.0188000000000004E-4</v>
      </c>
      <c r="N159" s="363"/>
      <c r="O159" s="364">
        <f>ROUND((1-$F$82)*$F$15*$F$24*$F$72/$F$76*$F$90,8)</f>
        <v>0.44392283999999999</v>
      </c>
      <c r="P159" s="86">
        <f t="shared" si="25"/>
        <v>0.12361893</v>
      </c>
      <c r="Q159" s="86">
        <f t="shared" si="26"/>
        <v>4.8112700000000003E-3</v>
      </c>
      <c r="R159" s="259">
        <f t="shared" si="27"/>
        <v>2.0046999999999998E-4</v>
      </c>
      <c r="S159" s="284"/>
      <c r="T159" s="284"/>
      <c r="U159" s="284"/>
      <c r="V159" s="284"/>
      <c r="W159" s="284"/>
      <c r="X159" s="284"/>
    </row>
    <row r="160" spans="2:24">
      <c r="B160" s="3" t="s">
        <v>169</v>
      </c>
      <c r="H160" s="363"/>
      <c r="I160" s="364"/>
      <c r="J160" s="86">
        <f t="shared" si="22"/>
        <v>0.71055601000000002</v>
      </c>
      <c r="K160" s="86">
        <f t="shared" si="23"/>
        <v>2.8561980000000001E-2</v>
      </c>
      <c r="L160" s="254">
        <f t="shared" si="24"/>
        <v>1.19009E-3</v>
      </c>
      <c r="N160" s="363"/>
      <c r="O160" s="364"/>
      <c r="P160" s="86">
        <f t="shared" si="25"/>
        <v>0.17763899999999999</v>
      </c>
      <c r="Q160" s="86">
        <f t="shared" si="26"/>
        <v>7.1404900000000002E-3</v>
      </c>
      <c r="R160" s="259">
        <f t="shared" si="27"/>
        <v>2.9753000000000001E-4</v>
      </c>
      <c r="S160" s="284"/>
      <c r="T160" s="284"/>
      <c r="U160" s="284"/>
      <c r="V160" s="284"/>
      <c r="W160" s="284"/>
      <c r="X160" s="284"/>
    </row>
    <row r="161" spans="2:24">
      <c r="B161" s="3" t="s">
        <v>170</v>
      </c>
      <c r="H161" s="363"/>
      <c r="I161" s="364"/>
      <c r="J161" s="86">
        <f t="shared" si="22"/>
        <v>0.92527387999999999</v>
      </c>
      <c r="K161" s="86">
        <f t="shared" si="23"/>
        <v>3.5995920000000001E-2</v>
      </c>
      <c r="L161" s="254">
        <f t="shared" si="24"/>
        <v>1.49983E-3</v>
      </c>
      <c r="N161" s="363"/>
      <c r="O161" s="364"/>
      <c r="P161" s="86">
        <f t="shared" si="25"/>
        <v>0.23131847</v>
      </c>
      <c r="Q161" s="86">
        <f t="shared" si="26"/>
        <v>8.9989800000000002E-3</v>
      </c>
      <c r="R161" s="259">
        <f t="shared" si="27"/>
        <v>3.7495999999999997E-4</v>
      </c>
      <c r="S161" s="284"/>
      <c r="T161" s="284"/>
      <c r="U161" s="284"/>
      <c r="V161" s="284"/>
      <c r="W161" s="284"/>
      <c r="X161" s="284"/>
    </row>
    <row r="162" spans="2:24">
      <c r="H162" s="193"/>
      <c r="I162" s="194"/>
      <c r="J162" s="195"/>
      <c r="K162" s="195"/>
      <c r="L162" s="196"/>
      <c r="N162" s="193"/>
      <c r="O162" s="194"/>
      <c r="P162" s="195"/>
      <c r="Q162" s="195"/>
      <c r="R162" s="196"/>
      <c r="S162" s="196"/>
      <c r="T162" s="196"/>
      <c r="U162" s="196"/>
      <c r="V162" s="196"/>
      <c r="W162" s="196"/>
      <c r="X162" s="196"/>
    </row>
    <row r="163" spans="2:24" s="33" customFormat="1" ht="13">
      <c r="B163" s="33" t="s">
        <v>177</v>
      </c>
      <c r="H163" s="33" t="s">
        <v>178</v>
      </c>
      <c r="N163" s="33" t="s">
        <v>179</v>
      </c>
    </row>
    <row r="164" spans="2:24" s="36" customFormat="1" ht="13">
      <c r="H164" s="36" t="s">
        <v>149</v>
      </c>
      <c r="I164" s="36" t="s">
        <v>150</v>
      </c>
      <c r="J164" s="36" t="s">
        <v>151</v>
      </c>
      <c r="K164" s="36" t="s">
        <v>152</v>
      </c>
      <c r="L164" s="36" t="s">
        <v>153</v>
      </c>
      <c r="N164" s="36" t="s">
        <v>149</v>
      </c>
      <c r="O164" s="36" t="s">
        <v>150</v>
      </c>
      <c r="P164" s="36" t="s">
        <v>151</v>
      </c>
      <c r="Q164" s="36" t="s">
        <v>152</v>
      </c>
      <c r="R164" s="36" t="s">
        <v>153</v>
      </c>
    </row>
    <row r="165" spans="2:24" s="34" customFormat="1" ht="13">
      <c r="H165" s="34" t="s">
        <v>154</v>
      </c>
      <c r="I165" s="34" t="s">
        <v>155</v>
      </c>
      <c r="J165" s="34" t="s">
        <v>156</v>
      </c>
      <c r="K165" s="34" t="s">
        <v>157</v>
      </c>
      <c r="L165" s="34" t="s">
        <v>158</v>
      </c>
      <c r="N165" s="34" t="s">
        <v>154</v>
      </c>
      <c r="O165" s="34" t="s">
        <v>155</v>
      </c>
      <c r="P165" s="34" t="s">
        <v>156</v>
      </c>
      <c r="Q165" s="34" t="s">
        <v>157</v>
      </c>
      <c r="R165" s="34" t="s">
        <v>158</v>
      </c>
    </row>
    <row r="167" spans="2:24">
      <c r="B167" s="3" t="s">
        <v>159</v>
      </c>
      <c r="H167" s="363">
        <f>ROUND((1-F83)*(F87+F88),8)</f>
        <v>0.63490855999999996</v>
      </c>
      <c r="I167" s="364">
        <f>ROUND($F$15*$F$21*$F$69/$F$76*(1-$F$83)*($F$87+$F$88),8)</f>
        <v>0.29001405000000002</v>
      </c>
      <c r="J167" s="86">
        <f t="shared" ref="J167:J178" si="28">ROUND($F$16*$F27*$F55/$F$76*(1-$F$83)*($F$87+$F$88),8)</f>
        <v>0.13871881999999999</v>
      </c>
      <c r="K167" s="44"/>
      <c r="L167" s="44"/>
      <c r="N167" s="363">
        <f>ROUND((1-F83)*(F87+F90),8)</f>
        <v>0.40536972999999998</v>
      </c>
      <c r="O167" s="364">
        <f>ROUND($F$15*$F$21*$F$69/$F$76*(1-$F$83)*($F$87+$F$90),8)</f>
        <v>0.18516511999999999</v>
      </c>
      <c r="P167" s="86">
        <f t="shared" ref="P167:P178" si="29">ROUND($F$16*$F27*$F55/$F$76*(1-$F$83)*($F$87+$F$90),8)</f>
        <v>8.8567729999999997E-2</v>
      </c>
      <c r="Q167" s="44"/>
      <c r="R167" s="44"/>
      <c r="S167" s="286"/>
      <c r="T167" s="286"/>
      <c r="U167" s="286"/>
      <c r="V167" s="286"/>
      <c r="W167" s="286"/>
      <c r="X167" s="286"/>
    </row>
    <row r="168" spans="2:24">
      <c r="B168" s="3" t="s">
        <v>160</v>
      </c>
      <c r="H168" s="363"/>
      <c r="I168" s="364"/>
      <c r="J168" s="86">
        <f t="shared" si="28"/>
        <v>0.11199787</v>
      </c>
      <c r="K168" s="44"/>
      <c r="L168" s="44"/>
      <c r="N168" s="363"/>
      <c r="O168" s="364"/>
      <c r="P168" s="86">
        <f t="shared" si="29"/>
        <v>7.1507219999999996E-2</v>
      </c>
      <c r="Q168" s="44"/>
      <c r="R168" s="44"/>
      <c r="S168" s="286"/>
      <c r="T168" s="286"/>
      <c r="U168" s="286"/>
      <c r="V168" s="286"/>
      <c r="W168" s="286"/>
      <c r="X168" s="286"/>
    </row>
    <row r="169" spans="2:24">
      <c r="B169" s="3" t="s">
        <v>161</v>
      </c>
      <c r="H169" s="363"/>
      <c r="I169" s="364"/>
      <c r="J169" s="86">
        <f t="shared" si="28"/>
        <v>9.6981849999999994E-2</v>
      </c>
      <c r="K169" s="44"/>
      <c r="L169" s="44"/>
      <c r="N169" s="363"/>
      <c r="O169" s="364"/>
      <c r="P169" s="86">
        <f t="shared" si="29"/>
        <v>6.1919950000000001E-2</v>
      </c>
      <c r="Q169" s="44"/>
      <c r="R169" s="44"/>
      <c r="S169" s="286"/>
      <c r="T169" s="286"/>
      <c r="U169" s="286"/>
      <c r="V169" s="286"/>
      <c r="W169" s="286"/>
      <c r="X169" s="286"/>
    </row>
    <row r="170" spans="2:24">
      <c r="B170" s="3" t="s">
        <v>162</v>
      </c>
      <c r="H170" s="363"/>
      <c r="I170" s="364">
        <f>ROUND($F$15*$F$22*$F$70/$F$76*(1-$F$83)*($F$87+$F$88),8)</f>
        <v>0.15512643000000001</v>
      </c>
      <c r="J170" s="86">
        <f t="shared" si="28"/>
        <v>6.9979100000000002E-2</v>
      </c>
      <c r="K170" s="44"/>
      <c r="L170" s="44"/>
      <c r="N170" s="363"/>
      <c r="O170" s="364">
        <f>ROUND($F$15*$F$22*$F$70/$F$76*(1-$F$83)*($F$87+$F$90),8)</f>
        <v>9.9043489999999998E-2</v>
      </c>
      <c r="P170" s="86">
        <f t="shared" si="29"/>
        <v>4.467952E-2</v>
      </c>
      <c r="Q170" s="44"/>
      <c r="R170" s="44"/>
      <c r="S170" s="286"/>
      <c r="T170" s="286"/>
      <c r="U170" s="286"/>
      <c r="V170" s="286"/>
      <c r="W170" s="286"/>
      <c r="X170" s="286"/>
    </row>
    <row r="171" spans="2:24">
      <c r="B171" s="3" t="s">
        <v>163</v>
      </c>
      <c r="H171" s="363"/>
      <c r="I171" s="364"/>
      <c r="J171" s="86">
        <f t="shared" si="28"/>
        <v>6.4061400000000004E-2</v>
      </c>
      <c r="K171" s="44"/>
      <c r="L171" s="44"/>
      <c r="N171" s="363"/>
      <c r="O171" s="364"/>
      <c r="P171" s="86">
        <f t="shared" si="29"/>
        <v>4.090125E-2</v>
      </c>
      <c r="Q171" s="44"/>
      <c r="R171" s="44"/>
      <c r="S171" s="286"/>
      <c r="T171" s="286"/>
      <c r="U171" s="286"/>
      <c r="V171" s="286"/>
      <c r="W171" s="286"/>
      <c r="X171" s="286"/>
    </row>
    <row r="172" spans="2:24">
      <c r="B172" s="3" t="s">
        <v>164</v>
      </c>
      <c r="H172" s="363"/>
      <c r="I172" s="364"/>
      <c r="J172" s="86">
        <f t="shared" si="28"/>
        <v>5.2053799999999997E-2</v>
      </c>
      <c r="K172" s="44"/>
      <c r="L172" s="44"/>
      <c r="N172" s="363"/>
      <c r="O172" s="364"/>
      <c r="P172" s="86">
        <f t="shared" si="29"/>
        <v>3.3234760000000002E-2</v>
      </c>
      <c r="Q172" s="44"/>
      <c r="R172" s="44"/>
      <c r="S172" s="286"/>
      <c r="T172" s="286"/>
      <c r="U172" s="286"/>
      <c r="V172" s="286"/>
      <c r="W172" s="286"/>
      <c r="X172" s="286"/>
    </row>
    <row r="173" spans="2:24">
      <c r="B173" s="3" t="s">
        <v>165</v>
      </c>
      <c r="H173" s="363"/>
      <c r="I173" s="364">
        <f>ROUND($F$15*$F$23*$F$71/$F$76*(1-$F$83)*($F$87+$F$88),8)</f>
        <v>0.12582496000000001</v>
      </c>
      <c r="J173" s="86">
        <f t="shared" si="28"/>
        <v>5.079616E-2</v>
      </c>
      <c r="K173" s="44"/>
      <c r="L173" s="44"/>
      <c r="N173" s="363"/>
      <c r="O173" s="364">
        <f>ROUND($F$15*$F$23*$F$71/$F$76*(1-$F$83)*($F$87+$F$90),8)</f>
        <v>8.0335400000000001E-2</v>
      </c>
      <c r="P173" s="86">
        <f t="shared" si="29"/>
        <v>3.2431799999999997E-2</v>
      </c>
      <c r="Q173" s="44"/>
      <c r="R173" s="44"/>
      <c r="S173" s="286"/>
      <c r="T173" s="286"/>
      <c r="U173" s="286"/>
      <c r="V173" s="286"/>
      <c r="W173" s="286"/>
      <c r="X173" s="286"/>
    </row>
    <row r="174" spans="2:24">
      <c r="B174" s="3" t="s">
        <v>166</v>
      </c>
      <c r="H174" s="363"/>
      <c r="I174" s="364"/>
      <c r="J174" s="86">
        <f t="shared" si="28"/>
        <v>4.8288709999999999E-2</v>
      </c>
      <c r="K174" s="44"/>
      <c r="L174" s="44"/>
      <c r="N174" s="363"/>
      <c r="O174" s="364"/>
      <c r="P174" s="86">
        <f t="shared" si="29"/>
        <v>3.083087E-2</v>
      </c>
      <c r="Q174" s="44"/>
      <c r="R174" s="44"/>
      <c r="S174" s="286"/>
      <c r="T174" s="286"/>
      <c r="U174" s="286"/>
      <c r="V174" s="286"/>
      <c r="W174" s="286"/>
      <c r="X174" s="286"/>
    </row>
    <row r="175" spans="2:24">
      <c r="B175" s="3" t="s">
        <v>167</v>
      </c>
      <c r="H175" s="363"/>
      <c r="I175" s="364"/>
      <c r="J175" s="86">
        <f t="shared" si="28"/>
        <v>5.1897249999999999E-2</v>
      </c>
      <c r="K175" s="44"/>
      <c r="L175" s="44"/>
      <c r="N175" s="363"/>
      <c r="O175" s="364"/>
      <c r="P175" s="86">
        <f t="shared" si="29"/>
        <v>3.3134810000000001E-2</v>
      </c>
      <c r="Q175" s="44"/>
      <c r="R175" s="44"/>
      <c r="S175" s="286"/>
      <c r="T175" s="286"/>
      <c r="U175" s="286"/>
      <c r="V175" s="286"/>
      <c r="W175" s="286"/>
      <c r="X175" s="286"/>
    </row>
    <row r="176" spans="2:24">
      <c r="B176" s="3" t="s">
        <v>168</v>
      </c>
      <c r="H176" s="363"/>
      <c r="I176" s="364">
        <f>ROUND($F$15*$F$24*$F$72/$F$76*(1-$F$83)*($F$87+$F$88),8)</f>
        <v>0.22104384999999999</v>
      </c>
      <c r="J176" s="86">
        <f t="shared" si="28"/>
        <v>6.1553950000000003E-2</v>
      </c>
      <c r="K176" s="44"/>
      <c r="L176" s="44"/>
      <c r="N176" s="363"/>
      <c r="O176" s="364">
        <f>ROUND($F$15*$F$24*$F$72/$F$76*(1-$F$83)*($F$87+$F$90),8)</f>
        <v>0.14112975</v>
      </c>
      <c r="P176" s="86">
        <f t="shared" si="29"/>
        <v>3.930032E-2</v>
      </c>
      <c r="Q176" s="44"/>
      <c r="R176" s="44"/>
      <c r="S176" s="286"/>
      <c r="T176" s="286"/>
      <c r="U176" s="286"/>
      <c r="V176" s="286"/>
      <c r="W176" s="286"/>
      <c r="X176" s="286"/>
    </row>
    <row r="177" spans="2:24">
      <c r="B177" s="3" t="s">
        <v>169</v>
      </c>
      <c r="H177" s="363"/>
      <c r="I177" s="364"/>
      <c r="J177" s="86">
        <f t="shared" si="28"/>
        <v>8.8452329999999996E-2</v>
      </c>
      <c r="K177" s="44"/>
      <c r="L177" s="44"/>
      <c r="N177" s="363"/>
      <c r="O177" s="364"/>
      <c r="P177" s="86">
        <f t="shared" si="29"/>
        <v>5.6474110000000001E-2</v>
      </c>
      <c r="Q177" s="44"/>
      <c r="R177" s="44"/>
      <c r="S177" s="286"/>
      <c r="T177" s="286"/>
      <c r="U177" s="286"/>
      <c r="V177" s="286"/>
      <c r="W177" s="286"/>
      <c r="X177" s="286"/>
    </row>
    <row r="178" spans="2:24">
      <c r="B178" s="3" t="s">
        <v>170</v>
      </c>
      <c r="H178" s="363"/>
      <c r="I178" s="364"/>
      <c r="J178" s="86">
        <f t="shared" si="28"/>
        <v>0.11518111</v>
      </c>
      <c r="K178" s="44"/>
      <c r="L178" s="44"/>
      <c r="N178" s="363"/>
      <c r="O178" s="364"/>
      <c r="P178" s="86">
        <f t="shared" si="29"/>
        <v>7.353962E-2</v>
      </c>
      <c r="Q178" s="44"/>
      <c r="R178" s="44"/>
      <c r="S178" s="286"/>
      <c r="T178" s="286"/>
      <c r="U178" s="286"/>
      <c r="V178" s="286"/>
      <c r="W178" s="286"/>
      <c r="X178" s="286"/>
    </row>
    <row r="180" spans="2:24" s="33" customFormat="1" ht="13">
      <c r="B180" s="33" t="s">
        <v>177</v>
      </c>
      <c r="H180" s="33" t="s">
        <v>180</v>
      </c>
      <c r="N180" s="33" t="s">
        <v>181</v>
      </c>
    </row>
    <row r="181" spans="2:24" s="36" customFormat="1" ht="13">
      <c r="H181" s="36" t="s">
        <v>149</v>
      </c>
      <c r="I181" s="36" t="s">
        <v>150</v>
      </c>
      <c r="J181" s="36" t="s">
        <v>151</v>
      </c>
      <c r="K181" s="36" t="s">
        <v>152</v>
      </c>
      <c r="L181" s="36" t="s">
        <v>153</v>
      </c>
      <c r="N181" s="36" t="s">
        <v>149</v>
      </c>
      <c r="O181" s="36" t="s">
        <v>150</v>
      </c>
      <c r="P181" s="36" t="s">
        <v>151</v>
      </c>
      <c r="Q181" s="36" t="s">
        <v>152</v>
      </c>
      <c r="R181" s="36" t="s">
        <v>153</v>
      </c>
    </row>
    <row r="182" spans="2:24" s="34" customFormat="1" ht="13">
      <c r="H182" s="34" t="s">
        <v>154</v>
      </c>
      <c r="I182" s="34" t="s">
        <v>155</v>
      </c>
      <c r="J182" s="34" t="s">
        <v>156</v>
      </c>
      <c r="K182" s="34" t="s">
        <v>157</v>
      </c>
      <c r="L182" s="34" t="s">
        <v>158</v>
      </c>
      <c r="N182" s="34" t="s">
        <v>154</v>
      </c>
      <c r="O182" s="34" t="s">
        <v>155</v>
      </c>
      <c r="P182" s="34" t="s">
        <v>156</v>
      </c>
      <c r="Q182" s="34" t="s">
        <v>157</v>
      </c>
      <c r="R182" s="34" t="s">
        <v>158</v>
      </c>
    </row>
    <row r="184" spans="2:24">
      <c r="B184" s="3" t="s">
        <v>159</v>
      </c>
      <c r="H184" s="363">
        <f>ROUND((1-F83)*(F88+F89),8)</f>
        <v>0.38826597000000002</v>
      </c>
      <c r="I184" s="364">
        <f>ROUND($F$15*$F$21*$F$69/$F$76*(1-$F$83)*($F$88+$F$89),8)</f>
        <v>0.17735244999999999</v>
      </c>
      <c r="J184" s="86">
        <f t="shared" ref="J184:J195" si="30">ROUND($F$16*$F27*$F55/$F$76*(1-$F$83)*($F$88+$F$89),8)</f>
        <v>8.4830799999999998E-2</v>
      </c>
      <c r="K184" s="44"/>
      <c r="L184" s="44"/>
      <c r="N184" s="364">
        <f>ROUND((1-F83)*(F89+F90),8)</f>
        <v>0.15872713999999999</v>
      </c>
      <c r="O184" s="364">
        <f>ROUND($F$15*$F$21*$F$69/$F$76*(1-$F$83)*($F$89+$F$90),8)</f>
        <v>7.2503509999999993E-2</v>
      </c>
      <c r="P184" s="56">
        <f t="shared" ref="P184:P195" si="31">ROUND($F$16*$F27*$F55/$F$76*(1-$F$83)*($F$89+$F$90),8)</f>
        <v>3.4679710000000002E-2</v>
      </c>
      <c r="Q184" s="44"/>
      <c r="R184" s="44"/>
      <c r="S184" s="286"/>
      <c r="T184" s="286"/>
      <c r="U184" s="286"/>
      <c r="V184" s="286"/>
      <c r="W184" s="286"/>
      <c r="X184" s="286"/>
    </row>
    <row r="185" spans="2:24">
      <c r="B185" s="3" t="s">
        <v>160</v>
      </c>
      <c r="H185" s="363"/>
      <c r="I185" s="364"/>
      <c r="J185" s="86">
        <f t="shared" si="30"/>
        <v>6.8490120000000002E-2</v>
      </c>
      <c r="K185" s="44"/>
      <c r="L185" s="44"/>
      <c r="N185" s="364"/>
      <c r="O185" s="364"/>
      <c r="P185" s="56">
        <f t="shared" si="31"/>
        <v>2.7999469999999999E-2</v>
      </c>
      <c r="Q185" s="44"/>
      <c r="R185" s="44"/>
      <c r="S185" s="286"/>
      <c r="T185" s="286"/>
      <c r="U185" s="286"/>
      <c r="V185" s="286"/>
      <c r="W185" s="286"/>
      <c r="X185" s="286"/>
    </row>
    <row r="186" spans="2:24">
      <c r="B186" s="3" t="s">
        <v>161</v>
      </c>
      <c r="H186" s="363"/>
      <c r="I186" s="364"/>
      <c r="J186" s="86">
        <f t="shared" si="30"/>
        <v>5.9307360000000003E-2</v>
      </c>
      <c r="K186" s="44"/>
      <c r="L186" s="44"/>
      <c r="N186" s="364"/>
      <c r="O186" s="364"/>
      <c r="P186" s="56">
        <f t="shared" si="31"/>
        <v>2.424546E-2</v>
      </c>
      <c r="Q186" s="44"/>
      <c r="R186" s="44"/>
      <c r="S186" s="286"/>
      <c r="T186" s="286"/>
      <c r="U186" s="286"/>
      <c r="V186" s="286"/>
      <c r="W186" s="286"/>
      <c r="X186" s="286"/>
    </row>
    <row r="187" spans="2:24">
      <c r="B187" s="3" t="s">
        <v>162</v>
      </c>
      <c r="H187" s="363"/>
      <c r="I187" s="364">
        <f>ROUND($F$15*$F$22*$F$70/$F$76*(1-$F$83)*($F$88+$F$89),8)</f>
        <v>9.4864550000000006E-2</v>
      </c>
      <c r="J187" s="86">
        <f t="shared" si="30"/>
        <v>4.2794359999999997E-2</v>
      </c>
      <c r="K187" s="44"/>
      <c r="L187" s="44"/>
      <c r="N187" s="364"/>
      <c r="O187" s="364">
        <f>ROUND($F$15*$F$22*$F$70/$F$76*(1-$F$83)*($F$89+$F$90),8)</f>
        <v>3.8781610000000001E-2</v>
      </c>
      <c r="P187" s="56">
        <f t="shared" si="31"/>
        <v>1.749477E-2</v>
      </c>
      <c r="Q187" s="44"/>
      <c r="R187" s="44"/>
      <c r="S187" s="286"/>
      <c r="T187" s="286"/>
      <c r="U187" s="286"/>
      <c r="V187" s="286"/>
      <c r="W187" s="286"/>
      <c r="X187" s="286"/>
    </row>
    <row r="188" spans="2:24">
      <c r="B188" s="3" t="s">
        <v>163</v>
      </c>
      <c r="H188" s="363"/>
      <c r="I188" s="364"/>
      <c r="J188" s="86">
        <f t="shared" si="30"/>
        <v>3.9175500000000002E-2</v>
      </c>
      <c r="K188" s="44"/>
      <c r="L188" s="44"/>
      <c r="N188" s="364"/>
      <c r="O188" s="364"/>
      <c r="P188" s="56">
        <f t="shared" si="31"/>
        <v>1.6015350000000001E-2</v>
      </c>
      <c r="Q188" s="44"/>
      <c r="R188" s="44"/>
      <c r="S188" s="286"/>
      <c r="T188" s="286"/>
      <c r="U188" s="286"/>
      <c r="V188" s="286"/>
      <c r="W188" s="286"/>
      <c r="X188" s="286"/>
    </row>
    <row r="189" spans="2:24">
      <c r="B189" s="3" t="s">
        <v>164</v>
      </c>
      <c r="H189" s="363"/>
      <c r="I189" s="364"/>
      <c r="J189" s="86">
        <f t="shared" si="30"/>
        <v>3.1832489999999998E-2</v>
      </c>
      <c r="K189" s="44"/>
      <c r="L189" s="44"/>
      <c r="N189" s="364"/>
      <c r="O189" s="364"/>
      <c r="P189" s="56">
        <f t="shared" si="31"/>
        <v>1.3013449999999999E-2</v>
      </c>
      <c r="Q189" s="44"/>
      <c r="R189" s="44"/>
      <c r="S189" s="286"/>
      <c r="T189" s="286"/>
      <c r="U189" s="286"/>
      <c r="V189" s="286"/>
      <c r="W189" s="286"/>
      <c r="X189" s="286"/>
    </row>
    <row r="190" spans="2:24">
      <c r="B190" s="3" t="s">
        <v>165</v>
      </c>
      <c r="H190" s="363"/>
      <c r="I190" s="364">
        <f>ROUND($F$15*$F$23*$F$71/$F$76*(1-$F$83)*($F$88+$F$89),8)</f>
        <v>7.6945810000000003E-2</v>
      </c>
      <c r="J190" s="86">
        <f t="shared" si="30"/>
        <v>3.106341E-2</v>
      </c>
      <c r="K190" s="44"/>
      <c r="L190" s="44"/>
      <c r="N190" s="364"/>
      <c r="O190" s="364">
        <f>ROUND($F$15*$F$23*$F$71/$F$76*(1-$F$83)*($F$89+$F$90),8)</f>
        <v>3.1456240000000003E-2</v>
      </c>
      <c r="P190" s="56">
        <f t="shared" si="31"/>
        <v>1.269904E-2</v>
      </c>
      <c r="Q190" s="44"/>
      <c r="R190" s="44"/>
      <c r="S190" s="286"/>
      <c r="T190" s="286"/>
      <c r="U190" s="286"/>
      <c r="V190" s="286"/>
      <c r="W190" s="286"/>
      <c r="X190" s="286"/>
    </row>
    <row r="191" spans="2:24">
      <c r="B191" s="3" t="s">
        <v>166</v>
      </c>
      <c r="H191" s="363"/>
      <c r="I191" s="364"/>
      <c r="J191" s="86">
        <f t="shared" si="30"/>
        <v>2.9530020000000001E-2</v>
      </c>
      <c r="K191" s="44"/>
      <c r="L191" s="44"/>
      <c r="N191" s="364"/>
      <c r="O191" s="364"/>
      <c r="P191" s="56">
        <f t="shared" si="31"/>
        <v>1.207218E-2</v>
      </c>
      <c r="Q191" s="44"/>
      <c r="R191" s="44"/>
      <c r="S191" s="286"/>
      <c r="T191" s="286"/>
      <c r="U191" s="286"/>
      <c r="V191" s="286"/>
      <c r="W191" s="286"/>
      <c r="X191" s="286"/>
    </row>
    <row r="192" spans="2:24">
      <c r="B192" s="3" t="s">
        <v>167</v>
      </c>
      <c r="H192" s="363"/>
      <c r="I192" s="364"/>
      <c r="J192" s="86">
        <f t="shared" si="30"/>
        <v>3.1736750000000001E-2</v>
      </c>
      <c r="K192" s="44"/>
      <c r="L192" s="44"/>
      <c r="N192" s="364"/>
      <c r="O192" s="364"/>
      <c r="P192" s="56">
        <f t="shared" si="31"/>
        <v>1.2974309999999999E-2</v>
      </c>
      <c r="Q192" s="44"/>
      <c r="R192" s="44"/>
      <c r="S192" s="286"/>
      <c r="T192" s="286"/>
      <c r="U192" s="286"/>
      <c r="V192" s="286"/>
      <c r="W192" s="286"/>
      <c r="X192" s="286"/>
    </row>
    <row r="193" spans="2:24">
      <c r="B193" s="3" t="s">
        <v>168</v>
      </c>
      <c r="H193" s="363"/>
      <c r="I193" s="364">
        <f>ROUND($F$15*$F$24*$F$72/$F$76*(1-$F$83)*($F$88+$F$89),8)</f>
        <v>0.13517507000000001</v>
      </c>
      <c r="J193" s="86">
        <f t="shared" si="30"/>
        <v>3.7642120000000001E-2</v>
      </c>
      <c r="K193" s="44"/>
      <c r="L193" s="44"/>
      <c r="N193" s="364"/>
      <c r="O193" s="364">
        <f>ROUND($F$15*$F$24*$F$72/$F$76*(1-$F$83)*($F$89+$F$90),8)</f>
        <v>5.5260959999999998E-2</v>
      </c>
      <c r="P193" s="56">
        <f t="shared" si="31"/>
        <v>1.5388489999999999E-2</v>
      </c>
      <c r="Q193" s="44"/>
      <c r="R193" s="44"/>
      <c r="S193" s="286"/>
      <c r="T193" s="286"/>
      <c r="U193" s="286"/>
      <c r="V193" s="286"/>
      <c r="W193" s="286"/>
      <c r="X193" s="286"/>
    </row>
    <row r="194" spans="2:24">
      <c r="B194" s="3" t="s">
        <v>169</v>
      </c>
      <c r="H194" s="363"/>
      <c r="I194" s="364"/>
      <c r="J194" s="86">
        <f t="shared" si="30"/>
        <v>5.4091300000000002E-2</v>
      </c>
      <c r="K194" s="44"/>
      <c r="L194" s="44"/>
      <c r="N194" s="364"/>
      <c r="O194" s="364"/>
      <c r="P194" s="56">
        <f t="shared" si="31"/>
        <v>2.211308E-2</v>
      </c>
      <c r="Q194" s="44"/>
      <c r="R194" s="44"/>
      <c r="S194" s="286"/>
      <c r="T194" s="286"/>
      <c r="U194" s="286"/>
      <c r="V194" s="286"/>
      <c r="W194" s="286"/>
      <c r="X194" s="286"/>
    </row>
    <row r="195" spans="2:24">
      <c r="B195" s="3" t="s">
        <v>170</v>
      </c>
      <c r="H195" s="363"/>
      <c r="I195" s="364"/>
      <c r="J195" s="86">
        <f t="shared" si="30"/>
        <v>7.0436769999999996E-2</v>
      </c>
      <c r="K195" s="44"/>
      <c r="L195" s="44"/>
      <c r="N195" s="364"/>
      <c r="O195" s="364"/>
      <c r="P195" s="56">
        <f t="shared" si="31"/>
        <v>2.8795279999999999E-2</v>
      </c>
      <c r="Q195" s="44"/>
      <c r="R195" s="44"/>
      <c r="S195" s="286"/>
      <c r="T195" s="286"/>
      <c r="U195" s="286"/>
      <c r="V195" s="286"/>
      <c r="W195" s="286"/>
      <c r="X195" s="286"/>
    </row>
  </sheetData>
  <mergeCells count="74">
    <mergeCell ref="H150:H161"/>
    <mergeCell ref="I150:I152"/>
    <mergeCell ref="N150:N161"/>
    <mergeCell ref="O150:O152"/>
    <mergeCell ref="I153:I155"/>
    <mergeCell ref="O153:O155"/>
    <mergeCell ref="I156:I158"/>
    <mergeCell ref="O156:O158"/>
    <mergeCell ref="I159:I161"/>
    <mergeCell ref="O159:O161"/>
    <mergeCell ref="I136:I138"/>
    <mergeCell ref="O136:O138"/>
    <mergeCell ref="I139:I141"/>
    <mergeCell ref="O139:O141"/>
    <mergeCell ref="I142:I144"/>
    <mergeCell ref="O142:O144"/>
    <mergeCell ref="H184:H195"/>
    <mergeCell ref="I184:I186"/>
    <mergeCell ref="N184:N195"/>
    <mergeCell ref="O184:O186"/>
    <mergeCell ref="I187:I189"/>
    <mergeCell ref="O187:O189"/>
    <mergeCell ref="I190:I192"/>
    <mergeCell ref="O190:O192"/>
    <mergeCell ref="I193:I195"/>
    <mergeCell ref="O193:O195"/>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Parameters'!$B$182:$B$199</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zoomScale="85" zoomScaleNormal="85" workbookViewId="0">
      <pane xSplit="6" ySplit="10" topLeftCell="G11" activePane="bottomRight" state="frozen"/>
      <selection pane="topRight" activeCell="C40" sqref="C40"/>
      <selection pane="bottomLeft" activeCell="C40" sqref="C40"/>
      <selection pane="bottomRight" activeCell="G11" sqref="G11"/>
    </sheetView>
  </sheetViews>
  <sheetFormatPr defaultColWidth="9.1796875" defaultRowHeight="12.5"/>
  <cols>
    <col min="1" max="1" width="2.54296875" style="3" customWidth="1"/>
    <col min="2" max="2" width="45.54296875" style="3" customWidth="1"/>
    <col min="3" max="5" width="2.54296875" style="3" customWidth="1"/>
    <col min="6" max="6" width="25.54296875" style="3" customWidth="1"/>
    <col min="7" max="7" width="2.54296875" style="3" customWidth="1"/>
    <col min="8" max="8" width="17.453125" style="3" bestFit="1" customWidth="1"/>
    <col min="9" max="9" width="21.54296875" style="3" bestFit="1" customWidth="1"/>
    <col min="10" max="10" width="20" style="3" bestFit="1" customWidth="1"/>
    <col min="11" max="11" width="17" style="3" bestFit="1" customWidth="1"/>
    <col min="12" max="12" width="16.54296875" style="3" bestFit="1" customWidth="1"/>
    <col min="13" max="13" width="18.54296875" style="3" customWidth="1"/>
    <col min="14" max="14" width="17.453125" style="3" bestFit="1" customWidth="1"/>
    <col min="15" max="15" width="21.54296875" style="3" bestFit="1" customWidth="1"/>
    <col min="16" max="16" width="20" style="3" bestFit="1" customWidth="1"/>
    <col min="17" max="17" width="17" style="3" bestFit="1" customWidth="1"/>
    <col min="18" max="18" width="16.54296875" style="3" bestFit="1" customWidth="1"/>
    <col min="19" max="19" width="15.54296875" style="3" customWidth="1"/>
    <col min="20" max="20" width="17.81640625" style="3" bestFit="1" customWidth="1"/>
    <col min="21" max="34" width="13.54296875" style="3" customWidth="1"/>
    <col min="35" max="16384" width="9.1796875" style="3"/>
  </cols>
  <sheetData>
    <row r="2" spans="2:24" s="12" customFormat="1" ht="18">
      <c r="B2" s="12" t="s">
        <v>137</v>
      </c>
    </row>
    <row r="4" spans="2:24" ht="13">
      <c r="B4" s="16" t="s">
        <v>138</v>
      </c>
      <c r="C4" s="2"/>
      <c r="D4" s="2"/>
      <c r="E4" s="2"/>
    </row>
    <row r="5" spans="2:24" ht="91.5" customHeight="1">
      <c r="B5" s="352" t="s">
        <v>139</v>
      </c>
      <c r="C5" s="359"/>
      <c r="D5" s="359"/>
      <c r="E5" s="359"/>
      <c r="F5" s="359"/>
    </row>
    <row r="6" spans="2:24">
      <c r="B6" s="1"/>
      <c r="C6" s="117"/>
      <c r="D6" s="117"/>
      <c r="E6" s="117"/>
      <c r="F6" s="117"/>
    </row>
    <row r="7" spans="2:24" ht="13">
      <c r="B7" s="17" t="s">
        <v>140</v>
      </c>
      <c r="E7" s="117"/>
      <c r="F7" s="117"/>
    </row>
    <row r="8" spans="2:24" ht="131.25" customHeight="1">
      <c r="B8" s="352" t="s">
        <v>1119</v>
      </c>
      <c r="C8" s="352"/>
      <c r="D8" s="352"/>
      <c r="E8" s="352"/>
      <c r="F8" s="352"/>
      <c r="H8" s="327" t="s">
        <v>141</v>
      </c>
      <c r="J8" s="308" t="s">
        <v>142</v>
      </c>
      <c r="K8" s="290"/>
    </row>
    <row r="9" spans="2:24" ht="13">
      <c r="B9" s="4"/>
    </row>
    <row r="10" spans="2:24" s="8" customFormat="1" ht="12.75" customHeight="1">
      <c r="B10" s="8" t="s">
        <v>143</v>
      </c>
    </row>
    <row r="12" spans="2:24" s="33" customFormat="1" ht="12.75" customHeight="1">
      <c r="B12" s="33" t="s">
        <v>144</v>
      </c>
      <c r="H12" s="33" t="s">
        <v>145</v>
      </c>
      <c r="N12" s="33" t="s">
        <v>146</v>
      </c>
      <c r="T12" s="33" t="s">
        <v>147</v>
      </c>
    </row>
    <row r="13" spans="2:24" s="36" customFormat="1" ht="13">
      <c r="B13" s="36" t="s">
        <v>148</v>
      </c>
      <c r="H13" s="36" t="s">
        <v>149</v>
      </c>
      <c r="I13" s="36" t="s">
        <v>150</v>
      </c>
      <c r="J13" s="36" t="s">
        <v>151</v>
      </c>
      <c r="K13" s="36" t="s">
        <v>152</v>
      </c>
      <c r="L13" s="36" t="s">
        <v>153</v>
      </c>
      <c r="N13" s="36" t="s">
        <v>149</v>
      </c>
      <c r="O13" s="36" t="s">
        <v>150</v>
      </c>
      <c r="P13" s="36" t="s">
        <v>151</v>
      </c>
      <c r="Q13" s="36" t="s">
        <v>152</v>
      </c>
      <c r="R13" s="36" t="s">
        <v>153</v>
      </c>
      <c r="T13" s="36" t="s">
        <v>149</v>
      </c>
      <c r="U13" s="36" t="s">
        <v>150</v>
      </c>
      <c r="V13" s="36" t="s">
        <v>151</v>
      </c>
      <c r="W13" s="36" t="s">
        <v>152</v>
      </c>
      <c r="X13" s="36" t="s">
        <v>153</v>
      </c>
    </row>
    <row r="14" spans="2:24" s="34" customFormat="1" ht="13">
      <c r="H14" s="34" t="s">
        <v>154</v>
      </c>
      <c r="I14" s="34" t="s">
        <v>155</v>
      </c>
      <c r="J14" s="34" t="s">
        <v>156</v>
      </c>
      <c r="K14" s="34" t="s">
        <v>157</v>
      </c>
      <c r="L14" s="34" t="s">
        <v>158</v>
      </c>
      <c r="N14" s="34" t="s">
        <v>154</v>
      </c>
      <c r="O14" s="34" t="s">
        <v>155</v>
      </c>
      <c r="P14" s="34" t="s">
        <v>156</v>
      </c>
      <c r="Q14" s="34" t="s">
        <v>157</v>
      </c>
      <c r="R14" s="34" t="s">
        <v>158</v>
      </c>
      <c r="T14" s="34" t="s">
        <v>154</v>
      </c>
      <c r="U14" s="34" t="s">
        <v>155</v>
      </c>
      <c r="V14" s="34" t="s">
        <v>156</v>
      </c>
      <c r="W14" s="34" t="s">
        <v>157</v>
      </c>
      <c r="X14" s="34" t="s">
        <v>158</v>
      </c>
    </row>
    <row r="16" spans="2:24">
      <c r="B16" s="80" t="s">
        <v>159</v>
      </c>
      <c r="C16" s="80"/>
      <c r="D16" s="80"/>
      <c r="E16" s="80"/>
      <c r="F16" s="80"/>
      <c r="G16" s="80"/>
      <c r="H16" s="353">
        <f>'28. Entry- en exittarieven '!H97</f>
        <v>5.4809463799999998</v>
      </c>
      <c r="I16" s="357">
        <f>'28. Entry- en exittarieven '!I97</f>
        <v>2.5035911899999999</v>
      </c>
      <c r="J16" s="231">
        <f>'28. Entry- en exittarieven '!J97</f>
        <v>1.1975117</v>
      </c>
      <c r="K16" s="231">
        <f>'28. Entry- en exittarieven '!K97</f>
        <v>4.6591800000000003E-2</v>
      </c>
      <c r="L16" s="263">
        <f>'28. Entry- en exittarieven '!L97</f>
        <v>1.94133E-3</v>
      </c>
      <c r="M16" s="235"/>
      <c r="N16" s="353">
        <f>'28. Entry- en exittarieven '!N97</f>
        <v>1.3702365999999999</v>
      </c>
      <c r="O16" s="357">
        <f>'28. Entry- en exittarieven '!O97</f>
        <v>0.62589779999999995</v>
      </c>
      <c r="P16" s="231">
        <f>'28. Entry- en exittarieven '!P97</f>
        <v>0.29937793000000001</v>
      </c>
      <c r="Q16" s="231">
        <f>'28. Entry- en exittarieven '!Q97</f>
        <v>1.1647950000000001E-2</v>
      </c>
      <c r="R16" s="263">
        <f>'28. Entry- en exittarieven '!R97</f>
        <v>4.8534000000000001E-4</v>
      </c>
      <c r="T16" s="357">
        <f>'28. Entry- en exittarieven '!T97</f>
        <v>5.4809463799999998</v>
      </c>
      <c r="U16" s="357">
        <f>'28. Entry- en exittarieven '!U97</f>
        <v>2.5035911899999999</v>
      </c>
      <c r="V16" s="56">
        <f>'28. Entry- en exittarieven '!V97</f>
        <v>1.1975117</v>
      </c>
      <c r="W16" s="56">
        <f>'28. Entry- en exittarieven '!W97</f>
        <v>4.6591800000000003E-2</v>
      </c>
      <c r="X16" s="269">
        <f>'28. Entry- en exittarieven '!X97</f>
        <v>1.94133E-3</v>
      </c>
    </row>
    <row r="17" spans="2:24">
      <c r="B17" s="80" t="s">
        <v>160</v>
      </c>
      <c r="C17" s="80"/>
      <c r="D17" s="80"/>
      <c r="E17" s="80"/>
      <c r="F17" s="80"/>
      <c r="G17" s="80"/>
      <c r="H17" s="353"/>
      <c r="I17" s="357"/>
      <c r="J17" s="231">
        <f>'28. Entry- en exittarieven '!J98</f>
        <v>0.96683894000000004</v>
      </c>
      <c r="K17" s="231">
        <f>'28. Entry- en exittarieven '!K98</f>
        <v>4.1651439999999998E-2</v>
      </c>
      <c r="L17" s="263">
        <f>'28. Entry- en exittarieven '!L98</f>
        <v>1.73548E-3</v>
      </c>
      <c r="M17" s="235"/>
      <c r="N17" s="353"/>
      <c r="O17" s="357"/>
      <c r="P17" s="231">
        <f>'28. Entry- en exittarieven '!P98</f>
        <v>0.24170974000000001</v>
      </c>
      <c r="Q17" s="231">
        <f>'28. Entry- en exittarieven '!Q98</f>
        <v>1.0412859999999999E-2</v>
      </c>
      <c r="R17" s="263">
        <f>'28. Entry- en exittarieven '!R98</f>
        <v>4.3386999999999999E-4</v>
      </c>
      <c r="T17" s="357"/>
      <c r="U17" s="357"/>
      <c r="V17" s="56">
        <f>'28. Entry- en exittarieven '!V98</f>
        <v>0.96683894000000004</v>
      </c>
      <c r="W17" s="56">
        <f>'28. Entry- en exittarieven '!W98</f>
        <v>4.1651439999999998E-2</v>
      </c>
      <c r="X17" s="269">
        <f>'28. Entry- en exittarieven '!X98</f>
        <v>1.73548E-3</v>
      </c>
    </row>
    <row r="18" spans="2:24">
      <c r="B18" s="80" t="s">
        <v>161</v>
      </c>
      <c r="C18" s="80"/>
      <c r="D18" s="80"/>
      <c r="E18" s="80"/>
      <c r="F18" s="80"/>
      <c r="G18" s="80"/>
      <c r="H18" s="353"/>
      <c r="I18" s="357"/>
      <c r="J18" s="231">
        <f>'28. Entry- en exittarieven '!J99</f>
        <v>0.83721080999999997</v>
      </c>
      <c r="K18" s="231">
        <f>'28. Entry- en exittarieven '!K99</f>
        <v>3.2559070000000002E-2</v>
      </c>
      <c r="L18" s="263">
        <f>'28. Entry- en exittarieven '!L99</f>
        <v>1.3566299999999999E-3</v>
      </c>
      <c r="M18" s="235"/>
      <c r="N18" s="353"/>
      <c r="O18" s="357"/>
      <c r="P18" s="231">
        <f>'28. Entry- en exittarieven '!P99</f>
        <v>0.20930270000000001</v>
      </c>
      <c r="Q18" s="231">
        <f>'28. Entry- en exittarieven '!Q99</f>
        <v>8.1397699999999993E-3</v>
      </c>
      <c r="R18" s="263">
        <f>'28. Entry- en exittarieven '!R99</f>
        <v>3.3915999999999997E-4</v>
      </c>
      <c r="T18" s="357"/>
      <c r="U18" s="357"/>
      <c r="V18" s="56">
        <f>'28. Entry- en exittarieven '!V99</f>
        <v>0.83721080999999997</v>
      </c>
      <c r="W18" s="56">
        <f>'28. Entry- en exittarieven '!W99</f>
        <v>3.2559070000000002E-2</v>
      </c>
      <c r="X18" s="269">
        <f>'28. Entry- en exittarieven '!X99</f>
        <v>1.3566299999999999E-3</v>
      </c>
    </row>
    <row r="19" spans="2:24">
      <c r="B19" s="80" t="s">
        <v>162</v>
      </c>
      <c r="C19" s="80"/>
      <c r="D19" s="80"/>
      <c r="E19" s="80"/>
      <c r="F19" s="80"/>
      <c r="G19" s="80"/>
      <c r="H19" s="353"/>
      <c r="I19" s="357">
        <f>'28. Entry- en exittarieven '!I100</f>
        <v>1.3391528699999999</v>
      </c>
      <c r="J19" s="231">
        <f>'28. Entry- en exittarieven '!J100</f>
        <v>0.60410540999999995</v>
      </c>
      <c r="K19" s="231">
        <f>'28. Entry- en exittarieven '!K100</f>
        <v>2.4281339999999998E-2</v>
      </c>
      <c r="L19" s="263">
        <f>'28. Entry- en exittarieven '!L100</f>
        <v>1.01173E-3</v>
      </c>
      <c r="M19" s="235"/>
      <c r="N19" s="353"/>
      <c r="O19" s="357">
        <f>'28. Entry- en exittarieven '!O100</f>
        <v>0.33478822000000003</v>
      </c>
      <c r="P19" s="231">
        <f>'28. Entry- en exittarieven '!P100</f>
        <v>0.15102635</v>
      </c>
      <c r="Q19" s="231">
        <f>'28. Entry- en exittarieven '!Q100</f>
        <v>6.0703399999999996E-3</v>
      </c>
      <c r="R19" s="263">
        <f>'28. Entry- en exittarieven '!R100</f>
        <v>2.5294E-4</v>
      </c>
      <c r="T19" s="357"/>
      <c r="U19" s="357">
        <f>'28. Entry- en exittarieven '!U100</f>
        <v>1.3391528699999999</v>
      </c>
      <c r="V19" s="56">
        <f>'28. Entry- en exittarieven '!V100</f>
        <v>0.60410540999999995</v>
      </c>
      <c r="W19" s="56">
        <f>'28. Entry- en exittarieven '!W100</f>
        <v>2.4281339999999998E-2</v>
      </c>
      <c r="X19" s="269">
        <f>'28. Entry- en exittarieven '!X100</f>
        <v>1.01173E-3</v>
      </c>
    </row>
    <row r="20" spans="2:24">
      <c r="B20" s="80" t="s">
        <v>163</v>
      </c>
      <c r="C20" s="80"/>
      <c r="D20" s="80"/>
      <c r="E20" s="80"/>
      <c r="F20" s="80"/>
      <c r="G20" s="80"/>
      <c r="H20" s="353"/>
      <c r="I20" s="357"/>
      <c r="J20" s="231">
        <f>'28. Entry- en exittarieven '!J101</f>
        <v>0.55301997999999997</v>
      </c>
      <c r="K20" s="231">
        <f>'28. Entry- en exittarieven '!K101</f>
        <v>2.1522099999999999E-2</v>
      </c>
      <c r="L20" s="263">
        <f>'28. Entry- en exittarieven '!L101</f>
        <v>8.9676000000000003E-4</v>
      </c>
      <c r="M20" s="235"/>
      <c r="N20" s="353"/>
      <c r="O20" s="357"/>
      <c r="P20" s="231">
        <f>'28. Entry- en exittarieven '!P101</f>
        <v>0.13825499999999999</v>
      </c>
      <c r="Q20" s="231">
        <f>'28. Entry- en exittarieven '!Q101</f>
        <v>5.3805199999999997E-3</v>
      </c>
      <c r="R20" s="263">
        <f>'28. Entry- en exittarieven '!R101</f>
        <v>2.2419000000000001E-4</v>
      </c>
      <c r="T20" s="357"/>
      <c r="U20" s="357"/>
      <c r="V20" s="56">
        <f>'28. Entry- en exittarieven '!V101</f>
        <v>0.55301997999999997</v>
      </c>
      <c r="W20" s="56">
        <f>'28. Entry- en exittarieven '!W101</f>
        <v>2.1522099999999999E-2</v>
      </c>
      <c r="X20" s="269">
        <f>'28. Entry- en exittarieven '!X101</f>
        <v>8.9676000000000003E-4</v>
      </c>
    </row>
    <row r="21" spans="2:24">
      <c r="B21" s="80" t="s">
        <v>164</v>
      </c>
      <c r="C21" s="80"/>
      <c r="D21" s="80"/>
      <c r="E21" s="80"/>
      <c r="F21" s="80"/>
      <c r="G21" s="80"/>
      <c r="H21" s="353"/>
      <c r="I21" s="357"/>
      <c r="J21" s="231">
        <f>'28. Entry- en exittarieven '!J102</f>
        <v>0.44936251999999999</v>
      </c>
      <c r="K21" s="231">
        <f>'28. Entry- en exittarieven '!K102</f>
        <v>1.8079609999999999E-2</v>
      </c>
      <c r="L21" s="263">
        <f>'28. Entry- en exittarieven '!L102</f>
        <v>7.5332000000000003E-4</v>
      </c>
      <c r="M21" s="235"/>
      <c r="N21" s="353"/>
      <c r="O21" s="357"/>
      <c r="P21" s="231">
        <f>'28. Entry- en exittarieven '!P102</f>
        <v>0.11234063</v>
      </c>
      <c r="Q21" s="231">
        <f>'28. Entry- en exittarieven '!Q102</f>
        <v>4.5199000000000003E-3</v>
      </c>
      <c r="R21" s="263">
        <f>'28. Entry- en exittarieven '!R102</f>
        <v>1.8833000000000001E-4</v>
      </c>
      <c r="T21" s="357"/>
      <c r="U21" s="357"/>
      <c r="V21" s="56">
        <f>'28. Entry- en exittarieven '!V102</f>
        <v>0.44936251999999999</v>
      </c>
      <c r="W21" s="56">
        <f>'28. Entry- en exittarieven '!W102</f>
        <v>1.8079609999999999E-2</v>
      </c>
      <c r="X21" s="269">
        <f>'28. Entry- en exittarieven '!X102</f>
        <v>7.5332000000000003E-4</v>
      </c>
    </row>
    <row r="22" spans="2:24">
      <c r="B22" s="80" t="s">
        <v>165</v>
      </c>
      <c r="C22" s="80"/>
      <c r="D22" s="80"/>
      <c r="E22" s="80"/>
      <c r="F22" s="80"/>
      <c r="G22" s="80"/>
      <c r="H22" s="353"/>
      <c r="I22" s="357">
        <f>'28. Entry- en exittarieven '!I103</f>
        <v>1.08620344</v>
      </c>
      <c r="J22" s="231">
        <f>'28. Entry- en exittarieven '!J103</f>
        <v>0.43850573999999998</v>
      </c>
      <c r="K22" s="231">
        <f>'28. Entry- en exittarieven '!K103</f>
        <v>1.705475E-2</v>
      </c>
      <c r="L22" s="263">
        <f>'28. Entry- en exittarieven '!L103</f>
        <v>7.1062000000000002E-4</v>
      </c>
      <c r="M22" s="235"/>
      <c r="N22" s="353"/>
      <c r="O22" s="357">
        <f>'28. Entry- en exittarieven '!O103</f>
        <v>0.27155086000000001</v>
      </c>
      <c r="P22" s="231">
        <f>'28. Entry- en exittarieven '!P103</f>
        <v>0.10962644000000001</v>
      </c>
      <c r="Q22" s="231">
        <f>'28. Entry- en exittarieven '!Q103</f>
        <v>4.2636899999999997E-3</v>
      </c>
      <c r="R22" s="263">
        <f>'28. Entry- en exittarieven '!R103</f>
        <v>1.7766E-4</v>
      </c>
      <c r="T22" s="357"/>
      <c r="U22" s="357">
        <f>'28. Entry- en exittarieven '!U103</f>
        <v>1.08620344</v>
      </c>
      <c r="V22" s="56">
        <f>'28. Entry- en exittarieven '!V103</f>
        <v>0.43850573999999998</v>
      </c>
      <c r="W22" s="56">
        <f>'28. Entry- en exittarieven '!W103</f>
        <v>1.705475E-2</v>
      </c>
      <c r="X22" s="269">
        <f>'28. Entry- en exittarieven '!X103</f>
        <v>7.1062000000000002E-4</v>
      </c>
    </row>
    <row r="23" spans="2:24">
      <c r="B23" s="80" t="s">
        <v>166</v>
      </c>
      <c r="C23" s="80"/>
      <c r="D23" s="80"/>
      <c r="E23" s="80"/>
      <c r="F23" s="80"/>
      <c r="G23" s="80"/>
      <c r="H23" s="353"/>
      <c r="I23" s="357"/>
      <c r="J23" s="231">
        <f>'28. Entry- en exittarieven '!J104</f>
        <v>0.41685976000000002</v>
      </c>
      <c r="K23" s="231">
        <f>'28. Entry- en exittarieven '!K104</f>
        <v>1.624012E-2</v>
      </c>
      <c r="L23" s="263">
        <f>'28. Entry- en exittarieven '!L104</f>
        <v>6.7668000000000003E-4</v>
      </c>
      <c r="M23" s="235"/>
      <c r="N23" s="353"/>
      <c r="O23" s="357"/>
      <c r="P23" s="231">
        <f>'28. Entry- en exittarieven '!P104</f>
        <v>0.10421494000000001</v>
      </c>
      <c r="Q23" s="231">
        <f>'28. Entry- en exittarieven '!Q104</f>
        <v>4.0600300000000001E-3</v>
      </c>
      <c r="R23" s="263">
        <f>'28. Entry- en exittarieven '!R104</f>
        <v>1.6917000000000001E-4</v>
      </c>
      <c r="T23" s="357"/>
      <c r="U23" s="357"/>
      <c r="V23" s="56">
        <f>'28. Entry- en exittarieven '!V104</f>
        <v>0.41685976000000002</v>
      </c>
      <c r="W23" s="56">
        <f>'28. Entry- en exittarieven '!W104</f>
        <v>1.624012E-2</v>
      </c>
      <c r="X23" s="269">
        <f>'28. Entry- en exittarieven '!X104</f>
        <v>6.7668000000000003E-4</v>
      </c>
    </row>
    <row r="24" spans="2:24">
      <c r="B24" s="80" t="s">
        <v>167</v>
      </c>
      <c r="C24" s="80"/>
      <c r="D24" s="80"/>
      <c r="E24" s="80"/>
      <c r="F24" s="80"/>
      <c r="G24" s="80"/>
      <c r="H24" s="353"/>
      <c r="I24" s="357"/>
      <c r="J24" s="231">
        <f>'28. Entry- en exittarieven '!J105</f>
        <v>0.44801106000000002</v>
      </c>
      <c r="K24" s="231">
        <f>'28. Entry- en exittarieven '!K105</f>
        <v>1.8027060000000001E-2</v>
      </c>
      <c r="L24" s="263">
        <f>'28. Entry- en exittarieven '!L105</f>
        <v>7.5113000000000003E-4</v>
      </c>
      <c r="M24" s="235"/>
      <c r="N24" s="353"/>
      <c r="O24" s="357"/>
      <c r="P24" s="231">
        <f>'28. Entry- en exittarieven '!P105</f>
        <v>0.11200276000000001</v>
      </c>
      <c r="Q24" s="231">
        <f>'28. Entry- en exittarieven '!Q105</f>
        <v>4.5067600000000003E-3</v>
      </c>
      <c r="R24" s="263">
        <f>'28. Entry- en exittarieven '!R105</f>
        <v>1.8778999999999999E-4</v>
      </c>
      <c r="T24" s="357"/>
      <c r="U24" s="357"/>
      <c r="V24" s="56">
        <f>'28. Entry- en exittarieven '!V105</f>
        <v>0.44801106000000002</v>
      </c>
      <c r="W24" s="56">
        <f>'28. Entry- en exittarieven '!W105</f>
        <v>1.8027060000000001E-2</v>
      </c>
      <c r="X24" s="269">
        <f>'28. Entry- en exittarieven '!X105</f>
        <v>7.5113000000000003E-4</v>
      </c>
    </row>
    <row r="25" spans="2:24">
      <c r="B25" s="80" t="s">
        <v>168</v>
      </c>
      <c r="C25" s="80"/>
      <c r="D25" s="80"/>
      <c r="E25" s="80"/>
      <c r="F25" s="80"/>
      <c r="G25" s="80"/>
      <c r="H25" s="353"/>
      <c r="I25" s="357">
        <f>'28. Entry- en exittarieven '!I106</f>
        <v>1.90819524</v>
      </c>
      <c r="J25" s="231">
        <f>'28. Entry- en exittarieven '!J106</f>
        <v>0.53137400000000001</v>
      </c>
      <c r="K25" s="231">
        <f>'28. Entry- en exittarieven '!K106</f>
        <v>2.0681189999999999E-2</v>
      </c>
      <c r="L25" s="263">
        <f>'28. Entry- en exittarieven '!L106</f>
        <v>8.6172000000000006E-4</v>
      </c>
      <c r="M25" s="235"/>
      <c r="N25" s="353"/>
      <c r="O25" s="357">
        <f>'28. Entry- en exittarieven '!O106</f>
        <v>0.47704880999999999</v>
      </c>
      <c r="P25" s="231">
        <f>'28. Entry- en exittarieven '!P106</f>
        <v>0.1328435</v>
      </c>
      <c r="Q25" s="231">
        <f>'28. Entry- en exittarieven '!Q106</f>
        <v>5.1703000000000001E-3</v>
      </c>
      <c r="R25" s="263">
        <f>'28. Entry- en exittarieven '!R106</f>
        <v>2.1542999999999999E-4</v>
      </c>
      <c r="T25" s="357"/>
      <c r="U25" s="357">
        <f>'28. Entry- en exittarieven '!U106</f>
        <v>1.90819524</v>
      </c>
      <c r="V25" s="56">
        <f>'28. Entry- en exittarieven '!V106</f>
        <v>0.53137400000000001</v>
      </c>
      <c r="W25" s="56">
        <f>'28. Entry- en exittarieven '!W106</f>
        <v>2.0681189999999999E-2</v>
      </c>
      <c r="X25" s="269">
        <f>'28. Entry- en exittarieven '!X106</f>
        <v>8.6172000000000006E-4</v>
      </c>
    </row>
    <row r="26" spans="2:24">
      <c r="B26" s="80" t="s">
        <v>169</v>
      </c>
      <c r="C26" s="80"/>
      <c r="D26" s="80"/>
      <c r="E26" s="80"/>
      <c r="F26" s="80"/>
      <c r="G26" s="80"/>
      <c r="H26" s="353"/>
      <c r="I26" s="357"/>
      <c r="J26" s="231">
        <f>'28. Entry- en exittarieven '!J107</f>
        <v>0.76357841999999998</v>
      </c>
      <c r="K26" s="231">
        <f>'28. Entry- en exittarieven '!K107</f>
        <v>3.06933E-2</v>
      </c>
      <c r="L26" s="263">
        <f>'28. Entry- en exittarieven '!L107</f>
        <v>1.27889E-3</v>
      </c>
      <c r="M26" s="235"/>
      <c r="N26" s="353"/>
      <c r="O26" s="357"/>
      <c r="P26" s="231">
        <f>'28. Entry- en exittarieven '!P107</f>
        <v>0.19089460999999999</v>
      </c>
      <c r="Q26" s="231">
        <f>'28. Entry- en exittarieven '!Q107</f>
        <v>7.67332E-3</v>
      </c>
      <c r="R26" s="263">
        <f>'28. Entry- en exittarieven '!R107</f>
        <v>3.1973E-4</v>
      </c>
      <c r="T26" s="357"/>
      <c r="U26" s="357"/>
      <c r="V26" s="56">
        <f>'28. Entry- en exittarieven '!V107</f>
        <v>0.76357841999999998</v>
      </c>
      <c r="W26" s="56">
        <f>'28. Entry- en exittarieven '!W107</f>
        <v>3.06933E-2</v>
      </c>
      <c r="X26" s="269">
        <f>'28. Entry- en exittarieven '!X107</f>
        <v>1.27889E-3</v>
      </c>
    </row>
    <row r="27" spans="2:24">
      <c r="B27" s="80" t="s">
        <v>170</v>
      </c>
      <c r="C27" s="80"/>
      <c r="D27" s="80"/>
      <c r="E27" s="80"/>
      <c r="F27" s="80"/>
      <c r="G27" s="80"/>
      <c r="H27" s="353"/>
      <c r="I27" s="357"/>
      <c r="J27" s="231">
        <f>'28. Entry- en exittarieven '!J108</f>
        <v>0.99431875999999997</v>
      </c>
      <c r="K27" s="231">
        <f>'28. Entry- en exittarieven '!K108</f>
        <v>3.8681970000000003E-2</v>
      </c>
      <c r="L27" s="263">
        <f>'28. Entry- en exittarieven '!L108</f>
        <v>1.6117499999999999E-3</v>
      </c>
      <c r="M27" s="235"/>
      <c r="N27" s="353"/>
      <c r="O27" s="357"/>
      <c r="P27" s="231">
        <f>'28. Entry- en exittarieven '!P108</f>
        <v>0.24857968999999999</v>
      </c>
      <c r="Q27" s="231">
        <f>'28. Entry- en exittarieven '!Q108</f>
        <v>9.6704900000000003E-3</v>
      </c>
      <c r="R27" s="263">
        <f>'28. Entry- en exittarieven '!R108</f>
        <v>4.0294000000000001E-4</v>
      </c>
      <c r="T27" s="357"/>
      <c r="U27" s="357"/>
      <c r="V27" s="56">
        <f>'28. Entry- en exittarieven '!V108</f>
        <v>0.99431875999999997</v>
      </c>
      <c r="W27" s="56">
        <f>'28. Entry- en exittarieven '!W108</f>
        <v>3.8681970000000003E-2</v>
      </c>
      <c r="X27" s="269">
        <f>'28. Entry- en exittarieven '!X108</f>
        <v>1.6117499999999999E-3</v>
      </c>
    </row>
    <row r="28" spans="2:24">
      <c r="B28" s="80"/>
      <c r="C28" s="80"/>
      <c r="D28" s="80"/>
      <c r="E28" s="80"/>
      <c r="F28" s="80"/>
      <c r="G28" s="80"/>
      <c r="H28" s="80"/>
      <c r="I28" s="80"/>
      <c r="J28" s="80"/>
      <c r="K28" s="80"/>
      <c r="L28" s="264"/>
      <c r="M28" s="80"/>
      <c r="N28" s="80"/>
      <c r="O28" s="80"/>
      <c r="P28" s="80"/>
      <c r="Q28" s="80"/>
      <c r="R28" s="271"/>
    </row>
    <row r="29" spans="2:24" s="33" customFormat="1" ht="13">
      <c r="B29" s="81" t="s">
        <v>171</v>
      </c>
      <c r="C29" s="81"/>
      <c r="D29" s="81"/>
      <c r="E29" s="81"/>
      <c r="F29" s="81"/>
      <c r="G29" s="81"/>
      <c r="H29" s="81" t="s">
        <v>145</v>
      </c>
      <c r="I29" s="81"/>
      <c r="J29" s="81"/>
      <c r="K29" s="81"/>
      <c r="L29" s="265"/>
      <c r="M29" s="81"/>
      <c r="N29" s="81" t="s">
        <v>146</v>
      </c>
      <c r="O29" s="81"/>
      <c r="P29" s="81"/>
      <c r="Q29" s="81"/>
      <c r="R29" s="272"/>
    </row>
    <row r="30" spans="2:24" s="36" customFormat="1" ht="13">
      <c r="B30" s="82" t="s">
        <v>172</v>
      </c>
      <c r="C30" s="82"/>
      <c r="D30" s="82"/>
      <c r="E30" s="82"/>
      <c r="F30" s="82"/>
      <c r="G30" s="82"/>
      <c r="H30" s="82" t="s">
        <v>149</v>
      </c>
      <c r="I30" s="82" t="s">
        <v>150</v>
      </c>
      <c r="J30" s="82" t="s">
        <v>151</v>
      </c>
      <c r="K30" s="82" t="s">
        <v>152</v>
      </c>
      <c r="L30" s="266" t="s">
        <v>153</v>
      </c>
      <c r="M30" s="82"/>
      <c r="N30" s="82" t="s">
        <v>149</v>
      </c>
      <c r="O30" s="82" t="s">
        <v>150</v>
      </c>
      <c r="P30" s="82" t="s">
        <v>151</v>
      </c>
      <c r="Q30" s="82" t="s">
        <v>152</v>
      </c>
      <c r="R30" s="273" t="s">
        <v>153</v>
      </c>
    </row>
    <row r="31" spans="2:24" s="34" customFormat="1" ht="13">
      <c r="B31" s="83"/>
      <c r="C31" s="83"/>
      <c r="D31" s="83"/>
      <c r="E31" s="83"/>
      <c r="F31" s="83"/>
      <c r="G31" s="83"/>
      <c r="H31" s="83" t="s">
        <v>154</v>
      </c>
      <c r="I31" s="83" t="s">
        <v>155</v>
      </c>
      <c r="J31" s="83" t="s">
        <v>156</v>
      </c>
      <c r="K31" s="83" t="s">
        <v>157</v>
      </c>
      <c r="L31" s="267" t="s">
        <v>158</v>
      </c>
      <c r="M31" s="83"/>
      <c r="N31" s="83" t="s">
        <v>154</v>
      </c>
      <c r="O31" s="83" t="s">
        <v>155</v>
      </c>
      <c r="P31" s="83" t="s">
        <v>156</v>
      </c>
      <c r="Q31" s="83" t="s">
        <v>157</v>
      </c>
      <c r="R31" s="274" t="s">
        <v>158</v>
      </c>
    </row>
    <row r="32" spans="2:24">
      <c r="B32" s="80"/>
      <c r="C32" s="80"/>
      <c r="D32" s="80"/>
      <c r="E32" s="80"/>
      <c r="F32" s="80"/>
      <c r="G32" s="80"/>
      <c r="H32" s="80"/>
      <c r="I32" s="80"/>
      <c r="J32" s="80"/>
      <c r="K32" s="80"/>
      <c r="L32" s="264"/>
      <c r="M32" s="80"/>
      <c r="N32" s="80"/>
      <c r="O32" s="80"/>
      <c r="P32" s="80"/>
      <c r="Q32" s="80"/>
      <c r="R32" s="271"/>
    </row>
    <row r="33" spans="2:24">
      <c r="B33" s="80" t="s">
        <v>159</v>
      </c>
      <c r="C33" s="80"/>
      <c r="D33" s="80"/>
      <c r="E33" s="80"/>
      <c r="F33" s="80"/>
      <c r="G33" s="80"/>
      <c r="H33" s="353">
        <f>'28. Entry- en exittarieven '!H115</f>
        <v>5.1008629799999996</v>
      </c>
      <c r="I33" s="357">
        <f>'28. Entry- en exittarieven '!I115</f>
        <v>2.3299763900000001</v>
      </c>
      <c r="J33" s="231">
        <f>'28. Entry- en exittarieven '!J115</f>
        <v>1.11446869</v>
      </c>
      <c r="K33" s="231">
        <f>'28. Entry- en exittarieven '!K115</f>
        <v>4.3360830000000003E-2</v>
      </c>
      <c r="L33" s="263">
        <f>'28. Entry- en exittarieven '!L115</f>
        <v>1.80671E-3</v>
      </c>
      <c r="M33" s="80"/>
      <c r="N33" s="353">
        <f>'28. Entry- en exittarieven '!N115</f>
        <v>1.2752157500000001</v>
      </c>
      <c r="O33" s="357">
        <f>'28. Entry- en exittarieven '!O115</f>
        <v>0.58249410000000001</v>
      </c>
      <c r="P33" s="231">
        <f>'28. Entry- en exittarieven '!P115</f>
        <v>0.27861717000000003</v>
      </c>
      <c r="Q33" s="231">
        <f>'28. Entry- en exittarieven '!Q115</f>
        <v>1.0840209999999999E-2</v>
      </c>
      <c r="R33" s="263">
        <f>'28. Entry- en exittarieven '!R115</f>
        <v>4.5167999999999999E-4</v>
      </c>
    </row>
    <row r="34" spans="2:24">
      <c r="B34" s="80" t="s">
        <v>160</v>
      </c>
      <c r="C34" s="80"/>
      <c r="D34" s="80"/>
      <c r="E34" s="80"/>
      <c r="F34" s="80"/>
      <c r="G34" s="80"/>
      <c r="H34" s="353"/>
      <c r="I34" s="357"/>
      <c r="J34" s="231">
        <f>'28. Entry- en exittarieven '!J116</f>
        <v>0.89979222999999997</v>
      </c>
      <c r="K34" s="231">
        <f>'28. Entry- en exittarieven '!K116</f>
        <v>3.8763060000000002E-2</v>
      </c>
      <c r="L34" s="263">
        <f>'28. Entry- en exittarieven '!L116</f>
        <v>1.61513E-3</v>
      </c>
      <c r="M34" s="80"/>
      <c r="N34" s="353"/>
      <c r="O34" s="357"/>
      <c r="P34" s="231">
        <f>'28. Entry- en exittarieven '!P116</f>
        <v>0.22494806000000001</v>
      </c>
      <c r="Q34" s="231">
        <f>'28. Entry- en exittarieven '!Q116</f>
        <v>9.6907699999999996E-3</v>
      </c>
      <c r="R34" s="263">
        <f>'28. Entry- en exittarieven '!R116</f>
        <v>4.0379000000000001E-4</v>
      </c>
    </row>
    <row r="35" spans="2:24">
      <c r="B35" s="80" t="s">
        <v>161</v>
      </c>
      <c r="C35" s="80"/>
      <c r="D35" s="80"/>
      <c r="E35" s="80"/>
      <c r="F35" s="80"/>
      <c r="G35" s="80"/>
      <c r="H35" s="353"/>
      <c r="I35" s="357"/>
      <c r="J35" s="231">
        <f>'28. Entry- en exittarieven '!J117</f>
        <v>0.77915332999999998</v>
      </c>
      <c r="K35" s="231">
        <f>'28. Entry- en exittarieven '!K117</f>
        <v>3.030122E-2</v>
      </c>
      <c r="L35" s="263">
        <f>'28. Entry- en exittarieven '!L117</f>
        <v>1.26256E-3</v>
      </c>
      <c r="M35" s="80"/>
      <c r="N35" s="353"/>
      <c r="O35" s="357"/>
      <c r="P35" s="231">
        <f>'28. Entry- en exittarieven '!P117</f>
        <v>0.19478833000000001</v>
      </c>
      <c r="Q35" s="231">
        <f>'28. Entry- en exittarieven '!Q117</f>
        <v>7.57531E-3</v>
      </c>
      <c r="R35" s="263">
        <f>'28. Entry- en exittarieven '!R117</f>
        <v>3.1564000000000001E-4</v>
      </c>
    </row>
    <row r="36" spans="2:24">
      <c r="B36" s="80" t="s">
        <v>162</v>
      </c>
      <c r="C36" s="80"/>
      <c r="D36" s="80"/>
      <c r="E36" s="80"/>
      <c r="F36" s="80"/>
      <c r="G36" s="80"/>
      <c r="H36" s="353"/>
      <c r="I36" s="357">
        <f>'28. Entry- en exittarieven '!I118</f>
        <v>1.2462875600000001</v>
      </c>
      <c r="J36" s="231">
        <f>'28. Entry- en exittarieven '!J118</f>
        <v>0.56221293000000006</v>
      </c>
      <c r="K36" s="231">
        <f>'28. Entry- en exittarieven '!K118</f>
        <v>2.2597519999999999E-2</v>
      </c>
      <c r="L36" s="263">
        <f>'28. Entry- en exittarieven '!L118</f>
        <v>9.4157000000000008E-4</v>
      </c>
      <c r="M36" s="80"/>
      <c r="N36" s="353"/>
      <c r="O36" s="357">
        <f>'28. Entry- en exittarieven '!O118</f>
        <v>0.31157189000000002</v>
      </c>
      <c r="P36" s="231">
        <f>'28. Entry- en exittarieven '!P118</f>
        <v>0.14055323</v>
      </c>
      <c r="Q36" s="231">
        <f>'28. Entry- en exittarieven '!Q118</f>
        <v>5.6493799999999999E-3</v>
      </c>
      <c r="R36" s="263">
        <f>'28. Entry- en exittarieven '!R118</f>
        <v>2.354E-4</v>
      </c>
    </row>
    <row r="37" spans="2:24">
      <c r="B37" s="80" t="s">
        <v>163</v>
      </c>
      <c r="C37" s="80"/>
      <c r="D37" s="80"/>
      <c r="E37" s="80"/>
      <c r="F37" s="80"/>
      <c r="G37" s="80"/>
      <c r="H37" s="353"/>
      <c r="I37" s="357"/>
      <c r="J37" s="231">
        <f>'28. Entry- en exittarieven '!J119</f>
        <v>0.51467008999999997</v>
      </c>
      <c r="K37" s="231">
        <f>'28. Entry- en exittarieven '!K119</f>
        <v>2.0029620000000001E-2</v>
      </c>
      <c r="L37" s="263">
        <f>'28. Entry- en exittarieven '!L119</f>
        <v>8.3457000000000008E-4</v>
      </c>
      <c r="M37" s="80"/>
      <c r="N37" s="353"/>
      <c r="O37" s="357"/>
      <c r="P37" s="231">
        <f>'28. Entry- en exittarieven '!P119</f>
        <v>0.12866752000000001</v>
      </c>
      <c r="Q37" s="231">
        <f>'28. Entry- en exittarieven '!Q119</f>
        <v>5.0074100000000003E-3</v>
      </c>
      <c r="R37" s="263">
        <f>'28. Entry- en exittarieven '!R119</f>
        <v>2.0865E-4</v>
      </c>
    </row>
    <row r="38" spans="2:24">
      <c r="B38" s="80" t="s">
        <v>164</v>
      </c>
      <c r="C38" s="80"/>
      <c r="D38" s="80"/>
      <c r="E38" s="80"/>
      <c r="F38" s="80"/>
      <c r="G38" s="80"/>
      <c r="H38" s="353"/>
      <c r="I38" s="357"/>
      <c r="J38" s="231">
        <f>'28. Entry- en exittarieven '!J120</f>
        <v>0.41820088999999999</v>
      </c>
      <c r="K38" s="231">
        <f>'28. Entry- en exittarieven '!K120</f>
        <v>1.6825860000000002E-2</v>
      </c>
      <c r="L38" s="263">
        <f>'28. Entry- en exittarieven '!L120</f>
        <v>7.0108000000000008E-4</v>
      </c>
      <c r="M38" s="80"/>
      <c r="N38" s="353"/>
      <c r="O38" s="357"/>
      <c r="P38" s="231">
        <f>'28. Entry- en exittarieven '!P120</f>
        <v>0.10455022</v>
      </c>
      <c r="Q38" s="231">
        <f>'28. Entry- en exittarieven '!Q120</f>
        <v>4.2064700000000003E-3</v>
      </c>
      <c r="R38" s="263">
        <f>'28. Entry- en exittarieven '!R120</f>
        <v>1.7526999999999999E-4</v>
      </c>
    </row>
    <row r="39" spans="2:24">
      <c r="B39" s="80" t="s">
        <v>165</v>
      </c>
      <c r="C39" s="80"/>
      <c r="D39" s="80"/>
      <c r="E39" s="80"/>
      <c r="F39" s="80"/>
      <c r="G39" s="80"/>
      <c r="H39" s="353"/>
      <c r="I39" s="357">
        <f>'28. Entry- en exittarieven '!I121</f>
        <v>1.01087924</v>
      </c>
      <c r="J39" s="231">
        <f>'28. Entry- en exittarieven '!J121</f>
        <v>0.40809698999999999</v>
      </c>
      <c r="K39" s="231">
        <f>'28. Entry- en exittarieven '!K121</f>
        <v>1.5872069999999999E-2</v>
      </c>
      <c r="L39" s="263">
        <f>'28. Entry- en exittarieven '!L121</f>
        <v>6.6134000000000006E-4</v>
      </c>
      <c r="M39" s="80"/>
      <c r="N39" s="353"/>
      <c r="O39" s="357">
        <f>'28. Entry- en exittarieven '!O121</f>
        <v>0.25271980999999999</v>
      </c>
      <c r="P39" s="231">
        <f>'28. Entry- en exittarieven '!P121</f>
        <v>0.10202425</v>
      </c>
      <c r="Q39" s="231">
        <f>'28. Entry- en exittarieven '!Q121</f>
        <v>3.9680200000000001E-3</v>
      </c>
      <c r="R39" s="263">
        <f>'28. Entry- en exittarieven '!R121</f>
        <v>1.6533999999999999E-4</v>
      </c>
    </row>
    <row r="40" spans="2:24">
      <c r="B40" s="80" t="s">
        <v>166</v>
      </c>
      <c r="C40" s="80"/>
      <c r="D40" s="80"/>
      <c r="E40" s="80"/>
      <c r="F40" s="80"/>
      <c r="G40" s="80"/>
      <c r="H40" s="353"/>
      <c r="I40" s="357"/>
      <c r="J40" s="231">
        <f>'28. Entry- en exittarieven '!J122</f>
        <v>0.38795206999999998</v>
      </c>
      <c r="K40" s="231">
        <f>'28. Entry- en exittarieven '!K122</f>
        <v>1.5113929999999999E-2</v>
      </c>
      <c r="L40" s="263">
        <f>'28. Entry- en exittarieven '!L122</f>
        <v>6.297500000000001E-4</v>
      </c>
      <c r="M40" s="80"/>
      <c r="N40" s="353"/>
      <c r="O40" s="357"/>
      <c r="P40" s="231">
        <f>'28. Entry- en exittarieven '!P122</f>
        <v>9.6988019999999994E-2</v>
      </c>
      <c r="Q40" s="231">
        <f>'28. Entry- en exittarieven '!Q122</f>
        <v>3.7784799999999999E-3</v>
      </c>
      <c r="R40" s="263">
        <f>'28. Entry- en exittarieven '!R122</f>
        <v>1.5743999999999998E-4</v>
      </c>
    </row>
    <row r="41" spans="2:24">
      <c r="B41" s="80" t="s">
        <v>167</v>
      </c>
      <c r="C41" s="80"/>
      <c r="D41" s="80"/>
      <c r="E41" s="80"/>
      <c r="F41" s="80"/>
      <c r="G41" s="80"/>
      <c r="H41" s="353"/>
      <c r="I41" s="357"/>
      <c r="J41" s="231">
        <f>'28. Entry- en exittarieven '!J123</f>
        <v>0.41694313999999999</v>
      </c>
      <c r="K41" s="231">
        <f>'28. Entry- en exittarieven '!K123</f>
        <v>1.6776949999999999E-2</v>
      </c>
      <c r="L41" s="263">
        <f>'28. Entry- en exittarieven '!L123</f>
        <v>6.9904000000000006E-4</v>
      </c>
      <c r="M41" s="80"/>
      <c r="N41" s="353"/>
      <c r="O41" s="357"/>
      <c r="P41" s="231">
        <f>'28. Entry- en exittarieven '!P123</f>
        <v>0.10423578999999999</v>
      </c>
      <c r="Q41" s="231">
        <f>'28. Entry- en exittarieven '!Q123</f>
        <v>4.1942400000000001E-3</v>
      </c>
      <c r="R41" s="263">
        <f>'28. Entry- en exittarieven '!R123</f>
        <v>1.7475999999999999E-4</v>
      </c>
    </row>
    <row r="42" spans="2:24">
      <c r="B42" s="80" t="s">
        <v>168</v>
      </c>
      <c r="C42" s="80"/>
      <c r="D42" s="80"/>
      <c r="E42" s="80"/>
      <c r="F42" s="80"/>
      <c r="G42" s="80"/>
      <c r="H42" s="353"/>
      <c r="I42" s="357">
        <f>'28. Entry- en exittarieven '!I124</f>
        <v>1.7758689400000001</v>
      </c>
      <c r="J42" s="231">
        <f>'28. Entry- en exittarieven '!J124</f>
        <v>0.49452517000000001</v>
      </c>
      <c r="K42" s="231">
        <f>'28. Entry- en exittarieven '!K124</f>
        <v>1.924702E-2</v>
      </c>
      <c r="L42" s="263">
        <f>'28. Entry- en exittarieven '!L124</f>
        <v>8.0196E-4</v>
      </c>
      <c r="M42" s="80"/>
      <c r="N42" s="353"/>
      <c r="O42" s="357">
        <f>'28. Entry- en exittarieven '!O124</f>
        <v>0.44396723999999999</v>
      </c>
      <c r="P42" s="231">
        <f>'28. Entry- en exittarieven '!P124</f>
        <v>0.12363129</v>
      </c>
      <c r="Q42" s="231">
        <f>'28. Entry- en exittarieven '!Q124</f>
        <v>4.81176E-3</v>
      </c>
      <c r="R42" s="263">
        <f>'28. Entry- en exittarieven '!R124</f>
        <v>2.0049E-4</v>
      </c>
    </row>
    <row r="43" spans="2:24">
      <c r="B43" s="80" t="s">
        <v>169</v>
      </c>
      <c r="C43" s="80"/>
      <c r="D43" s="80"/>
      <c r="E43" s="80"/>
      <c r="F43" s="80"/>
      <c r="G43" s="80"/>
      <c r="H43" s="353"/>
      <c r="I43" s="357"/>
      <c r="J43" s="231">
        <f>'28. Entry- en exittarieven '!J125</f>
        <v>0.71062707999999997</v>
      </c>
      <c r="K43" s="231">
        <f>'28. Entry- en exittarieven '!K125</f>
        <v>2.8564829999999999E-2</v>
      </c>
      <c r="L43" s="263">
        <f>'28. Entry- en exittarieven '!L125</f>
        <v>1.1902099999999999E-3</v>
      </c>
      <c r="M43" s="80"/>
      <c r="N43" s="353"/>
      <c r="O43" s="357"/>
      <c r="P43" s="231">
        <f>'28. Entry- en exittarieven '!P125</f>
        <v>0.17765676999999999</v>
      </c>
      <c r="Q43" s="231">
        <f>'28. Entry- en exittarieven '!Q125</f>
        <v>7.1412100000000003E-3</v>
      </c>
      <c r="R43" s="263">
        <f>'28. Entry- en exittarieven '!R125</f>
        <v>2.9755999999999999E-4</v>
      </c>
    </row>
    <row r="44" spans="2:24">
      <c r="B44" s="80" t="s">
        <v>170</v>
      </c>
      <c r="C44" s="80"/>
      <c r="D44" s="80"/>
      <c r="E44" s="80"/>
      <c r="F44" s="80"/>
      <c r="G44" s="80"/>
      <c r="H44" s="353"/>
      <c r="I44" s="357"/>
      <c r="J44" s="231">
        <f>'28. Entry- en exittarieven '!J126</f>
        <v>0.92536642000000002</v>
      </c>
      <c r="K44" s="231">
        <f>'28. Entry- en exittarieven '!K126</f>
        <v>3.599952E-2</v>
      </c>
      <c r="L44" s="263">
        <f>'28. Entry- en exittarieven '!L126</f>
        <v>1.4999799999999999E-3</v>
      </c>
      <c r="M44" s="80"/>
      <c r="N44" s="353"/>
      <c r="O44" s="357"/>
      <c r="P44" s="231">
        <f>'28. Entry- en exittarieven '!P126</f>
        <v>0.23134161</v>
      </c>
      <c r="Q44" s="231">
        <f>'28. Entry- en exittarieven '!Q126</f>
        <v>8.99988E-3</v>
      </c>
      <c r="R44" s="263">
        <f>'28. Entry- en exittarieven '!R126</f>
        <v>3.7500000000000001E-4</v>
      </c>
    </row>
    <row r="45" spans="2:24">
      <c r="H45" s="193"/>
      <c r="I45" s="197"/>
      <c r="J45" s="198"/>
      <c r="K45" s="198"/>
      <c r="L45" s="268"/>
      <c r="N45" s="193"/>
      <c r="O45" s="197"/>
      <c r="P45" s="198"/>
      <c r="Q45" s="198"/>
      <c r="R45" s="275"/>
    </row>
    <row r="46" spans="2:24" s="33" customFormat="1" ht="26">
      <c r="B46" s="192" t="s">
        <v>173</v>
      </c>
      <c r="H46" s="33" t="s">
        <v>145</v>
      </c>
      <c r="L46" s="256"/>
      <c r="N46" s="33" t="s">
        <v>146</v>
      </c>
      <c r="R46" s="276"/>
      <c r="T46" s="33" t="s">
        <v>147</v>
      </c>
    </row>
    <row r="47" spans="2:24" s="36" customFormat="1" ht="13">
      <c r="B47" s="36" t="s">
        <v>174</v>
      </c>
      <c r="H47" s="36" t="s">
        <v>149</v>
      </c>
      <c r="I47" s="36" t="s">
        <v>150</v>
      </c>
      <c r="J47" s="36" t="s">
        <v>151</v>
      </c>
      <c r="K47" s="36" t="s">
        <v>152</v>
      </c>
      <c r="L47" s="257" t="s">
        <v>153</v>
      </c>
      <c r="N47" s="36" t="s">
        <v>149</v>
      </c>
      <c r="O47" s="36" t="s">
        <v>150</v>
      </c>
      <c r="P47" s="36" t="s">
        <v>151</v>
      </c>
      <c r="Q47" s="36" t="s">
        <v>152</v>
      </c>
      <c r="R47" s="277" t="s">
        <v>153</v>
      </c>
      <c r="T47" s="36" t="s">
        <v>149</v>
      </c>
      <c r="U47" s="36" t="s">
        <v>150</v>
      </c>
      <c r="V47" s="36" t="s">
        <v>151</v>
      </c>
      <c r="W47" s="36" t="s">
        <v>152</v>
      </c>
      <c r="X47" s="36" t="s">
        <v>153</v>
      </c>
    </row>
    <row r="48" spans="2:24" s="34" customFormat="1" ht="13">
      <c r="H48" s="34" t="s">
        <v>154</v>
      </c>
      <c r="I48" s="34" t="s">
        <v>155</v>
      </c>
      <c r="J48" s="34" t="s">
        <v>156</v>
      </c>
      <c r="K48" s="34" t="s">
        <v>157</v>
      </c>
      <c r="L48" s="258" t="s">
        <v>158</v>
      </c>
      <c r="N48" s="34" t="s">
        <v>154</v>
      </c>
      <c r="O48" s="34" t="s">
        <v>155</v>
      </c>
      <c r="P48" s="34" t="s">
        <v>156</v>
      </c>
      <c r="Q48" s="34" t="s">
        <v>157</v>
      </c>
      <c r="R48" s="278" t="s">
        <v>158</v>
      </c>
      <c r="T48" s="34" t="s">
        <v>154</v>
      </c>
      <c r="U48" s="34" t="s">
        <v>155</v>
      </c>
      <c r="V48" s="34" t="s">
        <v>156</v>
      </c>
      <c r="W48" s="34" t="s">
        <v>157</v>
      </c>
      <c r="X48" s="34" t="s">
        <v>158</v>
      </c>
    </row>
    <row r="49" spans="2:24">
      <c r="J49" s="87"/>
      <c r="L49" s="255"/>
      <c r="R49" s="279"/>
    </row>
    <row r="50" spans="2:24">
      <c r="B50" s="3" t="s">
        <v>159</v>
      </c>
      <c r="H50" s="353">
        <f>'28. Entry- en exittarieven '!H133</f>
        <v>5.4803982900000001</v>
      </c>
      <c r="I50" s="354">
        <f>'28. Entry- en exittarieven '!I133</f>
        <v>2.50334083</v>
      </c>
      <c r="J50" s="86">
        <f>'28. Entry- en exittarieven '!J133</f>
        <v>1.1973919500000001</v>
      </c>
      <c r="K50" s="86">
        <f>'28. Entry- en exittarieven '!K133</f>
        <v>4.6587139999999999E-2</v>
      </c>
      <c r="L50" s="269">
        <f>'28. Entry- en exittarieven '!L133</f>
        <v>1.9411399999999998E-3</v>
      </c>
      <c r="N50" s="355">
        <f>'28. Entry- en exittarieven '!N133</f>
        <v>1.37009957</v>
      </c>
      <c r="O50" s="356">
        <f>'28. Entry- en exittarieven '!O133</f>
        <v>0.62583520999999998</v>
      </c>
      <c r="P50" s="232">
        <f>'28. Entry- en exittarieven '!P133</f>
        <v>0.29934799000000001</v>
      </c>
      <c r="Q50" s="232">
        <f>'28. Entry- en exittarieven '!Q133</f>
        <v>1.1646780000000001E-2</v>
      </c>
      <c r="R50" s="330">
        <f>'28. Entry- en exittarieven '!R133</f>
        <v>4.8528999999999998E-4</v>
      </c>
      <c r="T50" s="358">
        <f>'28. Entry- en exittarieven '!T133</f>
        <v>5.4803982900000001</v>
      </c>
      <c r="U50" s="358">
        <f>'28. Entry- en exittarieven '!U133</f>
        <v>2.50334083</v>
      </c>
      <c r="V50" s="56">
        <f>'28. Entry- en exittarieven '!V133</f>
        <v>1.1973919500000001</v>
      </c>
      <c r="W50" s="56">
        <f>'28. Entry- en exittarieven '!W133</f>
        <v>4.6587139999999999E-2</v>
      </c>
      <c r="X50" s="269">
        <f>'28. Entry- en exittarieven '!X133</f>
        <v>1.9411399999999998E-3</v>
      </c>
    </row>
    <row r="51" spans="2:24">
      <c r="B51" s="3" t="s">
        <v>160</v>
      </c>
      <c r="H51" s="353"/>
      <c r="I51" s="354"/>
      <c r="J51" s="86">
        <f>'28. Entry- en exittarieven '!J134</f>
        <v>0.96674225999999996</v>
      </c>
      <c r="K51" s="86">
        <f>'28. Entry- en exittarieven '!K134</f>
        <v>4.164727E-2</v>
      </c>
      <c r="L51" s="269">
        <f>'28. Entry- en exittarieven '!L134</f>
        <v>1.7353099999999999E-3</v>
      </c>
      <c r="N51" s="355"/>
      <c r="O51" s="356"/>
      <c r="P51" s="232">
        <f>'28. Entry- en exittarieven '!P134</f>
        <v>0.24168555999999999</v>
      </c>
      <c r="Q51" s="232">
        <f>'28. Entry- en exittarieven '!Q134</f>
        <v>1.041182E-2</v>
      </c>
      <c r="R51" s="330">
        <f>'28. Entry- en exittarieven '!R134</f>
        <v>4.3383000000000001E-4</v>
      </c>
      <c r="T51" s="358"/>
      <c r="U51" s="358"/>
      <c r="V51" s="56">
        <f>'28. Entry- en exittarieven '!V134</f>
        <v>0.96674225999999996</v>
      </c>
      <c r="W51" s="56">
        <f>'28. Entry- en exittarieven '!W134</f>
        <v>4.164727E-2</v>
      </c>
      <c r="X51" s="269">
        <f>'28. Entry- en exittarieven '!X134</f>
        <v>1.7353099999999999E-3</v>
      </c>
    </row>
    <row r="52" spans="2:24">
      <c r="B52" s="3" t="s">
        <v>161</v>
      </c>
      <c r="H52" s="353"/>
      <c r="I52" s="354"/>
      <c r="J52" s="86">
        <f>'28. Entry- en exittarieven '!J135</f>
        <v>0.83712708000000002</v>
      </c>
      <c r="K52" s="86">
        <f>'28. Entry- en exittarieven '!K135</f>
        <v>3.2555819999999999E-2</v>
      </c>
      <c r="L52" s="269">
        <f>'28. Entry- en exittarieven '!L135</f>
        <v>1.3564999999999998E-3</v>
      </c>
      <c r="N52" s="355"/>
      <c r="O52" s="356"/>
      <c r="P52" s="232">
        <f>'28. Entry- en exittarieven '!P135</f>
        <v>0.20928177000000001</v>
      </c>
      <c r="Q52" s="232">
        <f>'28. Entry- en exittarieven '!Q135</f>
        <v>8.1389500000000007E-3</v>
      </c>
      <c r="R52" s="330">
        <f>'28. Entry- en exittarieven '!R135</f>
        <v>3.3912999999999999E-4</v>
      </c>
      <c r="T52" s="358"/>
      <c r="U52" s="358"/>
      <c r="V52" s="56">
        <f>'28. Entry- en exittarieven '!V135</f>
        <v>0.83712708000000002</v>
      </c>
      <c r="W52" s="56">
        <f>'28. Entry- en exittarieven '!W135</f>
        <v>3.2555819999999999E-2</v>
      </c>
      <c r="X52" s="269">
        <f>'28. Entry- en exittarieven '!X135</f>
        <v>1.3564999999999998E-3</v>
      </c>
    </row>
    <row r="53" spans="2:24">
      <c r="B53" s="3" t="s">
        <v>162</v>
      </c>
      <c r="H53" s="353"/>
      <c r="I53" s="354">
        <f>'28. Entry- en exittarieven '!I136</f>
        <v>1.33901896</v>
      </c>
      <c r="J53" s="86">
        <f>'28. Entry- en exittarieven '!J136</f>
        <v>0.60404499</v>
      </c>
      <c r="K53" s="86">
        <f>'28. Entry- en exittarieven '!K136</f>
        <v>2.4278919999999999E-2</v>
      </c>
      <c r="L53" s="269">
        <f>'28. Entry- en exittarieven '!L136</f>
        <v>1.0116299999999999E-3</v>
      </c>
      <c r="N53" s="355"/>
      <c r="O53" s="356">
        <f>'28. Entry- en exittarieven '!O136</f>
        <v>0.33475474</v>
      </c>
      <c r="P53" s="232">
        <f>'28. Entry- en exittarieven '!P136</f>
        <v>0.15101125000000001</v>
      </c>
      <c r="Q53" s="232">
        <f>'28. Entry- en exittarieven '!Q136</f>
        <v>6.0697299999999997E-3</v>
      </c>
      <c r="R53" s="330">
        <f>'28. Entry- en exittarieven '!R136</f>
        <v>2.5291000000000002E-4</v>
      </c>
      <c r="T53" s="358"/>
      <c r="U53" s="358">
        <f>'28. Entry- en exittarieven '!U136</f>
        <v>1.33901896</v>
      </c>
      <c r="V53" s="56">
        <f>'28. Entry- en exittarieven '!V136</f>
        <v>0.60404499</v>
      </c>
      <c r="W53" s="56">
        <f>'28. Entry- en exittarieven '!W136</f>
        <v>2.4278919999999999E-2</v>
      </c>
      <c r="X53" s="269">
        <f>'28. Entry- en exittarieven '!X136</f>
        <v>1.0116299999999999E-3</v>
      </c>
    </row>
    <row r="54" spans="2:24">
      <c r="B54" s="3" t="s">
        <v>163</v>
      </c>
      <c r="H54" s="353"/>
      <c r="I54" s="354"/>
      <c r="J54" s="86">
        <f>'28. Entry- en exittarieven '!J137</f>
        <v>0.55296467999999999</v>
      </c>
      <c r="K54" s="86">
        <f>'28. Entry- en exittarieven '!K137</f>
        <v>2.1519949999999999E-2</v>
      </c>
      <c r="L54" s="269">
        <f>'28. Entry- en exittarieven '!L137</f>
        <v>8.9667000000000002E-4</v>
      </c>
      <c r="N54" s="355"/>
      <c r="O54" s="356"/>
      <c r="P54" s="232">
        <f>'28. Entry- en exittarieven '!P137</f>
        <v>0.13824117</v>
      </c>
      <c r="Q54" s="232">
        <f>'28. Entry- en exittarieven '!Q137</f>
        <v>5.3799900000000003E-3</v>
      </c>
      <c r="R54" s="330">
        <f>'28. Entry- en exittarieven '!R137</f>
        <v>2.2416999999999999E-4</v>
      </c>
      <c r="T54" s="358"/>
      <c r="U54" s="358"/>
      <c r="V54" s="56">
        <f>'28. Entry- en exittarieven '!V137</f>
        <v>0.55296467999999999</v>
      </c>
      <c r="W54" s="56">
        <f>'28. Entry- en exittarieven '!W137</f>
        <v>2.1519949999999999E-2</v>
      </c>
      <c r="X54" s="269">
        <f>'28. Entry- en exittarieven '!X137</f>
        <v>8.9667000000000002E-4</v>
      </c>
    </row>
    <row r="55" spans="2:24">
      <c r="B55" s="3" t="s">
        <v>164</v>
      </c>
      <c r="H55" s="353"/>
      <c r="I55" s="354"/>
      <c r="J55" s="86">
        <f>'28. Entry- en exittarieven '!J138</f>
        <v>0.44931758999999999</v>
      </c>
      <c r="K55" s="86">
        <f>'28. Entry- en exittarieven '!K138</f>
        <v>1.807781E-2</v>
      </c>
      <c r="L55" s="269">
        <f>'28. Entry- en exittarieven '!L138</f>
        <v>7.5325000000000001E-4</v>
      </c>
      <c r="N55" s="355"/>
      <c r="O55" s="356"/>
      <c r="P55" s="232">
        <f>'28. Entry- en exittarieven '!P138</f>
        <v>0.1123294</v>
      </c>
      <c r="Q55" s="232">
        <f>'28. Entry- en exittarieven '!Q138</f>
        <v>4.5194500000000004E-3</v>
      </c>
      <c r="R55" s="330">
        <f>'28. Entry- en exittarieven '!R138</f>
        <v>1.8831999999999999E-4</v>
      </c>
      <c r="T55" s="358"/>
      <c r="U55" s="358"/>
      <c r="V55" s="56">
        <f>'28. Entry- en exittarieven '!V138</f>
        <v>0.44931758999999999</v>
      </c>
      <c r="W55" s="56">
        <f>'28. Entry- en exittarieven '!W138</f>
        <v>1.807781E-2</v>
      </c>
      <c r="X55" s="269">
        <f>'28. Entry- en exittarieven '!X138</f>
        <v>7.5325000000000001E-4</v>
      </c>
    </row>
    <row r="56" spans="2:24">
      <c r="B56" s="3" t="s">
        <v>165</v>
      </c>
      <c r="H56" s="353"/>
      <c r="I56" s="354">
        <f>'28. Entry- en exittarieven '!I139</f>
        <v>1.08609482</v>
      </c>
      <c r="J56" s="86">
        <f>'28. Entry- en exittarieven '!J139</f>
        <v>0.43846189000000002</v>
      </c>
      <c r="K56" s="86">
        <f>'28. Entry- en exittarieven '!K139</f>
        <v>1.705305E-2</v>
      </c>
      <c r="L56" s="269">
        <f>'28. Entry- en exittarieven '!L139</f>
        <v>7.1055000000000001E-4</v>
      </c>
      <c r="N56" s="355"/>
      <c r="O56" s="356">
        <f>'28. Entry- en exittarieven '!O139</f>
        <v>0.27152370999999997</v>
      </c>
      <c r="P56" s="232">
        <f>'28. Entry- en exittarieven '!P139</f>
        <v>0.10961547000000001</v>
      </c>
      <c r="Q56" s="232">
        <f>'28. Entry- en exittarieven '!Q139</f>
        <v>4.2632599999999996E-3</v>
      </c>
      <c r="R56" s="330">
        <f>'28. Entry- en exittarieven '!R139</f>
        <v>1.7763999999999999E-4</v>
      </c>
      <c r="T56" s="358"/>
      <c r="U56" s="358">
        <f>'28. Entry- en exittarieven '!U139</f>
        <v>1.08609482</v>
      </c>
      <c r="V56" s="56">
        <f>'28. Entry- en exittarieven '!V139</f>
        <v>0.43846189000000002</v>
      </c>
      <c r="W56" s="56">
        <f>'28. Entry- en exittarieven '!W139</f>
        <v>1.705305E-2</v>
      </c>
      <c r="X56" s="269">
        <f>'28. Entry- en exittarieven '!X139</f>
        <v>7.1055000000000001E-4</v>
      </c>
    </row>
    <row r="57" spans="2:24">
      <c r="B57" s="3" t="s">
        <v>166</v>
      </c>
      <c r="H57" s="353"/>
      <c r="I57" s="354"/>
      <c r="J57" s="86">
        <f>'28. Entry- en exittarieven '!J140</f>
        <v>0.41681806999999998</v>
      </c>
      <c r="K57" s="86">
        <f>'28. Entry- en exittarieven '!K140</f>
        <v>1.6238499999999999E-2</v>
      </c>
      <c r="L57" s="269">
        <f>'28. Entry- en exittarieven '!L140</f>
        <v>6.7661000000000002E-4</v>
      </c>
      <c r="N57" s="355"/>
      <c r="O57" s="356"/>
      <c r="P57" s="232">
        <f>'28. Entry- en exittarieven '!P140</f>
        <v>0.10420451999999999</v>
      </c>
      <c r="Q57" s="232">
        <f>'28. Entry- en exittarieven '!Q140</f>
        <v>4.0596199999999999E-3</v>
      </c>
      <c r="R57" s="330">
        <f>'28. Entry- en exittarieven '!R140</f>
        <v>1.6915999999999999E-4</v>
      </c>
      <c r="T57" s="358"/>
      <c r="U57" s="358"/>
      <c r="V57" s="56">
        <f>'28. Entry- en exittarieven '!V140</f>
        <v>0.41681806999999998</v>
      </c>
      <c r="W57" s="56">
        <f>'28. Entry- en exittarieven '!W140</f>
        <v>1.6238499999999999E-2</v>
      </c>
      <c r="X57" s="269">
        <f>'28. Entry- en exittarieven '!X140</f>
        <v>6.7661000000000002E-4</v>
      </c>
    </row>
    <row r="58" spans="2:24">
      <c r="B58" s="3" t="s">
        <v>167</v>
      </c>
      <c r="H58" s="353"/>
      <c r="I58" s="354"/>
      <c r="J58" s="86">
        <f>'28. Entry- en exittarieven '!J141</f>
        <v>0.44796625000000001</v>
      </c>
      <c r="K58" s="86">
        <f>'28. Entry- en exittarieven '!K141</f>
        <v>1.8025260000000001E-2</v>
      </c>
      <c r="L58" s="269">
        <f>'28. Entry- en exittarieven '!L141</f>
        <v>7.5106000000000001E-4</v>
      </c>
      <c r="N58" s="355"/>
      <c r="O58" s="356"/>
      <c r="P58" s="232">
        <f>'28. Entry- en exittarieven '!P141</f>
        <v>0.11199156</v>
      </c>
      <c r="Q58" s="232">
        <f>'28. Entry- en exittarieven '!Q141</f>
        <v>4.5063100000000004E-3</v>
      </c>
      <c r="R58" s="330">
        <f>'28. Entry- en exittarieven '!R141</f>
        <v>1.8777E-4</v>
      </c>
      <c r="T58" s="358"/>
      <c r="U58" s="358"/>
      <c r="V58" s="56">
        <f>'28. Entry- en exittarieven '!V141</f>
        <v>0.44796625000000001</v>
      </c>
      <c r="W58" s="56">
        <f>'28. Entry- en exittarieven '!W141</f>
        <v>1.8025260000000001E-2</v>
      </c>
      <c r="X58" s="269">
        <f>'28. Entry- en exittarieven '!X141</f>
        <v>7.5106000000000001E-4</v>
      </c>
    </row>
    <row r="59" spans="2:24">
      <c r="B59" s="3" t="s">
        <v>168</v>
      </c>
      <c r="H59" s="353"/>
      <c r="I59" s="354">
        <f>'28. Entry- en exittarieven '!I142</f>
        <v>1.9080044199999999</v>
      </c>
      <c r="J59" s="86">
        <f>'28. Entry- en exittarieven '!J142</f>
        <v>0.53132086000000001</v>
      </c>
      <c r="K59" s="86">
        <f>'28. Entry- en exittarieven '!K142</f>
        <v>2.0679119999999999E-2</v>
      </c>
      <c r="L59" s="269">
        <f>'28. Entry- en exittarieven '!L142</f>
        <v>8.6163000000000006E-4</v>
      </c>
      <c r="N59" s="355"/>
      <c r="O59" s="356">
        <f>'28. Entry- en exittarieven '!O142</f>
        <v>0.47700110000000001</v>
      </c>
      <c r="P59" s="232">
        <f>'28. Entry- en exittarieven '!P142</f>
        <v>0.13283022</v>
      </c>
      <c r="Q59" s="232">
        <f>'28. Entry- en exittarieven '!Q142</f>
        <v>5.1697799999999997E-3</v>
      </c>
      <c r="R59" s="330">
        <f>'28. Entry- en exittarieven '!R142</f>
        <v>2.1541E-4</v>
      </c>
      <c r="T59" s="358"/>
      <c r="U59" s="358">
        <f>'28. Entry- en exittarieven '!U142</f>
        <v>1.9080044199999999</v>
      </c>
      <c r="V59" s="56">
        <f>'28. Entry- en exittarieven '!V142</f>
        <v>0.53132086000000001</v>
      </c>
      <c r="W59" s="56">
        <f>'28. Entry- en exittarieven '!W142</f>
        <v>2.0679119999999999E-2</v>
      </c>
      <c r="X59" s="269">
        <f>'28. Entry- en exittarieven '!X142</f>
        <v>8.6163000000000006E-4</v>
      </c>
    </row>
    <row r="60" spans="2:24">
      <c r="B60" s="3" t="s">
        <v>169</v>
      </c>
      <c r="H60" s="353"/>
      <c r="I60" s="354"/>
      <c r="J60" s="86">
        <f>'28. Entry- en exittarieven '!J143</f>
        <v>0.76350205999999998</v>
      </c>
      <c r="K60" s="86">
        <f>'28. Entry- en exittarieven '!K143</f>
        <v>3.0690229999999999E-2</v>
      </c>
      <c r="L60" s="269">
        <f>'28. Entry- en exittarieven '!L143</f>
        <v>1.2787599999999999E-3</v>
      </c>
      <c r="N60" s="355"/>
      <c r="O60" s="356"/>
      <c r="P60" s="232">
        <f>'28. Entry- en exittarieven '!P143</f>
        <v>0.19087551999999999</v>
      </c>
      <c r="Q60" s="232">
        <f>'28. Entry- en exittarieven '!Q143</f>
        <v>7.6725600000000001E-3</v>
      </c>
      <c r="R60" s="330">
        <f>'28. Entry- en exittarieven '!R143</f>
        <v>3.1968999999999997E-4</v>
      </c>
      <c r="T60" s="358"/>
      <c r="U60" s="358"/>
      <c r="V60" s="56">
        <f>'28. Entry- en exittarieven '!V143</f>
        <v>0.76350205999999998</v>
      </c>
      <c r="W60" s="56">
        <f>'28. Entry- en exittarieven '!W143</f>
        <v>3.0690229999999999E-2</v>
      </c>
      <c r="X60" s="269">
        <f>'28. Entry- en exittarieven '!X143</f>
        <v>1.2787599999999999E-3</v>
      </c>
    </row>
    <row r="61" spans="2:24">
      <c r="B61" s="3" t="s">
        <v>170</v>
      </c>
      <c r="H61" s="353"/>
      <c r="I61" s="354"/>
      <c r="J61" s="86">
        <f>'28. Entry- en exittarieven '!J144</f>
        <v>0.99421932000000002</v>
      </c>
      <c r="K61" s="86">
        <f>'28. Entry- en exittarieven '!K144</f>
        <v>3.86781E-2</v>
      </c>
      <c r="L61" s="269">
        <f>'28. Entry- en exittarieven '!L144</f>
        <v>1.61159E-3</v>
      </c>
      <c r="N61" s="355"/>
      <c r="O61" s="356"/>
      <c r="P61" s="232">
        <f>'28. Entry- en exittarieven '!P144</f>
        <v>0.24855483</v>
      </c>
      <c r="Q61" s="232">
        <f>'28. Entry- en exittarieven '!Q144</f>
        <v>9.6695199999999992E-3</v>
      </c>
      <c r="R61" s="330">
        <f>'28. Entry- en exittarieven '!R144</f>
        <v>4.0289999999999998E-4</v>
      </c>
      <c r="T61" s="358"/>
      <c r="U61" s="358"/>
      <c r="V61" s="56">
        <f>'28. Entry- en exittarieven '!V144</f>
        <v>0.99421932000000002</v>
      </c>
      <c r="W61" s="56">
        <f>'28. Entry- en exittarieven '!W144</f>
        <v>3.86781E-2</v>
      </c>
      <c r="X61" s="269">
        <f>'28. Entry- en exittarieven '!X144</f>
        <v>1.61159E-3</v>
      </c>
    </row>
    <row r="62" spans="2:24">
      <c r="L62" s="255"/>
      <c r="R62" s="279"/>
    </row>
    <row r="63" spans="2:24" s="33" customFormat="1" ht="26">
      <c r="B63" s="192" t="s">
        <v>175</v>
      </c>
      <c r="H63" s="33" t="s">
        <v>145</v>
      </c>
      <c r="L63" s="256"/>
      <c r="N63" s="33" t="s">
        <v>146</v>
      </c>
      <c r="R63" s="276"/>
    </row>
    <row r="64" spans="2:24" s="36" customFormat="1" ht="13">
      <c r="B64" s="36" t="s">
        <v>176</v>
      </c>
      <c r="H64" s="36" t="s">
        <v>149</v>
      </c>
      <c r="I64" s="36" t="s">
        <v>150</v>
      </c>
      <c r="J64" s="36" t="s">
        <v>151</v>
      </c>
      <c r="K64" s="36" t="s">
        <v>152</v>
      </c>
      <c r="L64" s="257" t="s">
        <v>153</v>
      </c>
      <c r="N64" s="36" t="s">
        <v>149</v>
      </c>
      <c r="O64" s="36" t="s">
        <v>150</v>
      </c>
      <c r="P64" s="36" t="s">
        <v>151</v>
      </c>
      <c r="Q64" s="36" t="s">
        <v>152</v>
      </c>
      <c r="R64" s="277" t="s">
        <v>153</v>
      </c>
    </row>
    <row r="65" spans="2:18" s="34" customFormat="1" ht="13">
      <c r="H65" s="34" t="s">
        <v>154</v>
      </c>
      <c r="I65" s="34" t="s">
        <v>155</v>
      </c>
      <c r="J65" s="34" t="s">
        <v>156</v>
      </c>
      <c r="K65" s="34" t="s">
        <v>157</v>
      </c>
      <c r="L65" s="258" t="s">
        <v>158</v>
      </c>
      <c r="N65" s="34" t="s">
        <v>154</v>
      </c>
      <c r="O65" s="34" t="s">
        <v>155</v>
      </c>
      <c r="P65" s="34" t="s">
        <v>156</v>
      </c>
      <c r="Q65" s="34" t="s">
        <v>157</v>
      </c>
      <c r="R65" s="278" t="s">
        <v>158</v>
      </c>
    </row>
    <row r="66" spans="2:18">
      <c r="L66" s="255"/>
      <c r="R66" s="279"/>
    </row>
    <row r="67" spans="2:18">
      <c r="B67" s="3" t="s">
        <v>159</v>
      </c>
      <c r="H67" s="353">
        <f>'28. Entry- en exittarieven '!H150</f>
        <v>5.1003528999999999</v>
      </c>
      <c r="I67" s="354">
        <f>'28. Entry- en exittarieven '!I150</f>
        <v>2.32974339</v>
      </c>
      <c r="J67" s="86">
        <f>'28. Entry- en exittarieven '!J150</f>
        <v>1.1143572399999999</v>
      </c>
      <c r="K67" s="86">
        <f>'28. Entry- en exittarieven '!K150</f>
        <v>4.3356489999999998E-2</v>
      </c>
      <c r="L67" s="269">
        <f>'28. Entry- en exittarieven '!L150</f>
        <v>1.80653E-3</v>
      </c>
      <c r="N67" s="353">
        <f>'28. Entry- en exittarieven '!N150</f>
        <v>1.27508822</v>
      </c>
      <c r="O67" s="354">
        <f>'28. Entry- en exittarieven '!O150</f>
        <v>0.58243584999999998</v>
      </c>
      <c r="P67" s="86">
        <f>'28. Entry- en exittarieven '!P150</f>
        <v>0.27858930999999998</v>
      </c>
      <c r="Q67" s="86">
        <f>'28. Entry- en exittarieven '!Q150</f>
        <v>1.0839120000000001E-2</v>
      </c>
      <c r="R67" s="269">
        <f>'28. Entry- en exittarieven '!R150</f>
        <v>4.5164000000000001E-4</v>
      </c>
    </row>
    <row r="68" spans="2:18">
      <c r="B68" s="3" t="s">
        <v>160</v>
      </c>
      <c r="H68" s="353"/>
      <c r="I68" s="354"/>
      <c r="J68" s="86">
        <f>'28. Entry- en exittarieven '!J151</f>
        <v>0.89970225000000004</v>
      </c>
      <c r="K68" s="86">
        <f>'28. Entry- en exittarieven '!K151</f>
        <v>3.8759189999999999E-2</v>
      </c>
      <c r="L68" s="269">
        <f>'28. Entry- en exittarieven '!L151</f>
        <v>1.6149699999999999E-3</v>
      </c>
      <c r="N68" s="353"/>
      <c r="O68" s="354"/>
      <c r="P68" s="86">
        <f>'28. Entry- en exittarieven '!P151</f>
        <v>0.22492556</v>
      </c>
      <c r="Q68" s="86">
        <f>'28. Entry- en exittarieven '!Q151</f>
        <v>9.6898000000000001E-3</v>
      </c>
      <c r="R68" s="269">
        <f>'28. Entry- en exittarieven '!R151</f>
        <v>4.0374999999999997E-4</v>
      </c>
    </row>
    <row r="69" spans="2:18">
      <c r="B69" s="3" t="s">
        <v>161</v>
      </c>
      <c r="H69" s="353"/>
      <c r="I69" s="354"/>
      <c r="J69" s="86">
        <f>'28. Entry- en exittarieven '!J152</f>
        <v>0.77907541000000002</v>
      </c>
      <c r="K69" s="86">
        <f>'28. Entry- en exittarieven '!K152</f>
        <v>3.0298189999999999E-2</v>
      </c>
      <c r="L69" s="269">
        <f>'28. Entry- en exittarieven '!L152</f>
        <v>1.2624299999999999E-3</v>
      </c>
      <c r="N69" s="353"/>
      <c r="O69" s="354"/>
      <c r="P69" s="86">
        <f>'28. Entry- en exittarieven '!P152</f>
        <v>0.19476884999999999</v>
      </c>
      <c r="Q69" s="86">
        <f>'28. Entry- en exittarieven '!Q152</f>
        <v>7.5745500000000002E-3</v>
      </c>
      <c r="R69" s="269">
        <f>'28. Entry- en exittarieven '!R152</f>
        <v>3.1560999999999997E-4</v>
      </c>
    </row>
    <row r="70" spans="2:18">
      <c r="B70" s="3" t="s">
        <v>162</v>
      </c>
      <c r="H70" s="353"/>
      <c r="I70" s="354">
        <f>'28. Entry- en exittarieven '!I153</f>
        <v>1.2461629400000001</v>
      </c>
      <c r="J70" s="86">
        <f>'28. Entry- en exittarieven '!J153</f>
        <v>0.56215669999999995</v>
      </c>
      <c r="K70" s="86">
        <f>'28. Entry- en exittarieven '!K153</f>
        <v>2.2595259999999999E-2</v>
      </c>
      <c r="L70" s="269">
        <f>'28. Entry- en exittarieven '!L153</f>
        <v>9.4147000000000002E-4</v>
      </c>
      <c r="N70" s="353"/>
      <c r="O70" s="354">
        <f>'28. Entry- en exittarieven '!O153</f>
        <v>0.31154072999999999</v>
      </c>
      <c r="P70" s="86">
        <f>'28. Entry- en exittarieven '!P153</f>
        <v>0.14053918000000001</v>
      </c>
      <c r="Q70" s="86">
        <f>'28. Entry- en exittarieven '!Q153</f>
        <v>5.6488199999999997E-3</v>
      </c>
      <c r="R70" s="269">
        <f>'28. Entry- en exittarieven '!R153</f>
        <v>2.3536999999999999E-4</v>
      </c>
    </row>
    <row r="71" spans="2:18">
      <c r="B71" s="3" t="s">
        <v>163</v>
      </c>
      <c r="H71" s="353"/>
      <c r="I71" s="354"/>
      <c r="J71" s="86">
        <f>'28. Entry- en exittarieven '!J154</f>
        <v>0.51461862000000003</v>
      </c>
      <c r="K71" s="86">
        <f>'28. Entry- en exittarieven '!K154</f>
        <v>2.0027619999999999E-2</v>
      </c>
      <c r="L71" s="269">
        <f>'28. Entry- en exittarieven '!L154</f>
        <v>8.3449000000000001E-4</v>
      </c>
      <c r="N71" s="353"/>
      <c r="O71" s="354"/>
      <c r="P71" s="86">
        <f>'28. Entry- en exittarieven '!P154</f>
        <v>0.12865466</v>
      </c>
      <c r="Q71" s="86">
        <f>'28. Entry- en exittarieven '!Q154</f>
        <v>5.0068999999999999E-3</v>
      </c>
      <c r="R71" s="269">
        <f>'28. Entry- en exittarieven '!R154</f>
        <v>2.0862999999999999E-4</v>
      </c>
    </row>
    <row r="72" spans="2:18">
      <c r="B72" s="3" t="s">
        <v>164</v>
      </c>
      <c r="H72" s="353"/>
      <c r="I72" s="354"/>
      <c r="J72" s="86">
        <f>'28. Entry- en exittarieven '!J155</f>
        <v>0.41815907000000002</v>
      </c>
      <c r="K72" s="86">
        <f>'28. Entry- en exittarieven '!K155</f>
        <v>1.6824180000000001E-2</v>
      </c>
      <c r="L72" s="269">
        <f>'28. Entry- en exittarieven '!L155</f>
        <v>7.0101000000000007E-4</v>
      </c>
      <c r="N72" s="353"/>
      <c r="O72" s="354"/>
      <c r="P72" s="86">
        <f>'28. Entry- en exittarieven '!P155</f>
        <v>0.10453977</v>
      </c>
      <c r="Q72" s="86">
        <f>'28. Entry- en exittarieven '!Q155</f>
        <v>4.2060400000000003E-3</v>
      </c>
      <c r="R72" s="269">
        <f>'28. Entry- en exittarieven '!R155</f>
        <v>1.7526E-4</v>
      </c>
    </row>
    <row r="73" spans="2:18">
      <c r="B73" s="3" t="s">
        <v>165</v>
      </c>
      <c r="H73" s="353"/>
      <c r="I73" s="354">
        <f>'28. Entry- en exittarieven '!I156</f>
        <v>1.0107781600000001</v>
      </c>
      <c r="J73" s="86">
        <f>'28. Entry- en exittarieven '!J156</f>
        <v>0.40805617999999999</v>
      </c>
      <c r="K73" s="86">
        <f>'28. Entry- en exittarieven '!K156</f>
        <v>1.5870479999999999E-2</v>
      </c>
      <c r="L73" s="269">
        <f>'28. Entry- en exittarieven '!L156</f>
        <v>6.6128000000000009E-4</v>
      </c>
      <c r="N73" s="353"/>
      <c r="O73" s="354">
        <f>'28. Entry- en exittarieven '!O156</f>
        <v>0.25269454000000002</v>
      </c>
      <c r="P73" s="86">
        <f>'28. Entry- en exittarieven '!P156</f>
        <v>0.10201404</v>
      </c>
      <c r="Q73" s="86">
        <f>'28. Entry- en exittarieven '!Q156</f>
        <v>3.9676199999999998E-3</v>
      </c>
      <c r="R73" s="269">
        <f>'28. Entry- en exittarieven '!R156</f>
        <v>1.6532E-4</v>
      </c>
    </row>
    <row r="74" spans="2:18">
      <c r="B74" s="3" t="s">
        <v>166</v>
      </c>
      <c r="H74" s="353"/>
      <c r="I74" s="354"/>
      <c r="J74" s="86">
        <f>'28. Entry- en exittarieven '!J157</f>
        <v>0.38791328000000003</v>
      </c>
      <c r="K74" s="86">
        <f>'28. Entry- en exittarieven '!K157</f>
        <v>1.511242E-2</v>
      </c>
      <c r="L74" s="269">
        <f>'28. Entry- en exittarieven '!L157</f>
        <v>6.2969000000000002E-4</v>
      </c>
      <c r="N74" s="353"/>
      <c r="O74" s="354"/>
      <c r="P74" s="86">
        <f>'28. Entry- en exittarieven '!P157</f>
        <v>9.6978320000000007E-2</v>
      </c>
      <c r="Q74" s="86">
        <f>'28. Entry- en exittarieven '!Q157</f>
        <v>3.7780999999999999E-3</v>
      </c>
      <c r="R74" s="269">
        <f>'28. Entry- en exittarieven '!R157</f>
        <v>1.5742999999999999E-4</v>
      </c>
    </row>
    <row r="75" spans="2:18">
      <c r="B75" s="3" t="s">
        <v>167</v>
      </c>
      <c r="H75" s="353"/>
      <c r="I75" s="354"/>
      <c r="J75" s="86">
        <f>'28. Entry- en exittarieven '!J158</f>
        <v>0.41690145000000001</v>
      </c>
      <c r="K75" s="86">
        <f>'28. Entry- en exittarieven '!K158</f>
        <v>1.6775269999999998E-2</v>
      </c>
      <c r="L75" s="269">
        <f>'28. Entry- en exittarieven '!L158</f>
        <v>6.9897000000000004E-4</v>
      </c>
      <c r="N75" s="353"/>
      <c r="O75" s="354"/>
      <c r="P75" s="86">
        <f>'28. Entry- en exittarieven '!P158</f>
        <v>0.10422536</v>
      </c>
      <c r="Q75" s="86">
        <f>'28. Entry- en exittarieven '!Q158</f>
        <v>4.19382E-3</v>
      </c>
      <c r="R75" s="269">
        <f>'28. Entry- en exittarieven '!R158</f>
        <v>1.7474999999999999E-4</v>
      </c>
    </row>
    <row r="76" spans="2:18">
      <c r="B76" s="3" t="s">
        <v>168</v>
      </c>
      <c r="H76" s="353"/>
      <c r="I76" s="354">
        <f>'28. Entry- en exittarieven '!I159</f>
        <v>1.77569135</v>
      </c>
      <c r="J76" s="86">
        <f>'28. Entry- en exittarieven '!J159</f>
        <v>0.49447572000000001</v>
      </c>
      <c r="K76" s="86">
        <f>'28. Entry- en exittarieven '!K159</f>
        <v>1.9245100000000001E-2</v>
      </c>
      <c r="L76" s="269">
        <f>'28. Entry- en exittarieven '!L159</f>
        <v>8.0188000000000004E-4</v>
      </c>
      <c r="N76" s="353"/>
      <c r="O76" s="354">
        <f>'28. Entry- en exittarieven '!O159</f>
        <v>0.44392283999999999</v>
      </c>
      <c r="P76" s="86">
        <f>'28. Entry- en exittarieven '!P159</f>
        <v>0.12361893</v>
      </c>
      <c r="Q76" s="86">
        <f>'28. Entry- en exittarieven '!Q159</f>
        <v>4.8112700000000003E-3</v>
      </c>
      <c r="R76" s="269">
        <f>'28. Entry- en exittarieven '!R159</f>
        <v>2.0046999999999998E-4</v>
      </c>
    </row>
    <row r="77" spans="2:18">
      <c r="B77" s="3" t="s">
        <v>169</v>
      </c>
      <c r="H77" s="353"/>
      <c r="I77" s="354"/>
      <c r="J77" s="86">
        <f>'28. Entry- en exittarieven '!J160</f>
        <v>0.71055601000000002</v>
      </c>
      <c r="K77" s="86">
        <f>'28. Entry- en exittarieven '!K160</f>
        <v>2.8561980000000001E-2</v>
      </c>
      <c r="L77" s="269">
        <f>'28. Entry- en exittarieven '!L160</f>
        <v>1.19009E-3</v>
      </c>
      <c r="N77" s="353"/>
      <c r="O77" s="354"/>
      <c r="P77" s="86">
        <f>'28. Entry- en exittarieven '!P160</f>
        <v>0.17763899999999999</v>
      </c>
      <c r="Q77" s="86">
        <f>'28. Entry- en exittarieven '!Q160</f>
        <v>7.1404900000000002E-3</v>
      </c>
      <c r="R77" s="269">
        <f>'28. Entry- en exittarieven '!R160</f>
        <v>2.9753000000000001E-4</v>
      </c>
    </row>
    <row r="78" spans="2:18">
      <c r="B78" s="3" t="s">
        <v>170</v>
      </c>
      <c r="H78" s="353"/>
      <c r="I78" s="354"/>
      <c r="J78" s="86">
        <f>'28. Entry- en exittarieven '!J161</f>
        <v>0.92527387999999999</v>
      </c>
      <c r="K78" s="86">
        <f>'28. Entry- en exittarieven '!K161</f>
        <v>3.5995920000000001E-2</v>
      </c>
      <c r="L78" s="269">
        <f>'28. Entry- en exittarieven '!L161</f>
        <v>1.49983E-3</v>
      </c>
      <c r="N78" s="353"/>
      <c r="O78" s="354"/>
      <c r="P78" s="86">
        <f>'28. Entry- en exittarieven '!P161</f>
        <v>0.23131847</v>
      </c>
      <c r="Q78" s="86">
        <f>'28. Entry- en exittarieven '!Q161</f>
        <v>8.9989800000000002E-3</v>
      </c>
      <c r="R78" s="269">
        <f>'28. Entry- en exittarieven '!R161</f>
        <v>3.7495999999999997E-4</v>
      </c>
    </row>
    <row r="79" spans="2:18">
      <c r="L79" s="255"/>
      <c r="R79" s="279"/>
    </row>
    <row r="80" spans="2:18" s="33" customFormat="1" ht="13">
      <c r="B80" s="33" t="s">
        <v>177</v>
      </c>
      <c r="H80" s="33" t="s">
        <v>178</v>
      </c>
      <c r="L80" s="256"/>
      <c r="N80" s="33" t="s">
        <v>179</v>
      </c>
      <c r="R80" s="276"/>
    </row>
    <row r="81" spans="2:18" s="36" customFormat="1" ht="13">
      <c r="H81" s="36" t="s">
        <v>149</v>
      </c>
      <c r="I81" s="36" t="s">
        <v>150</v>
      </c>
      <c r="J81" s="36" t="s">
        <v>151</v>
      </c>
      <c r="K81" s="36" t="s">
        <v>152</v>
      </c>
      <c r="L81" s="257" t="s">
        <v>153</v>
      </c>
      <c r="N81" s="36" t="s">
        <v>149</v>
      </c>
      <c r="O81" s="36" t="s">
        <v>150</v>
      </c>
      <c r="P81" s="36" t="s">
        <v>151</v>
      </c>
      <c r="Q81" s="36" t="s">
        <v>152</v>
      </c>
      <c r="R81" s="277" t="s">
        <v>153</v>
      </c>
    </row>
    <row r="82" spans="2:18" s="34" customFormat="1" ht="13">
      <c r="H82" s="34" t="s">
        <v>154</v>
      </c>
      <c r="I82" s="34" t="s">
        <v>155</v>
      </c>
      <c r="J82" s="34" t="s">
        <v>156</v>
      </c>
      <c r="K82" s="34" t="s">
        <v>157</v>
      </c>
      <c r="L82" s="258" t="s">
        <v>158</v>
      </c>
      <c r="N82" s="34" t="s">
        <v>154</v>
      </c>
      <c r="O82" s="34" t="s">
        <v>155</v>
      </c>
      <c r="P82" s="34" t="s">
        <v>156</v>
      </c>
      <c r="Q82" s="34" t="s">
        <v>157</v>
      </c>
      <c r="R82" s="278" t="s">
        <v>158</v>
      </c>
    </row>
    <row r="83" spans="2:18">
      <c r="L83" s="255"/>
      <c r="R83" s="279"/>
    </row>
    <row r="84" spans="2:18">
      <c r="B84" s="3" t="s">
        <v>159</v>
      </c>
      <c r="H84" s="353">
        <f>'28. Entry- en exittarieven '!H167</f>
        <v>0.63490855999999996</v>
      </c>
      <c r="I84" s="357">
        <f>'28. Entry- en exittarieven '!I167</f>
        <v>0.29001405000000002</v>
      </c>
      <c r="J84" s="231">
        <f>'28. Entry- en exittarieven '!J167</f>
        <v>0.13871881999999999</v>
      </c>
      <c r="K84" s="233"/>
      <c r="L84" s="270"/>
      <c r="M84" s="234"/>
      <c r="N84" s="353">
        <f>'28. Entry- en exittarieven '!N167</f>
        <v>0.40536972999999998</v>
      </c>
      <c r="O84" s="357">
        <f>'28. Entry- en exittarieven '!O167</f>
        <v>0.18516511999999999</v>
      </c>
      <c r="P84" s="231">
        <f>'28. Entry- en exittarieven '!P167</f>
        <v>8.8567729999999997E-2</v>
      </c>
      <c r="Q84" s="233"/>
      <c r="R84" s="280"/>
    </row>
    <row r="85" spans="2:18">
      <c r="B85" s="3" t="s">
        <v>160</v>
      </c>
      <c r="H85" s="353"/>
      <c r="I85" s="357"/>
      <c r="J85" s="231">
        <f>'28. Entry- en exittarieven '!J168</f>
        <v>0.11199787</v>
      </c>
      <c r="K85" s="233"/>
      <c r="L85" s="270"/>
      <c r="M85" s="234"/>
      <c r="N85" s="353"/>
      <c r="O85" s="357"/>
      <c r="P85" s="231">
        <f>'28. Entry- en exittarieven '!P168</f>
        <v>7.1507219999999996E-2</v>
      </c>
      <c r="Q85" s="233"/>
      <c r="R85" s="280"/>
    </row>
    <row r="86" spans="2:18">
      <c r="B86" s="3" t="s">
        <v>161</v>
      </c>
      <c r="H86" s="353"/>
      <c r="I86" s="357"/>
      <c r="J86" s="231">
        <f>'28. Entry- en exittarieven '!J169</f>
        <v>9.6981849999999994E-2</v>
      </c>
      <c r="K86" s="233"/>
      <c r="L86" s="270"/>
      <c r="M86" s="234"/>
      <c r="N86" s="353"/>
      <c r="O86" s="357"/>
      <c r="P86" s="231">
        <f>'28. Entry- en exittarieven '!P169</f>
        <v>6.1919950000000001E-2</v>
      </c>
      <c r="Q86" s="233"/>
      <c r="R86" s="280"/>
    </row>
    <row r="87" spans="2:18">
      <c r="B87" s="3" t="s">
        <v>162</v>
      </c>
      <c r="H87" s="353"/>
      <c r="I87" s="357">
        <f>'28. Entry- en exittarieven '!I170</f>
        <v>0.15512643000000001</v>
      </c>
      <c r="J87" s="231">
        <f>'28. Entry- en exittarieven '!J170</f>
        <v>6.9979100000000002E-2</v>
      </c>
      <c r="K87" s="233"/>
      <c r="L87" s="270"/>
      <c r="M87" s="234"/>
      <c r="N87" s="353"/>
      <c r="O87" s="357">
        <f>'28. Entry- en exittarieven '!O170</f>
        <v>9.9043489999999998E-2</v>
      </c>
      <c r="P87" s="231">
        <f>'28. Entry- en exittarieven '!P170</f>
        <v>4.467952E-2</v>
      </c>
      <c r="Q87" s="233"/>
      <c r="R87" s="280"/>
    </row>
    <row r="88" spans="2:18">
      <c r="B88" s="3" t="s">
        <v>163</v>
      </c>
      <c r="H88" s="353"/>
      <c r="I88" s="357"/>
      <c r="J88" s="231">
        <f>'28. Entry- en exittarieven '!J171</f>
        <v>6.4061400000000004E-2</v>
      </c>
      <c r="K88" s="233"/>
      <c r="L88" s="270"/>
      <c r="M88" s="234"/>
      <c r="N88" s="353"/>
      <c r="O88" s="357"/>
      <c r="P88" s="231">
        <f>'28. Entry- en exittarieven '!P171</f>
        <v>4.090125E-2</v>
      </c>
      <c r="Q88" s="233"/>
      <c r="R88" s="280"/>
    </row>
    <row r="89" spans="2:18">
      <c r="B89" s="3" t="s">
        <v>164</v>
      </c>
      <c r="H89" s="353"/>
      <c r="I89" s="357"/>
      <c r="J89" s="231">
        <f>'28. Entry- en exittarieven '!J172</f>
        <v>5.2053799999999997E-2</v>
      </c>
      <c r="K89" s="233"/>
      <c r="L89" s="270"/>
      <c r="M89" s="234"/>
      <c r="N89" s="353"/>
      <c r="O89" s="357"/>
      <c r="P89" s="231">
        <f>'28. Entry- en exittarieven '!P172</f>
        <v>3.3234760000000002E-2</v>
      </c>
      <c r="Q89" s="233"/>
      <c r="R89" s="280"/>
    </row>
    <row r="90" spans="2:18">
      <c r="B90" s="3" t="s">
        <v>165</v>
      </c>
      <c r="H90" s="353"/>
      <c r="I90" s="357">
        <f>'28. Entry- en exittarieven '!I173</f>
        <v>0.12582496000000001</v>
      </c>
      <c r="J90" s="231">
        <f>'28. Entry- en exittarieven '!J173</f>
        <v>5.079616E-2</v>
      </c>
      <c r="K90" s="233"/>
      <c r="L90" s="270"/>
      <c r="M90" s="234"/>
      <c r="N90" s="353"/>
      <c r="O90" s="357">
        <f>'28. Entry- en exittarieven '!O173</f>
        <v>8.0335400000000001E-2</v>
      </c>
      <c r="P90" s="231">
        <f>'28. Entry- en exittarieven '!P173</f>
        <v>3.2431799999999997E-2</v>
      </c>
      <c r="Q90" s="233"/>
      <c r="R90" s="280"/>
    </row>
    <row r="91" spans="2:18">
      <c r="B91" s="3" t="s">
        <v>166</v>
      </c>
      <c r="H91" s="353"/>
      <c r="I91" s="357"/>
      <c r="J91" s="231">
        <f>'28. Entry- en exittarieven '!J174</f>
        <v>4.8288709999999999E-2</v>
      </c>
      <c r="K91" s="233"/>
      <c r="L91" s="270"/>
      <c r="M91" s="234"/>
      <c r="N91" s="353"/>
      <c r="O91" s="357"/>
      <c r="P91" s="231">
        <f>'28. Entry- en exittarieven '!P174</f>
        <v>3.083087E-2</v>
      </c>
      <c r="Q91" s="233"/>
      <c r="R91" s="280"/>
    </row>
    <row r="92" spans="2:18">
      <c r="B92" s="3" t="s">
        <v>167</v>
      </c>
      <c r="H92" s="353"/>
      <c r="I92" s="357"/>
      <c r="J92" s="231">
        <f>'28. Entry- en exittarieven '!J175</f>
        <v>5.1897249999999999E-2</v>
      </c>
      <c r="K92" s="233"/>
      <c r="L92" s="270"/>
      <c r="M92" s="234"/>
      <c r="N92" s="353"/>
      <c r="O92" s="357"/>
      <c r="P92" s="231">
        <f>'28. Entry- en exittarieven '!P175</f>
        <v>3.3134810000000001E-2</v>
      </c>
      <c r="Q92" s="233"/>
      <c r="R92" s="280"/>
    </row>
    <row r="93" spans="2:18">
      <c r="B93" s="3" t="s">
        <v>168</v>
      </c>
      <c r="H93" s="353"/>
      <c r="I93" s="357">
        <f>'28. Entry- en exittarieven '!I176</f>
        <v>0.22104384999999999</v>
      </c>
      <c r="J93" s="231">
        <f>'28. Entry- en exittarieven '!J176</f>
        <v>6.1553950000000003E-2</v>
      </c>
      <c r="K93" s="233"/>
      <c r="L93" s="270"/>
      <c r="M93" s="234"/>
      <c r="N93" s="353"/>
      <c r="O93" s="357">
        <f>'28. Entry- en exittarieven '!O176</f>
        <v>0.14112975</v>
      </c>
      <c r="P93" s="231">
        <f>'28. Entry- en exittarieven '!P176</f>
        <v>3.930032E-2</v>
      </c>
      <c r="Q93" s="233"/>
      <c r="R93" s="280"/>
    </row>
    <row r="94" spans="2:18">
      <c r="B94" s="3" t="s">
        <v>169</v>
      </c>
      <c r="H94" s="353"/>
      <c r="I94" s="357"/>
      <c r="J94" s="231">
        <f>'28. Entry- en exittarieven '!J177</f>
        <v>8.8452329999999996E-2</v>
      </c>
      <c r="K94" s="233"/>
      <c r="L94" s="270"/>
      <c r="M94" s="234"/>
      <c r="N94" s="353"/>
      <c r="O94" s="357"/>
      <c r="P94" s="231">
        <f>'28. Entry- en exittarieven '!P177</f>
        <v>5.6474110000000001E-2</v>
      </c>
      <c r="Q94" s="233"/>
      <c r="R94" s="280"/>
    </row>
    <row r="95" spans="2:18">
      <c r="B95" s="3" t="s">
        <v>170</v>
      </c>
      <c r="H95" s="353"/>
      <c r="I95" s="357"/>
      <c r="J95" s="231">
        <f>'28. Entry- en exittarieven '!J178</f>
        <v>0.11518111</v>
      </c>
      <c r="K95" s="233"/>
      <c r="L95" s="270"/>
      <c r="M95" s="234"/>
      <c r="N95" s="353"/>
      <c r="O95" s="357"/>
      <c r="P95" s="231">
        <f>'28. Entry- en exittarieven '!P178</f>
        <v>7.353962E-2</v>
      </c>
      <c r="Q95" s="233"/>
      <c r="R95" s="280"/>
    </row>
    <row r="96" spans="2:18">
      <c r="L96" s="255"/>
      <c r="R96" s="279"/>
    </row>
    <row r="97" spans="2:18" s="33" customFormat="1" ht="13">
      <c r="B97" s="33" t="s">
        <v>177</v>
      </c>
      <c r="H97" s="33" t="s">
        <v>180</v>
      </c>
      <c r="L97" s="256"/>
      <c r="N97" s="33" t="s">
        <v>181</v>
      </c>
      <c r="R97" s="276"/>
    </row>
    <row r="98" spans="2:18" s="36" customFormat="1" ht="13">
      <c r="H98" s="36" t="s">
        <v>149</v>
      </c>
      <c r="I98" s="36" t="s">
        <v>150</v>
      </c>
      <c r="J98" s="36" t="s">
        <v>151</v>
      </c>
      <c r="K98" s="36" t="s">
        <v>152</v>
      </c>
      <c r="L98" s="257" t="s">
        <v>153</v>
      </c>
      <c r="N98" s="36" t="s">
        <v>149</v>
      </c>
      <c r="O98" s="36" t="s">
        <v>150</v>
      </c>
      <c r="P98" s="36" t="s">
        <v>151</v>
      </c>
      <c r="Q98" s="36" t="s">
        <v>152</v>
      </c>
      <c r="R98" s="277" t="s">
        <v>153</v>
      </c>
    </row>
    <row r="99" spans="2:18" s="34" customFormat="1" ht="13">
      <c r="H99" s="34" t="s">
        <v>154</v>
      </c>
      <c r="I99" s="34" t="s">
        <v>155</v>
      </c>
      <c r="J99" s="34" t="s">
        <v>156</v>
      </c>
      <c r="K99" s="34" t="s">
        <v>157</v>
      </c>
      <c r="L99" s="258" t="s">
        <v>158</v>
      </c>
      <c r="N99" s="34" t="s">
        <v>154</v>
      </c>
      <c r="O99" s="34" t="s">
        <v>155</v>
      </c>
      <c r="P99" s="34" t="s">
        <v>156</v>
      </c>
      <c r="Q99" s="34" t="s">
        <v>157</v>
      </c>
      <c r="R99" s="278" t="s">
        <v>158</v>
      </c>
    </row>
    <row r="100" spans="2:18">
      <c r="L100" s="255"/>
      <c r="R100" s="279"/>
    </row>
    <row r="101" spans="2:18">
      <c r="B101" s="3" t="s">
        <v>159</v>
      </c>
      <c r="H101" s="353">
        <f>'28. Entry- en exittarieven '!H184</f>
        <v>0.38826597000000002</v>
      </c>
      <c r="I101" s="357">
        <f>'28. Entry- en exittarieven '!I184</f>
        <v>0.17735244999999999</v>
      </c>
      <c r="J101" s="231">
        <f>'28. Entry- en exittarieven '!J184</f>
        <v>8.4830799999999998E-2</v>
      </c>
      <c r="K101" s="233"/>
      <c r="L101" s="270"/>
      <c r="M101" s="234"/>
      <c r="N101" s="353">
        <f>'28. Entry- en exittarieven '!N184</f>
        <v>0.15872713999999999</v>
      </c>
      <c r="O101" s="357">
        <f>'28. Entry- en exittarieven '!O184</f>
        <v>7.2503509999999993E-2</v>
      </c>
      <c r="P101" s="231">
        <f>'28. Entry- en exittarieven '!P184</f>
        <v>3.4679710000000002E-2</v>
      </c>
      <c r="Q101" s="233"/>
      <c r="R101" s="280"/>
    </row>
    <row r="102" spans="2:18">
      <c r="B102" s="3" t="s">
        <v>160</v>
      </c>
      <c r="H102" s="353"/>
      <c r="I102" s="357"/>
      <c r="J102" s="231">
        <f>'28. Entry- en exittarieven '!J185</f>
        <v>6.8490120000000002E-2</v>
      </c>
      <c r="K102" s="233"/>
      <c r="L102" s="270"/>
      <c r="M102" s="234"/>
      <c r="N102" s="353"/>
      <c r="O102" s="357"/>
      <c r="P102" s="231">
        <f>'28. Entry- en exittarieven '!P185</f>
        <v>2.7999469999999999E-2</v>
      </c>
      <c r="Q102" s="233"/>
      <c r="R102" s="280"/>
    </row>
    <row r="103" spans="2:18">
      <c r="B103" s="3" t="s">
        <v>161</v>
      </c>
      <c r="H103" s="353"/>
      <c r="I103" s="357"/>
      <c r="J103" s="231">
        <f>'28. Entry- en exittarieven '!J186</f>
        <v>5.9307360000000003E-2</v>
      </c>
      <c r="K103" s="233"/>
      <c r="L103" s="270"/>
      <c r="M103" s="234"/>
      <c r="N103" s="353"/>
      <c r="O103" s="357"/>
      <c r="P103" s="231">
        <f>'28. Entry- en exittarieven '!P186</f>
        <v>2.424546E-2</v>
      </c>
      <c r="Q103" s="233"/>
      <c r="R103" s="280"/>
    </row>
    <row r="104" spans="2:18">
      <c r="B104" s="3" t="s">
        <v>162</v>
      </c>
      <c r="H104" s="353"/>
      <c r="I104" s="357">
        <f>'28. Entry- en exittarieven '!I187</f>
        <v>9.4864550000000006E-2</v>
      </c>
      <c r="J104" s="231">
        <f>'28. Entry- en exittarieven '!J187</f>
        <v>4.2794359999999997E-2</v>
      </c>
      <c r="K104" s="233"/>
      <c r="L104" s="270"/>
      <c r="M104" s="234"/>
      <c r="N104" s="353"/>
      <c r="O104" s="357">
        <f>'28. Entry- en exittarieven '!O187</f>
        <v>3.8781610000000001E-2</v>
      </c>
      <c r="P104" s="231">
        <f>'28. Entry- en exittarieven '!P187</f>
        <v>1.749477E-2</v>
      </c>
      <c r="Q104" s="233"/>
      <c r="R104" s="280"/>
    </row>
    <row r="105" spans="2:18">
      <c r="B105" s="3" t="s">
        <v>163</v>
      </c>
      <c r="H105" s="353"/>
      <c r="I105" s="357"/>
      <c r="J105" s="231">
        <f>'28. Entry- en exittarieven '!J188</f>
        <v>3.9175500000000002E-2</v>
      </c>
      <c r="K105" s="233"/>
      <c r="L105" s="270"/>
      <c r="M105" s="234"/>
      <c r="N105" s="353"/>
      <c r="O105" s="357"/>
      <c r="P105" s="231">
        <f>'28. Entry- en exittarieven '!P188</f>
        <v>1.6015350000000001E-2</v>
      </c>
      <c r="Q105" s="233"/>
      <c r="R105" s="280"/>
    </row>
    <row r="106" spans="2:18">
      <c r="B106" s="3" t="s">
        <v>164</v>
      </c>
      <c r="H106" s="353"/>
      <c r="I106" s="357"/>
      <c r="J106" s="231">
        <f>'28. Entry- en exittarieven '!J189</f>
        <v>3.1832489999999998E-2</v>
      </c>
      <c r="K106" s="233"/>
      <c r="L106" s="270"/>
      <c r="M106" s="234"/>
      <c r="N106" s="353"/>
      <c r="O106" s="357"/>
      <c r="P106" s="231">
        <f>'28. Entry- en exittarieven '!P189</f>
        <v>1.3013449999999999E-2</v>
      </c>
      <c r="Q106" s="233"/>
      <c r="R106" s="280"/>
    </row>
    <row r="107" spans="2:18">
      <c r="B107" s="3" t="s">
        <v>165</v>
      </c>
      <c r="H107" s="353"/>
      <c r="I107" s="357">
        <f>'28. Entry- en exittarieven '!I190</f>
        <v>7.6945810000000003E-2</v>
      </c>
      <c r="J107" s="231">
        <f>'28. Entry- en exittarieven '!J190</f>
        <v>3.106341E-2</v>
      </c>
      <c r="K107" s="233"/>
      <c r="L107" s="270"/>
      <c r="M107" s="234"/>
      <c r="N107" s="353"/>
      <c r="O107" s="357">
        <f>'28. Entry- en exittarieven '!O190</f>
        <v>3.1456240000000003E-2</v>
      </c>
      <c r="P107" s="231">
        <f>'28. Entry- en exittarieven '!P190</f>
        <v>1.269904E-2</v>
      </c>
      <c r="Q107" s="233"/>
      <c r="R107" s="280"/>
    </row>
    <row r="108" spans="2:18">
      <c r="B108" s="3" t="s">
        <v>166</v>
      </c>
      <c r="H108" s="353"/>
      <c r="I108" s="357"/>
      <c r="J108" s="231">
        <f>'28. Entry- en exittarieven '!J191</f>
        <v>2.9530020000000001E-2</v>
      </c>
      <c r="K108" s="233"/>
      <c r="L108" s="270"/>
      <c r="M108" s="234"/>
      <c r="N108" s="353"/>
      <c r="O108" s="357"/>
      <c r="P108" s="231">
        <f>'28. Entry- en exittarieven '!P191</f>
        <v>1.207218E-2</v>
      </c>
      <c r="Q108" s="233"/>
      <c r="R108" s="280"/>
    </row>
    <row r="109" spans="2:18">
      <c r="B109" s="3" t="s">
        <v>167</v>
      </c>
      <c r="H109" s="353"/>
      <c r="I109" s="357"/>
      <c r="J109" s="231">
        <f>'28. Entry- en exittarieven '!J192</f>
        <v>3.1736750000000001E-2</v>
      </c>
      <c r="K109" s="233"/>
      <c r="L109" s="270"/>
      <c r="M109" s="234"/>
      <c r="N109" s="353"/>
      <c r="O109" s="357"/>
      <c r="P109" s="231">
        <f>'28. Entry- en exittarieven '!P192</f>
        <v>1.2974309999999999E-2</v>
      </c>
      <c r="Q109" s="233"/>
      <c r="R109" s="280"/>
    </row>
    <row r="110" spans="2:18">
      <c r="B110" s="3" t="s">
        <v>168</v>
      </c>
      <c r="H110" s="353"/>
      <c r="I110" s="357">
        <f>'28. Entry- en exittarieven '!I193</f>
        <v>0.13517507000000001</v>
      </c>
      <c r="J110" s="231">
        <f>'28. Entry- en exittarieven '!J193</f>
        <v>3.7642120000000001E-2</v>
      </c>
      <c r="K110" s="233"/>
      <c r="L110" s="270"/>
      <c r="M110" s="234"/>
      <c r="N110" s="353"/>
      <c r="O110" s="357">
        <f>'28. Entry- en exittarieven '!O193</f>
        <v>5.5260959999999998E-2</v>
      </c>
      <c r="P110" s="231">
        <f>'28. Entry- en exittarieven '!P193</f>
        <v>1.5388489999999999E-2</v>
      </c>
      <c r="Q110" s="233"/>
      <c r="R110" s="280"/>
    </row>
    <row r="111" spans="2:18">
      <c r="B111" s="3" t="s">
        <v>169</v>
      </c>
      <c r="H111" s="353"/>
      <c r="I111" s="357"/>
      <c r="J111" s="231">
        <f>'28. Entry- en exittarieven '!J194</f>
        <v>5.4091300000000002E-2</v>
      </c>
      <c r="K111" s="233"/>
      <c r="L111" s="270"/>
      <c r="M111" s="234"/>
      <c r="N111" s="353"/>
      <c r="O111" s="357"/>
      <c r="P111" s="231">
        <f>'28. Entry- en exittarieven '!P194</f>
        <v>2.211308E-2</v>
      </c>
      <c r="Q111" s="233"/>
      <c r="R111" s="280"/>
    </row>
    <row r="112" spans="2:18">
      <c r="B112" s="3" t="s">
        <v>170</v>
      </c>
      <c r="H112" s="353"/>
      <c r="I112" s="357"/>
      <c r="J112" s="231">
        <f>'28. Entry- en exittarieven '!J195</f>
        <v>7.0436769999999996E-2</v>
      </c>
      <c r="K112" s="233"/>
      <c r="L112" s="270"/>
      <c r="M112" s="234"/>
      <c r="N112" s="353"/>
      <c r="O112" s="357"/>
      <c r="P112" s="231">
        <f>'28. Entry- en exittarieven '!P195</f>
        <v>2.8795279999999999E-2</v>
      </c>
      <c r="Q112" s="233"/>
      <c r="R112" s="280"/>
    </row>
  </sheetData>
  <mergeCells count="72">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 ref="O87:O89"/>
    <mergeCell ref="I90:I92"/>
    <mergeCell ref="O90:O92"/>
    <mergeCell ref="I93:I95"/>
    <mergeCell ref="O93:O95"/>
    <mergeCell ref="N16:N27"/>
    <mergeCell ref="I16:I18"/>
    <mergeCell ref="I19:I21"/>
    <mergeCell ref="I22:I24"/>
    <mergeCell ref="I25:I27"/>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H67:H78"/>
    <mergeCell ref="I67:I69"/>
    <mergeCell ref="N67:N78"/>
    <mergeCell ref="O67:O69"/>
    <mergeCell ref="I70:I72"/>
    <mergeCell ref="O70:O72"/>
    <mergeCell ref="I73:I75"/>
    <mergeCell ref="O73:O75"/>
    <mergeCell ref="I76:I78"/>
    <mergeCell ref="O76:O78"/>
    <mergeCell ref="T50:T61"/>
    <mergeCell ref="U50:U52"/>
    <mergeCell ref="U53:U55"/>
    <mergeCell ref="U56:U58"/>
    <mergeCell ref="U59:U61"/>
    <mergeCell ref="T16:T27"/>
    <mergeCell ref="U16:U18"/>
    <mergeCell ref="U19:U21"/>
    <mergeCell ref="U22:U24"/>
    <mergeCell ref="U25:U27"/>
    <mergeCell ref="H50:H61"/>
    <mergeCell ref="I50:I52"/>
    <mergeCell ref="N50:N61"/>
    <mergeCell ref="O50:O52"/>
    <mergeCell ref="I53:I55"/>
    <mergeCell ref="O53:O55"/>
    <mergeCell ref="I56:I58"/>
    <mergeCell ref="O56:O58"/>
    <mergeCell ref="I59:I61"/>
    <mergeCell ref="O59:O61"/>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Parameters'!$B$182:$B$196</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796875" defaultRowHeight="12.5"/>
  <cols>
    <col min="1" max="16384" width="9.179687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I213"/>
  <sheetViews>
    <sheetView showGridLines="0" zoomScale="85" zoomScaleNormal="85" workbookViewId="0">
      <pane xSplit="4" ySplit="8" topLeftCell="E9" activePane="bottomRight" state="frozen"/>
      <selection pane="topRight" activeCell="E1" sqref="E1"/>
      <selection pane="bottomLeft" activeCell="A9" sqref="A9"/>
      <selection pane="bottomRight" activeCell="E9" sqref="E9"/>
    </sheetView>
  </sheetViews>
  <sheetFormatPr defaultColWidth="9.1796875" defaultRowHeight="12.5"/>
  <cols>
    <col min="1" max="1" width="2.54296875" style="3" customWidth="1"/>
    <col min="2" max="2" width="53.453125" style="3" customWidth="1"/>
    <col min="3" max="3" width="2.54296875" style="3" customWidth="1"/>
    <col min="4" max="4" width="15.1796875" style="3" bestFit="1" customWidth="1"/>
    <col min="5" max="5" width="2.54296875" style="3" customWidth="1"/>
    <col min="6" max="6" width="13.54296875" style="3" customWidth="1"/>
    <col min="7" max="7" width="2.54296875" style="3" customWidth="1"/>
    <col min="8" max="8" width="13" style="3" bestFit="1" customWidth="1"/>
    <col min="9" max="9" width="12.54296875" style="3" customWidth="1"/>
    <col min="10" max="10" width="13" style="3" bestFit="1" customWidth="1"/>
    <col min="11" max="11" width="12.54296875" style="3" customWidth="1"/>
    <col min="12" max="12" width="17.453125" style="3" bestFit="1" customWidth="1"/>
    <col min="13" max="15" width="12.54296875" style="3" customWidth="1"/>
    <col min="16" max="17" width="13.54296875" style="3" bestFit="1" customWidth="1"/>
    <col min="18" max="18" width="13" style="3" customWidth="1"/>
    <col min="19" max="19" width="2.54296875" style="3" customWidth="1"/>
    <col min="20" max="20" width="40.1796875" style="3" bestFit="1" customWidth="1"/>
    <col min="21" max="21" width="2.54296875" style="3" customWidth="1"/>
    <col min="22" max="35" width="13.54296875" style="3" customWidth="1"/>
    <col min="36" max="16384" width="9.1796875" style="3"/>
  </cols>
  <sheetData>
    <row r="2" spans="2:22" s="12" customFormat="1" ht="18">
      <c r="B2" s="12" t="s">
        <v>182</v>
      </c>
    </row>
    <row r="4" spans="2:22" ht="13">
      <c r="B4" s="16" t="s">
        <v>183</v>
      </c>
      <c r="C4" s="2"/>
      <c r="I4"/>
      <c r="K4"/>
    </row>
    <row r="5" spans="2:22" ht="28.5" customHeight="1">
      <c r="B5" s="352" t="s">
        <v>1124</v>
      </c>
      <c r="C5" s="352"/>
      <c r="D5" s="352"/>
      <c r="F5" s="13"/>
    </row>
    <row r="7" spans="2:22" s="8" customFormat="1" ht="13">
      <c r="B7" s="8" t="s">
        <v>143</v>
      </c>
      <c r="D7" s="8" t="s">
        <v>184</v>
      </c>
      <c r="F7" s="8" t="s">
        <v>185</v>
      </c>
      <c r="H7" s="46">
        <v>2017</v>
      </c>
      <c r="I7" s="53">
        <v>2018</v>
      </c>
      <c r="J7" s="46">
        <v>2019</v>
      </c>
      <c r="K7" s="53">
        <v>2020</v>
      </c>
      <c r="L7" s="46">
        <v>2021</v>
      </c>
      <c r="M7" s="46">
        <v>2022</v>
      </c>
      <c r="N7" s="46">
        <v>2023</v>
      </c>
      <c r="O7" s="46">
        <v>2024</v>
      </c>
      <c r="P7" s="46">
        <v>2025</v>
      </c>
      <c r="Q7" s="46">
        <v>2026</v>
      </c>
      <c r="R7" s="46">
        <v>2027</v>
      </c>
      <c r="T7" s="8" t="s">
        <v>186</v>
      </c>
      <c r="V7" s="8" t="s">
        <v>187</v>
      </c>
    </row>
    <row r="10" spans="2:22" s="8" customFormat="1" ht="13">
      <c r="B10" s="8" t="s">
        <v>1127</v>
      </c>
    </row>
    <row r="12" spans="2:22">
      <c r="B12" s="3" t="s">
        <v>1061</v>
      </c>
      <c r="H12" s="103"/>
      <c r="I12" s="103"/>
      <c r="J12" s="103"/>
      <c r="K12" s="103"/>
      <c r="L12" s="103"/>
      <c r="M12" s="282">
        <v>929870695.57498884</v>
      </c>
      <c r="N12" s="282">
        <v>952373566.40790355</v>
      </c>
      <c r="O12" s="282">
        <v>992563730.91031706</v>
      </c>
      <c r="P12" s="282">
        <v>1069326535.024132</v>
      </c>
      <c r="Q12" s="282">
        <v>1075956359.5412817</v>
      </c>
      <c r="R12" s="282">
        <v>1231080909.7252641</v>
      </c>
      <c r="T12" s="3" t="s">
        <v>1126</v>
      </c>
    </row>
    <row r="14" spans="2:22" s="8" customFormat="1" ht="13">
      <c r="B14" s="8" t="s">
        <v>190</v>
      </c>
    </row>
    <row r="16" spans="2:22" ht="13">
      <c r="B16" s="16" t="s">
        <v>191</v>
      </c>
    </row>
    <row r="17" spans="2:28">
      <c r="B17" s="28" t="s">
        <v>192</v>
      </c>
      <c r="D17" s="3" t="s">
        <v>188</v>
      </c>
      <c r="H17" s="246">
        <v>4.2000000000000003E-2</v>
      </c>
      <c r="I17" s="246">
        <v>3.9E-2</v>
      </c>
      <c r="J17" s="246">
        <v>3.5999999999999997E-2</v>
      </c>
      <c r="K17" s="246">
        <v>3.3000000000000002E-2</v>
      </c>
      <c r="L17" s="246">
        <v>0.03</v>
      </c>
      <c r="M17" s="103"/>
      <c r="N17" s="103"/>
      <c r="O17" s="103"/>
      <c r="P17" s="103"/>
      <c r="Q17" s="103"/>
      <c r="R17" s="103"/>
      <c r="T17" s="3" t="s">
        <v>193</v>
      </c>
    </row>
    <row r="18" spans="2:28">
      <c r="B18" s="28" t="s">
        <v>194</v>
      </c>
      <c r="D18" s="3" t="s">
        <v>188</v>
      </c>
      <c r="H18" s="132">
        <v>3.7999999999999999E-2</v>
      </c>
      <c r="I18" s="132">
        <v>3.5999999999999997E-2</v>
      </c>
      <c r="J18" s="132">
        <v>3.4000000000000002E-2</v>
      </c>
      <c r="K18" s="132">
        <v>3.2000000000000001E-2</v>
      </c>
      <c r="L18" s="132">
        <v>0.03</v>
      </c>
      <c r="M18" s="103"/>
      <c r="N18" s="103"/>
      <c r="O18" s="103"/>
      <c r="P18" s="103"/>
      <c r="Q18" s="103"/>
      <c r="R18" s="103"/>
      <c r="T18" s="3" t="s">
        <v>193</v>
      </c>
    </row>
    <row r="19" spans="2:28">
      <c r="B19" s="144" t="s">
        <v>195</v>
      </c>
      <c r="D19" s="3" t="s">
        <v>188</v>
      </c>
      <c r="F19" s="85"/>
      <c r="H19" s="103"/>
      <c r="I19" s="103"/>
      <c r="J19" s="103"/>
      <c r="K19" s="103"/>
      <c r="L19" s="103"/>
      <c r="M19" s="132">
        <v>3.4000000000000002E-2</v>
      </c>
      <c r="N19" s="132">
        <v>3.3000000000000002E-2</v>
      </c>
      <c r="O19" s="132">
        <v>3.7999999999999999E-2</v>
      </c>
      <c r="P19" s="132">
        <v>3.7999999999999999E-2</v>
      </c>
      <c r="Q19" s="132">
        <v>3.7999999999999999E-2</v>
      </c>
      <c r="R19" s="103"/>
      <c r="T19" s="80" t="s">
        <v>196</v>
      </c>
      <c r="V19" s="352"/>
      <c r="W19" s="352"/>
      <c r="X19" s="352"/>
      <c r="Y19" s="352"/>
      <c r="Z19" s="352"/>
      <c r="AA19" s="352"/>
      <c r="AB19" s="352"/>
    </row>
    <row r="20" spans="2:28">
      <c r="B20" s="144" t="s">
        <v>197</v>
      </c>
      <c r="D20" s="3" t="s">
        <v>188</v>
      </c>
      <c r="F20" s="85"/>
      <c r="H20" s="103"/>
      <c r="I20" s="103"/>
      <c r="J20" s="103"/>
      <c r="K20" s="103"/>
      <c r="L20" s="103"/>
      <c r="M20" s="132">
        <v>3.2000000000000001E-2</v>
      </c>
      <c r="N20" s="132">
        <v>3.2000000000000001E-2</v>
      </c>
      <c r="O20" s="132">
        <v>3.7999999999999999E-2</v>
      </c>
      <c r="P20" s="132">
        <v>3.7999999999999999E-2</v>
      </c>
      <c r="Q20" s="132">
        <v>3.7999999999999999E-2</v>
      </c>
      <c r="R20" s="103"/>
      <c r="T20" s="80" t="s">
        <v>196</v>
      </c>
      <c r="V20" s="352"/>
      <c r="W20" s="352"/>
      <c r="X20" s="352"/>
      <c r="Y20" s="352"/>
      <c r="Z20" s="352"/>
      <c r="AA20" s="352"/>
      <c r="AB20" s="352"/>
    </row>
    <row r="21" spans="2:28">
      <c r="H21" s="23"/>
      <c r="I21" s="23"/>
      <c r="J21" s="23"/>
      <c r="K21" s="23"/>
      <c r="L21" s="23"/>
      <c r="M21" s="23"/>
      <c r="N21" s="23"/>
      <c r="O21" s="23"/>
      <c r="P21" s="23"/>
      <c r="Q21" s="23"/>
      <c r="R21" s="23"/>
    </row>
    <row r="22" spans="2:28" ht="13">
      <c r="B22" s="2" t="s">
        <v>198</v>
      </c>
      <c r="H22" s="23"/>
      <c r="I22" s="23"/>
      <c r="J22" s="23"/>
      <c r="K22" s="23"/>
      <c r="L22" s="23"/>
      <c r="M22" s="23"/>
      <c r="N22" s="23"/>
      <c r="O22" s="23"/>
      <c r="P22" s="23"/>
      <c r="Q22" s="23"/>
      <c r="R22" s="23"/>
    </row>
    <row r="23" spans="2:28">
      <c r="B23" s="144" t="s">
        <v>195</v>
      </c>
      <c r="D23" s="3" t="s">
        <v>188</v>
      </c>
      <c r="F23" s="85"/>
      <c r="H23" s="103"/>
      <c r="I23" s="103"/>
      <c r="J23" s="103"/>
      <c r="K23" s="103"/>
      <c r="L23" s="103"/>
      <c r="M23" s="132">
        <v>4.1000000000000002E-2</v>
      </c>
      <c r="N23" s="132">
        <v>5.0999999999999997E-2</v>
      </c>
      <c r="O23" s="132">
        <v>5.0999999999999997E-2</v>
      </c>
      <c r="P23" s="132">
        <v>5.5E-2</v>
      </c>
      <c r="Q23" s="103"/>
      <c r="R23" s="103"/>
      <c r="T23" s="3" t="s">
        <v>1162</v>
      </c>
    </row>
    <row r="25" spans="2:28" s="8" customFormat="1" ht="13">
      <c r="B25" s="8" t="s">
        <v>199</v>
      </c>
    </row>
    <row r="27" spans="2:28">
      <c r="B27" s="3" t="s">
        <v>200</v>
      </c>
      <c r="D27" s="3" t="s">
        <v>188</v>
      </c>
      <c r="F27" s="133">
        <v>0.01</v>
      </c>
      <c r="T27" s="80" t="s">
        <v>196</v>
      </c>
    </row>
    <row r="29" spans="2:28" s="8" customFormat="1" ht="13">
      <c r="B29" s="8" t="s">
        <v>201</v>
      </c>
    </row>
    <row r="31" spans="2:28" ht="13">
      <c r="B31" s="16" t="s">
        <v>201</v>
      </c>
    </row>
    <row r="32" spans="2:28" ht="12.75" customHeight="1">
      <c r="B32" s="3" t="s">
        <v>201</v>
      </c>
      <c r="D32" s="3" t="s">
        <v>188</v>
      </c>
      <c r="F32" s="23"/>
      <c r="H32" s="131">
        <v>2E-3</v>
      </c>
      <c r="I32" s="131">
        <v>1.4E-2</v>
      </c>
      <c r="J32" s="131">
        <v>1.2E-2</v>
      </c>
      <c r="K32" s="132">
        <v>2.5999999999999999E-2</v>
      </c>
      <c r="L32" s="132">
        <v>1.6E-2</v>
      </c>
      <c r="M32" s="132">
        <v>1.7999999999999999E-2</v>
      </c>
      <c r="N32" s="132">
        <v>6.2E-2</v>
      </c>
      <c r="O32" s="246">
        <v>0.08</v>
      </c>
      <c r="P32" s="132">
        <v>2.8000000000000001E-2</v>
      </c>
      <c r="Q32" s="132">
        <v>3.7999999999999999E-2</v>
      </c>
      <c r="R32" s="10"/>
      <c r="T32" s="3" t="s">
        <v>103</v>
      </c>
      <c r="V32" s="352" t="s">
        <v>202</v>
      </c>
      <c r="W32" s="352"/>
      <c r="X32" s="352"/>
      <c r="Y32" s="352"/>
      <c r="Z32" s="352"/>
      <c r="AA32" s="352"/>
      <c r="AB32" s="352"/>
    </row>
    <row r="34" spans="2:18" ht="13">
      <c r="B34" s="16" t="s">
        <v>203</v>
      </c>
    </row>
    <row r="35" spans="2:18">
      <c r="B35" s="3" t="s">
        <v>204</v>
      </c>
      <c r="D35" s="3" t="s">
        <v>205</v>
      </c>
      <c r="H35" s="3">
        <v>1</v>
      </c>
      <c r="I35" s="27">
        <f t="shared" ref="I35:Q35" si="0">H35*(1+I$32)</f>
        <v>1.014</v>
      </c>
      <c r="J35" s="27">
        <f t="shared" si="0"/>
        <v>1.026168</v>
      </c>
      <c r="K35" s="27">
        <f t="shared" si="0"/>
        <v>1.052848368</v>
      </c>
      <c r="L35" s="27">
        <f t="shared" si="0"/>
        <v>1.069693941888</v>
      </c>
      <c r="M35" s="27">
        <f t="shared" si="0"/>
        <v>1.0889484328419841</v>
      </c>
      <c r="N35" s="27">
        <f t="shared" si="0"/>
        <v>1.1564632356781872</v>
      </c>
      <c r="O35" s="27">
        <f t="shared" si="0"/>
        <v>1.2489802945324422</v>
      </c>
      <c r="P35" s="27">
        <f t="shared" si="0"/>
        <v>1.2839517427793505</v>
      </c>
      <c r="Q35" s="27">
        <f t="shared" si="0"/>
        <v>1.3327419090049659</v>
      </c>
      <c r="R35" s="10"/>
    </row>
    <row r="36" spans="2:18">
      <c r="B36" s="28" t="s">
        <v>206</v>
      </c>
      <c r="D36" s="3" t="s">
        <v>205</v>
      </c>
      <c r="H36" s="10"/>
      <c r="I36" s="3">
        <v>1</v>
      </c>
      <c r="J36" s="27">
        <f>I36*(1+J$32)</f>
        <v>1.012</v>
      </c>
      <c r="K36" s="27">
        <f t="shared" ref="K36:Q36" si="1">J36*(1+K$32)</f>
        <v>1.0383120000000001</v>
      </c>
      <c r="L36" s="27">
        <f t="shared" si="1"/>
        <v>1.0549249920000001</v>
      </c>
      <c r="M36" s="27">
        <f t="shared" si="1"/>
        <v>1.0739136418560002</v>
      </c>
      <c r="N36" s="27">
        <f t="shared" si="1"/>
        <v>1.1404962876510722</v>
      </c>
      <c r="O36" s="27">
        <f t="shared" si="1"/>
        <v>1.2317359906631582</v>
      </c>
      <c r="P36" s="27">
        <f t="shared" si="1"/>
        <v>1.2662245984017266</v>
      </c>
      <c r="Q36" s="27">
        <f t="shared" si="1"/>
        <v>1.3143411331409922</v>
      </c>
      <c r="R36" s="10"/>
    </row>
    <row r="37" spans="2:18">
      <c r="B37" s="28" t="s">
        <v>207</v>
      </c>
      <c r="D37" s="3" t="s">
        <v>205</v>
      </c>
      <c r="H37" s="10"/>
      <c r="I37" s="10"/>
      <c r="J37" s="3">
        <v>1</v>
      </c>
      <c r="K37" s="27">
        <f>J37*(1+K$32)</f>
        <v>1.026</v>
      </c>
      <c r="L37" s="27">
        <f>K37*(1+L$32)</f>
        <v>1.042416</v>
      </c>
      <c r="M37" s="27">
        <f t="shared" ref="M37:Q37" si="2">L37*(1+M$32)</f>
        <v>1.0611794880000001</v>
      </c>
      <c r="N37" s="27">
        <f t="shared" si="2"/>
        <v>1.1269726162560001</v>
      </c>
      <c r="O37" s="27">
        <f t="shared" si="2"/>
        <v>1.2171304255564801</v>
      </c>
      <c r="P37" s="27">
        <f t="shared" si="2"/>
        <v>1.2512100774720616</v>
      </c>
      <c r="Q37" s="27">
        <f t="shared" si="2"/>
        <v>1.298756060416</v>
      </c>
      <c r="R37" s="10"/>
    </row>
    <row r="38" spans="2:18">
      <c r="B38" s="28" t="s">
        <v>208</v>
      </c>
      <c r="D38" s="3" t="s">
        <v>205</v>
      </c>
      <c r="H38" s="10"/>
      <c r="I38" s="10"/>
      <c r="J38" s="10"/>
      <c r="K38" s="3">
        <v>1</v>
      </c>
      <c r="L38" s="27">
        <f>K38*(1+L$32)</f>
        <v>1.016</v>
      </c>
      <c r="M38" s="27">
        <f t="shared" ref="M38:Q38" si="3">L38*(1+M$32)</f>
        <v>1.0342880000000001</v>
      </c>
      <c r="N38" s="27">
        <f t="shared" si="3"/>
        <v>1.0984138560000001</v>
      </c>
      <c r="O38" s="27">
        <f t="shared" si="3"/>
        <v>1.1862869644800003</v>
      </c>
      <c r="P38" s="27">
        <f t="shared" si="3"/>
        <v>1.2195029994854403</v>
      </c>
      <c r="Q38" s="27">
        <f t="shared" si="3"/>
        <v>1.2658441134658871</v>
      </c>
      <c r="R38" s="10"/>
    </row>
    <row r="39" spans="2:18">
      <c r="B39" s="28" t="s">
        <v>209</v>
      </c>
      <c r="D39" s="3" t="s">
        <v>205</v>
      </c>
      <c r="H39" s="10"/>
      <c r="I39" s="10"/>
      <c r="J39" s="10"/>
      <c r="K39" s="10"/>
      <c r="L39" s="3">
        <v>1</v>
      </c>
      <c r="M39" s="27">
        <f>L39*(1+M$32)</f>
        <v>1.018</v>
      </c>
      <c r="N39" s="27">
        <f t="shared" ref="N39:O39" si="4">M39*(1+N$32)</f>
        <v>1.081116</v>
      </c>
      <c r="O39" s="27">
        <f t="shared" si="4"/>
        <v>1.1676052800000001</v>
      </c>
      <c r="P39" s="27">
        <f t="shared" ref="P39:Q42" si="5">O39*(1+P$32)</f>
        <v>1.2002982278400001</v>
      </c>
      <c r="Q39" s="27">
        <f t="shared" si="5"/>
        <v>1.24590956049792</v>
      </c>
      <c r="R39" s="10"/>
    </row>
    <row r="40" spans="2:18">
      <c r="B40" s="28" t="s">
        <v>210</v>
      </c>
      <c r="D40" s="3" t="s">
        <v>205</v>
      </c>
      <c r="H40" s="10"/>
      <c r="I40" s="10"/>
      <c r="J40" s="10"/>
      <c r="K40" s="10"/>
      <c r="L40" s="10"/>
      <c r="M40" s="3">
        <v>1</v>
      </c>
      <c r="N40" s="27">
        <f t="shared" ref="N40:O40" si="6">M40*(1+N$32)</f>
        <v>1.0620000000000001</v>
      </c>
      <c r="O40" s="27">
        <f t="shared" si="6"/>
        <v>1.1469600000000002</v>
      </c>
      <c r="P40" s="27">
        <f t="shared" si="5"/>
        <v>1.1790748800000002</v>
      </c>
      <c r="Q40" s="27">
        <f t="shared" si="5"/>
        <v>1.2238797254400002</v>
      </c>
      <c r="R40" s="10"/>
    </row>
    <row r="41" spans="2:18">
      <c r="B41" s="28" t="s">
        <v>211</v>
      </c>
      <c r="D41" s="3" t="s">
        <v>205</v>
      </c>
      <c r="H41" s="10"/>
      <c r="I41" s="10"/>
      <c r="J41" s="10"/>
      <c r="K41" s="10"/>
      <c r="L41" s="10"/>
      <c r="M41" s="10"/>
      <c r="N41" s="3">
        <v>1</v>
      </c>
      <c r="O41" s="27">
        <f>N41*(1+O$32)</f>
        <v>1.08</v>
      </c>
      <c r="P41" s="27">
        <f>O41*(1+P$32)</f>
        <v>1.1102400000000001</v>
      </c>
      <c r="Q41" s="27">
        <f t="shared" si="5"/>
        <v>1.1524291200000001</v>
      </c>
      <c r="R41" s="10"/>
    </row>
    <row r="42" spans="2:18">
      <c r="B42" s="28" t="s">
        <v>212</v>
      </c>
      <c r="D42" s="3" t="s">
        <v>205</v>
      </c>
      <c r="H42" s="10"/>
      <c r="I42" s="10"/>
      <c r="J42" s="10"/>
      <c r="K42" s="10"/>
      <c r="L42" s="10"/>
      <c r="M42" s="10"/>
      <c r="N42" s="10"/>
      <c r="O42" s="3">
        <v>1</v>
      </c>
      <c r="P42" s="27">
        <f t="shared" si="5"/>
        <v>1.028</v>
      </c>
      <c r="Q42" s="27">
        <f t="shared" si="5"/>
        <v>1.067064</v>
      </c>
      <c r="R42" s="10"/>
    </row>
    <row r="43" spans="2:18">
      <c r="B43" s="28" t="s">
        <v>213</v>
      </c>
      <c r="D43" s="3" t="s">
        <v>205</v>
      </c>
      <c r="H43" s="10"/>
      <c r="I43" s="10"/>
      <c r="J43" s="10"/>
      <c r="K43" s="10"/>
      <c r="L43" s="10"/>
      <c r="M43" s="10"/>
      <c r="N43" s="10"/>
      <c r="O43" s="10"/>
      <c r="P43" s="3">
        <v>1</v>
      </c>
      <c r="Q43" s="27">
        <f>P43*(1+Q$32)</f>
        <v>1.038</v>
      </c>
      <c r="R43" s="10"/>
    </row>
    <row r="44" spans="2:18">
      <c r="B44" s="28" t="s">
        <v>214</v>
      </c>
      <c r="D44" s="3" t="s">
        <v>205</v>
      </c>
      <c r="H44" s="10"/>
      <c r="I44" s="10"/>
      <c r="J44" s="10"/>
      <c r="K44" s="10"/>
      <c r="L44" s="10"/>
      <c r="M44" s="10"/>
      <c r="N44" s="10"/>
      <c r="O44" s="10"/>
      <c r="P44" s="10"/>
      <c r="Q44" s="3">
        <v>1</v>
      </c>
      <c r="R44" s="10"/>
    </row>
    <row r="46" spans="2:18" s="8" customFormat="1" ht="13">
      <c r="B46" s="8" t="s">
        <v>215</v>
      </c>
    </row>
    <row r="48" spans="2:18" ht="13">
      <c r="B48" s="16" t="s">
        <v>215</v>
      </c>
    </row>
    <row r="49" spans="2:20">
      <c r="B49" s="3" t="s">
        <v>216</v>
      </c>
      <c r="D49" s="3" t="s">
        <v>188</v>
      </c>
      <c r="F49" s="85"/>
      <c r="H49" s="133">
        <v>1E-3</v>
      </c>
      <c r="I49" s="133">
        <v>1E-3</v>
      </c>
      <c r="J49" s="133">
        <v>1E-3</v>
      </c>
      <c r="K49" s="133">
        <v>1E-3</v>
      </c>
      <c r="L49" s="133">
        <v>1E-3</v>
      </c>
      <c r="M49" s="133">
        <v>4.0000000000000001E-3</v>
      </c>
      <c r="N49" s="133">
        <v>4.0000000000000001E-3</v>
      </c>
      <c r="O49" s="133">
        <v>4.0000000000000001E-3</v>
      </c>
      <c r="P49" s="133">
        <v>4.0000000000000001E-3</v>
      </c>
      <c r="Q49" s="133">
        <v>4.0000000000000001E-3</v>
      </c>
      <c r="R49" s="10"/>
      <c r="T49" s="3" t="s">
        <v>217</v>
      </c>
    </row>
    <row r="51" spans="2:20" ht="13">
      <c r="B51" s="16" t="s">
        <v>218</v>
      </c>
    </row>
    <row r="52" spans="2:20">
      <c r="B52" s="3" t="s">
        <v>204</v>
      </c>
      <c r="D52" s="3" t="s">
        <v>219</v>
      </c>
      <c r="H52" s="3">
        <v>1</v>
      </c>
      <c r="I52" s="27">
        <f>H52*(1-I$49)</f>
        <v>0.999</v>
      </c>
      <c r="J52" s="27">
        <f t="shared" ref="J52" si="7">I52*(1-J$49)</f>
        <v>0.99800100000000003</v>
      </c>
      <c r="K52" s="27">
        <f>J52*(1-K$49)</f>
        <v>0.997002999</v>
      </c>
      <c r="L52" s="27">
        <f t="shared" ref="L52:M52" si="8">K52*(1-L$49)</f>
        <v>0.99600599600100004</v>
      </c>
      <c r="M52" s="27">
        <f t="shared" si="8"/>
        <v>0.99202197201699605</v>
      </c>
      <c r="N52" s="27">
        <f t="shared" ref="N52:O52" si="9">M52*(1-N$49)</f>
        <v>0.98805388412892803</v>
      </c>
      <c r="O52" s="27">
        <f t="shared" si="9"/>
        <v>0.98410166859241233</v>
      </c>
      <c r="P52" s="27">
        <f t="shared" ref="P52:Q59" si="10">O52*(1-P$49)</f>
        <v>0.98016526191804265</v>
      </c>
      <c r="Q52" s="27">
        <f t="shared" si="10"/>
        <v>0.97624460087037046</v>
      </c>
      <c r="R52" s="10"/>
    </row>
    <row r="53" spans="2:20">
      <c r="B53" s="28" t="s">
        <v>206</v>
      </c>
      <c r="D53" s="3" t="s">
        <v>219</v>
      </c>
      <c r="H53" s="10"/>
      <c r="I53" s="3">
        <v>1</v>
      </c>
      <c r="J53" s="27">
        <f t="shared" ref="J53:K53" si="11">I53*(1-J$49)</f>
        <v>0.999</v>
      </c>
      <c r="K53" s="27">
        <f t="shared" si="11"/>
        <v>0.99800100000000003</v>
      </c>
      <c r="L53" s="27">
        <f t="shared" ref="L53:M53" si="12">K53*(1-L$49)</f>
        <v>0.997002999</v>
      </c>
      <c r="M53" s="27">
        <f t="shared" si="12"/>
        <v>0.99301498700400004</v>
      </c>
      <c r="N53" s="27">
        <f t="shared" ref="N53:O53" si="13">M53*(1-N$49)</f>
        <v>0.98904292705598407</v>
      </c>
      <c r="O53" s="27">
        <f t="shared" si="13"/>
        <v>0.98508675534776013</v>
      </c>
      <c r="P53" s="27">
        <f t="shared" si="10"/>
        <v>0.98114640832636912</v>
      </c>
      <c r="Q53" s="27">
        <f t="shared" si="10"/>
        <v>0.97722182269306368</v>
      </c>
      <c r="R53" s="10"/>
    </row>
    <row r="54" spans="2:20">
      <c r="B54" s="28" t="s">
        <v>207</v>
      </c>
      <c r="D54" s="3" t="s">
        <v>219</v>
      </c>
      <c r="H54" s="10"/>
      <c r="I54" s="10"/>
      <c r="J54" s="3">
        <v>1</v>
      </c>
      <c r="K54" s="27">
        <f>J54*(1-K$49)</f>
        <v>0.999</v>
      </c>
      <c r="L54" s="27">
        <f t="shared" ref="L54:M54" si="14">K54*(1-L$49)</f>
        <v>0.99800100000000003</v>
      </c>
      <c r="M54" s="27">
        <f t="shared" si="14"/>
        <v>0.99400899600000003</v>
      </c>
      <c r="N54" s="27">
        <f t="shared" ref="N54:O54" si="15">M54*(1-N$49)</f>
        <v>0.99003296001600005</v>
      </c>
      <c r="O54" s="27">
        <f t="shared" si="15"/>
        <v>0.986072828175936</v>
      </c>
      <c r="P54" s="27">
        <f t="shared" si="10"/>
        <v>0.9821285368632322</v>
      </c>
      <c r="Q54" s="27">
        <f t="shared" si="10"/>
        <v>0.97820002271577933</v>
      </c>
      <c r="R54" s="10"/>
    </row>
    <row r="55" spans="2:20">
      <c r="B55" s="28" t="s">
        <v>208</v>
      </c>
      <c r="D55" s="3" t="s">
        <v>219</v>
      </c>
      <c r="H55" s="10"/>
      <c r="I55" s="10"/>
      <c r="J55" s="10"/>
      <c r="K55" s="3">
        <v>1</v>
      </c>
      <c r="L55" s="27">
        <f t="shared" ref="L55:M55" si="16">K55*(1-L$49)</f>
        <v>0.999</v>
      </c>
      <c r="M55" s="27">
        <f t="shared" si="16"/>
        <v>0.995004</v>
      </c>
      <c r="N55" s="27">
        <f t="shared" ref="N55:O55" si="17">M55*(1-N$49)</f>
        <v>0.99102398400000002</v>
      </c>
      <c r="O55" s="27">
        <f t="shared" si="17"/>
        <v>0.98705988806400002</v>
      </c>
      <c r="P55" s="27">
        <f t="shared" si="10"/>
        <v>0.98311164851174404</v>
      </c>
      <c r="Q55" s="27">
        <f t="shared" si="10"/>
        <v>0.97917920191769703</v>
      </c>
      <c r="R55" s="10"/>
    </row>
    <row r="56" spans="2:20">
      <c r="B56" s="28" t="s">
        <v>209</v>
      </c>
      <c r="D56" s="3" t="s">
        <v>219</v>
      </c>
      <c r="H56" s="10"/>
      <c r="I56" s="10"/>
      <c r="J56" s="10"/>
      <c r="K56" s="10"/>
      <c r="L56" s="3">
        <v>1</v>
      </c>
      <c r="M56" s="27">
        <f t="shared" ref="M56" si="18">L56*(1-M$49)</f>
        <v>0.996</v>
      </c>
      <c r="N56" s="27">
        <f t="shared" ref="N56:O56" si="19">M56*(1-N$49)</f>
        <v>0.99201600000000001</v>
      </c>
      <c r="O56" s="27">
        <f t="shared" si="19"/>
        <v>0.98804793599999996</v>
      </c>
      <c r="P56" s="27">
        <f t="shared" si="10"/>
        <v>0.98409574425599999</v>
      </c>
      <c r="Q56" s="27">
        <f t="shared" si="10"/>
        <v>0.98015936127897596</v>
      </c>
      <c r="R56" s="10"/>
    </row>
    <row r="57" spans="2:20">
      <c r="B57" s="28" t="s">
        <v>210</v>
      </c>
      <c r="D57" s="3" t="s">
        <v>219</v>
      </c>
      <c r="H57" s="10"/>
      <c r="I57" s="10"/>
      <c r="J57" s="10"/>
      <c r="K57" s="10"/>
      <c r="L57" s="10"/>
      <c r="M57" s="3">
        <v>1</v>
      </c>
      <c r="N57" s="27">
        <f t="shared" ref="N57:O57" si="20">M57*(1-N$49)</f>
        <v>0.996</v>
      </c>
      <c r="O57" s="27">
        <f t="shared" si="20"/>
        <v>0.99201600000000001</v>
      </c>
      <c r="P57" s="27">
        <f t="shared" si="10"/>
        <v>0.98804793599999996</v>
      </c>
      <c r="Q57" s="27">
        <f t="shared" si="10"/>
        <v>0.98409574425599999</v>
      </c>
      <c r="R57" s="10"/>
    </row>
    <row r="58" spans="2:20">
      <c r="B58" s="28" t="s">
        <v>211</v>
      </c>
      <c r="D58" s="3" t="s">
        <v>219</v>
      </c>
      <c r="H58" s="10"/>
      <c r="I58" s="10"/>
      <c r="J58" s="10"/>
      <c r="K58" s="10"/>
      <c r="L58" s="10"/>
      <c r="M58" s="10"/>
      <c r="N58" s="3">
        <v>1</v>
      </c>
      <c r="O58" s="27">
        <f t="shared" ref="O58" si="21">N58*(1-O$49)</f>
        <v>0.996</v>
      </c>
      <c r="P58" s="27">
        <f t="shared" si="10"/>
        <v>0.99201600000000001</v>
      </c>
      <c r="Q58" s="27">
        <f t="shared" si="10"/>
        <v>0.98804793599999996</v>
      </c>
      <c r="R58" s="10"/>
    </row>
    <row r="59" spans="2:20">
      <c r="B59" s="28" t="s">
        <v>212</v>
      </c>
      <c r="D59" s="3" t="s">
        <v>219</v>
      </c>
      <c r="H59" s="10"/>
      <c r="I59" s="10"/>
      <c r="J59" s="10"/>
      <c r="K59" s="10"/>
      <c r="L59" s="10"/>
      <c r="M59" s="10"/>
      <c r="N59" s="10"/>
      <c r="O59" s="3">
        <v>1</v>
      </c>
      <c r="P59" s="27">
        <f t="shared" si="10"/>
        <v>0.996</v>
      </c>
      <c r="Q59" s="27">
        <f t="shared" si="10"/>
        <v>0.99201600000000001</v>
      </c>
      <c r="R59" s="10"/>
    </row>
    <row r="60" spans="2:20">
      <c r="B60" s="28" t="s">
        <v>213</v>
      </c>
      <c r="D60" s="3" t="s">
        <v>219</v>
      </c>
      <c r="H60" s="10"/>
      <c r="I60" s="10"/>
      <c r="J60" s="10"/>
      <c r="K60" s="10"/>
      <c r="L60" s="10"/>
      <c r="M60" s="10"/>
      <c r="N60" s="10"/>
      <c r="O60" s="10"/>
      <c r="P60" s="3">
        <v>1</v>
      </c>
      <c r="Q60" s="27">
        <f>P60*(1-Q$49)</f>
        <v>0.996</v>
      </c>
      <c r="R60" s="10"/>
    </row>
    <row r="61" spans="2:20">
      <c r="B61" s="28" t="s">
        <v>214</v>
      </c>
      <c r="D61" s="3" t="s">
        <v>219</v>
      </c>
      <c r="H61" s="10"/>
      <c r="I61" s="10"/>
      <c r="J61" s="10"/>
      <c r="K61" s="10"/>
      <c r="L61" s="10"/>
      <c r="M61" s="10"/>
      <c r="N61" s="10"/>
      <c r="O61" s="10"/>
      <c r="P61" s="10"/>
      <c r="Q61" s="3">
        <v>1</v>
      </c>
      <c r="R61" s="10"/>
    </row>
    <row r="62" spans="2:20" ht="13.5" customHeight="1"/>
    <row r="63" spans="2:20" s="8" customFormat="1" ht="13">
      <c r="B63" s="8" t="s">
        <v>220</v>
      </c>
    </row>
    <row r="65" spans="2:22" ht="13">
      <c r="B65" s="140" t="s">
        <v>220</v>
      </c>
    </row>
    <row r="66" spans="2:22" ht="13.5" customHeight="1">
      <c r="B66" s="3" t="s">
        <v>112</v>
      </c>
      <c r="L66" s="131">
        <v>0.02</v>
      </c>
      <c r="M66" s="131">
        <v>0.02</v>
      </c>
      <c r="N66" s="131">
        <v>0.02</v>
      </c>
      <c r="O66" s="131">
        <v>0.04</v>
      </c>
      <c r="P66" s="319">
        <v>7.0000000000000007E-2</v>
      </c>
      <c r="Q66" s="319">
        <v>0.05</v>
      </c>
      <c r="R66" s="319">
        <v>0.04</v>
      </c>
      <c r="T66" s="3" t="s">
        <v>221</v>
      </c>
      <c r="V66" s="348" t="s">
        <v>1163</v>
      </c>
    </row>
    <row r="68" spans="2:22" ht="13">
      <c r="B68" s="2" t="s">
        <v>222</v>
      </c>
    </row>
    <row r="69" spans="2:22">
      <c r="B69" s="28" t="s">
        <v>208</v>
      </c>
      <c r="D69" s="3" t="s">
        <v>223</v>
      </c>
      <c r="H69" s="10"/>
      <c r="I69" s="10"/>
      <c r="J69" s="10"/>
      <c r="K69" s="3">
        <v>1</v>
      </c>
      <c r="L69" s="27">
        <f t="shared" ref="L69:Q69" si="22">K69*(1+L$66)</f>
        <v>1.02</v>
      </c>
      <c r="M69" s="27">
        <f t="shared" si="22"/>
        <v>1.0404</v>
      </c>
      <c r="N69" s="27">
        <f t="shared" si="22"/>
        <v>1.0612079999999999</v>
      </c>
      <c r="O69" s="27">
        <f t="shared" si="22"/>
        <v>1.10365632</v>
      </c>
      <c r="P69" s="27">
        <f t="shared" si="22"/>
        <v>1.1809122624000001</v>
      </c>
      <c r="Q69" s="27">
        <f t="shared" si="22"/>
        <v>1.2399578755200003</v>
      </c>
      <c r="R69" s="27">
        <f t="shared" ref="R69:R74" si="23">Q69*(1+R$66)</f>
        <v>1.2895561905408004</v>
      </c>
    </row>
    <row r="70" spans="2:22">
      <c r="B70" s="28" t="s">
        <v>209</v>
      </c>
      <c r="D70" s="3" t="s">
        <v>223</v>
      </c>
      <c r="H70" s="10"/>
      <c r="I70" s="10"/>
      <c r="J70" s="10"/>
      <c r="K70" s="10"/>
      <c r="L70" s="3">
        <v>1</v>
      </c>
      <c r="M70" s="27">
        <f>L70*(1+M$66)</f>
        <v>1.02</v>
      </c>
      <c r="N70" s="27">
        <f>M70*(1+N$66)</f>
        <v>1.0404</v>
      </c>
      <c r="O70" s="27">
        <f>N70*(1+O$66)</f>
        <v>1.0820160000000001</v>
      </c>
      <c r="P70" s="27">
        <f>O70*(1+P$66)</f>
        <v>1.1577571200000001</v>
      </c>
      <c r="Q70" s="27">
        <f>P70*(1+Q$66)</f>
        <v>1.2156449760000001</v>
      </c>
      <c r="R70" s="27">
        <f t="shared" si="23"/>
        <v>1.2642707750400002</v>
      </c>
    </row>
    <row r="71" spans="2:22">
      <c r="B71" s="28" t="s">
        <v>210</v>
      </c>
      <c r="D71" s="3" t="s">
        <v>223</v>
      </c>
      <c r="H71" s="10"/>
      <c r="I71" s="10"/>
      <c r="J71" s="10"/>
      <c r="K71" s="10"/>
      <c r="L71" s="10"/>
      <c r="M71" s="3">
        <v>1</v>
      </c>
      <c r="N71" s="27">
        <f>M71*(1+N$66)</f>
        <v>1.02</v>
      </c>
      <c r="O71" s="27">
        <f>N71*(1+O$66)</f>
        <v>1.0608</v>
      </c>
      <c r="P71" s="27">
        <f>O71*(1+P$66)</f>
        <v>1.1350560000000001</v>
      </c>
      <c r="Q71" s="27">
        <f>P71*(1+Q$66)</f>
        <v>1.1918088000000002</v>
      </c>
      <c r="R71" s="27">
        <f t="shared" si="23"/>
        <v>1.2394811520000002</v>
      </c>
    </row>
    <row r="72" spans="2:22">
      <c r="B72" s="28" t="s">
        <v>211</v>
      </c>
      <c r="D72" s="3" t="s">
        <v>223</v>
      </c>
      <c r="H72" s="10"/>
      <c r="I72" s="10"/>
      <c r="J72" s="10"/>
      <c r="K72" s="10"/>
      <c r="L72" s="10"/>
      <c r="M72" s="10"/>
      <c r="N72" s="3">
        <v>1</v>
      </c>
      <c r="O72" s="27">
        <f>N72*(1+O$66)</f>
        <v>1.04</v>
      </c>
      <c r="P72" s="27">
        <f>O72*(1+P$66)</f>
        <v>1.1128</v>
      </c>
      <c r="Q72" s="27">
        <f>P72*(1+Q$66)</f>
        <v>1.1684400000000001</v>
      </c>
      <c r="R72" s="27">
        <f t="shared" si="23"/>
        <v>1.2151776000000003</v>
      </c>
    </row>
    <row r="73" spans="2:22">
      <c r="B73" s="28" t="s">
        <v>212</v>
      </c>
      <c r="D73" s="3" t="s">
        <v>223</v>
      </c>
      <c r="H73" s="10"/>
      <c r="I73" s="10"/>
      <c r="J73" s="10"/>
      <c r="K73" s="10"/>
      <c r="L73" s="10"/>
      <c r="M73" s="10"/>
      <c r="N73" s="10"/>
      <c r="O73" s="3">
        <v>1</v>
      </c>
      <c r="P73" s="27">
        <f>O73*(1+P$66)</f>
        <v>1.07</v>
      </c>
      <c r="Q73" s="27">
        <f>P73*(1+Q$66)</f>
        <v>1.1235000000000002</v>
      </c>
      <c r="R73" s="27">
        <f t="shared" si="23"/>
        <v>1.1684400000000001</v>
      </c>
    </row>
    <row r="74" spans="2:22">
      <c r="B74" s="28" t="s">
        <v>213</v>
      </c>
      <c r="D74" s="3" t="s">
        <v>223</v>
      </c>
      <c r="H74" s="10"/>
      <c r="I74" s="10"/>
      <c r="J74" s="10"/>
      <c r="K74" s="10"/>
      <c r="L74" s="10"/>
      <c r="M74" s="10"/>
      <c r="N74" s="10"/>
      <c r="O74" s="10"/>
      <c r="P74" s="3">
        <v>1</v>
      </c>
      <c r="Q74" s="27">
        <f>P74*(1+Q$66)</f>
        <v>1.05</v>
      </c>
      <c r="R74" s="27">
        <f t="shared" si="23"/>
        <v>1.0920000000000001</v>
      </c>
    </row>
    <row r="75" spans="2:22">
      <c r="B75" s="28" t="s">
        <v>214</v>
      </c>
      <c r="D75" s="3" t="s">
        <v>223</v>
      </c>
      <c r="H75" s="10"/>
      <c r="I75" s="10"/>
      <c r="J75" s="10"/>
      <c r="K75" s="10"/>
      <c r="L75" s="10"/>
      <c r="M75" s="10"/>
      <c r="N75" s="10"/>
      <c r="O75" s="10"/>
      <c r="P75" s="10"/>
      <c r="Q75" s="3">
        <v>1</v>
      </c>
      <c r="R75" s="27">
        <f>Q75*(1+R$66)</f>
        <v>1.04</v>
      </c>
    </row>
    <row r="77" spans="2:22" s="8" customFormat="1" ht="13">
      <c r="B77" s="8" t="s">
        <v>224</v>
      </c>
    </row>
    <row r="79" spans="2:22">
      <c r="B79" s="3" t="s">
        <v>224</v>
      </c>
      <c r="D79" s="3" t="s">
        <v>188</v>
      </c>
      <c r="F79" s="133">
        <v>1</v>
      </c>
      <c r="T79" s="3" t="s">
        <v>196</v>
      </c>
    </row>
    <row r="81" spans="2:87" s="8" customFormat="1" ht="13">
      <c r="B81" s="8" t="s">
        <v>225</v>
      </c>
    </row>
    <row r="83" spans="2:87">
      <c r="B83" s="3" t="s">
        <v>225</v>
      </c>
      <c r="D83" s="3" t="s">
        <v>188</v>
      </c>
      <c r="F83" s="137">
        <v>1.3</v>
      </c>
      <c r="T83" s="3" t="s">
        <v>196</v>
      </c>
    </row>
    <row r="84" spans="2:87">
      <c r="F84" s="92"/>
    </row>
    <row r="85" spans="2:87" s="8" customFormat="1" ht="13">
      <c r="B85" s="8" t="s">
        <v>226</v>
      </c>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row>
    <row r="87" spans="2:87">
      <c r="B87" s="3" t="s">
        <v>226</v>
      </c>
      <c r="D87" s="3" t="s">
        <v>188</v>
      </c>
      <c r="F87" s="141">
        <v>0.1</v>
      </c>
      <c r="T87" s="3" t="s">
        <v>196</v>
      </c>
    </row>
    <row r="88" spans="2:87" s="142" customFormat="1">
      <c r="D88" s="143"/>
    </row>
    <row r="89" spans="2:87" s="8" customFormat="1" ht="13">
      <c r="B89" s="8" t="s">
        <v>227</v>
      </c>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row>
    <row r="91" spans="2:87">
      <c r="B91" s="3" t="s">
        <v>227</v>
      </c>
      <c r="D91" s="3" t="s">
        <v>188</v>
      </c>
      <c r="F91" s="141">
        <v>0.9</v>
      </c>
      <c r="T91" s="3" t="s">
        <v>196</v>
      </c>
      <c r="AR91"/>
      <c r="AS91"/>
      <c r="AT91"/>
      <c r="AU91"/>
      <c r="AV91"/>
      <c r="AW91"/>
      <c r="AX91"/>
    </row>
    <row r="92" spans="2:87">
      <c r="AR92"/>
      <c r="AS92"/>
      <c r="AT92"/>
      <c r="AU92"/>
      <c r="AV92"/>
      <c r="AW92"/>
      <c r="AX92"/>
    </row>
    <row r="93" spans="2:87" s="8" customFormat="1" ht="13">
      <c r="B93" s="8" t="s">
        <v>228</v>
      </c>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row>
    <row r="94" spans="2:87" s="89" customFormat="1" ht="13">
      <c r="B94" s="105"/>
    </row>
    <row r="95" spans="2:87" s="89" customFormat="1">
      <c r="B95" s="89" t="s">
        <v>229</v>
      </c>
      <c r="D95" s="89" t="s">
        <v>188</v>
      </c>
      <c r="F95" s="141">
        <v>0.25</v>
      </c>
      <c r="T95" s="3" t="s">
        <v>196</v>
      </c>
    </row>
    <row r="96" spans="2:87">
      <c r="B96" s="3" t="s">
        <v>230</v>
      </c>
      <c r="D96" s="3" t="s">
        <v>188</v>
      </c>
      <c r="F96" s="141">
        <v>0.2</v>
      </c>
      <c r="T96" s="3" t="s">
        <v>196</v>
      </c>
    </row>
    <row r="98" spans="2:22" s="8" customFormat="1" ht="13">
      <c r="B98" s="8" t="s">
        <v>231</v>
      </c>
    </row>
    <row r="100" spans="2:22">
      <c r="B100" s="3" t="s">
        <v>232</v>
      </c>
      <c r="D100" s="3" t="s">
        <v>188</v>
      </c>
      <c r="F100" s="131">
        <v>0.4</v>
      </c>
      <c r="T100" s="3" t="s">
        <v>119</v>
      </c>
    </row>
    <row r="101" spans="2:22">
      <c r="B101" s="3" t="s">
        <v>233</v>
      </c>
      <c r="D101" s="3" t="s">
        <v>188</v>
      </c>
      <c r="F101" s="30">
        <f>1-F100</f>
        <v>0.6</v>
      </c>
      <c r="T101" s="3" t="s">
        <v>119</v>
      </c>
    </row>
    <row r="103" spans="2:22" s="8" customFormat="1" ht="13">
      <c r="B103" s="8" t="s">
        <v>234</v>
      </c>
    </row>
    <row r="105" spans="2:22">
      <c r="B105" s="3" t="s">
        <v>235</v>
      </c>
      <c r="D105" s="3" t="s">
        <v>188</v>
      </c>
      <c r="F105" s="131">
        <v>0.75</v>
      </c>
      <c r="T105" s="3" t="s">
        <v>119</v>
      </c>
    </row>
    <row r="106" spans="2:22">
      <c r="B106" s="3" t="s">
        <v>236</v>
      </c>
      <c r="D106" s="3" t="s">
        <v>188</v>
      </c>
      <c r="F106" s="131">
        <v>0.94</v>
      </c>
      <c r="T106" s="3" t="s">
        <v>119</v>
      </c>
    </row>
    <row r="107" spans="2:22" ht="13">
      <c r="B107" s="3" t="s">
        <v>237</v>
      </c>
      <c r="D107" s="3" t="s">
        <v>188</v>
      </c>
      <c r="F107" s="131">
        <v>0</v>
      </c>
      <c r="T107" s="3" t="s">
        <v>119</v>
      </c>
      <c r="V107" s="5"/>
    </row>
    <row r="109" spans="2:22" s="8" customFormat="1" ht="13">
      <c r="B109" s="8" t="s">
        <v>238</v>
      </c>
    </row>
    <row r="111" spans="2:22">
      <c r="B111" s="3" t="s">
        <v>239</v>
      </c>
      <c r="F111" s="91">
        <v>1.25</v>
      </c>
      <c r="T111" s="3" t="s">
        <v>119</v>
      </c>
    </row>
    <row r="112" spans="2:22">
      <c r="B112" s="3" t="s">
        <v>240</v>
      </c>
      <c r="F112" s="91">
        <v>1.5</v>
      </c>
      <c r="T112" s="3" t="s">
        <v>119</v>
      </c>
    </row>
    <row r="113" spans="2:20">
      <c r="B113" s="3" t="s">
        <v>241</v>
      </c>
      <c r="F113" s="91">
        <v>1.75</v>
      </c>
      <c r="T113" s="3" t="s">
        <v>119</v>
      </c>
    </row>
    <row r="114" spans="2:20">
      <c r="B114" s="3" t="s">
        <v>242</v>
      </c>
      <c r="F114" s="91">
        <v>1.75</v>
      </c>
      <c r="T114" s="3" t="s">
        <v>119</v>
      </c>
    </row>
    <row r="116" spans="2:20" s="8" customFormat="1" ht="13">
      <c r="B116" s="8" t="s">
        <v>243</v>
      </c>
    </row>
    <row r="118" spans="2:20" ht="13">
      <c r="B118" s="2" t="s">
        <v>244</v>
      </c>
      <c r="F118" s="25"/>
    </row>
    <row r="119" spans="2:20">
      <c r="B119" s="3" t="s">
        <v>245</v>
      </c>
      <c r="F119" s="91">
        <v>1.482</v>
      </c>
      <c r="T119" s="3" t="s">
        <v>119</v>
      </c>
    </row>
    <row r="120" spans="2:20">
      <c r="B120" s="3" t="s">
        <v>246</v>
      </c>
      <c r="F120" s="91">
        <v>0.78400000000000003</v>
      </c>
      <c r="T120" s="3" t="s">
        <v>119</v>
      </c>
    </row>
    <row r="121" spans="2:20">
      <c r="B121" s="3" t="s">
        <v>247</v>
      </c>
      <c r="F121" s="91">
        <v>0.629</v>
      </c>
      <c r="T121" s="3" t="s">
        <v>119</v>
      </c>
    </row>
    <row r="122" spans="2:20">
      <c r="B122" s="3" t="s">
        <v>248</v>
      </c>
      <c r="F122" s="91">
        <v>1.105</v>
      </c>
      <c r="T122" s="3" t="s">
        <v>119</v>
      </c>
    </row>
    <row r="124" spans="2:20" ht="13">
      <c r="B124" s="2" t="s">
        <v>249</v>
      </c>
    </row>
    <row r="125" spans="2:20">
      <c r="B125" s="3" t="s">
        <v>159</v>
      </c>
      <c r="F125" s="91">
        <v>1.7150000000000001</v>
      </c>
      <c r="T125" s="3" t="s">
        <v>119</v>
      </c>
    </row>
    <row r="126" spans="2:20">
      <c r="B126" s="3" t="s">
        <v>160</v>
      </c>
      <c r="F126" s="91">
        <v>1.5329999999999999</v>
      </c>
      <c r="T126" s="3" t="s">
        <v>119</v>
      </c>
    </row>
    <row r="127" spans="2:20">
      <c r="B127" s="3" t="s">
        <v>161</v>
      </c>
      <c r="F127" s="91">
        <v>1.1990000000000001</v>
      </c>
      <c r="T127" s="3" t="s">
        <v>119</v>
      </c>
    </row>
    <row r="128" spans="2:20">
      <c r="B128" s="3" t="s">
        <v>162</v>
      </c>
      <c r="F128" s="91">
        <v>0.89400000000000002</v>
      </c>
      <c r="T128" s="3" t="s">
        <v>119</v>
      </c>
    </row>
    <row r="129" spans="2:20">
      <c r="B129" s="3" t="s">
        <v>163</v>
      </c>
      <c r="F129" s="91">
        <v>0.79200000000000004</v>
      </c>
      <c r="T129" s="3" t="s">
        <v>119</v>
      </c>
    </row>
    <row r="130" spans="2:20">
      <c r="B130" s="3" t="s">
        <v>164</v>
      </c>
      <c r="F130" s="91">
        <v>0.66500000000000004</v>
      </c>
      <c r="T130" s="3" t="s">
        <v>119</v>
      </c>
    </row>
    <row r="131" spans="2:20">
      <c r="B131" s="3" t="s">
        <v>165</v>
      </c>
      <c r="F131" s="91">
        <v>0.628</v>
      </c>
      <c r="T131" s="3" t="s">
        <v>119</v>
      </c>
    </row>
    <row r="132" spans="2:20">
      <c r="B132" s="3" t="s">
        <v>166</v>
      </c>
      <c r="F132" s="91">
        <v>0.59699999999999998</v>
      </c>
      <c r="T132" s="3" t="s">
        <v>119</v>
      </c>
    </row>
    <row r="133" spans="2:20">
      <c r="B133" s="3" t="s">
        <v>167</v>
      </c>
      <c r="F133" s="91">
        <v>0.66300000000000003</v>
      </c>
      <c r="T133" s="3" t="s">
        <v>119</v>
      </c>
    </row>
    <row r="134" spans="2:20">
      <c r="B134" s="3" t="s">
        <v>168</v>
      </c>
      <c r="F134" s="91">
        <v>0.76100000000000001</v>
      </c>
      <c r="T134" s="3" t="s">
        <v>119</v>
      </c>
    </row>
    <row r="135" spans="2:20">
      <c r="B135" s="3" t="s">
        <v>169</v>
      </c>
      <c r="F135" s="306">
        <v>1.1299999999999999</v>
      </c>
      <c r="T135" s="3" t="s">
        <v>119</v>
      </c>
    </row>
    <row r="136" spans="2:20">
      <c r="B136" s="3" t="s">
        <v>170</v>
      </c>
      <c r="F136" s="91">
        <v>1.4239999999999999</v>
      </c>
      <c r="T136" s="3" t="s">
        <v>119</v>
      </c>
    </row>
    <row r="138" spans="2:20" ht="13">
      <c r="B138" s="2" t="s">
        <v>250</v>
      </c>
    </row>
    <row r="139" spans="2:20">
      <c r="B139" s="3" t="s">
        <v>159</v>
      </c>
      <c r="F139" s="91">
        <v>1.7729999999999999</v>
      </c>
      <c r="T139" s="3" t="s">
        <v>119</v>
      </c>
    </row>
    <row r="140" spans="2:20">
      <c r="B140" s="3" t="s">
        <v>160</v>
      </c>
      <c r="F140" s="91">
        <v>1.585</v>
      </c>
      <c r="T140" s="3" t="s">
        <v>119</v>
      </c>
    </row>
    <row r="141" spans="2:20">
      <c r="B141" s="3" t="s">
        <v>161</v>
      </c>
      <c r="F141" s="91">
        <v>1.2390000000000001</v>
      </c>
      <c r="T141" s="3" t="s">
        <v>119</v>
      </c>
    </row>
    <row r="142" spans="2:20">
      <c r="B142" s="3" t="s">
        <v>162</v>
      </c>
      <c r="F142" s="91">
        <v>0.92400000000000004</v>
      </c>
      <c r="T142" s="3" t="s">
        <v>119</v>
      </c>
    </row>
    <row r="143" spans="2:20">
      <c r="B143" s="3" t="s">
        <v>163</v>
      </c>
      <c r="F143" s="91">
        <v>0.81899999999999995</v>
      </c>
      <c r="T143" s="3" t="s">
        <v>119</v>
      </c>
    </row>
    <row r="144" spans="2:20">
      <c r="B144" s="3" t="s">
        <v>164</v>
      </c>
      <c r="F144" s="91">
        <v>0.68799999999999994</v>
      </c>
      <c r="T144" s="3" t="s">
        <v>119</v>
      </c>
    </row>
    <row r="145" spans="2:20">
      <c r="B145" s="3" t="s">
        <v>165</v>
      </c>
      <c r="F145" s="91">
        <v>0.64900000000000002</v>
      </c>
      <c r="T145" s="3" t="s">
        <v>119</v>
      </c>
    </row>
    <row r="146" spans="2:20">
      <c r="B146" s="3" t="s">
        <v>166</v>
      </c>
      <c r="F146" s="91">
        <v>0.61799999999999999</v>
      </c>
      <c r="T146" s="3" t="s">
        <v>119</v>
      </c>
    </row>
    <row r="147" spans="2:20">
      <c r="B147" s="3" t="s">
        <v>167</v>
      </c>
      <c r="F147" s="91">
        <v>0.68600000000000005</v>
      </c>
      <c r="T147" s="3" t="s">
        <v>119</v>
      </c>
    </row>
    <row r="148" spans="2:20">
      <c r="B148" s="3" t="s">
        <v>168</v>
      </c>
      <c r="F148" s="91">
        <v>0.78700000000000003</v>
      </c>
      <c r="T148" s="3" t="s">
        <v>119</v>
      </c>
    </row>
    <row r="149" spans="2:20">
      <c r="B149" s="3" t="s">
        <v>169</v>
      </c>
      <c r="F149" s="91">
        <v>1.1679999999999999</v>
      </c>
      <c r="T149" s="3" t="s">
        <v>119</v>
      </c>
    </row>
    <row r="150" spans="2:20">
      <c r="B150" s="3" t="s">
        <v>170</v>
      </c>
      <c r="F150" s="91">
        <v>1.472</v>
      </c>
      <c r="T150" s="3" t="s">
        <v>119</v>
      </c>
    </row>
    <row r="152" spans="2:20" s="8" customFormat="1" ht="13">
      <c r="B152" s="8" t="s">
        <v>251</v>
      </c>
    </row>
    <row r="154" spans="2:20" ht="13">
      <c r="B154" s="2" t="s">
        <v>1128</v>
      </c>
      <c r="F154" s="25"/>
    </row>
    <row r="155" spans="2:20">
      <c r="B155" s="3" t="s">
        <v>159</v>
      </c>
      <c r="F155" s="91">
        <v>31</v>
      </c>
    </row>
    <row r="156" spans="2:20">
      <c r="B156" s="3" t="s">
        <v>160</v>
      </c>
      <c r="F156" s="91">
        <v>28</v>
      </c>
    </row>
    <row r="157" spans="2:20">
      <c r="B157" s="3" t="s">
        <v>161</v>
      </c>
      <c r="F157" s="91">
        <v>31</v>
      </c>
    </row>
    <row r="158" spans="2:20">
      <c r="B158" s="3" t="s">
        <v>162</v>
      </c>
      <c r="F158" s="91">
        <v>30</v>
      </c>
    </row>
    <row r="159" spans="2:20">
      <c r="B159" s="3" t="s">
        <v>163</v>
      </c>
      <c r="F159" s="91">
        <v>31</v>
      </c>
    </row>
    <row r="160" spans="2:20">
      <c r="B160" s="3" t="s">
        <v>164</v>
      </c>
      <c r="F160" s="91">
        <v>30</v>
      </c>
    </row>
    <row r="161" spans="2:6">
      <c r="B161" s="3" t="s">
        <v>165</v>
      </c>
      <c r="F161" s="91">
        <v>31</v>
      </c>
    </row>
    <row r="162" spans="2:6">
      <c r="B162" s="3" t="s">
        <v>166</v>
      </c>
      <c r="F162" s="91">
        <v>31</v>
      </c>
    </row>
    <row r="163" spans="2:6">
      <c r="B163" s="3" t="s">
        <v>167</v>
      </c>
      <c r="F163" s="91">
        <v>30</v>
      </c>
    </row>
    <row r="164" spans="2:6">
      <c r="B164" s="3" t="s">
        <v>168</v>
      </c>
      <c r="F164" s="91">
        <v>31</v>
      </c>
    </row>
    <row r="165" spans="2:6">
      <c r="B165" s="3" t="s">
        <v>169</v>
      </c>
      <c r="F165" s="91">
        <v>30</v>
      </c>
    </row>
    <row r="166" spans="2:6">
      <c r="B166" s="3" t="s">
        <v>170</v>
      </c>
      <c r="F166" s="91">
        <v>31</v>
      </c>
    </row>
    <row r="168" spans="2:6" ht="13">
      <c r="B168" s="2" t="s">
        <v>1129</v>
      </c>
    </row>
    <row r="169" spans="2:6">
      <c r="B169" s="3" t="s">
        <v>245</v>
      </c>
      <c r="F169" s="31">
        <f>SUM(F155:F157)</f>
        <v>90</v>
      </c>
    </row>
    <row r="170" spans="2:6">
      <c r="B170" s="3" t="s">
        <v>246</v>
      </c>
      <c r="F170" s="31">
        <f>SUM(F158:F160)</f>
        <v>91</v>
      </c>
    </row>
    <row r="171" spans="2:6">
      <c r="B171" s="3" t="s">
        <v>247</v>
      </c>
      <c r="F171" s="31">
        <f>SUM(F161:F163)</f>
        <v>92</v>
      </c>
    </row>
    <row r="172" spans="2:6">
      <c r="B172" s="3" t="s">
        <v>248</v>
      </c>
      <c r="F172" s="31">
        <f>SUM(F164:F166)</f>
        <v>92</v>
      </c>
    </row>
    <row r="174" spans="2:6" ht="13">
      <c r="B174" s="2" t="s">
        <v>1130</v>
      </c>
    </row>
    <row r="175" spans="2:6">
      <c r="B175" s="3" t="s">
        <v>252</v>
      </c>
      <c r="F175" s="91">
        <v>24</v>
      </c>
    </row>
    <row r="176" spans="2:6">
      <c r="B176" s="3" t="s">
        <v>253</v>
      </c>
      <c r="F176" s="31">
        <f>SUM(F155:F166)</f>
        <v>365</v>
      </c>
    </row>
    <row r="177" spans="2:22">
      <c r="B177" s="3" t="s">
        <v>254</v>
      </c>
      <c r="F177" s="31">
        <f>F175*F176</f>
        <v>8760</v>
      </c>
    </row>
    <row r="179" spans="2:22" s="8" customFormat="1" ht="13">
      <c r="B179" s="8" t="s">
        <v>255</v>
      </c>
    </row>
    <row r="181" spans="2:22" ht="13">
      <c r="B181" s="2" t="s">
        <v>256</v>
      </c>
    </row>
    <row r="182" spans="2:22" ht="13">
      <c r="B182" s="3" t="s">
        <v>257</v>
      </c>
      <c r="F182" s="133">
        <v>8.9999999999999998E-4</v>
      </c>
      <c r="H182" s="5"/>
      <c r="T182" s="3" t="s">
        <v>119</v>
      </c>
      <c r="V182" s="5"/>
    </row>
    <row r="183" spans="2:22" ht="13">
      <c r="B183" s="3" t="s">
        <v>258</v>
      </c>
      <c r="F183" s="133">
        <v>7.0199999999999999E-2</v>
      </c>
      <c r="H183" s="5"/>
      <c r="T183" s="3" t="s">
        <v>119</v>
      </c>
    </row>
    <row r="184" spans="2:22">
      <c r="B184" s="3" t="s">
        <v>259</v>
      </c>
      <c r="F184" s="133">
        <v>0.98319999999999996</v>
      </c>
      <c r="T184" s="3" t="s">
        <v>119</v>
      </c>
    </row>
    <row r="185" spans="2:22">
      <c r="B185" s="3" t="s">
        <v>260</v>
      </c>
      <c r="F185" s="133">
        <v>1E-4</v>
      </c>
      <c r="T185" s="3" t="s">
        <v>119</v>
      </c>
    </row>
    <row r="186" spans="2:22">
      <c r="B186" s="3" t="s">
        <v>261</v>
      </c>
      <c r="F186" s="133">
        <v>1E-4</v>
      </c>
      <c r="T186" s="3" t="s">
        <v>119</v>
      </c>
    </row>
    <row r="187" spans="2:22">
      <c r="B187" s="3" t="s">
        <v>262</v>
      </c>
      <c r="F187" s="133">
        <v>1E-4</v>
      </c>
      <c r="T187" s="3" t="s">
        <v>119</v>
      </c>
    </row>
    <row r="188" spans="2:22">
      <c r="B188" s="3" t="s">
        <v>1105</v>
      </c>
      <c r="F188" s="133">
        <v>1E-4</v>
      </c>
      <c r="T188" s="3" t="s">
        <v>119</v>
      </c>
    </row>
    <row r="189" spans="2:22">
      <c r="B189" s="3" t="s">
        <v>263</v>
      </c>
      <c r="F189" s="133">
        <v>1E-4</v>
      </c>
      <c r="T189" s="3" t="s">
        <v>119</v>
      </c>
    </row>
    <row r="190" spans="2:22">
      <c r="B190" s="3" t="s">
        <v>264</v>
      </c>
      <c r="F190" s="133">
        <v>0.51200000000000001</v>
      </c>
      <c r="T190" s="3" t="s">
        <v>119</v>
      </c>
    </row>
    <row r="191" spans="2:22">
      <c r="B191" s="3" t="s">
        <v>265</v>
      </c>
      <c r="F191" s="133">
        <v>0.2359</v>
      </c>
      <c r="T191" s="3" t="s">
        <v>119</v>
      </c>
    </row>
    <row r="192" spans="2:22">
      <c r="B192" s="3" t="s">
        <v>266</v>
      </c>
      <c r="F192" s="133">
        <v>0.625</v>
      </c>
      <c r="T192" s="3" t="s">
        <v>119</v>
      </c>
    </row>
    <row r="193" spans="2:20">
      <c r="B193" s="3" t="s">
        <v>267</v>
      </c>
      <c r="F193" s="133">
        <v>1E-4</v>
      </c>
      <c r="T193" s="3" t="s">
        <v>119</v>
      </c>
    </row>
    <row r="194" spans="2:20">
      <c r="B194" s="3" t="s">
        <v>268</v>
      </c>
      <c r="F194" s="133">
        <v>0.31780000000000003</v>
      </c>
      <c r="T194" s="3" t="s">
        <v>119</v>
      </c>
    </row>
    <row r="195" spans="2:20">
      <c r="B195" s="3" t="s">
        <v>269</v>
      </c>
      <c r="F195" s="133">
        <v>0.97389999999999999</v>
      </c>
      <c r="T195" s="3" t="s">
        <v>119</v>
      </c>
    </row>
    <row r="196" spans="2:20">
      <c r="B196" s="3" t="s">
        <v>142</v>
      </c>
      <c r="F196" s="133">
        <v>1E-4</v>
      </c>
      <c r="T196" s="3" t="s">
        <v>119</v>
      </c>
    </row>
    <row r="198" spans="2:20" ht="13">
      <c r="B198" s="2" t="s">
        <v>270</v>
      </c>
    </row>
    <row r="199" spans="2:20">
      <c r="B199" s="3" t="s">
        <v>257</v>
      </c>
      <c r="F199" s="133">
        <v>1E-4</v>
      </c>
      <c r="T199" s="3" t="s">
        <v>119</v>
      </c>
    </row>
    <row r="200" spans="2:20">
      <c r="B200" s="3" t="s">
        <v>258</v>
      </c>
      <c r="F200" s="133">
        <v>1E-4</v>
      </c>
      <c r="T200" s="3" t="s">
        <v>119</v>
      </c>
    </row>
    <row r="201" spans="2:20">
      <c r="B201" s="3" t="s">
        <v>259</v>
      </c>
      <c r="F201" s="133">
        <v>1E-4</v>
      </c>
      <c r="T201" s="3" t="s">
        <v>119</v>
      </c>
    </row>
    <row r="202" spans="2:20">
      <c r="B202" s="3" t="s">
        <v>260</v>
      </c>
      <c r="F202" s="133">
        <v>0.71899999999999997</v>
      </c>
      <c r="T202" s="3" t="s">
        <v>119</v>
      </c>
    </row>
    <row r="203" spans="2:20">
      <c r="B203" s="3" t="s">
        <v>261</v>
      </c>
      <c r="F203" s="133">
        <v>0.49359999999999998</v>
      </c>
      <c r="T203" s="3" t="s">
        <v>119</v>
      </c>
    </row>
    <row r="204" spans="2:20">
      <c r="B204" s="3" t="s">
        <v>262</v>
      </c>
      <c r="F204" s="133">
        <v>0.33329999999999999</v>
      </c>
      <c r="T204" s="3" t="s">
        <v>119</v>
      </c>
    </row>
    <row r="205" spans="2:20">
      <c r="B205" s="3" t="s">
        <v>1105</v>
      </c>
      <c r="F205" s="133">
        <v>0.95730000000000004</v>
      </c>
      <c r="T205" s="3" t="s">
        <v>119</v>
      </c>
    </row>
    <row r="206" spans="2:20">
      <c r="B206" s="3" t="s">
        <v>263</v>
      </c>
      <c r="F206" s="133">
        <v>0.1525</v>
      </c>
      <c r="T206" s="3" t="s">
        <v>119</v>
      </c>
    </row>
    <row r="207" spans="2:20">
      <c r="B207" s="3" t="s">
        <v>264</v>
      </c>
      <c r="F207" s="133">
        <v>0.50480000000000003</v>
      </c>
      <c r="T207" s="3" t="s">
        <v>119</v>
      </c>
    </row>
    <row r="208" spans="2:20">
      <c r="B208" s="3" t="s">
        <v>265</v>
      </c>
      <c r="F208" s="133">
        <v>1E-4</v>
      </c>
      <c r="T208" s="3" t="s">
        <v>119</v>
      </c>
    </row>
    <row r="209" spans="2:20">
      <c r="B209" s="3" t="s">
        <v>266</v>
      </c>
      <c r="F209" s="133">
        <v>0.374</v>
      </c>
      <c r="T209" s="3" t="s">
        <v>119</v>
      </c>
    </row>
    <row r="210" spans="2:20">
      <c r="B210" s="3" t="s">
        <v>267</v>
      </c>
      <c r="F210" s="133">
        <v>5.7700000000000001E-2</v>
      </c>
      <c r="T210" s="3" t="s">
        <v>119</v>
      </c>
    </row>
    <row r="211" spans="2:20">
      <c r="B211" s="3" t="s">
        <v>268</v>
      </c>
      <c r="F211" s="133">
        <v>1E-4</v>
      </c>
      <c r="T211" s="3" t="s">
        <v>119</v>
      </c>
    </row>
    <row r="212" spans="2:20">
      <c r="B212" s="3" t="s">
        <v>269</v>
      </c>
      <c r="F212" s="133">
        <v>0.64359999999999995</v>
      </c>
      <c r="T212" s="3" t="s">
        <v>119</v>
      </c>
    </row>
    <row r="213" spans="2:20">
      <c r="B213" s="3" t="s">
        <v>142</v>
      </c>
      <c r="F213" s="133">
        <v>1E-4</v>
      </c>
      <c r="T213" s="3" t="s">
        <v>119</v>
      </c>
    </row>
  </sheetData>
  <mergeCells count="4">
    <mergeCell ref="B5:D5"/>
    <mergeCell ref="V19:AB19"/>
    <mergeCell ref="V20:AB20"/>
    <mergeCell ref="V32:AB32"/>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69:F17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I238"/>
  <sheetViews>
    <sheetView showGridLines="0" zoomScale="85" zoomScaleNormal="85" workbookViewId="0"/>
  </sheetViews>
  <sheetFormatPr defaultColWidth="13.54296875" defaultRowHeight="12.5"/>
  <cols>
    <col min="1" max="1" width="2.54296875" style="3" customWidth="1"/>
    <col min="2" max="2" width="75.54296875" style="3" customWidth="1"/>
    <col min="3" max="3" width="2.54296875" style="3" customWidth="1"/>
    <col min="4" max="4" width="30.54296875" style="3" customWidth="1"/>
    <col min="5" max="5" width="15.54296875" style="3" customWidth="1"/>
    <col min="6" max="6" width="20" style="3" bestFit="1" customWidth="1"/>
    <col min="7" max="7" width="68.54296875" style="3" bestFit="1" customWidth="1"/>
    <col min="8" max="8" width="25.453125" style="3" customWidth="1"/>
    <col min="9" max="16384" width="13.54296875" style="3"/>
  </cols>
  <sheetData>
    <row r="2" spans="1:12" s="12" customFormat="1" ht="18">
      <c r="B2" s="12" t="s">
        <v>271</v>
      </c>
    </row>
    <row r="4" spans="1:12" ht="13">
      <c r="B4" s="16" t="s">
        <v>272</v>
      </c>
    </row>
    <row r="5" spans="1:12" ht="58.5" customHeight="1">
      <c r="B5" s="352" t="s">
        <v>273</v>
      </c>
      <c r="C5" s="352"/>
      <c r="D5" s="352"/>
      <c r="E5" s="352"/>
    </row>
    <row r="7" spans="1:12" s="8" customFormat="1" ht="13">
      <c r="A7" s="148"/>
      <c r="B7" s="8" t="s">
        <v>143</v>
      </c>
      <c r="G7" s="46"/>
      <c r="H7" s="46"/>
      <c r="I7" s="46"/>
      <c r="J7" s="46"/>
      <c r="K7" s="46"/>
      <c r="L7" s="46"/>
    </row>
    <row r="8" spans="1:12" ht="12" customHeight="1"/>
    <row r="9" spans="1:12" s="8" customFormat="1" ht="13">
      <c r="A9" s="148"/>
      <c r="B9" s="8" t="s">
        <v>274</v>
      </c>
      <c r="D9" s="8" t="s">
        <v>275</v>
      </c>
      <c r="E9" s="8" t="s">
        <v>276</v>
      </c>
      <c r="G9" s="8" t="s">
        <v>186</v>
      </c>
      <c r="H9" s="180"/>
      <c r="I9" s="180"/>
    </row>
    <row r="11" spans="1:12">
      <c r="B11" s="91" t="s">
        <v>277</v>
      </c>
      <c r="D11" s="91">
        <v>55</v>
      </c>
      <c r="E11" s="91">
        <v>1</v>
      </c>
      <c r="G11" s="3" t="s">
        <v>278</v>
      </c>
    </row>
    <row r="12" spans="1:12">
      <c r="B12" s="91" t="s">
        <v>279</v>
      </c>
      <c r="D12" s="91">
        <v>55</v>
      </c>
      <c r="E12" s="91">
        <v>0</v>
      </c>
      <c r="G12" s="3" t="s">
        <v>278</v>
      </c>
    </row>
    <row r="13" spans="1:12">
      <c r="B13" s="91" t="s">
        <v>280</v>
      </c>
      <c r="D13" s="91">
        <v>55</v>
      </c>
      <c r="E13" s="91">
        <v>0</v>
      </c>
      <c r="G13" s="3" t="s">
        <v>278</v>
      </c>
    </row>
    <row r="14" spans="1:12">
      <c r="B14" s="91" t="s">
        <v>281</v>
      </c>
      <c r="D14" s="91">
        <v>30</v>
      </c>
      <c r="E14" s="91">
        <v>0</v>
      </c>
      <c r="G14" s="3" t="s">
        <v>278</v>
      </c>
    </row>
    <row r="15" spans="1:12">
      <c r="B15" s="91" t="s">
        <v>282</v>
      </c>
      <c r="D15" s="91">
        <v>30</v>
      </c>
      <c r="E15" s="91">
        <v>0</v>
      </c>
      <c r="G15" s="3" t="s">
        <v>278</v>
      </c>
    </row>
    <row r="16" spans="1:12">
      <c r="B16" s="91" t="s">
        <v>283</v>
      </c>
      <c r="D16" s="91">
        <v>5</v>
      </c>
      <c r="E16" s="91">
        <v>1</v>
      </c>
      <c r="G16" s="3" t="s">
        <v>278</v>
      </c>
    </row>
    <row r="17" spans="2:7">
      <c r="B17" s="91" t="s">
        <v>284</v>
      </c>
      <c r="D17" s="91">
        <v>0</v>
      </c>
      <c r="E17" s="91">
        <v>0</v>
      </c>
      <c r="G17" s="3" t="s">
        <v>278</v>
      </c>
    </row>
    <row r="18" spans="2:7">
      <c r="B18" s="91" t="s">
        <v>285</v>
      </c>
      <c r="D18" s="91">
        <v>0</v>
      </c>
      <c r="E18" s="91">
        <v>0</v>
      </c>
      <c r="G18" s="3" t="s">
        <v>278</v>
      </c>
    </row>
    <row r="19" spans="2:7">
      <c r="B19" s="91" t="s">
        <v>286</v>
      </c>
      <c r="D19" s="91">
        <v>10</v>
      </c>
      <c r="E19" s="91">
        <v>0</v>
      </c>
      <c r="G19" s="3" t="s">
        <v>278</v>
      </c>
    </row>
    <row r="20" spans="2:7">
      <c r="B20" s="290" t="s">
        <v>287</v>
      </c>
      <c r="D20" s="290">
        <v>10</v>
      </c>
      <c r="E20" s="290">
        <v>0</v>
      </c>
      <c r="G20" s="3" t="s">
        <v>288</v>
      </c>
    </row>
    <row r="21" spans="2:7">
      <c r="B21" s="91" t="s">
        <v>289</v>
      </c>
      <c r="D21" s="91">
        <v>10</v>
      </c>
      <c r="E21" s="91">
        <v>0</v>
      </c>
      <c r="G21" s="3" t="s">
        <v>278</v>
      </c>
    </row>
    <row r="22" spans="2:7">
      <c r="B22" s="290" t="s">
        <v>1096</v>
      </c>
      <c r="D22" s="290">
        <v>10</v>
      </c>
      <c r="E22" s="290">
        <v>0</v>
      </c>
      <c r="G22" s="3" t="s">
        <v>1104</v>
      </c>
    </row>
    <row r="23" spans="2:7">
      <c r="B23" s="290" t="s">
        <v>1100</v>
      </c>
      <c r="D23" s="290">
        <v>10</v>
      </c>
      <c r="E23" s="290">
        <v>0</v>
      </c>
      <c r="G23" s="3" t="s">
        <v>1104</v>
      </c>
    </row>
    <row r="24" spans="2:7">
      <c r="B24" s="91" t="s">
        <v>290</v>
      </c>
      <c r="D24" s="91">
        <v>30</v>
      </c>
      <c r="E24" s="91">
        <v>0</v>
      </c>
      <c r="G24" s="3" t="s">
        <v>278</v>
      </c>
    </row>
    <row r="25" spans="2:7">
      <c r="B25" s="91" t="s">
        <v>291</v>
      </c>
      <c r="D25" s="91">
        <v>30</v>
      </c>
      <c r="E25" s="91">
        <v>0</v>
      </c>
      <c r="G25" s="3" t="s">
        <v>278</v>
      </c>
    </row>
    <row r="26" spans="2:7">
      <c r="B26" s="91" t="s">
        <v>292</v>
      </c>
      <c r="D26" s="91">
        <v>30</v>
      </c>
      <c r="E26" s="91">
        <v>0</v>
      </c>
      <c r="G26" s="3" t="s">
        <v>278</v>
      </c>
    </row>
    <row r="27" spans="2:7">
      <c r="B27" s="290" t="s">
        <v>1097</v>
      </c>
      <c r="D27" s="290">
        <v>30</v>
      </c>
      <c r="E27" s="290">
        <v>0</v>
      </c>
      <c r="G27" s="3" t="s">
        <v>1104</v>
      </c>
    </row>
    <row r="28" spans="2:7">
      <c r="B28" s="290" t="s">
        <v>1101</v>
      </c>
      <c r="D28" s="290">
        <v>30</v>
      </c>
      <c r="E28" s="290">
        <v>0</v>
      </c>
      <c r="G28" s="3" t="s">
        <v>1104</v>
      </c>
    </row>
    <row r="29" spans="2:7">
      <c r="B29" s="91" t="s">
        <v>293</v>
      </c>
      <c r="D29" s="91">
        <v>55</v>
      </c>
      <c r="E29" s="91">
        <v>0</v>
      </c>
      <c r="G29" s="3" t="s">
        <v>278</v>
      </c>
    </row>
    <row r="30" spans="2:7">
      <c r="B30" s="91" t="s">
        <v>294</v>
      </c>
      <c r="D30" s="91">
        <v>10</v>
      </c>
      <c r="E30" s="91">
        <v>0</v>
      </c>
      <c r="G30" s="3" t="s">
        <v>278</v>
      </c>
    </row>
    <row r="31" spans="2:7">
      <c r="B31" s="290" t="s">
        <v>1098</v>
      </c>
      <c r="D31" s="290">
        <v>10</v>
      </c>
      <c r="E31" s="290">
        <v>1</v>
      </c>
      <c r="G31" s="3" t="s">
        <v>1104</v>
      </c>
    </row>
    <row r="32" spans="2:7">
      <c r="B32" s="290" t="s">
        <v>1102</v>
      </c>
      <c r="D32" s="290">
        <v>10</v>
      </c>
      <c r="E32" s="290">
        <v>1</v>
      </c>
      <c r="G32" s="3" t="s">
        <v>1104</v>
      </c>
    </row>
    <row r="33" spans="2:7">
      <c r="B33" s="91" t="s">
        <v>295</v>
      </c>
      <c r="D33" s="91">
        <v>10</v>
      </c>
      <c r="E33" s="91">
        <v>1</v>
      </c>
      <c r="G33" s="3" t="s">
        <v>278</v>
      </c>
    </row>
    <row r="34" spans="2:7">
      <c r="B34" s="91" t="s">
        <v>296</v>
      </c>
      <c r="D34" s="91">
        <v>10</v>
      </c>
      <c r="E34" s="91">
        <v>1</v>
      </c>
      <c r="G34" s="3" t="s">
        <v>278</v>
      </c>
    </row>
    <row r="35" spans="2:7">
      <c r="B35" s="91" t="s">
        <v>297</v>
      </c>
      <c r="D35" s="91">
        <v>10</v>
      </c>
      <c r="E35" s="91">
        <v>0</v>
      </c>
      <c r="G35" s="3" t="s">
        <v>278</v>
      </c>
    </row>
    <row r="36" spans="2:7">
      <c r="B36" s="91" t="s">
        <v>298</v>
      </c>
      <c r="D36" s="91">
        <v>10</v>
      </c>
      <c r="E36" s="91">
        <v>0</v>
      </c>
      <c r="G36" s="3" t="s">
        <v>278</v>
      </c>
    </row>
    <row r="37" spans="2:7">
      <c r="B37" s="91" t="s">
        <v>299</v>
      </c>
      <c r="D37" s="91">
        <v>10</v>
      </c>
      <c r="E37" s="91">
        <v>0</v>
      </c>
      <c r="G37" s="3" t="s">
        <v>278</v>
      </c>
    </row>
    <row r="38" spans="2:7">
      <c r="B38" s="91" t="s">
        <v>300</v>
      </c>
      <c r="D38" s="91">
        <v>10</v>
      </c>
      <c r="E38" s="91">
        <v>1</v>
      </c>
      <c r="G38" s="3" t="s">
        <v>278</v>
      </c>
    </row>
    <row r="39" spans="2:7">
      <c r="B39" s="91" t="s">
        <v>301</v>
      </c>
      <c r="D39" s="91">
        <v>10</v>
      </c>
      <c r="E39" s="91">
        <v>0</v>
      </c>
      <c r="G39" s="3" t="s">
        <v>278</v>
      </c>
    </row>
    <row r="40" spans="2:7">
      <c r="B40" s="91" t="s">
        <v>302</v>
      </c>
      <c r="D40" s="91">
        <v>10</v>
      </c>
      <c r="E40" s="91">
        <v>0</v>
      </c>
      <c r="G40" s="3" t="s">
        <v>278</v>
      </c>
    </row>
    <row r="41" spans="2:7">
      <c r="B41" s="91" t="s">
        <v>303</v>
      </c>
      <c r="D41" s="91">
        <v>10</v>
      </c>
      <c r="E41" s="91">
        <v>0</v>
      </c>
      <c r="G41" s="3" t="s">
        <v>278</v>
      </c>
    </row>
    <row r="42" spans="2:7">
      <c r="B42" s="91" t="s">
        <v>304</v>
      </c>
      <c r="D42" s="91">
        <v>10</v>
      </c>
      <c r="E42" s="91">
        <v>1</v>
      </c>
      <c r="G42" s="3" t="s">
        <v>278</v>
      </c>
    </row>
    <row r="43" spans="2:7">
      <c r="B43" s="91" t="s">
        <v>305</v>
      </c>
      <c r="D43" s="91">
        <v>10</v>
      </c>
      <c r="E43" s="91">
        <v>1</v>
      </c>
      <c r="G43" s="3" t="s">
        <v>278</v>
      </c>
    </row>
    <row r="44" spans="2:7">
      <c r="B44" s="91" t="s">
        <v>306</v>
      </c>
      <c r="D44" s="91">
        <v>10</v>
      </c>
      <c r="E44" s="91">
        <v>0</v>
      </c>
      <c r="G44" s="3" t="s">
        <v>278</v>
      </c>
    </row>
    <row r="45" spans="2:7">
      <c r="B45" s="91" t="s">
        <v>307</v>
      </c>
      <c r="D45" s="91">
        <v>10</v>
      </c>
      <c r="E45" s="91">
        <v>1</v>
      </c>
      <c r="G45" s="3" t="s">
        <v>278</v>
      </c>
    </row>
    <row r="46" spans="2:7">
      <c r="B46" s="91" t="s">
        <v>308</v>
      </c>
      <c r="D46" s="91">
        <v>10</v>
      </c>
      <c r="E46" s="91">
        <v>0</v>
      </c>
      <c r="G46" s="3" t="s">
        <v>278</v>
      </c>
    </row>
    <row r="47" spans="2:7">
      <c r="B47" s="91" t="s">
        <v>309</v>
      </c>
      <c r="D47" s="91">
        <v>10</v>
      </c>
      <c r="E47" s="91">
        <v>0</v>
      </c>
      <c r="G47" s="3" t="s">
        <v>278</v>
      </c>
    </row>
    <row r="48" spans="2:7">
      <c r="B48" s="91" t="s">
        <v>310</v>
      </c>
      <c r="D48" s="91">
        <v>30</v>
      </c>
      <c r="E48" s="91">
        <v>1</v>
      </c>
      <c r="G48" s="3" t="s">
        <v>278</v>
      </c>
    </row>
    <row r="49" spans="2:7">
      <c r="B49" s="91" t="s">
        <v>311</v>
      </c>
      <c r="D49" s="91">
        <v>30</v>
      </c>
      <c r="E49" s="91">
        <v>0</v>
      </c>
      <c r="G49" s="3" t="s">
        <v>278</v>
      </c>
    </row>
    <row r="50" spans="2:7">
      <c r="B50" s="91" t="s">
        <v>312</v>
      </c>
      <c r="D50" s="91">
        <v>30</v>
      </c>
      <c r="E50" s="91">
        <v>0</v>
      </c>
      <c r="G50" s="3" t="s">
        <v>278</v>
      </c>
    </row>
    <row r="51" spans="2:7">
      <c r="B51" s="91" t="s">
        <v>313</v>
      </c>
      <c r="D51" s="91">
        <v>30</v>
      </c>
      <c r="E51" s="91">
        <v>0</v>
      </c>
      <c r="G51" s="3" t="s">
        <v>278</v>
      </c>
    </row>
    <row r="52" spans="2:7">
      <c r="B52" s="91" t="s">
        <v>314</v>
      </c>
      <c r="D52" s="91">
        <v>30</v>
      </c>
      <c r="E52" s="91">
        <v>0</v>
      </c>
      <c r="G52" s="3" t="s">
        <v>278</v>
      </c>
    </row>
    <row r="53" spans="2:7">
      <c r="B53" s="91" t="s">
        <v>315</v>
      </c>
      <c r="D53" s="91">
        <v>30</v>
      </c>
      <c r="E53" s="91">
        <v>1</v>
      </c>
      <c r="G53" s="3" t="s">
        <v>278</v>
      </c>
    </row>
    <row r="54" spans="2:7">
      <c r="B54" s="91" t="s">
        <v>316</v>
      </c>
      <c r="D54" s="91">
        <v>30</v>
      </c>
      <c r="E54" s="91">
        <v>1</v>
      </c>
      <c r="G54" s="3" t="s">
        <v>278</v>
      </c>
    </row>
    <row r="55" spans="2:7">
      <c r="B55" s="91" t="s">
        <v>317</v>
      </c>
      <c r="D55" s="91">
        <v>30</v>
      </c>
      <c r="E55" s="91">
        <v>0</v>
      </c>
      <c r="G55" s="3" t="s">
        <v>278</v>
      </c>
    </row>
    <row r="56" spans="2:7">
      <c r="B56" s="91" t="s">
        <v>318</v>
      </c>
      <c r="D56" s="91">
        <v>55</v>
      </c>
      <c r="E56" s="91">
        <v>1</v>
      </c>
      <c r="G56" s="3" t="s">
        <v>278</v>
      </c>
    </row>
    <row r="57" spans="2:7">
      <c r="B57" s="91" t="s">
        <v>319</v>
      </c>
      <c r="D57" s="91">
        <v>55</v>
      </c>
      <c r="E57" s="91">
        <v>0</v>
      </c>
      <c r="G57" s="3" t="s">
        <v>278</v>
      </c>
    </row>
    <row r="58" spans="2:7">
      <c r="B58" s="91" t="s">
        <v>320</v>
      </c>
      <c r="D58" s="91">
        <v>55</v>
      </c>
      <c r="E58" s="91">
        <v>0</v>
      </c>
      <c r="G58" s="3" t="s">
        <v>278</v>
      </c>
    </row>
    <row r="59" spans="2:7">
      <c r="B59" s="91" t="s">
        <v>321</v>
      </c>
      <c r="D59" s="91">
        <v>55</v>
      </c>
      <c r="E59" s="91">
        <v>0</v>
      </c>
      <c r="G59" s="3" t="s">
        <v>278</v>
      </c>
    </row>
    <row r="60" spans="2:7">
      <c r="B60" s="290" t="s">
        <v>1099</v>
      </c>
      <c r="D60" s="290">
        <v>55</v>
      </c>
      <c r="E60" s="290">
        <v>0</v>
      </c>
      <c r="G60" s="3" t="s">
        <v>1104</v>
      </c>
    </row>
    <row r="61" spans="2:7">
      <c r="B61" s="290" t="s">
        <v>1103</v>
      </c>
      <c r="D61" s="290">
        <v>55</v>
      </c>
      <c r="E61" s="290">
        <v>0</v>
      </c>
      <c r="G61" s="3" t="s">
        <v>1104</v>
      </c>
    </row>
    <row r="62" spans="2:7">
      <c r="B62" s="91" t="s">
        <v>322</v>
      </c>
      <c r="D62" s="91">
        <v>55</v>
      </c>
      <c r="E62" s="91">
        <v>1</v>
      </c>
      <c r="G62" s="3" t="s">
        <v>278</v>
      </c>
    </row>
    <row r="63" spans="2:7">
      <c r="B63" s="91" t="s">
        <v>323</v>
      </c>
      <c r="D63" s="91">
        <v>55</v>
      </c>
      <c r="E63" s="91">
        <v>1</v>
      </c>
      <c r="G63" s="3" t="s">
        <v>278</v>
      </c>
    </row>
    <row r="64" spans="2:7">
      <c r="B64" s="91" t="s">
        <v>324</v>
      </c>
      <c r="D64" s="91">
        <v>30</v>
      </c>
      <c r="E64" s="91">
        <v>1</v>
      </c>
      <c r="G64" s="3" t="s">
        <v>278</v>
      </c>
    </row>
    <row r="65" spans="2:7">
      <c r="B65" s="91" t="s">
        <v>325</v>
      </c>
      <c r="D65" s="91">
        <v>30</v>
      </c>
      <c r="E65" s="91">
        <v>0</v>
      </c>
      <c r="G65" s="3" t="s">
        <v>278</v>
      </c>
    </row>
    <row r="66" spans="2:7">
      <c r="B66" s="91" t="s">
        <v>326</v>
      </c>
      <c r="D66" s="91">
        <v>30</v>
      </c>
      <c r="E66" s="91">
        <v>0</v>
      </c>
      <c r="G66" s="3" t="s">
        <v>278</v>
      </c>
    </row>
    <row r="67" spans="2:7">
      <c r="B67" s="91" t="s">
        <v>327</v>
      </c>
      <c r="D67" s="91">
        <v>30</v>
      </c>
      <c r="E67" s="91">
        <v>1</v>
      </c>
      <c r="G67" s="3" t="s">
        <v>278</v>
      </c>
    </row>
    <row r="68" spans="2:7">
      <c r="B68" s="91" t="s">
        <v>328</v>
      </c>
      <c r="D68" s="91">
        <v>30</v>
      </c>
      <c r="E68" s="91">
        <v>0</v>
      </c>
      <c r="G68" s="3" t="s">
        <v>278</v>
      </c>
    </row>
    <row r="69" spans="2:7">
      <c r="B69" s="91" t="s">
        <v>329</v>
      </c>
      <c r="D69" s="91">
        <v>30</v>
      </c>
      <c r="E69" s="91">
        <v>1</v>
      </c>
      <c r="G69" s="3" t="s">
        <v>278</v>
      </c>
    </row>
    <row r="70" spans="2:7">
      <c r="B70" s="91" t="s">
        <v>330</v>
      </c>
      <c r="D70" s="91">
        <v>30</v>
      </c>
      <c r="E70" s="91">
        <v>0</v>
      </c>
      <c r="G70" s="3" t="s">
        <v>278</v>
      </c>
    </row>
    <row r="71" spans="2:7">
      <c r="B71" s="91" t="s">
        <v>331</v>
      </c>
      <c r="D71" s="91">
        <v>30</v>
      </c>
      <c r="E71" s="91">
        <v>0</v>
      </c>
      <c r="G71" s="3" t="s">
        <v>278</v>
      </c>
    </row>
    <row r="72" spans="2:7">
      <c r="B72" s="91" t="s">
        <v>332</v>
      </c>
      <c r="D72" s="91">
        <v>30</v>
      </c>
      <c r="E72" s="91">
        <v>1</v>
      </c>
      <c r="G72" s="3" t="s">
        <v>278</v>
      </c>
    </row>
    <row r="73" spans="2:7">
      <c r="B73" s="91" t="s">
        <v>333</v>
      </c>
      <c r="D73" s="91">
        <v>30</v>
      </c>
      <c r="E73" s="91">
        <v>0</v>
      </c>
      <c r="G73" s="3" t="s">
        <v>278</v>
      </c>
    </row>
    <row r="74" spans="2:7">
      <c r="B74" s="91" t="s">
        <v>334</v>
      </c>
      <c r="D74" s="91">
        <v>5</v>
      </c>
      <c r="E74" s="91">
        <v>1</v>
      </c>
      <c r="G74" s="3" t="s">
        <v>278</v>
      </c>
    </row>
    <row r="75" spans="2:7">
      <c r="B75" s="91" t="s">
        <v>335</v>
      </c>
      <c r="D75" s="91">
        <v>5</v>
      </c>
      <c r="E75" s="91">
        <v>0</v>
      </c>
      <c r="G75" s="3" t="s">
        <v>278</v>
      </c>
    </row>
    <row r="76" spans="2:7">
      <c r="B76" s="91" t="s">
        <v>336</v>
      </c>
      <c r="D76" s="91">
        <v>5</v>
      </c>
      <c r="E76" s="91">
        <v>0</v>
      </c>
      <c r="G76" s="3" t="s">
        <v>278</v>
      </c>
    </row>
    <row r="77" spans="2:7">
      <c r="B77" s="91" t="s">
        <v>337</v>
      </c>
      <c r="D77" s="91">
        <v>5</v>
      </c>
      <c r="E77" s="91">
        <v>0</v>
      </c>
      <c r="G77" s="3" t="s">
        <v>278</v>
      </c>
    </row>
    <row r="78" spans="2:7">
      <c r="B78" s="91" t="s">
        <v>338</v>
      </c>
      <c r="D78" s="91">
        <v>5</v>
      </c>
      <c r="E78" s="91">
        <v>0</v>
      </c>
      <c r="G78" s="3" t="s">
        <v>278</v>
      </c>
    </row>
    <row r="79" spans="2:7">
      <c r="B79" s="91" t="s">
        <v>339</v>
      </c>
      <c r="D79" s="91">
        <v>10</v>
      </c>
      <c r="E79" s="91">
        <v>1</v>
      </c>
      <c r="G79" s="3" t="s">
        <v>278</v>
      </c>
    </row>
    <row r="80" spans="2:7">
      <c r="B80" s="91" t="s">
        <v>340</v>
      </c>
      <c r="D80" s="91">
        <v>15</v>
      </c>
      <c r="E80" s="91">
        <v>1</v>
      </c>
      <c r="G80" s="3" t="s">
        <v>278</v>
      </c>
    </row>
    <row r="81" spans="2:11">
      <c r="B81" s="91" t="s">
        <v>341</v>
      </c>
      <c r="D81" s="91">
        <v>15</v>
      </c>
      <c r="E81" s="91">
        <v>0</v>
      </c>
      <c r="G81" s="3" t="s">
        <v>278</v>
      </c>
    </row>
    <row r="82" spans="2:11">
      <c r="B82" s="91" t="s">
        <v>342</v>
      </c>
      <c r="D82" s="91">
        <v>15</v>
      </c>
      <c r="E82" s="91">
        <v>0</v>
      </c>
      <c r="G82" s="3" t="s">
        <v>278</v>
      </c>
    </row>
    <row r="83" spans="2:11">
      <c r="B83" s="91" t="s">
        <v>343</v>
      </c>
      <c r="D83" s="91">
        <v>55</v>
      </c>
      <c r="E83" s="91">
        <v>1</v>
      </c>
      <c r="G83" s="3" t="s">
        <v>278</v>
      </c>
    </row>
    <row r="84" spans="2:11">
      <c r="B84" s="91" t="s">
        <v>344</v>
      </c>
      <c r="D84" s="91">
        <v>30</v>
      </c>
      <c r="E84" s="91">
        <v>0</v>
      </c>
      <c r="G84" s="3" t="s">
        <v>278</v>
      </c>
    </row>
    <row r="85" spans="2:11">
      <c r="B85" s="91" t="s">
        <v>345</v>
      </c>
      <c r="D85" s="91">
        <v>0</v>
      </c>
      <c r="E85" s="91">
        <v>0</v>
      </c>
      <c r="G85" s="3" t="s">
        <v>278</v>
      </c>
    </row>
    <row r="86" spans="2:11">
      <c r="B86" s="91" t="s">
        <v>346</v>
      </c>
      <c r="D86" s="91">
        <v>0</v>
      </c>
      <c r="E86" s="91">
        <v>0</v>
      </c>
      <c r="G86" s="3" t="s">
        <v>278</v>
      </c>
    </row>
    <row r="87" spans="2:11">
      <c r="B87" s="91" t="s">
        <v>347</v>
      </c>
      <c r="D87" s="91">
        <v>0</v>
      </c>
      <c r="E87" s="91">
        <v>0</v>
      </c>
      <c r="G87" s="3" t="s">
        <v>278</v>
      </c>
    </row>
    <row r="88" spans="2:11">
      <c r="B88" s="91" t="s">
        <v>348</v>
      </c>
      <c r="D88" s="91">
        <v>55</v>
      </c>
      <c r="E88" s="91">
        <v>0</v>
      </c>
      <c r="G88" s="3" t="s">
        <v>278</v>
      </c>
    </row>
    <row r="89" spans="2:11">
      <c r="B89" s="91" t="s">
        <v>349</v>
      </c>
      <c r="D89" s="91">
        <v>30</v>
      </c>
      <c r="E89" s="91">
        <v>0</v>
      </c>
      <c r="G89" s="3" t="s">
        <v>278</v>
      </c>
    </row>
    <row r="91" spans="2:11" s="33" customFormat="1" ht="13">
      <c r="B91" s="33" t="s">
        <v>350</v>
      </c>
    </row>
    <row r="92" spans="2:11" s="39" customFormat="1" ht="13">
      <c r="B92" s="39" t="s">
        <v>351</v>
      </c>
      <c r="D92" s="39" t="s">
        <v>352</v>
      </c>
      <c r="F92" s="40" t="s">
        <v>353</v>
      </c>
      <c r="G92" s="39" t="s">
        <v>274</v>
      </c>
      <c r="H92" s="40" t="s">
        <v>275</v>
      </c>
      <c r="I92" s="41" t="s">
        <v>354</v>
      </c>
      <c r="J92" s="41"/>
      <c r="K92" s="34" t="s">
        <v>186</v>
      </c>
    </row>
    <row r="93" spans="2:11" s="48" customFormat="1" ht="13">
      <c r="F93" s="49"/>
      <c r="H93" s="49"/>
      <c r="I93" s="50"/>
    </row>
    <row r="94" spans="2:11">
      <c r="B94" s="291">
        <v>1529</v>
      </c>
      <c r="D94" s="145">
        <v>0</v>
      </c>
      <c r="F94" s="91">
        <v>2020</v>
      </c>
      <c r="G94" s="91" t="s">
        <v>355</v>
      </c>
      <c r="H94" s="91">
        <v>0</v>
      </c>
      <c r="I94" s="91">
        <v>1</v>
      </c>
      <c r="K94" s="3" t="s">
        <v>113</v>
      </c>
    </row>
    <row r="95" spans="2:11">
      <c r="B95" s="291">
        <v>1530</v>
      </c>
      <c r="D95" s="145">
        <v>16428371.587765666</v>
      </c>
      <c r="F95" s="91">
        <v>2020</v>
      </c>
      <c r="G95" s="91" t="s">
        <v>355</v>
      </c>
      <c r="H95" s="91">
        <v>5</v>
      </c>
      <c r="I95" s="91">
        <v>1</v>
      </c>
      <c r="K95" s="3" t="s">
        <v>113</v>
      </c>
    </row>
    <row r="96" spans="2:11">
      <c r="B96" s="291">
        <v>1531</v>
      </c>
      <c r="D96" s="145">
        <v>4983079.8391110003</v>
      </c>
      <c r="F96" s="91">
        <v>2020</v>
      </c>
      <c r="G96" s="91" t="s">
        <v>355</v>
      </c>
      <c r="H96" s="91">
        <v>10</v>
      </c>
      <c r="I96" s="91">
        <v>1</v>
      </c>
      <c r="K96" s="3" t="s">
        <v>113</v>
      </c>
    </row>
    <row r="97" spans="2:11">
      <c r="B97" s="291">
        <v>1532</v>
      </c>
      <c r="D97" s="145">
        <v>23504856.52408703</v>
      </c>
      <c r="F97" s="91">
        <v>2020</v>
      </c>
      <c r="G97" s="91" t="s">
        <v>355</v>
      </c>
      <c r="H97" s="91">
        <v>15</v>
      </c>
      <c r="I97" s="91">
        <v>1</v>
      </c>
      <c r="K97" s="3" t="s">
        <v>113</v>
      </c>
    </row>
    <row r="98" spans="2:11">
      <c r="B98" s="291">
        <v>1533</v>
      </c>
      <c r="D98" s="145">
        <v>28868891.250722278</v>
      </c>
      <c r="F98" s="91">
        <v>2020</v>
      </c>
      <c r="G98" s="91" t="s">
        <v>355</v>
      </c>
      <c r="H98" s="91">
        <v>30</v>
      </c>
      <c r="I98" s="91">
        <v>1</v>
      </c>
      <c r="K98" s="3" t="s">
        <v>113</v>
      </c>
    </row>
    <row r="99" spans="2:11">
      <c r="B99" s="291">
        <v>1534</v>
      </c>
      <c r="D99" s="145">
        <v>79913166.073822603</v>
      </c>
      <c r="F99" s="91">
        <v>2020</v>
      </c>
      <c r="G99" s="91" t="s">
        <v>355</v>
      </c>
      <c r="H99" s="91">
        <v>55</v>
      </c>
      <c r="I99" s="91">
        <v>1</v>
      </c>
      <c r="K99" s="3" t="s">
        <v>113</v>
      </c>
    </row>
    <row r="100" spans="2:11">
      <c r="B100" s="291">
        <v>1535</v>
      </c>
      <c r="D100" s="145">
        <v>-30502.390165910823</v>
      </c>
      <c r="F100" s="91">
        <v>2020</v>
      </c>
      <c r="G100" s="91" t="s">
        <v>355</v>
      </c>
      <c r="H100" s="91">
        <v>0</v>
      </c>
      <c r="I100" s="91">
        <v>0</v>
      </c>
      <c r="K100" s="3" t="s">
        <v>113</v>
      </c>
    </row>
    <row r="101" spans="2:11">
      <c r="B101" s="291">
        <v>1536</v>
      </c>
      <c r="D101" s="145">
        <v>429610.71824132768</v>
      </c>
      <c r="F101" s="91">
        <v>2020</v>
      </c>
      <c r="G101" s="91" t="s">
        <v>355</v>
      </c>
      <c r="H101" s="91">
        <v>5</v>
      </c>
      <c r="I101" s="91">
        <v>0</v>
      </c>
      <c r="K101" s="3" t="s">
        <v>113</v>
      </c>
    </row>
    <row r="102" spans="2:11">
      <c r="B102" s="291">
        <v>1537</v>
      </c>
      <c r="D102" s="145">
        <v>1540614.7503467209</v>
      </c>
      <c r="F102" s="91">
        <v>2020</v>
      </c>
      <c r="G102" s="91" t="s">
        <v>355</v>
      </c>
      <c r="H102" s="91">
        <v>10</v>
      </c>
      <c r="I102" s="91">
        <v>0</v>
      </c>
      <c r="K102" s="3" t="s">
        <v>113</v>
      </c>
    </row>
    <row r="103" spans="2:11">
      <c r="B103" s="291">
        <v>1538</v>
      </c>
      <c r="D103" s="145">
        <v>4629744.6502016177</v>
      </c>
      <c r="F103" s="91">
        <v>2020</v>
      </c>
      <c r="G103" s="91" t="s">
        <v>355</v>
      </c>
      <c r="H103" s="91">
        <v>15</v>
      </c>
      <c r="I103" s="91">
        <v>0</v>
      </c>
      <c r="K103" s="3" t="s">
        <v>113</v>
      </c>
    </row>
    <row r="104" spans="2:11">
      <c r="B104" s="291">
        <v>1539</v>
      </c>
      <c r="D104" s="145">
        <v>26259145.971940324</v>
      </c>
      <c r="F104" s="91">
        <v>2020</v>
      </c>
      <c r="G104" s="91" t="s">
        <v>355</v>
      </c>
      <c r="H104" s="91">
        <v>30</v>
      </c>
      <c r="I104" s="91">
        <v>0</v>
      </c>
      <c r="K104" s="3" t="s">
        <v>113</v>
      </c>
    </row>
    <row r="105" spans="2:11">
      <c r="B105" s="291">
        <v>1540</v>
      </c>
      <c r="D105" s="145">
        <v>37094.77163904941</v>
      </c>
      <c r="F105" s="91">
        <v>2020</v>
      </c>
      <c r="G105" s="91" t="s">
        <v>355</v>
      </c>
      <c r="H105" s="91">
        <v>55</v>
      </c>
      <c r="I105" s="91">
        <v>0</v>
      </c>
      <c r="K105" s="3" t="s">
        <v>113</v>
      </c>
    </row>
    <row r="106" spans="2:11">
      <c r="B106" s="291">
        <v>1541</v>
      </c>
      <c r="D106" s="145">
        <v>0</v>
      </c>
      <c r="F106" s="91">
        <v>2020</v>
      </c>
      <c r="G106" s="91" t="s">
        <v>355</v>
      </c>
      <c r="H106" s="91">
        <v>0</v>
      </c>
      <c r="I106" s="91">
        <v>0</v>
      </c>
      <c r="K106" s="3" t="s">
        <v>113</v>
      </c>
    </row>
    <row r="107" spans="2:11" ht="12" customHeight="1">
      <c r="B107" s="291">
        <v>1542</v>
      </c>
      <c r="D107" s="145">
        <v>617395.17786534363</v>
      </c>
      <c r="F107" s="91">
        <v>2020</v>
      </c>
      <c r="G107" s="91" t="s">
        <v>355</v>
      </c>
      <c r="H107" s="91">
        <v>5</v>
      </c>
      <c r="I107" s="91">
        <v>0</v>
      </c>
      <c r="K107" s="3" t="s">
        <v>113</v>
      </c>
    </row>
    <row r="108" spans="2:11">
      <c r="B108" s="291">
        <v>1543</v>
      </c>
      <c r="D108" s="145">
        <v>4570297.1729062358</v>
      </c>
      <c r="F108" s="91">
        <v>2020</v>
      </c>
      <c r="G108" s="91" t="s">
        <v>355</v>
      </c>
      <c r="H108" s="91">
        <v>10</v>
      </c>
      <c r="I108" s="91">
        <v>0</v>
      </c>
      <c r="K108" s="3" t="s">
        <v>113</v>
      </c>
    </row>
    <row r="109" spans="2:11">
      <c r="B109" s="291">
        <v>1544</v>
      </c>
      <c r="D109" s="145">
        <v>7478818.3856429011</v>
      </c>
      <c r="F109" s="91">
        <v>2020</v>
      </c>
      <c r="G109" s="91" t="s">
        <v>355</v>
      </c>
      <c r="H109" s="91">
        <v>15</v>
      </c>
      <c r="I109" s="91">
        <v>0</v>
      </c>
      <c r="K109" s="3" t="s">
        <v>113</v>
      </c>
    </row>
    <row r="110" spans="2:11">
      <c r="B110" s="291">
        <v>1545</v>
      </c>
      <c r="D110" s="145">
        <v>7420552.1500870837</v>
      </c>
      <c r="F110" s="91">
        <v>2020</v>
      </c>
      <c r="G110" s="91" t="s">
        <v>355</v>
      </c>
      <c r="H110" s="91">
        <v>30</v>
      </c>
      <c r="I110" s="91">
        <v>0</v>
      </c>
      <c r="K110" s="3" t="s">
        <v>113</v>
      </c>
    </row>
    <row r="111" spans="2:11">
      <c r="B111" s="291">
        <v>1546</v>
      </c>
      <c r="D111" s="145">
        <v>0</v>
      </c>
      <c r="F111" s="91">
        <v>2020</v>
      </c>
      <c r="G111" s="91" t="s">
        <v>355</v>
      </c>
      <c r="H111" s="91">
        <v>55</v>
      </c>
      <c r="I111" s="91">
        <v>0</v>
      </c>
      <c r="K111" s="3" t="s">
        <v>113</v>
      </c>
    </row>
    <row r="112" spans="2:11">
      <c r="B112" s="291">
        <v>1547</v>
      </c>
      <c r="D112" s="145">
        <v>0</v>
      </c>
      <c r="F112" s="91">
        <v>2021</v>
      </c>
      <c r="G112" s="91" t="s">
        <v>355</v>
      </c>
      <c r="H112" s="91">
        <v>0</v>
      </c>
      <c r="I112" s="91">
        <v>1</v>
      </c>
      <c r="K112" s="3" t="s">
        <v>113</v>
      </c>
    </row>
    <row r="113" spans="2:11">
      <c r="B113" s="291">
        <v>1548</v>
      </c>
      <c r="D113" s="145">
        <v>16674534.307636745</v>
      </c>
      <c r="F113" s="91">
        <v>2021</v>
      </c>
      <c r="G113" s="91" t="s">
        <v>355</v>
      </c>
      <c r="H113" s="91">
        <v>5</v>
      </c>
      <c r="I113" s="91">
        <v>1</v>
      </c>
      <c r="K113" s="3" t="s">
        <v>113</v>
      </c>
    </row>
    <row r="114" spans="2:11">
      <c r="B114" s="291">
        <v>1549</v>
      </c>
      <c r="D114" s="145">
        <v>5057746.3074202398</v>
      </c>
      <c r="F114" s="91">
        <v>2021</v>
      </c>
      <c r="G114" s="91" t="s">
        <v>355</v>
      </c>
      <c r="H114" s="91">
        <v>10</v>
      </c>
      <c r="I114" s="91">
        <v>1</v>
      </c>
      <c r="K114" s="3" t="s">
        <v>113</v>
      </c>
    </row>
    <row r="115" spans="2:11">
      <c r="B115" s="291">
        <v>1550</v>
      </c>
      <c r="D115" s="145">
        <v>23857053.29424395</v>
      </c>
      <c r="F115" s="91">
        <v>2021</v>
      </c>
      <c r="G115" s="91" t="s">
        <v>355</v>
      </c>
      <c r="H115" s="91">
        <v>15</v>
      </c>
      <c r="I115" s="91">
        <v>1</v>
      </c>
      <c r="K115" s="3" t="s">
        <v>113</v>
      </c>
    </row>
    <row r="116" spans="2:11">
      <c r="B116" s="291">
        <v>1551</v>
      </c>
      <c r="D116" s="145">
        <v>29301462.7172231</v>
      </c>
      <c r="F116" s="91">
        <v>2021</v>
      </c>
      <c r="G116" s="91" t="s">
        <v>355</v>
      </c>
      <c r="H116" s="91">
        <v>30</v>
      </c>
      <c r="I116" s="91">
        <v>1</v>
      </c>
      <c r="K116" s="3" t="s">
        <v>113</v>
      </c>
    </row>
    <row r="117" spans="2:11">
      <c r="B117" s="291">
        <v>1552</v>
      </c>
      <c r="D117" s="145">
        <v>81110584.954272762</v>
      </c>
      <c r="F117" s="91">
        <v>2021</v>
      </c>
      <c r="G117" s="91" t="s">
        <v>355</v>
      </c>
      <c r="H117" s="91">
        <v>55</v>
      </c>
      <c r="I117" s="91">
        <v>1</v>
      </c>
      <c r="K117" s="3" t="s">
        <v>113</v>
      </c>
    </row>
    <row r="118" spans="2:11">
      <c r="B118" s="291">
        <v>1553</v>
      </c>
      <c r="D118" s="145">
        <v>-30959.437980156832</v>
      </c>
      <c r="F118" s="91">
        <v>2021</v>
      </c>
      <c r="G118" s="91" t="s">
        <v>355</v>
      </c>
      <c r="H118" s="91">
        <v>0</v>
      </c>
      <c r="I118" s="91">
        <v>0</v>
      </c>
      <c r="K118" s="3" t="s">
        <v>113</v>
      </c>
    </row>
    <row r="119" spans="2:11">
      <c r="B119" s="291">
        <v>1554</v>
      </c>
      <c r="D119" s="145">
        <v>436048.00524345576</v>
      </c>
      <c r="F119" s="91">
        <v>2021</v>
      </c>
      <c r="G119" s="91" t="s">
        <v>355</v>
      </c>
      <c r="H119" s="91">
        <v>5</v>
      </c>
      <c r="I119" s="91">
        <v>0</v>
      </c>
      <c r="K119" s="3" t="s">
        <v>113</v>
      </c>
    </row>
    <row r="120" spans="2:11">
      <c r="B120" s="291">
        <v>1555</v>
      </c>
      <c r="D120" s="145">
        <v>1563699.3217659162</v>
      </c>
      <c r="F120" s="91">
        <v>2021</v>
      </c>
      <c r="G120" s="91" t="s">
        <v>355</v>
      </c>
      <c r="H120" s="91">
        <v>10</v>
      </c>
      <c r="I120" s="91">
        <v>0</v>
      </c>
      <c r="K120" s="3" t="s">
        <v>113</v>
      </c>
    </row>
    <row r="121" spans="2:11">
      <c r="B121" s="291">
        <v>1556</v>
      </c>
      <c r="D121" s="145">
        <v>4699116.7440402387</v>
      </c>
      <c r="F121" s="91">
        <v>2021</v>
      </c>
      <c r="G121" s="91" t="s">
        <v>355</v>
      </c>
      <c r="H121" s="91">
        <v>15</v>
      </c>
      <c r="I121" s="91">
        <v>0</v>
      </c>
      <c r="K121" s="3" t="s">
        <v>113</v>
      </c>
    </row>
    <row r="122" spans="2:11">
      <c r="B122" s="291">
        <v>1557</v>
      </c>
      <c r="D122" s="145">
        <v>26652613.015183877</v>
      </c>
      <c r="F122" s="91">
        <v>2021</v>
      </c>
      <c r="G122" s="91" t="s">
        <v>355</v>
      </c>
      <c r="H122" s="91">
        <v>30</v>
      </c>
      <c r="I122" s="91">
        <v>0</v>
      </c>
      <c r="K122" s="3" t="s">
        <v>113</v>
      </c>
    </row>
    <row r="123" spans="2:11">
      <c r="B123" s="291">
        <v>1558</v>
      </c>
      <c r="D123" s="145">
        <v>37650.599697288933</v>
      </c>
      <c r="F123" s="91">
        <v>2021</v>
      </c>
      <c r="G123" s="91" t="s">
        <v>355</v>
      </c>
      <c r="H123" s="91">
        <v>55</v>
      </c>
      <c r="I123" s="91">
        <v>0</v>
      </c>
      <c r="K123" s="3" t="s">
        <v>113</v>
      </c>
    </row>
    <row r="124" spans="2:11">
      <c r="B124" s="291">
        <v>1559</v>
      </c>
      <c r="D124" s="145">
        <v>0</v>
      </c>
      <c r="F124" s="91">
        <v>2021</v>
      </c>
      <c r="G124" s="91" t="s">
        <v>355</v>
      </c>
      <c r="H124" s="91">
        <v>0</v>
      </c>
      <c r="I124" s="91">
        <v>0</v>
      </c>
      <c r="K124" s="3" t="s">
        <v>113</v>
      </c>
    </row>
    <row r="125" spans="2:11">
      <c r="B125" s="291">
        <v>1560</v>
      </c>
      <c r="D125" s="145">
        <v>626646.22721047793</v>
      </c>
      <c r="F125" s="91">
        <v>2021</v>
      </c>
      <c r="G125" s="91" t="s">
        <v>355</v>
      </c>
      <c r="H125" s="91">
        <v>5</v>
      </c>
      <c r="I125" s="91">
        <v>0</v>
      </c>
      <c r="K125" s="3" t="s">
        <v>113</v>
      </c>
    </row>
    <row r="126" spans="2:11">
      <c r="B126" s="291">
        <v>1561</v>
      </c>
      <c r="D126" s="145">
        <v>4638778.5057450626</v>
      </c>
      <c r="F126" s="91">
        <v>2021</v>
      </c>
      <c r="G126" s="91" t="s">
        <v>355</v>
      </c>
      <c r="H126" s="91">
        <v>10</v>
      </c>
      <c r="I126" s="91">
        <v>0</v>
      </c>
      <c r="K126" s="3" t="s">
        <v>113</v>
      </c>
    </row>
    <row r="127" spans="2:11">
      <c r="B127" s="291">
        <v>1562</v>
      </c>
      <c r="D127" s="145">
        <v>7590881.0003333744</v>
      </c>
      <c r="F127" s="91">
        <v>2021</v>
      </c>
      <c r="G127" s="91" t="s">
        <v>355</v>
      </c>
      <c r="H127" s="91">
        <v>15</v>
      </c>
      <c r="I127" s="91">
        <v>0</v>
      </c>
      <c r="K127" s="3" t="s">
        <v>113</v>
      </c>
    </row>
    <row r="128" spans="2:11">
      <c r="B128" s="291">
        <v>1563</v>
      </c>
      <c r="D128" s="145">
        <v>7531741.7035039887</v>
      </c>
      <c r="F128" s="91">
        <v>2021</v>
      </c>
      <c r="G128" s="91" t="s">
        <v>355</v>
      </c>
      <c r="H128" s="91">
        <v>30</v>
      </c>
      <c r="I128" s="91">
        <v>0</v>
      </c>
      <c r="K128" s="3" t="s">
        <v>113</v>
      </c>
    </row>
    <row r="129" spans="2:11">
      <c r="B129" s="291">
        <v>1564</v>
      </c>
      <c r="D129" s="145">
        <v>0</v>
      </c>
      <c r="F129" s="91">
        <v>2021</v>
      </c>
      <c r="G129" s="91" t="s">
        <v>355</v>
      </c>
      <c r="H129" s="91">
        <v>55</v>
      </c>
      <c r="I129" s="91">
        <v>0</v>
      </c>
      <c r="K129" s="3" t="s">
        <v>113</v>
      </c>
    </row>
    <row r="130" spans="2:11">
      <c r="B130" s="291">
        <v>1565</v>
      </c>
      <c r="D130" s="145">
        <v>0</v>
      </c>
      <c r="F130" s="91">
        <v>2022</v>
      </c>
      <c r="G130" s="91" t="s">
        <v>355</v>
      </c>
      <c r="H130" s="91">
        <v>0</v>
      </c>
      <c r="I130" s="91">
        <v>1</v>
      </c>
      <c r="K130" s="3" t="s">
        <v>113</v>
      </c>
    </row>
    <row r="131" spans="2:11">
      <c r="B131" s="291">
        <v>1566</v>
      </c>
      <c r="D131" s="145">
        <v>16890169.385303106</v>
      </c>
      <c r="F131" s="91">
        <v>2022</v>
      </c>
      <c r="G131" s="91" t="s">
        <v>355</v>
      </c>
      <c r="H131" s="91">
        <v>5</v>
      </c>
      <c r="I131" s="91">
        <v>1</v>
      </c>
      <c r="K131" s="3" t="s">
        <v>113</v>
      </c>
    </row>
    <row r="132" spans="2:11">
      <c r="B132" s="291">
        <v>1567</v>
      </c>
      <c r="D132" s="145">
        <v>5123153.0826677978</v>
      </c>
      <c r="F132" s="91">
        <v>2022</v>
      </c>
      <c r="G132" s="91" t="s">
        <v>355</v>
      </c>
      <c r="H132" s="91">
        <v>10</v>
      </c>
      <c r="I132" s="91">
        <v>1</v>
      </c>
      <c r="K132" s="3" t="s">
        <v>113</v>
      </c>
    </row>
    <row r="133" spans="2:11">
      <c r="B133" s="291">
        <v>1568</v>
      </c>
      <c r="D133" s="145">
        <v>24165572.707445111</v>
      </c>
      <c r="F133" s="91">
        <v>2022</v>
      </c>
      <c r="G133" s="91" t="s">
        <v>355</v>
      </c>
      <c r="H133" s="91">
        <v>15</v>
      </c>
      <c r="I133" s="91">
        <v>1</v>
      </c>
      <c r="K133" s="3" t="s">
        <v>113</v>
      </c>
    </row>
    <row r="134" spans="2:11">
      <c r="B134" s="291">
        <v>1569</v>
      </c>
      <c r="D134" s="145">
        <v>29680389.233082227</v>
      </c>
      <c r="F134" s="91">
        <v>2022</v>
      </c>
      <c r="G134" s="91" t="s">
        <v>355</v>
      </c>
      <c r="H134" s="91">
        <v>30</v>
      </c>
      <c r="I134" s="91">
        <v>1</v>
      </c>
      <c r="K134" s="3" t="s">
        <v>113</v>
      </c>
    </row>
    <row r="135" spans="2:11">
      <c r="B135" s="291">
        <v>1570</v>
      </c>
      <c r="D135" s="145">
        <v>82159507.038901418</v>
      </c>
      <c r="F135" s="91">
        <v>2022</v>
      </c>
      <c r="G135" s="91" t="s">
        <v>355</v>
      </c>
      <c r="H135" s="91">
        <v>55</v>
      </c>
      <c r="I135" s="91">
        <v>1</v>
      </c>
      <c r="K135" s="3" t="s">
        <v>113</v>
      </c>
    </row>
    <row r="136" spans="2:11">
      <c r="B136" s="291">
        <v>1571</v>
      </c>
      <c r="D136" s="145">
        <v>-31359.805432116216</v>
      </c>
      <c r="F136" s="91">
        <v>2022</v>
      </c>
      <c r="G136" s="91" t="s">
        <v>355</v>
      </c>
      <c r="H136" s="91">
        <v>0</v>
      </c>
      <c r="I136" s="91">
        <v>0</v>
      </c>
      <c r="K136" s="3" t="s">
        <v>113</v>
      </c>
    </row>
    <row r="137" spans="2:11">
      <c r="B137" s="291">
        <v>1572</v>
      </c>
      <c r="D137" s="145">
        <v>441686.97804726404</v>
      </c>
      <c r="F137" s="91">
        <v>2022</v>
      </c>
      <c r="G137" s="91" t="s">
        <v>355</v>
      </c>
      <c r="H137" s="91">
        <v>5</v>
      </c>
      <c r="I137" s="91">
        <v>0</v>
      </c>
      <c r="K137" s="3" t="s">
        <v>113</v>
      </c>
    </row>
    <row r="138" spans="2:11">
      <c r="B138" s="291">
        <v>1573</v>
      </c>
      <c r="D138" s="145">
        <v>1583921.081394993</v>
      </c>
      <c r="F138" s="91">
        <v>2022</v>
      </c>
      <c r="G138" s="91" t="s">
        <v>355</v>
      </c>
      <c r="H138" s="91">
        <v>10</v>
      </c>
      <c r="I138" s="91">
        <v>0</v>
      </c>
      <c r="K138" s="3" t="s">
        <v>113</v>
      </c>
    </row>
    <row r="139" spans="2:11">
      <c r="B139" s="291">
        <v>1574</v>
      </c>
      <c r="D139" s="145">
        <v>4759885.7217741664</v>
      </c>
      <c r="F139" s="91">
        <v>2022</v>
      </c>
      <c r="G139" s="91" t="s">
        <v>355</v>
      </c>
      <c r="H139" s="91">
        <v>15</v>
      </c>
      <c r="I139" s="91">
        <v>0</v>
      </c>
      <c r="K139" s="3" t="s">
        <v>113</v>
      </c>
    </row>
    <row r="140" spans="2:11">
      <c r="B140" s="291">
        <v>1575</v>
      </c>
      <c r="D140" s="145">
        <v>26997284.606696233</v>
      </c>
      <c r="F140" s="91">
        <v>2022</v>
      </c>
      <c r="G140" s="91" t="s">
        <v>355</v>
      </c>
      <c r="H140" s="91">
        <v>30</v>
      </c>
      <c r="I140" s="91">
        <v>0</v>
      </c>
      <c r="K140" s="3" t="s">
        <v>113</v>
      </c>
    </row>
    <row r="141" spans="2:11">
      <c r="B141" s="291">
        <v>1576</v>
      </c>
      <c r="D141" s="145">
        <v>38137.497252574271</v>
      </c>
      <c r="F141" s="91">
        <v>2022</v>
      </c>
      <c r="G141" s="91" t="s">
        <v>355</v>
      </c>
      <c r="H141" s="91">
        <v>55</v>
      </c>
      <c r="I141" s="91">
        <v>0</v>
      </c>
      <c r="K141" s="3" t="s">
        <v>113</v>
      </c>
    </row>
    <row r="142" spans="2:11">
      <c r="B142" s="291">
        <v>1577</v>
      </c>
      <c r="D142" s="145">
        <v>0</v>
      </c>
      <c r="F142" s="91">
        <v>2022</v>
      </c>
      <c r="G142" s="91" t="s">
        <v>355</v>
      </c>
      <c r="H142" s="91">
        <v>0</v>
      </c>
      <c r="I142" s="91">
        <v>0</v>
      </c>
      <c r="K142" s="3" t="s">
        <v>113</v>
      </c>
    </row>
    <row r="143" spans="2:11">
      <c r="B143" s="291">
        <v>1578</v>
      </c>
      <c r="D143" s="145">
        <v>634750.01622076391</v>
      </c>
      <c r="F143" s="91">
        <v>2022</v>
      </c>
      <c r="G143" s="91" t="s">
        <v>355</v>
      </c>
      <c r="H143" s="91">
        <v>5</v>
      </c>
      <c r="I143" s="91">
        <v>0</v>
      </c>
      <c r="K143" s="3" t="s">
        <v>113</v>
      </c>
    </row>
    <row r="144" spans="2:11">
      <c r="B144" s="291">
        <v>1579</v>
      </c>
      <c r="D144" s="145">
        <v>4698767.1893813582</v>
      </c>
      <c r="F144" s="91">
        <v>2022</v>
      </c>
      <c r="G144" s="91" t="s">
        <v>355</v>
      </c>
      <c r="H144" s="91">
        <v>10</v>
      </c>
      <c r="I144" s="91">
        <v>0</v>
      </c>
      <c r="K144" s="3" t="s">
        <v>113</v>
      </c>
    </row>
    <row r="145" spans="2:11">
      <c r="B145" s="291">
        <v>1580</v>
      </c>
      <c r="D145" s="145">
        <v>7689046.2734296853</v>
      </c>
      <c r="F145" s="91">
        <v>2022</v>
      </c>
      <c r="G145" s="91" t="s">
        <v>355</v>
      </c>
      <c r="H145" s="91">
        <v>15</v>
      </c>
      <c r="I145" s="91">
        <v>0</v>
      </c>
      <c r="K145" s="3" t="s">
        <v>113</v>
      </c>
    </row>
    <row r="146" spans="2:11">
      <c r="B146" s="291">
        <v>1581</v>
      </c>
      <c r="D146" s="145">
        <v>7629142.1872137021</v>
      </c>
      <c r="F146" s="91">
        <v>2022</v>
      </c>
      <c r="G146" s="91" t="s">
        <v>355</v>
      </c>
      <c r="H146" s="91">
        <v>30</v>
      </c>
      <c r="I146" s="91">
        <v>0</v>
      </c>
      <c r="K146" s="3" t="s">
        <v>113</v>
      </c>
    </row>
    <row r="147" spans="2:11">
      <c r="B147" s="291">
        <v>1582</v>
      </c>
      <c r="D147" s="145">
        <v>0</v>
      </c>
      <c r="F147" s="91">
        <v>2022</v>
      </c>
      <c r="G147" s="91" t="s">
        <v>355</v>
      </c>
      <c r="H147" s="91">
        <v>55</v>
      </c>
      <c r="I147" s="91">
        <v>0</v>
      </c>
      <c r="K147" s="3" t="s">
        <v>113</v>
      </c>
    </row>
    <row r="148" spans="2:11">
      <c r="B148" s="291">
        <v>1583</v>
      </c>
      <c r="D148" s="145">
        <v>0</v>
      </c>
      <c r="F148" s="91">
        <v>2023</v>
      </c>
      <c r="G148" s="91" t="s">
        <v>355</v>
      </c>
      <c r="H148" s="91">
        <v>0</v>
      </c>
      <c r="I148" s="91">
        <v>1</v>
      </c>
      <c r="K148" s="3" t="s">
        <v>113</v>
      </c>
    </row>
    <row r="149" spans="2:11">
      <c r="B149" s="291">
        <v>1584</v>
      </c>
      <c r="D149" s="145">
        <v>17108593.055793844</v>
      </c>
      <c r="F149" s="91">
        <v>2023</v>
      </c>
      <c r="G149" s="91" t="s">
        <v>355</v>
      </c>
      <c r="H149" s="91">
        <v>5</v>
      </c>
      <c r="I149" s="91">
        <v>1</v>
      </c>
      <c r="K149" s="3" t="s">
        <v>113</v>
      </c>
    </row>
    <row r="150" spans="2:11">
      <c r="B150" s="291">
        <v>1585</v>
      </c>
      <c r="D150" s="145">
        <v>5189405.6983328583</v>
      </c>
      <c r="F150" s="91">
        <v>2023</v>
      </c>
      <c r="G150" s="91" t="s">
        <v>355</v>
      </c>
      <c r="H150" s="91">
        <v>10</v>
      </c>
      <c r="I150" s="91">
        <v>1</v>
      </c>
      <c r="K150" s="3" t="s">
        <v>113</v>
      </c>
    </row>
    <row r="151" spans="2:11">
      <c r="B151" s="291">
        <v>1586</v>
      </c>
      <c r="D151" s="145">
        <v>24478081.893697795</v>
      </c>
      <c r="F151" s="91">
        <v>2023</v>
      </c>
      <c r="G151" s="91" t="s">
        <v>355</v>
      </c>
      <c r="H151" s="91">
        <v>15</v>
      </c>
      <c r="I151" s="91">
        <v>1</v>
      </c>
      <c r="K151" s="3" t="s">
        <v>113</v>
      </c>
    </row>
    <row r="152" spans="2:11">
      <c r="B152" s="291">
        <v>1587</v>
      </c>
      <c r="D152" s="145">
        <v>30064216.026644446</v>
      </c>
      <c r="F152" s="91">
        <v>2023</v>
      </c>
      <c r="G152" s="91" t="s">
        <v>355</v>
      </c>
      <c r="H152" s="91">
        <v>30</v>
      </c>
      <c r="I152" s="91">
        <v>1</v>
      </c>
      <c r="K152" s="3" t="s">
        <v>113</v>
      </c>
    </row>
    <row r="153" spans="2:11">
      <c r="B153" s="291">
        <v>1588</v>
      </c>
      <c r="D153" s="145">
        <v>83221993.783928484</v>
      </c>
      <c r="F153" s="91">
        <v>2023</v>
      </c>
      <c r="G153" s="91" t="s">
        <v>355</v>
      </c>
      <c r="H153" s="91">
        <v>55</v>
      </c>
      <c r="I153" s="91">
        <v>1</v>
      </c>
      <c r="K153" s="3" t="s">
        <v>113</v>
      </c>
    </row>
    <row r="154" spans="2:11">
      <c r="B154" s="291">
        <v>1589</v>
      </c>
      <c r="D154" s="145">
        <v>-31765.350435964345</v>
      </c>
      <c r="F154" s="91">
        <v>2023</v>
      </c>
      <c r="G154" s="91" t="s">
        <v>355</v>
      </c>
      <c r="H154" s="91">
        <v>0</v>
      </c>
      <c r="I154" s="91">
        <v>0</v>
      </c>
      <c r="K154" s="3" t="s">
        <v>113</v>
      </c>
    </row>
    <row r="155" spans="2:11">
      <c r="B155" s="291">
        <v>1590</v>
      </c>
      <c r="D155" s="145">
        <v>447398.87404737127</v>
      </c>
      <c r="F155" s="91">
        <v>2023</v>
      </c>
      <c r="G155" s="91" t="s">
        <v>355</v>
      </c>
      <c r="H155" s="91">
        <v>5</v>
      </c>
      <c r="I155" s="91">
        <v>0</v>
      </c>
      <c r="K155" s="3" t="s">
        <v>113</v>
      </c>
    </row>
    <row r="156" spans="2:11">
      <c r="B156" s="291">
        <v>1591</v>
      </c>
      <c r="D156" s="145">
        <v>1604404.348819593</v>
      </c>
      <c r="F156" s="91">
        <v>2023</v>
      </c>
      <c r="G156" s="91" t="s">
        <v>355</v>
      </c>
      <c r="H156" s="91">
        <v>10</v>
      </c>
      <c r="I156" s="91">
        <v>0</v>
      </c>
      <c r="K156" s="3" t="s">
        <v>113</v>
      </c>
    </row>
    <row r="157" spans="2:11">
      <c r="B157" s="291">
        <v>1592</v>
      </c>
      <c r="D157" s="145">
        <v>4821440.5639281506</v>
      </c>
      <c r="F157" s="91">
        <v>2023</v>
      </c>
      <c r="G157" s="91" t="s">
        <v>355</v>
      </c>
      <c r="H157" s="91">
        <v>15</v>
      </c>
      <c r="I157" s="91">
        <v>0</v>
      </c>
      <c r="K157" s="3" t="s">
        <v>113</v>
      </c>
    </row>
    <row r="158" spans="2:11">
      <c r="B158" s="291">
        <v>1593</v>
      </c>
      <c r="D158" s="145">
        <v>27346413.49123003</v>
      </c>
      <c r="F158" s="91">
        <v>2023</v>
      </c>
      <c r="G158" s="91" t="s">
        <v>355</v>
      </c>
      <c r="H158" s="91">
        <v>30</v>
      </c>
      <c r="I158" s="91">
        <v>0</v>
      </c>
      <c r="K158" s="3" t="s">
        <v>113</v>
      </c>
    </row>
    <row r="159" spans="2:11">
      <c r="B159" s="291">
        <v>1594</v>
      </c>
      <c r="D159" s="145">
        <v>38630.691367044557</v>
      </c>
      <c r="F159" s="91">
        <v>2023</v>
      </c>
      <c r="G159" s="91" t="s">
        <v>355</v>
      </c>
      <c r="H159" s="91">
        <v>55</v>
      </c>
      <c r="I159" s="91">
        <v>0</v>
      </c>
      <c r="K159" s="3" t="s">
        <v>113</v>
      </c>
    </row>
    <row r="160" spans="2:11">
      <c r="B160" s="291">
        <v>1595</v>
      </c>
      <c r="D160" s="145">
        <v>0</v>
      </c>
      <c r="F160" s="91">
        <v>2023</v>
      </c>
      <c r="G160" s="91" t="s">
        <v>355</v>
      </c>
      <c r="H160" s="91">
        <v>0</v>
      </c>
      <c r="I160" s="91">
        <v>0</v>
      </c>
      <c r="K160" s="3" t="s">
        <v>113</v>
      </c>
    </row>
    <row r="161" spans="2:11">
      <c r="B161" s="291">
        <v>1596</v>
      </c>
      <c r="D161" s="145">
        <v>642958.60343053075</v>
      </c>
      <c r="F161" s="91">
        <v>2023</v>
      </c>
      <c r="G161" s="91" t="s">
        <v>355</v>
      </c>
      <c r="H161" s="91">
        <v>5</v>
      </c>
      <c r="I161" s="91">
        <v>0</v>
      </c>
      <c r="K161" s="3" t="s">
        <v>113</v>
      </c>
    </row>
    <row r="162" spans="2:11">
      <c r="B162" s="291">
        <v>1597</v>
      </c>
      <c r="D162" s="145">
        <v>4759531.6466744374</v>
      </c>
      <c r="F162" s="91">
        <v>2023</v>
      </c>
      <c r="G162" s="91" t="s">
        <v>355</v>
      </c>
      <c r="H162" s="91">
        <v>10</v>
      </c>
      <c r="I162" s="91">
        <v>0</v>
      </c>
      <c r="K162" s="3" t="s">
        <v>113</v>
      </c>
    </row>
    <row r="163" spans="2:11">
      <c r="B163" s="291">
        <v>1598</v>
      </c>
      <c r="D163" s="145">
        <v>7788481.0198376775</v>
      </c>
      <c r="F163" s="91">
        <v>2023</v>
      </c>
      <c r="G163" s="91" t="s">
        <v>355</v>
      </c>
      <c r="H163" s="91">
        <v>15</v>
      </c>
      <c r="I163" s="91">
        <v>0</v>
      </c>
      <c r="K163" s="3" t="s">
        <v>113</v>
      </c>
    </row>
    <row r="164" spans="2:11">
      <c r="B164" s="291">
        <v>1599</v>
      </c>
      <c r="D164" s="145">
        <v>7727802.2539787497</v>
      </c>
      <c r="F164" s="91">
        <v>2023</v>
      </c>
      <c r="G164" s="91" t="s">
        <v>355</v>
      </c>
      <c r="H164" s="91">
        <v>30</v>
      </c>
      <c r="I164" s="91">
        <v>0</v>
      </c>
      <c r="K164" s="3" t="s">
        <v>113</v>
      </c>
    </row>
    <row r="165" spans="2:11">
      <c r="B165" s="291">
        <v>1600</v>
      </c>
      <c r="D165" s="145">
        <v>0</v>
      </c>
      <c r="F165" s="91">
        <v>2023</v>
      </c>
      <c r="G165" s="91" t="s">
        <v>355</v>
      </c>
      <c r="H165" s="91">
        <v>55</v>
      </c>
      <c r="I165" s="91">
        <v>0</v>
      </c>
      <c r="K165" s="3" t="s">
        <v>113</v>
      </c>
    </row>
    <row r="166" spans="2:11">
      <c r="B166" s="291">
        <v>1601</v>
      </c>
      <c r="D166" s="145">
        <v>0</v>
      </c>
      <c r="F166" s="91">
        <v>2024</v>
      </c>
      <c r="G166" s="91" t="s">
        <v>355</v>
      </c>
      <c r="H166" s="91">
        <v>0</v>
      </c>
      <c r="I166" s="91">
        <v>1</v>
      </c>
      <c r="K166" s="3" t="s">
        <v>113</v>
      </c>
    </row>
    <row r="167" spans="2:11">
      <c r="B167" s="291">
        <v>1602</v>
      </c>
      <c r="D167" s="145">
        <v>17329841.381191369</v>
      </c>
      <c r="F167" s="91">
        <v>2024</v>
      </c>
      <c r="G167" s="91" t="s">
        <v>355</v>
      </c>
      <c r="H167" s="91">
        <v>5</v>
      </c>
      <c r="I167" s="91">
        <v>1</v>
      </c>
      <c r="K167" s="3" t="s">
        <v>113</v>
      </c>
    </row>
    <row r="168" spans="2:11">
      <c r="B168" s="291">
        <v>1603</v>
      </c>
      <c r="D168" s="145">
        <v>5256515.0928236982</v>
      </c>
      <c r="F168" s="91">
        <v>2024</v>
      </c>
      <c r="G168" s="91" t="s">
        <v>355</v>
      </c>
      <c r="H168" s="91">
        <v>10</v>
      </c>
      <c r="I168" s="91">
        <v>1</v>
      </c>
      <c r="K168" s="3" t="s">
        <v>113</v>
      </c>
    </row>
    <row r="169" spans="2:11">
      <c r="B169" s="291">
        <v>1604</v>
      </c>
      <c r="D169" s="145">
        <v>24794632.448747091</v>
      </c>
      <c r="F169" s="91">
        <v>2024</v>
      </c>
      <c r="G169" s="91" t="s">
        <v>355</v>
      </c>
      <c r="H169" s="91">
        <v>15</v>
      </c>
      <c r="I169" s="91">
        <v>1</v>
      </c>
      <c r="K169" s="3" t="s">
        <v>113</v>
      </c>
    </row>
    <row r="170" spans="2:11">
      <c r="B170" s="291">
        <v>1605</v>
      </c>
      <c r="D170" s="145">
        <v>30453006.468301013</v>
      </c>
      <c r="F170" s="91">
        <v>2024</v>
      </c>
      <c r="G170" s="91" t="s">
        <v>355</v>
      </c>
      <c r="H170" s="91">
        <v>30</v>
      </c>
      <c r="I170" s="91">
        <v>1</v>
      </c>
      <c r="K170" s="3" t="s">
        <v>113</v>
      </c>
    </row>
    <row r="171" spans="2:11">
      <c r="B171" s="291">
        <v>1606</v>
      </c>
      <c r="D171" s="145">
        <v>84298220.607542247</v>
      </c>
      <c r="F171" s="91">
        <v>2024</v>
      </c>
      <c r="G171" s="91" t="s">
        <v>355</v>
      </c>
      <c r="H171" s="91">
        <v>55</v>
      </c>
      <c r="I171" s="91">
        <v>1</v>
      </c>
      <c r="K171" s="3" t="s">
        <v>113</v>
      </c>
    </row>
    <row r="172" spans="2:11">
      <c r="B172" s="291">
        <v>1607</v>
      </c>
      <c r="D172" s="145">
        <v>-32176.139947802236</v>
      </c>
      <c r="F172" s="91">
        <v>2024</v>
      </c>
      <c r="G172" s="91" t="s">
        <v>355</v>
      </c>
      <c r="H172" s="91">
        <v>0</v>
      </c>
      <c r="I172" s="91">
        <v>0</v>
      </c>
      <c r="K172" s="3" t="s">
        <v>113</v>
      </c>
    </row>
    <row r="173" spans="2:11">
      <c r="B173" s="291">
        <v>1608</v>
      </c>
      <c r="D173" s="145">
        <v>453184.63628655189</v>
      </c>
      <c r="F173" s="91">
        <v>2024</v>
      </c>
      <c r="G173" s="91" t="s">
        <v>355</v>
      </c>
      <c r="H173" s="91">
        <v>5</v>
      </c>
      <c r="I173" s="91">
        <v>0</v>
      </c>
      <c r="K173" s="3" t="s">
        <v>113</v>
      </c>
    </row>
    <row r="174" spans="2:11">
      <c r="B174" s="291">
        <v>1609</v>
      </c>
      <c r="D174" s="145">
        <v>1625152.505858528</v>
      </c>
      <c r="F174" s="91">
        <v>2024</v>
      </c>
      <c r="G174" s="91" t="s">
        <v>355</v>
      </c>
      <c r="H174" s="91">
        <v>10</v>
      </c>
      <c r="I174" s="91">
        <v>0</v>
      </c>
      <c r="K174" s="3" t="s">
        <v>113</v>
      </c>
    </row>
    <row r="175" spans="2:11">
      <c r="B175" s="291">
        <v>1610</v>
      </c>
      <c r="D175" s="145">
        <v>4883791.4333008695</v>
      </c>
      <c r="F175" s="91">
        <v>2024</v>
      </c>
      <c r="G175" s="91" t="s">
        <v>355</v>
      </c>
      <c r="H175" s="91">
        <v>15</v>
      </c>
      <c r="I175" s="91">
        <v>0</v>
      </c>
      <c r="K175" s="3" t="s">
        <v>113</v>
      </c>
    </row>
    <row r="176" spans="2:11">
      <c r="B176" s="291">
        <v>1611</v>
      </c>
      <c r="D176" s="145">
        <v>27700057.310498618</v>
      </c>
      <c r="F176" s="91">
        <v>2024</v>
      </c>
      <c r="G176" s="91" t="s">
        <v>355</v>
      </c>
      <c r="H176" s="91">
        <v>30</v>
      </c>
      <c r="I176" s="91">
        <v>0</v>
      </c>
      <c r="K176" s="3" t="s">
        <v>113</v>
      </c>
    </row>
    <row r="177" spans="2:11">
      <c r="B177" s="291">
        <v>1612</v>
      </c>
      <c r="D177" s="145">
        <v>39130.263467803168</v>
      </c>
      <c r="F177" s="91">
        <v>2024</v>
      </c>
      <c r="G177" s="91" t="s">
        <v>355</v>
      </c>
      <c r="H177" s="91">
        <v>55</v>
      </c>
      <c r="I177" s="91">
        <v>0</v>
      </c>
      <c r="K177" s="3" t="s">
        <v>113</v>
      </c>
    </row>
    <row r="178" spans="2:11">
      <c r="B178" s="291">
        <v>1613</v>
      </c>
      <c r="D178" s="145">
        <v>0</v>
      </c>
      <c r="F178" s="91">
        <v>2024</v>
      </c>
      <c r="G178" s="91" t="s">
        <v>355</v>
      </c>
      <c r="H178" s="91">
        <v>0</v>
      </c>
      <c r="I178" s="91">
        <v>0</v>
      </c>
      <c r="K178" s="3" t="s">
        <v>113</v>
      </c>
    </row>
    <row r="179" spans="2:11">
      <c r="B179" s="291">
        <v>1614</v>
      </c>
      <c r="D179" s="145">
        <v>651273.34409009432</v>
      </c>
      <c r="F179" s="91">
        <v>2024</v>
      </c>
      <c r="G179" s="91" t="s">
        <v>355</v>
      </c>
      <c r="H179" s="91">
        <v>5</v>
      </c>
      <c r="I179" s="91">
        <v>0</v>
      </c>
      <c r="K179" s="3" t="s">
        <v>113</v>
      </c>
    </row>
    <row r="180" spans="2:11">
      <c r="B180" s="291">
        <v>1615</v>
      </c>
      <c r="D180" s="145">
        <v>4821081.9099292308</v>
      </c>
      <c r="F180" s="91">
        <v>2024</v>
      </c>
      <c r="G180" s="91" t="s">
        <v>355</v>
      </c>
      <c r="H180" s="91">
        <v>10</v>
      </c>
      <c r="I180" s="91">
        <v>0</v>
      </c>
      <c r="K180" s="3" t="s">
        <v>113</v>
      </c>
    </row>
    <row r="181" spans="2:11">
      <c r="B181" s="291">
        <v>1616</v>
      </c>
      <c r="D181" s="145">
        <v>7889201.656386218</v>
      </c>
      <c r="F181" s="91">
        <v>2024</v>
      </c>
      <c r="G181" s="91" t="s">
        <v>355</v>
      </c>
      <c r="H181" s="91">
        <v>15</v>
      </c>
      <c r="I181" s="91">
        <v>0</v>
      </c>
      <c r="K181" s="3" t="s">
        <v>113</v>
      </c>
    </row>
    <row r="182" spans="2:11">
      <c r="B182" s="291">
        <v>1617</v>
      </c>
      <c r="D182" s="145">
        <v>7827738.1927272025</v>
      </c>
      <c r="F182" s="91">
        <v>2024</v>
      </c>
      <c r="G182" s="91" t="s">
        <v>355</v>
      </c>
      <c r="H182" s="91">
        <v>30</v>
      </c>
      <c r="I182" s="91">
        <v>0</v>
      </c>
      <c r="K182" s="3" t="s">
        <v>113</v>
      </c>
    </row>
    <row r="183" spans="2:11">
      <c r="B183" s="291">
        <v>1618</v>
      </c>
      <c r="D183" s="145">
        <v>0</v>
      </c>
      <c r="F183" s="91">
        <v>2024</v>
      </c>
      <c r="G183" s="91" t="s">
        <v>355</v>
      </c>
      <c r="H183" s="91">
        <v>55</v>
      </c>
      <c r="I183" s="91">
        <v>0</v>
      </c>
      <c r="K183" s="3" t="s">
        <v>113</v>
      </c>
    </row>
    <row r="184" spans="2:11">
      <c r="B184" s="291">
        <v>1619</v>
      </c>
      <c r="D184" s="145">
        <v>0</v>
      </c>
      <c r="F184" s="91">
        <v>2025</v>
      </c>
      <c r="G184" s="91" t="s">
        <v>355</v>
      </c>
      <c r="H184" s="91">
        <v>0</v>
      </c>
      <c r="I184" s="91">
        <v>1</v>
      </c>
      <c r="K184" s="3" t="s">
        <v>113</v>
      </c>
    </row>
    <row r="185" spans="2:11">
      <c r="B185" s="291">
        <v>1620</v>
      </c>
      <c r="D185" s="145">
        <v>17553950.889932934</v>
      </c>
      <c r="F185" s="91">
        <v>2025</v>
      </c>
      <c r="G185" s="91" t="s">
        <v>355</v>
      </c>
      <c r="H185" s="91">
        <v>5</v>
      </c>
      <c r="I185" s="91">
        <v>1</v>
      </c>
      <c r="K185" s="3" t="s">
        <v>113</v>
      </c>
    </row>
    <row r="186" spans="2:11">
      <c r="B186" s="291">
        <v>1621</v>
      </c>
      <c r="D186" s="145">
        <v>5324492.346004094</v>
      </c>
      <c r="F186" s="91">
        <v>2025</v>
      </c>
      <c r="G186" s="91" t="s">
        <v>355</v>
      </c>
      <c r="H186" s="91">
        <v>10</v>
      </c>
      <c r="I186" s="91">
        <v>1</v>
      </c>
      <c r="K186" s="3" t="s">
        <v>113</v>
      </c>
    </row>
    <row r="187" spans="2:11">
      <c r="B187" s="291">
        <v>1622</v>
      </c>
      <c r="D187" s="145">
        <v>25115276.635574285</v>
      </c>
      <c r="F187" s="91">
        <v>2025</v>
      </c>
      <c r="G187" s="91" t="s">
        <v>355</v>
      </c>
      <c r="H187" s="91">
        <v>15</v>
      </c>
      <c r="I187" s="91">
        <v>1</v>
      </c>
      <c r="K187" s="3" t="s">
        <v>113</v>
      </c>
    </row>
    <row r="188" spans="2:11">
      <c r="B188" s="291">
        <v>1623</v>
      </c>
      <c r="D188" s="145">
        <v>30846824.747949079</v>
      </c>
      <c r="F188" s="91">
        <v>2025</v>
      </c>
      <c r="G188" s="91" t="s">
        <v>355</v>
      </c>
      <c r="H188" s="91">
        <v>30</v>
      </c>
      <c r="I188" s="91">
        <v>1</v>
      </c>
      <c r="K188" s="3" t="s">
        <v>113</v>
      </c>
    </row>
    <row r="189" spans="2:11">
      <c r="B189" s="291">
        <v>1624</v>
      </c>
      <c r="D189" s="145">
        <v>85388365.196438983</v>
      </c>
      <c r="F189" s="91">
        <v>2025</v>
      </c>
      <c r="G189" s="91" t="s">
        <v>355</v>
      </c>
      <c r="H189" s="91">
        <v>55</v>
      </c>
      <c r="I189" s="91">
        <v>1</v>
      </c>
      <c r="K189" s="3" t="s">
        <v>113</v>
      </c>
    </row>
    <row r="190" spans="2:11">
      <c r="B190" s="291">
        <v>1625</v>
      </c>
      <c r="D190" s="145">
        <v>-32592.241789607215</v>
      </c>
      <c r="F190" s="91">
        <v>2025</v>
      </c>
      <c r="G190" s="91" t="s">
        <v>355</v>
      </c>
      <c r="H190" s="91">
        <v>0</v>
      </c>
      <c r="I190" s="91">
        <v>0</v>
      </c>
      <c r="K190" s="3" t="s">
        <v>113</v>
      </c>
    </row>
    <row r="191" spans="2:11">
      <c r="B191" s="291">
        <v>1626</v>
      </c>
      <c r="D191" s="145">
        <v>459045.22000300954</v>
      </c>
      <c r="F191" s="91">
        <v>2025</v>
      </c>
      <c r="G191" s="91" t="s">
        <v>355</v>
      </c>
      <c r="H191" s="91">
        <v>5</v>
      </c>
      <c r="I191" s="91">
        <v>0</v>
      </c>
      <c r="K191" s="3" t="s">
        <v>113</v>
      </c>
    </row>
    <row r="192" spans="2:11">
      <c r="B192" s="291">
        <v>1627</v>
      </c>
      <c r="D192" s="145">
        <v>1646168.9780642902</v>
      </c>
      <c r="F192" s="91">
        <v>2025</v>
      </c>
      <c r="G192" s="91" t="s">
        <v>355</v>
      </c>
      <c r="H192" s="91">
        <v>10</v>
      </c>
      <c r="I192" s="91">
        <v>0</v>
      </c>
      <c r="K192" s="3" t="s">
        <v>113</v>
      </c>
    </row>
    <row r="193" spans="2:11">
      <c r="B193" s="291">
        <v>1628</v>
      </c>
      <c r="D193" s="145">
        <v>4946948.6241163164</v>
      </c>
      <c r="F193" s="91">
        <v>2025</v>
      </c>
      <c r="G193" s="91" t="s">
        <v>355</v>
      </c>
      <c r="H193" s="91">
        <v>15</v>
      </c>
      <c r="I193" s="91">
        <v>0</v>
      </c>
      <c r="K193" s="3" t="s">
        <v>113</v>
      </c>
    </row>
    <row r="194" spans="2:11">
      <c r="B194" s="291">
        <v>1629</v>
      </c>
      <c r="D194" s="145">
        <v>28058274.451637983</v>
      </c>
      <c r="F194" s="91">
        <v>2025</v>
      </c>
      <c r="G194" s="91" t="s">
        <v>355</v>
      </c>
      <c r="H194" s="91">
        <v>30</v>
      </c>
      <c r="I194" s="91">
        <v>0</v>
      </c>
      <c r="K194" s="3" t="s">
        <v>113</v>
      </c>
    </row>
    <row r="195" spans="2:11">
      <c r="B195" s="291">
        <v>1630</v>
      </c>
      <c r="D195" s="145">
        <v>39636.2960349688</v>
      </c>
      <c r="F195" s="91">
        <v>2025</v>
      </c>
      <c r="G195" s="91" t="s">
        <v>355</v>
      </c>
      <c r="H195" s="91">
        <v>55</v>
      </c>
      <c r="I195" s="91">
        <v>0</v>
      </c>
      <c r="K195" s="3" t="s">
        <v>113</v>
      </c>
    </row>
    <row r="196" spans="2:11">
      <c r="B196" s="291">
        <v>1631</v>
      </c>
      <c r="D196" s="145">
        <v>0</v>
      </c>
      <c r="F196" s="91">
        <v>2025</v>
      </c>
      <c r="G196" s="91" t="s">
        <v>355</v>
      </c>
      <c r="H196" s="91">
        <v>0</v>
      </c>
      <c r="I196" s="91">
        <v>0</v>
      </c>
      <c r="K196" s="3" t="s">
        <v>113</v>
      </c>
    </row>
    <row r="197" spans="2:11">
      <c r="B197" s="291">
        <v>1632</v>
      </c>
      <c r="D197" s="145">
        <v>659695.61097586737</v>
      </c>
      <c r="F197" s="91">
        <v>2025</v>
      </c>
      <c r="G197" s="91" t="s">
        <v>355</v>
      </c>
      <c r="H197" s="91">
        <v>5</v>
      </c>
      <c r="I197" s="91">
        <v>0</v>
      </c>
      <c r="K197" s="3" t="s">
        <v>113</v>
      </c>
    </row>
    <row r="198" spans="2:11">
      <c r="B198" s="291">
        <v>1633</v>
      </c>
      <c r="D198" s="145">
        <v>4883428.1411884353</v>
      </c>
      <c r="F198" s="91">
        <v>2025</v>
      </c>
      <c r="G198" s="91" t="s">
        <v>355</v>
      </c>
      <c r="H198" s="91">
        <v>10</v>
      </c>
      <c r="I198" s="91">
        <v>0</v>
      </c>
      <c r="K198" s="3" t="s">
        <v>113</v>
      </c>
    </row>
    <row r="199" spans="2:11">
      <c r="B199" s="291">
        <v>1634</v>
      </c>
      <c r="D199" s="145">
        <v>7991224.8122066045</v>
      </c>
      <c r="F199" s="91">
        <v>2025</v>
      </c>
      <c r="G199" s="91" t="s">
        <v>355</v>
      </c>
      <c r="H199" s="91">
        <v>15</v>
      </c>
      <c r="I199" s="91">
        <v>0</v>
      </c>
      <c r="K199" s="3" t="s">
        <v>113</v>
      </c>
    </row>
    <row r="200" spans="2:11">
      <c r="B200" s="291">
        <v>1635</v>
      </c>
      <c r="D200" s="145">
        <v>7928966.50303555</v>
      </c>
      <c r="F200" s="91">
        <v>2025</v>
      </c>
      <c r="G200" s="91" t="s">
        <v>355</v>
      </c>
      <c r="H200" s="91">
        <v>30</v>
      </c>
      <c r="I200" s="91">
        <v>0</v>
      </c>
      <c r="K200" s="3" t="s">
        <v>113</v>
      </c>
    </row>
    <row r="201" spans="2:11">
      <c r="B201" s="291">
        <v>1636</v>
      </c>
      <c r="D201" s="145">
        <v>0</v>
      </c>
      <c r="F201" s="91">
        <v>2025</v>
      </c>
      <c r="G201" s="91" t="s">
        <v>355</v>
      </c>
      <c r="H201" s="91">
        <v>55</v>
      </c>
      <c r="I201" s="91">
        <v>0</v>
      </c>
      <c r="K201" s="3" t="s">
        <v>113</v>
      </c>
    </row>
    <row r="202" spans="2:11">
      <c r="B202" s="291">
        <v>1637</v>
      </c>
      <c r="D202" s="145">
        <v>0</v>
      </c>
      <c r="F202" s="91">
        <v>2026</v>
      </c>
      <c r="G202" s="91" t="s">
        <v>355</v>
      </c>
      <c r="H202" s="91">
        <v>0</v>
      </c>
      <c r="I202" s="91">
        <v>1</v>
      </c>
      <c r="K202" s="3" t="s">
        <v>113</v>
      </c>
    </row>
    <row r="203" spans="2:11">
      <c r="B203" s="291">
        <v>1638</v>
      </c>
      <c r="D203" s="145">
        <v>17780958.582841545</v>
      </c>
      <c r="F203" s="91">
        <v>2026</v>
      </c>
      <c r="G203" s="91" t="s">
        <v>355</v>
      </c>
      <c r="H203" s="91">
        <v>5</v>
      </c>
      <c r="I203" s="91">
        <v>1</v>
      </c>
      <c r="K203" s="3" t="s">
        <v>113</v>
      </c>
    </row>
    <row r="204" spans="2:11">
      <c r="B204" s="291">
        <v>1639</v>
      </c>
      <c r="D204" s="145">
        <v>5393348.681022618</v>
      </c>
      <c r="F204" s="91">
        <v>2026</v>
      </c>
      <c r="G204" s="91" t="s">
        <v>355</v>
      </c>
      <c r="H204" s="91">
        <v>10</v>
      </c>
      <c r="I204" s="91">
        <v>1</v>
      </c>
      <c r="K204" s="3" t="s">
        <v>113</v>
      </c>
    </row>
    <row r="205" spans="2:11">
      <c r="B205" s="291">
        <v>1640</v>
      </c>
      <c r="D205" s="145">
        <v>25440067.393025532</v>
      </c>
      <c r="F205" s="91">
        <v>2026</v>
      </c>
      <c r="G205" s="91" t="s">
        <v>355</v>
      </c>
      <c r="H205" s="91">
        <v>15</v>
      </c>
      <c r="I205" s="91">
        <v>1</v>
      </c>
      <c r="K205" s="3" t="s">
        <v>113</v>
      </c>
    </row>
    <row r="206" spans="2:11">
      <c r="B206" s="291">
        <v>1641</v>
      </c>
      <c r="D206" s="145">
        <v>31245735.885589555</v>
      </c>
      <c r="F206" s="91">
        <v>2026</v>
      </c>
      <c r="G206" s="91" t="s">
        <v>355</v>
      </c>
      <c r="H206" s="91">
        <v>30</v>
      </c>
      <c r="I206" s="91">
        <v>1</v>
      </c>
      <c r="K206" s="3" t="s">
        <v>113</v>
      </c>
    </row>
    <row r="207" spans="2:11">
      <c r="B207" s="291">
        <v>1642</v>
      </c>
      <c r="D207" s="145">
        <v>86492607.535159335</v>
      </c>
      <c r="F207" s="91">
        <v>2026</v>
      </c>
      <c r="G207" s="91" t="s">
        <v>355</v>
      </c>
      <c r="H207" s="91">
        <v>55</v>
      </c>
      <c r="I207" s="91">
        <v>1</v>
      </c>
      <c r="K207" s="3" t="s">
        <v>113</v>
      </c>
    </row>
    <row r="208" spans="2:11">
      <c r="B208" s="291">
        <v>1643</v>
      </c>
      <c r="D208" s="145">
        <v>-33013.724660430409</v>
      </c>
      <c r="F208" s="91">
        <v>2026</v>
      </c>
      <c r="G208" s="91" t="s">
        <v>355</v>
      </c>
      <c r="H208" s="91">
        <v>0</v>
      </c>
      <c r="I208" s="91">
        <v>0</v>
      </c>
      <c r="K208" s="3" t="s">
        <v>113</v>
      </c>
    </row>
    <row r="209" spans="2:11">
      <c r="B209" s="291">
        <v>1644</v>
      </c>
      <c r="D209" s="145">
        <v>464981.59278808843</v>
      </c>
      <c r="F209" s="91">
        <v>2026</v>
      </c>
      <c r="G209" s="91" t="s">
        <v>355</v>
      </c>
      <c r="H209" s="91">
        <v>5</v>
      </c>
      <c r="I209" s="91">
        <v>0</v>
      </c>
      <c r="K209" s="3" t="s">
        <v>113</v>
      </c>
    </row>
    <row r="210" spans="2:11">
      <c r="B210" s="291">
        <v>1645</v>
      </c>
      <c r="D210" s="145">
        <v>1667457.2352886177</v>
      </c>
      <c r="F210" s="91">
        <v>2026</v>
      </c>
      <c r="G210" s="91" t="s">
        <v>355</v>
      </c>
      <c r="H210" s="91">
        <v>10</v>
      </c>
      <c r="I210" s="91">
        <v>0</v>
      </c>
      <c r="K210" s="3" t="s">
        <v>113</v>
      </c>
    </row>
    <row r="211" spans="2:11">
      <c r="B211" s="291">
        <v>1646</v>
      </c>
      <c r="D211" s="145">
        <v>5010922.5637233881</v>
      </c>
      <c r="F211" s="91">
        <v>2026</v>
      </c>
      <c r="G211" s="91" t="s">
        <v>355</v>
      </c>
      <c r="H211" s="91">
        <v>15</v>
      </c>
      <c r="I211" s="91">
        <v>0</v>
      </c>
      <c r="K211" s="3" t="s">
        <v>113</v>
      </c>
    </row>
    <row r="212" spans="2:11">
      <c r="B212" s="291">
        <v>1647</v>
      </c>
      <c r="D212" s="145">
        <v>28421124.056846563</v>
      </c>
      <c r="F212" s="91">
        <v>2026</v>
      </c>
      <c r="G212" s="91" t="s">
        <v>355</v>
      </c>
      <c r="H212" s="91">
        <v>30</v>
      </c>
      <c r="I212" s="91">
        <v>0</v>
      </c>
      <c r="K212" s="3" t="s">
        <v>113</v>
      </c>
    </row>
    <row r="213" spans="2:11">
      <c r="B213" s="291">
        <v>1648</v>
      </c>
      <c r="D213" s="145">
        <v>40148.872615293018</v>
      </c>
      <c r="F213" s="91">
        <v>2026</v>
      </c>
      <c r="G213" s="91" t="s">
        <v>355</v>
      </c>
      <c r="H213" s="91">
        <v>55</v>
      </c>
      <c r="I213" s="91">
        <v>0</v>
      </c>
      <c r="K213" s="3" t="s">
        <v>113</v>
      </c>
    </row>
    <row r="214" spans="2:11">
      <c r="B214" s="291">
        <v>1649</v>
      </c>
      <c r="D214" s="145">
        <v>0</v>
      </c>
      <c r="F214" s="91">
        <v>2026</v>
      </c>
      <c r="G214" s="91" t="s">
        <v>355</v>
      </c>
      <c r="H214" s="91">
        <v>0</v>
      </c>
      <c r="I214" s="91">
        <v>0</v>
      </c>
      <c r="K214" s="3" t="s">
        <v>113</v>
      </c>
    </row>
    <row r="215" spans="2:11">
      <c r="B215" s="291">
        <v>1650</v>
      </c>
      <c r="D215" s="145">
        <v>668226.79461700725</v>
      </c>
      <c r="F215" s="91">
        <v>2026</v>
      </c>
      <c r="G215" s="91" t="s">
        <v>355</v>
      </c>
      <c r="H215" s="91">
        <v>5</v>
      </c>
      <c r="I215" s="91">
        <v>0</v>
      </c>
      <c r="K215" s="3" t="s">
        <v>113</v>
      </c>
    </row>
    <row r="216" spans="2:11">
      <c r="B216" s="291">
        <v>1651</v>
      </c>
      <c r="D216" s="145">
        <v>4946580.6339102844</v>
      </c>
      <c r="F216" s="91">
        <v>2026</v>
      </c>
      <c r="G216" s="91" t="s">
        <v>355</v>
      </c>
      <c r="H216" s="91">
        <v>10</v>
      </c>
      <c r="I216" s="91">
        <v>0</v>
      </c>
      <c r="K216" s="3" t="s">
        <v>113</v>
      </c>
    </row>
    <row r="217" spans="2:11">
      <c r="B217" s="291">
        <v>1652</v>
      </c>
      <c r="D217" s="145">
        <v>8094567.3314780593</v>
      </c>
      <c r="F217" s="91">
        <v>2026</v>
      </c>
      <c r="G217" s="91" t="s">
        <v>355</v>
      </c>
      <c r="H217" s="91">
        <v>15</v>
      </c>
      <c r="I217" s="91">
        <v>0</v>
      </c>
      <c r="K217" s="3" t="s">
        <v>113</v>
      </c>
    </row>
    <row r="218" spans="2:11">
      <c r="B218" s="291">
        <v>1653</v>
      </c>
      <c r="D218" s="145">
        <v>8031503.8978528045</v>
      </c>
      <c r="F218" s="91">
        <v>2026</v>
      </c>
      <c r="G218" s="91" t="s">
        <v>355</v>
      </c>
      <c r="H218" s="91">
        <v>30</v>
      </c>
      <c r="I218" s="91">
        <v>0</v>
      </c>
      <c r="K218" s="3" t="s">
        <v>113</v>
      </c>
    </row>
    <row r="219" spans="2:11">
      <c r="B219" s="291">
        <v>1654</v>
      </c>
      <c r="D219" s="145">
        <v>0</v>
      </c>
      <c r="F219" s="91">
        <v>2026</v>
      </c>
      <c r="G219" s="91" t="s">
        <v>355</v>
      </c>
      <c r="H219" s="91">
        <v>55</v>
      </c>
      <c r="I219" s="91">
        <v>0</v>
      </c>
      <c r="K219" s="3" t="s">
        <v>113</v>
      </c>
    </row>
    <row r="220" spans="2:11">
      <c r="B220" s="291">
        <v>1655</v>
      </c>
      <c r="D220" s="145">
        <v>1823110</v>
      </c>
      <c r="F220" s="91">
        <v>2020</v>
      </c>
      <c r="G220" s="91" t="s">
        <v>277</v>
      </c>
      <c r="H220" s="91">
        <v>55</v>
      </c>
      <c r="I220" s="91">
        <v>1</v>
      </c>
      <c r="K220" s="3" t="s">
        <v>113</v>
      </c>
    </row>
    <row r="221" spans="2:11">
      <c r="B221" s="291">
        <v>1656</v>
      </c>
      <c r="D221" s="145">
        <v>1850427.4802399999</v>
      </c>
      <c r="F221" s="91">
        <v>2021</v>
      </c>
      <c r="G221" s="91" t="s">
        <v>277</v>
      </c>
      <c r="H221" s="91">
        <v>55</v>
      </c>
      <c r="I221" s="91">
        <v>1</v>
      </c>
      <c r="K221" s="3" t="s">
        <v>113</v>
      </c>
    </row>
    <row r="222" spans="2:11">
      <c r="B222" s="291">
        <v>1657</v>
      </c>
      <c r="D222" s="145">
        <v>1874357.2084144636</v>
      </c>
      <c r="F222" s="91">
        <v>2022</v>
      </c>
      <c r="G222" s="91" t="s">
        <v>277</v>
      </c>
      <c r="H222" s="91">
        <v>55</v>
      </c>
      <c r="I222" s="91">
        <v>1</v>
      </c>
      <c r="K222" s="3" t="s">
        <v>113</v>
      </c>
    </row>
    <row r="223" spans="2:11">
      <c r="B223" s="291">
        <v>1658</v>
      </c>
      <c r="D223" s="145">
        <v>1898596.3958336795</v>
      </c>
      <c r="F223" s="91">
        <v>2023</v>
      </c>
      <c r="G223" s="91" t="s">
        <v>277</v>
      </c>
      <c r="H223" s="91">
        <v>55</v>
      </c>
      <c r="I223" s="91">
        <v>1</v>
      </c>
      <c r="K223" s="3" t="s">
        <v>113</v>
      </c>
    </row>
    <row r="224" spans="2:11">
      <c r="B224" s="291">
        <v>1659</v>
      </c>
      <c r="D224" s="145">
        <v>1923149.0444246007</v>
      </c>
      <c r="F224" s="91">
        <v>2024</v>
      </c>
      <c r="G224" s="91" t="s">
        <v>277</v>
      </c>
      <c r="H224" s="91">
        <v>55</v>
      </c>
      <c r="I224" s="91">
        <v>1</v>
      </c>
      <c r="K224" s="3" t="s">
        <v>113</v>
      </c>
    </row>
    <row r="225" spans="2:87">
      <c r="B225" s="291">
        <v>1660</v>
      </c>
      <c r="D225" s="145">
        <v>1948019.2078670992</v>
      </c>
      <c r="F225" s="91">
        <v>2025</v>
      </c>
      <c r="G225" s="91" t="s">
        <v>277</v>
      </c>
      <c r="H225" s="91">
        <v>55</v>
      </c>
      <c r="I225" s="91">
        <v>1</v>
      </c>
      <c r="K225" s="3" t="s">
        <v>113</v>
      </c>
    </row>
    <row r="226" spans="2:87">
      <c r="B226" s="291">
        <v>1661</v>
      </c>
      <c r="D226" s="145">
        <v>1973210.9922632365</v>
      </c>
      <c r="F226" s="91">
        <v>2026</v>
      </c>
      <c r="G226" s="91" t="s">
        <v>277</v>
      </c>
      <c r="H226" s="91">
        <v>55</v>
      </c>
      <c r="I226" s="91">
        <v>1</v>
      </c>
      <c r="K226" s="3" t="s">
        <v>113</v>
      </c>
    </row>
    <row r="227" spans="2:87">
      <c r="B227" s="291">
        <v>1662</v>
      </c>
      <c r="D227" s="145">
        <v>463333.33333333337</v>
      </c>
      <c r="F227" s="91">
        <v>2020</v>
      </c>
      <c r="G227" s="91" t="s">
        <v>281</v>
      </c>
      <c r="H227" s="91">
        <v>30</v>
      </c>
      <c r="I227" s="91">
        <v>0</v>
      </c>
      <c r="K227" s="3" t="s">
        <v>113</v>
      </c>
    </row>
    <row r="228" spans="2:87">
      <c r="B228" s="291">
        <v>1663</v>
      </c>
      <c r="D228" s="145">
        <v>470275.92000000004</v>
      </c>
      <c r="F228" s="91">
        <v>2021</v>
      </c>
      <c r="G228" s="91" t="s">
        <v>281</v>
      </c>
      <c r="H228" s="91">
        <v>30</v>
      </c>
      <c r="I228" s="91">
        <v>0</v>
      </c>
      <c r="K228" s="3" t="s">
        <v>113</v>
      </c>
    </row>
    <row r="229" spans="2:87">
      <c r="B229" s="291">
        <v>1664</v>
      </c>
      <c r="D229" s="145">
        <v>476357.52819743997</v>
      </c>
      <c r="F229" s="91">
        <v>2022</v>
      </c>
      <c r="G229" s="91" t="s">
        <v>281</v>
      </c>
      <c r="H229" s="91">
        <v>30</v>
      </c>
      <c r="I229" s="91">
        <v>0</v>
      </c>
      <c r="K229" s="3" t="s">
        <v>113</v>
      </c>
    </row>
    <row r="230" spans="2:87">
      <c r="B230" s="291">
        <v>1665</v>
      </c>
      <c r="D230" s="145">
        <v>482517.78375208931</v>
      </c>
      <c r="F230" s="91">
        <v>2023</v>
      </c>
      <c r="G230" s="91" t="s">
        <v>281</v>
      </c>
      <c r="H230" s="91">
        <v>30</v>
      </c>
      <c r="I230" s="91">
        <v>0</v>
      </c>
      <c r="K230" s="3" t="s">
        <v>113</v>
      </c>
    </row>
    <row r="231" spans="2:87">
      <c r="B231" s="291">
        <v>1666</v>
      </c>
      <c r="D231" s="145">
        <v>488757.70373157132</v>
      </c>
      <c r="F231" s="91">
        <v>2024</v>
      </c>
      <c r="G231" s="91" t="s">
        <v>281</v>
      </c>
      <c r="H231" s="91">
        <v>30</v>
      </c>
      <c r="I231" s="91">
        <v>0</v>
      </c>
      <c r="K231" s="3" t="s">
        <v>113</v>
      </c>
    </row>
    <row r="232" spans="2:87">
      <c r="B232" s="291">
        <v>1667</v>
      </c>
      <c r="D232" s="145">
        <v>495078.31835622794</v>
      </c>
      <c r="F232" s="91">
        <v>2025</v>
      </c>
      <c r="G232" s="91" t="s">
        <v>281</v>
      </c>
      <c r="H232" s="91">
        <v>30</v>
      </c>
      <c r="I232" s="91">
        <v>0</v>
      </c>
      <c r="K232" s="3" t="s">
        <v>113</v>
      </c>
    </row>
    <row r="233" spans="2:87">
      <c r="B233" s="291">
        <v>1668</v>
      </c>
      <c r="D233" s="145">
        <v>501480.67116921069</v>
      </c>
      <c r="F233" s="91">
        <v>2026</v>
      </c>
      <c r="G233" s="91" t="s">
        <v>281</v>
      </c>
      <c r="H233" s="91">
        <v>30</v>
      </c>
      <c r="I233" s="91">
        <v>0</v>
      </c>
      <c r="K233" s="3" t="s">
        <v>113</v>
      </c>
    </row>
    <row r="235" spans="2:87" s="8" customFormat="1" ht="13">
      <c r="B235" s="8" t="s">
        <v>356</v>
      </c>
      <c r="D235" s="8" t="s">
        <v>184</v>
      </c>
      <c r="F235" s="109" t="s">
        <v>357</v>
      </c>
      <c r="G235" s="109" t="s">
        <v>358</v>
      </c>
      <c r="H235" s="109" t="s">
        <v>359</v>
      </c>
      <c r="I235" s="109" t="s">
        <v>360</v>
      </c>
      <c r="J235" s="109" t="s">
        <v>361</v>
      </c>
      <c r="K235" s="109" t="s">
        <v>362</v>
      </c>
      <c r="L235" s="109" t="s">
        <v>363</v>
      </c>
      <c r="M235" s="109" t="s">
        <v>364</v>
      </c>
      <c r="N235" s="109" t="s">
        <v>365</v>
      </c>
      <c r="O235" s="109" t="s">
        <v>366</v>
      </c>
      <c r="P235" s="109" t="s">
        <v>367</v>
      </c>
      <c r="Q235" s="109" t="s">
        <v>368</v>
      </c>
      <c r="R235" s="109" t="s">
        <v>369</v>
      </c>
      <c r="S235" s="109" t="s">
        <v>370</v>
      </c>
      <c r="T235" s="109" t="s">
        <v>371</v>
      </c>
      <c r="U235" s="109" t="s">
        <v>372</v>
      </c>
      <c r="V235" s="109" t="s">
        <v>373</v>
      </c>
      <c r="W235" s="109" t="s">
        <v>374</v>
      </c>
      <c r="X235" s="109" t="s">
        <v>375</v>
      </c>
      <c r="Y235" s="109" t="s">
        <v>376</v>
      </c>
      <c r="Z235" s="109" t="s">
        <v>377</v>
      </c>
      <c r="AA235" s="109" t="s">
        <v>378</v>
      </c>
      <c r="AB235" s="109" t="s">
        <v>379</v>
      </c>
      <c r="AC235" s="109" t="s">
        <v>380</v>
      </c>
      <c r="AD235" s="109" t="s">
        <v>381</v>
      </c>
      <c r="AE235" s="109" t="s">
        <v>382</v>
      </c>
      <c r="AF235" s="109" t="s">
        <v>383</v>
      </c>
      <c r="AG235" s="109" t="s">
        <v>384</v>
      </c>
      <c r="AH235" s="109" t="s">
        <v>385</v>
      </c>
      <c r="AI235" s="109" t="s">
        <v>386</v>
      </c>
      <c r="AJ235" s="109" t="s">
        <v>387</v>
      </c>
      <c r="AK235" s="109" t="s">
        <v>388</v>
      </c>
      <c r="AL235" s="109" t="s">
        <v>389</v>
      </c>
      <c r="AM235" s="109" t="s">
        <v>390</v>
      </c>
      <c r="AN235" s="109" t="s">
        <v>391</v>
      </c>
      <c r="AO235" s="109" t="s">
        <v>392</v>
      </c>
      <c r="AP235" s="109" t="s">
        <v>393</v>
      </c>
      <c r="AQ235" s="109" t="s">
        <v>394</v>
      </c>
      <c r="AR235" s="109" t="s">
        <v>395</v>
      </c>
      <c r="AS235" s="109" t="s">
        <v>396</v>
      </c>
      <c r="AT235" s="109" t="s">
        <v>397</v>
      </c>
      <c r="AU235" s="109" t="s">
        <v>398</v>
      </c>
      <c r="AV235" s="109" t="s">
        <v>399</v>
      </c>
      <c r="AW235" s="109" t="s">
        <v>400</v>
      </c>
      <c r="AX235" s="109" t="s">
        <v>401</v>
      </c>
      <c r="AY235" s="109" t="s">
        <v>402</v>
      </c>
      <c r="AZ235" s="109" t="s">
        <v>403</v>
      </c>
      <c r="BA235" s="109" t="s">
        <v>404</v>
      </c>
      <c r="BB235" s="109" t="s">
        <v>405</v>
      </c>
      <c r="BC235" s="109" t="s">
        <v>406</v>
      </c>
      <c r="BD235" s="109" t="s">
        <v>407</v>
      </c>
      <c r="BE235" s="109" t="s">
        <v>408</v>
      </c>
      <c r="BF235" s="109" t="s">
        <v>409</v>
      </c>
      <c r="BG235" s="109" t="s">
        <v>410</v>
      </c>
      <c r="BH235" s="109" t="s">
        <v>411</v>
      </c>
      <c r="BI235" s="109" t="s">
        <v>412</v>
      </c>
      <c r="BJ235" s="109" t="s">
        <v>413</v>
      </c>
      <c r="BK235" s="109" t="s">
        <v>414</v>
      </c>
      <c r="BL235" s="109" t="s">
        <v>415</v>
      </c>
      <c r="BM235" s="109" t="s">
        <v>416</v>
      </c>
      <c r="BN235" s="109" t="s">
        <v>417</v>
      </c>
      <c r="BO235" s="109" t="s">
        <v>418</v>
      </c>
      <c r="BP235" s="109" t="s">
        <v>419</v>
      </c>
      <c r="BQ235" s="109" t="s">
        <v>420</v>
      </c>
      <c r="BR235" s="109" t="s">
        <v>421</v>
      </c>
      <c r="BS235" s="109" t="s">
        <v>422</v>
      </c>
      <c r="BT235" s="109" t="s">
        <v>423</v>
      </c>
      <c r="BU235" s="109" t="s">
        <v>424</v>
      </c>
      <c r="BV235" s="109" t="s">
        <v>425</v>
      </c>
      <c r="BW235" s="109" t="s">
        <v>426</v>
      </c>
      <c r="BX235" s="109" t="s">
        <v>427</v>
      </c>
      <c r="BY235" s="109" t="s">
        <v>428</v>
      </c>
      <c r="BZ235" s="109" t="s">
        <v>429</v>
      </c>
      <c r="CA235" s="109" t="s">
        <v>430</v>
      </c>
      <c r="CB235" s="109" t="s">
        <v>431</v>
      </c>
      <c r="CC235" s="109" t="s">
        <v>432</v>
      </c>
      <c r="CD235" s="109" t="s">
        <v>433</v>
      </c>
      <c r="CE235" s="109" t="s">
        <v>434</v>
      </c>
      <c r="CF235" s="109" t="s">
        <v>435</v>
      </c>
      <c r="CG235" s="109" t="s">
        <v>436</v>
      </c>
      <c r="CH235" s="109" t="s">
        <v>437</v>
      </c>
      <c r="CI235" s="109" t="s">
        <v>1108</v>
      </c>
    </row>
    <row r="237" spans="2:87">
      <c r="B237" s="3" t="s">
        <v>438</v>
      </c>
      <c r="D237" s="3" t="s">
        <v>188</v>
      </c>
      <c r="F237" s="131">
        <v>9.0830073880921361E-2</v>
      </c>
      <c r="G237" s="131">
        <v>3.6254980079681365E-2</v>
      </c>
      <c r="H237" s="131">
        <v>3.5371011149557818E-2</v>
      </c>
      <c r="I237" s="131">
        <v>6.3126624582250282E-2</v>
      </c>
      <c r="J237" s="131">
        <v>9.1163115612993242E-2</v>
      </c>
      <c r="K237" s="131">
        <v>9.6350832266325306E-2</v>
      </c>
      <c r="L237" s="131">
        <v>0</v>
      </c>
      <c r="M237" s="131">
        <v>0</v>
      </c>
      <c r="N237" s="131">
        <v>0.04</v>
      </c>
      <c r="O237" s="131">
        <v>1.909039865244248E-2</v>
      </c>
      <c r="P237" s="131">
        <v>1.9008264462809853E-2</v>
      </c>
      <c r="Q237" s="131">
        <v>6.4882400648824015E-2</v>
      </c>
      <c r="R237" s="131">
        <v>1.7263264788017294E-2</v>
      </c>
      <c r="S237" s="131">
        <v>8.4851509857749793E-3</v>
      </c>
      <c r="T237" s="131">
        <v>2.5488740410789294E-2</v>
      </c>
      <c r="U237" s="131">
        <v>1.6650579150579235E-2</v>
      </c>
      <c r="V237" s="131">
        <v>1.92262046047946E-2</v>
      </c>
      <c r="W237" s="131">
        <v>3.8192827200745308E-2</v>
      </c>
      <c r="X237" s="131">
        <v>1.9E-2</v>
      </c>
      <c r="Y237" s="131">
        <v>8.4000000000000005E-2</v>
      </c>
      <c r="Z237" s="131">
        <v>4.2999999999999997E-2</v>
      </c>
      <c r="AA237" s="131">
        <v>5.7999999999999996E-2</v>
      </c>
      <c r="AB237" s="131">
        <v>3.9E-2</v>
      </c>
      <c r="AC237" s="131">
        <v>3.3000000000000002E-2</v>
      </c>
      <c r="AD237" s="131">
        <v>6.9000000000000006E-2</v>
      </c>
      <c r="AE237" s="131">
        <v>5.4000000000000006E-2</v>
      </c>
      <c r="AF237" s="131">
        <v>7.5999999999999998E-2</v>
      </c>
      <c r="AG237" s="131">
        <v>7.400000000000001E-2</v>
      </c>
      <c r="AH237" s="131">
        <v>8.1000000000000003E-2</v>
      </c>
      <c r="AI237" s="131">
        <v>9.8000000000000004E-2</v>
      </c>
      <c r="AJ237" s="131">
        <v>0.107</v>
      </c>
      <c r="AK237" s="131">
        <v>8.3000000000000004E-2</v>
      </c>
      <c r="AL237" s="131">
        <v>6.8000000000000005E-2</v>
      </c>
      <c r="AM237" s="131">
        <v>4.2000000000000003E-2</v>
      </c>
      <c r="AN237" s="131">
        <v>3.7999999999999999E-2</v>
      </c>
      <c r="AO237" s="131">
        <v>7.0999999999999994E-2</v>
      </c>
      <c r="AP237" s="131">
        <v>6.4000000000000001E-2</v>
      </c>
      <c r="AQ237" s="131">
        <v>5.9000000000000004E-2</v>
      </c>
      <c r="AR237" s="131">
        <v>2.6000000000000002E-2</v>
      </c>
      <c r="AS237" s="131">
        <v>2.7999999999999997E-2</v>
      </c>
      <c r="AT237" s="131">
        <v>2.3E-2</v>
      </c>
      <c r="AU237" s="131">
        <v>-5.0000000000000001E-3</v>
      </c>
      <c r="AV237" s="131">
        <v>2E-3</v>
      </c>
      <c r="AW237" s="131">
        <v>9.0000000000000011E-3</v>
      </c>
      <c r="AX237" s="131">
        <v>1.1000000000000001E-2</v>
      </c>
      <c r="AY237" s="131">
        <v>2.4E-2</v>
      </c>
      <c r="AZ237" s="131">
        <v>4.5999999999999999E-2</v>
      </c>
      <c r="BA237" s="131">
        <v>3.5000000000000003E-2</v>
      </c>
      <c r="BB237" s="131">
        <v>0.02</v>
      </c>
      <c r="BC237" s="131">
        <v>2.6000000000000002E-2</v>
      </c>
      <c r="BD237" s="131">
        <v>1.4999999999999999E-2</v>
      </c>
      <c r="BE237" s="131">
        <v>1.9E-2</v>
      </c>
      <c r="BF237" s="131">
        <v>2.6000000000000002E-2</v>
      </c>
      <c r="BG237" s="131">
        <v>1.7000000000000001E-2</v>
      </c>
      <c r="BH237" s="131">
        <v>2.6000000000000002E-2</v>
      </c>
      <c r="BI237" s="131">
        <v>2.5000000000000001E-2</v>
      </c>
      <c r="BJ237" s="131">
        <v>4.7E-2</v>
      </c>
      <c r="BK237" s="131">
        <v>3.3000000000000002E-2</v>
      </c>
      <c r="BL237" s="131">
        <v>2.1000000000000001E-2</v>
      </c>
      <c r="BM237" s="131">
        <v>1.1000000000000001E-2</v>
      </c>
      <c r="BN237" s="131">
        <v>1.7999999999999999E-2</v>
      </c>
      <c r="BO237" s="131">
        <v>1.4E-2</v>
      </c>
      <c r="BP237" s="131">
        <v>1.0999999999999999E-2</v>
      </c>
      <c r="BQ237" s="131">
        <v>3.2000000000000001E-2</v>
      </c>
      <c r="BR237" s="131">
        <v>3.0000000000000001E-3</v>
      </c>
      <c r="BS237" s="131">
        <v>1.4999999999999999E-2</v>
      </c>
      <c r="BT237" s="131">
        <v>2.5999999999999999E-2</v>
      </c>
      <c r="BU237" s="131">
        <v>2.3E-2</v>
      </c>
      <c r="BV237" s="131">
        <v>2.8000000000000001E-2</v>
      </c>
      <c r="BW237" s="131">
        <v>0.01</v>
      </c>
      <c r="BX237" s="131">
        <v>8.0000000000000002E-3</v>
      </c>
      <c r="BY237" s="131">
        <v>2E-3</v>
      </c>
      <c r="BZ237" s="131">
        <v>1.4E-2</v>
      </c>
      <c r="CA237" s="131">
        <v>1.2E-2</v>
      </c>
      <c r="CB237" s="131">
        <v>2.5999999999999999E-2</v>
      </c>
      <c r="CC237" s="131">
        <v>1.6E-2</v>
      </c>
      <c r="CD237" s="55">
        <f>'2. Parameters'!M32</f>
        <v>1.7999999999999999E-2</v>
      </c>
      <c r="CE237" s="55">
        <f>'2. Parameters'!N32</f>
        <v>6.2E-2</v>
      </c>
      <c r="CF237" s="55">
        <f>'2. Parameters'!O32</f>
        <v>0.08</v>
      </c>
      <c r="CG237" s="55">
        <f>'2. Parameters'!P32</f>
        <v>2.8000000000000001E-2</v>
      </c>
      <c r="CH237" s="55">
        <f>'2. Parameters'!Q32</f>
        <v>3.7999999999999999E-2</v>
      </c>
      <c r="CI237" s="55">
        <f>'2. Parameters'!R32</f>
        <v>0</v>
      </c>
    </row>
    <row r="238" spans="2:87">
      <c r="CI238" s="3" t="s">
        <v>1109</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Z61"/>
  <sheetViews>
    <sheetView showGridLines="0" zoomScale="85" zoomScaleNormal="85" workbookViewId="0">
      <pane xSplit="4" ySplit="7" topLeftCell="E8" activePane="bottomRight" state="frozen"/>
      <selection pane="topRight"/>
      <selection pane="bottomLeft"/>
      <selection pane="bottomRight" activeCell="E8" sqref="E8"/>
    </sheetView>
  </sheetViews>
  <sheetFormatPr defaultColWidth="9.1796875" defaultRowHeight="12.5"/>
  <cols>
    <col min="1" max="1" width="2.54296875" style="3" customWidth="1"/>
    <col min="2" max="2" width="79.81640625" style="3" customWidth="1"/>
    <col min="3" max="3" width="2.54296875" style="3" customWidth="1"/>
    <col min="4" max="4" width="13.54296875" style="3" customWidth="1"/>
    <col min="5" max="5" width="2.54296875" style="3" customWidth="1"/>
    <col min="6" max="6" width="9.54296875" style="3" customWidth="1"/>
    <col min="7" max="7" width="2.54296875" style="3" customWidth="1"/>
    <col min="8" max="8" width="7.1796875" style="3" customWidth="1"/>
    <col min="9" max="11" width="11.54296875" style="3" customWidth="1"/>
    <col min="12" max="12" width="10.81640625" style="3" customWidth="1"/>
    <col min="13" max="13" width="9" style="3" customWidth="1"/>
    <col min="14" max="16" width="14.81640625" style="3" bestFit="1" customWidth="1"/>
    <col min="17" max="17" width="16.453125" style="3" bestFit="1" customWidth="1"/>
    <col min="18" max="18" width="14.81640625" style="3" bestFit="1" customWidth="1"/>
    <col min="19" max="19" width="14.81640625" style="3" customWidth="1"/>
    <col min="20" max="20" width="2.54296875" style="3" customWidth="1"/>
    <col min="21" max="21" width="30.1796875" style="3" customWidth="1"/>
    <col min="22" max="22" width="2.54296875" style="3" customWidth="1"/>
    <col min="23" max="33" width="13.54296875" style="3" customWidth="1"/>
    <col min="34" max="16384" width="9.1796875" style="3"/>
  </cols>
  <sheetData>
    <row r="2" spans="2:23" s="12" customFormat="1" ht="18">
      <c r="B2" s="12" t="s">
        <v>439</v>
      </c>
    </row>
    <row r="4" spans="2:23" ht="13">
      <c r="B4" s="16" t="s">
        <v>183</v>
      </c>
      <c r="C4" s="2"/>
    </row>
    <row r="5" spans="2:23" ht="27.75" customHeight="1">
      <c r="B5" s="352" t="s">
        <v>440</v>
      </c>
      <c r="C5" s="352"/>
      <c r="D5" s="352"/>
      <c r="F5" s="13"/>
    </row>
    <row r="6" spans="2:23" ht="12" customHeight="1"/>
    <row r="7" spans="2:23" s="8" customFormat="1" ht="12" customHeight="1">
      <c r="B7" s="8" t="s">
        <v>143</v>
      </c>
      <c r="D7" s="8" t="s">
        <v>184</v>
      </c>
      <c r="F7" s="8" t="s">
        <v>185</v>
      </c>
      <c r="H7" s="53">
        <v>2016</v>
      </c>
      <c r="I7" s="46">
        <v>2017</v>
      </c>
      <c r="J7" s="53">
        <v>2018</v>
      </c>
      <c r="K7" s="46">
        <v>2019</v>
      </c>
      <c r="L7" s="53">
        <v>2020</v>
      </c>
      <c r="M7" s="46">
        <v>2021</v>
      </c>
      <c r="N7" s="46">
        <v>2022</v>
      </c>
      <c r="O7" s="46">
        <v>2023</v>
      </c>
      <c r="P7" s="46">
        <v>2024</v>
      </c>
      <c r="Q7" s="46">
        <v>2025</v>
      </c>
      <c r="R7" s="46">
        <v>2026</v>
      </c>
      <c r="S7" s="46">
        <v>2027</v>
      </c>
      <c r="U7" s="8" t="s">
        <v>186</v>
      </c>
      <c r="W7" s="8" t="s">
        <v>187</v>
      </c>
    </row>
    <row r="9" spans="2:23" s="8" customFormat="1" ht="13">
      <c r="B9" s="8" t="s">
        <v>441</v>
      </c>
    </row>
    <row r="11" spans="2:23">
      <c r="B11" s="3" t="s">
        <v>442</v>
      </c>
      <c r="D11" s="3" t="s">
        <v>189</v>
      </c>
      <c r="H11" s="10"/>
      <c r="I11" s="10"/>
      <c r="J11" s="10"/>
      <c r="K11" s="10"/>
      <c r="L11" s="10"/>
      <c r="M11" s="10"/>
      <c r="N11" s="10"/>
      <c r="O11" s="10"/>
      <c r="P11" s="10"/>
      <c r="Q11" s="307">
        <v>1069469892.4698374</v>
      </c>
      <c r="R11" s="10"/>
      <c r="S11" s="10"/>
      <c r="U11" s="3" t="s">
        <v>1122</v>
      </c>
    </row>
    <row r="13" spans="2:23" s="8" customFormat="1" ht="13">
      <c r="B13" s="8" t="s">
        <v>443</v>
      </c>
    </row>
    <row r="15" spans="2:23">
      <c r="B15" s="3" t="s">
        <v>444</v>
      </c>
      <c r="D15" s="3" t="s">
        <v>189</v>
      </c>
      <c r="H15" s="10"/>
      <c r="I15" s="10"/>
      <c r="J15" s="10"/>
      <c r="K15" s="10"/>
      <c r="L15" s="10"/>
      <c r="M15" s="10"/>
      <c r="N15" s="10"/>
      <c r="O15" s="10"/>
      <c r="P15" s="10"/>
      <c r="Q15" s="10"/>
      <c r="R15" s="163">
        <v>0</v>
      </c>
      <c r="S15" s="10"/>
      <c r="U15" s="3" t="s">
        <v>1123</v>
      </c>
    </row>
    <row r="16" spans="2:23">
      <c r="B16" s="3" t="s">
        <v>445</v>
      </c>
      <c r="D16" s="3" t="s">
        <v>189</v>
      </c>
      <c r="H16" s="10"/>
      <c r="I16" s="10"/>
      <c r="J16" s="10"/>
      <c r="K16" s="10"/>
      <c r="L16" s="10"/>
      <c r="M16" s="10"/>
      <c r="N16" s="10"/>
      <c r="O16" s="10"/>
      <c r="P16" s="10"/>
      <c r="Q16" s="10"/>
      <c r="R16" s="10"/>
      <c r="S16" s="165">
        <f>'20. Nacalculaties'!R90</f>
        <v>5120776.1841599997</v>
      </c>
      <c r="W16" s="3" t="s">
        <v>446</v>
      </c>
    </row>
    <row r="17" spans="2:23">
      <c r="B17" s="3" t="s">
        <v>1148</v>
      </c>
      <c r="D17" s="3" t="s">
        <v>189</v>
      </c>
      <c r="H17" s="10"/>
      <c r="I17" s="10"/>
      <c r="J17" s="10"/>
      <c r="K17" s="10"/>
      <c r="L17" s="10"/>
      <c r="M17" s="10"/>
      <c r="N17" s="10"/>
      <c r="O17" s="10"/>
      <c r="P17" s="10"/>
      <c r="Q17" s="10"/>
      <c r="R17" s="10"/>
      <c r="S17" s="130">
        <v>0</v>
      </c>
      <c r="W17" s="3" t="s">
        <v>1149</v>
      </c>
    </row>
    <row r="18" spans="2:23">
      <c r="B18" s="3" t="s">
        <v>447</v>
      </c>
      <c r="D18" s="3" t="s">
        <v>189</v>
      </c>
      <c r="H18" s="10"/>
      <c r="I18" s="10"/>
      <c r="J18" s="10"/>
      <c r="K18" s="10"/>
      <c r="L18" s="10"/>
      <c r="M18" s="10"/>
      <c r="N18" s="10"/>
      <c r="O18" s="10"/>
      <c r="P18" s="10"/>
      <c r="Q18" s="10"/>
      <c r="R18" s="10"/>
      <c r="S18" s="299">
        <v>-5120776.1841599997</v>
      </c>
      <c r="W18" s="3" t="s">
        <v>1149</v>
      </c>
    </row>
    <row r="20" spans="2:23" s="8" customFormat="1" ht="13">
      <c r="B20" s="8" t="s">
        <v>448</v>
      </c>
    </row>
    <row r="22" spans="2:23">
      <c r="B22" s="3" t="s">
        <v>449</v>
      </c>
      <c r="D22" s="3" t="s">
        <v>189</v>
      </c>
      <c r="H22" s="10"/>
      <c r="I22" s="10"/>
      <c r="J22" s="10"/>
      <c r="K22" s="10"/>
      <c r="L22" s="10"/>
      <c r="M22" s="10"/>
      <c r="N22" s="163">
        <v>5268139756.0391312</v>
      </c>
      <c r="O22" s="163">
        <v>5115634665.0918875</v>
      </c>
      <c r="P22" s="163">
        <v>4980890118.9719696</v>
      </c>
      <c r="Q22" s="163">
        <v>4857675740.1304922</v>
      </c>
      <c r="R22" s="163">
        <v>4748752834.5466137</v>
      </c>
      <c r="S22" s="95"/>
      <c r="U22" s="3" t="s">
        <v>450</v>
      </c>
    </row>
    <row r="23" spans="2:23">
      <c r="B23" s="3" t="s">
        <v>451</v>
      </c>
      <c r="D23" s="3" t="s">
        <v>189</v>
      </c>
      <c r="H23" s="10"/>
      <c r="I23" s="10"/>
      <c r="J23" s="10"/>
      <c r="K23" s="10"/>
      <c r="L23" s="10"/>
      <c r="M23" s="10"/>
      <c r="N23" s="163">
        <v>1236767462.5833061</v>
      </c>
      <c r="O23" s="163">
        <v>1207881645.0947828</v>
      </c>
      <c r="P23" s="163">
        <v>1182417569.8607492</v>
      </c>
      <c r="Q23" s="163">
        <v>1160937568.2311876</v>
      </c>
      <c r="R23" s="163">
        <v>1143786642.7114766</v>
      </c>
      <c r="S23" s="95"/>
      <c r="U23" s="3" t="s">
        <v>450</v>
      </c>
    </row>
    <row r="24" spans="2:23">
      <c r="N24" s="88"/>
      <c r="O24" s="88"/>
      <c r="P24" s="88"/>
      <c r="Q24" s="88"/>
      <c r="R24" s="88"/>
      <c r="S24" s="88"/>
    </row>
    <row r="25" spans="2:23" s="8" customFormat="1" ht="13">
      <c r="B25" s="8" t="s">
        <v>452</v>
      </c>
    </row>
    <row r="26" spans="2:23">
      <c r="N26" s="88"/>
      <c r="O26" s="88"/>
      <c r="P26" s="88"/>
      <c r="Q26" s="88"/>
      <c r="R26" s="88"/>
      <c r="S26" s="88"/>
    </row>
    <row r="27" spans="2:23">
      <c r="B27" s="3" t="s">
        <v>453</v>
      </c>
      <c r="H27" s="10"/>
      <c r="I27" s="248">
        <v>44821191.142850496</v>
      </c>
      <c r="J27" s="248">
        <v>58525786.829999998</v>
      </c>
      <c r="K27" s="248">
        <v>58366350.850000001</v>
      </c>
      <c r="L27" s="10"/>
      <c r="M27" s="10"/>
      <c r="N27" s="10"/>
      <c r="O27" s="10"/>
      <c r="P27" s="10"/>
      <c r="Q27" s="10"/>
      <c r="R27" s="10"/>
      <c r="S27" s="10"/>
      <c r="U27" s="3" t="s">
        <v>454</v>
      </c>
    </row>
    <row r="28" spans="2:23">
      <c r="B28" s="3" t="s">
        <v>455</v>
      </c>
      <c r="H28" s="10"/>
      <c r="I28" s="248">
        <v>51772596.931449495</v>
      </c>
      <c r="J28" s="248">
        <v>57577907.726399995</v>
      </c>
      <c r="K28" s="248">
        <v>46608188.220100001</v>
      </c>
      <c r="L28" s="10"/>
      <c r="M28" s="10"/>
      <c r="N28" s="10"/>
      <c r="O28" s="10"/>
      <c r="P28" s="10"/>
      <c r="Q28" s="10"/>
      <c r="R28" s="10"/>
      <c r="S28" s="10"/>
      <c r="U28" s="3" t="s">
        <v>450</v>
      </c>
    </row>
    <row r="30" spans="2:23" s="8" customFormat="1" ht="13">
      <c r="B30" s="8" t="s">
        <v>456</v>
      </c>
    </row>
    <row r="32" spans="2:23">
      <c r="B32" s="3" t="s">
        <v>457</v>
      </c>
      <c r="H32" s="10"/>
      <c r="I32" s="10"/>
      <c r="J32" s="10"/>
      <c r="K32" s="10"/>
      <c r="L32" s="248">
        <v>2227061.457252</v>
      </c>
      <c r="M32" s="10"/>
      <c r="N32" s="10"/>
      <c r="O32" s="10"/>
      <c r="P32" s="10"/>
      <c r="Q32" s="10"/>
      <c r="R32" s="10"/>
      <c r="S32" s="10"/>
      <c r="U32" s="3" t="s">
        <v>458</v>
      </c>
      <c r="W32" s="3" t="s">
        <v>459</v>
      </c>
    </row>
    <row r="34" spans="2:21" s="8" customFormat="1" ht="13">
      <c r="B34" s="8" t="s">
        <v>460</v>
      </c>
    </row>
    <row r="36" spans="2:21">
      <c r="B36" s="3" t="s">
        <v>461</v>
      </c>
      <c r="D36" s="3" t="s">
        <v>189</v>
      </c>
      <c r="H36" s="10"/>
      <c r="I36" s="10"/>
      <c r="J36" s="10"/>
      <c r="K36" s="10"/>
      <c r="L36" s="10"/>
      <c r="M36" s="10"/>
      <c r="N36" s="282">
        <v>0</v>
      </c>
      <c r="O36" s="282">
        <v>0</v>
      </c>
      <c r="P36" s="307">
        <v>0</v>
      </c>
      <c r="Q36" s="282">
        <v>53053730.542234212</v>
      </c>
      <c r="R36" s="282">
        <v>141713845.03448284</v>
      </c>
      <c r="S36" s="303"/>
      <c r="U36" s="3" t="s">
        <v>1114</v>
      </c>
    </row>
    <row r="37" spans="2:21">
      <c r="B37" s="3" t="s">
        <v>462</v>
      </c>
      <c r="D37" s="3" t="s">
        <v>189</v>
      </c>
      <c r="H37" s="10"/>
      <c r="I37" s="10"/>
      <c r="J37" s="10"/>
      <c r="K37" s="10"/>
      <c r="L37" s="10"/>
      <c r="M37" s="10"/>
      <c r="N37" s="282">
        <v>119072.05535743562</v>
      </c>
      <c r="O37" s="282">
        <v>43971.119724233969</v>
      </c>
      <c r="P37" s="307">
        <v>2404144.6778045101</v>
      </c>
      <c r="Q37" s="282">
        <v>2407837.6116711642</v>
      </c>
      <c r="R37" s="282">
        <v>9785566.4517509788</v>
      </c>
      <c r="S37" s="303"/>
      <c r="U37" s="3" t="s">
        <v>1114</v>
      </c>
    </row>
    <row r="38" spans="2:21">
      <c r="B38" s="3" t="s">
        <v>463</v>
      </c>
      <c r="D38" s="3" t="s">
        <v>189</v>
      </c>
      <c r="H38" s="10"/>
      <c r="I38" s="10"/>
      <c r="J38" s="10"/>
      <c r="K38" s="10"/>
      <c r="L38" s="10"/>
      <c r="M38" s="10"/>
      <c r="N38" s="282">
        <v>-2514124.5400079801</v>
      </c>
      <c r="O38" s="282">
        <v>-892610.16077459906</v>
      </c>
      <c r="P38" s="307">
        <v>-418587875.91763008</v>
      </c>
      <c r="Q38" s="282">
        <v>-31230124.495261651</v>
      </c>
      <c r="R38" s="282">
        <v>66872286.285418212</v>
      </c>
      <c r="S38" s="303"/>
      <c r="U38" s="3" t="s">
        <v>1114</v>
      </c>
    </row>
    <row r="39" spans="2:21">
      <c r="B39" s="3" t="s">
        <v>464</v>
      </c>
      <c r="D39" s="3" t="s">
        <v>189</v>
      </c>
      <c r="H39" s="10"/>
      <c r="I39" s="10"/>
      <c r="J39" s="10"/>
      <c r="K39" s="10"/>
      <c r="L39" s="10"/>
      <c r="M39" s="10"/>
      <c r="N39" s="282">
        <v>-3840127.8443999998</v>
      </c>
      <c r="O39" s="282">
        <v>-7019622.9493739996</v>
      </c>
      <c r="P39" s="307">
        <v>-17676502.662623998</v>
      </c>
      <c r="Q39" s="282">
        <v>-20334638.624196</v>
      </c>
      <c r="R39" s="282">
        <v>-9566363.896687502</v>
      </c>
      <c r="S39" s="303"/>
      <c r="U39" s="3" t="s">
        <v>1114</v>
      </c>
    </row>
    <row r="40" spans="2:21">
      <c r="B40" s="3" t="s">
        <v>465</v>
      </c>
      <c r="D40" s="3" t="s">
        <v>189</v>
      </c>
      <c r="H40" s="10"/>
      <c r="I40" s="10"/>
      <c r="J40" s="10"/>
      <c r="K40" s="10"/>
      <c r="L40" s="10"/>
      <c r="M40" s="10"/>
      <c r="N40" s="282">
        <v>-1510375</v>
      </c>
      <c r="O40" s="282">
        <v>-1091840.3578679999</v>
      </c>
      <c r="P40" s="307">
        <v>0</v>
      </c>
      <c r="Q40" s="282">
        <v>-430850783.87126899</v>
      </c>
      <c r="R40" s="282">
        <v>-54292976.244045004</v>
      </c>
      <c r="S40" s="303"/>
      <c r="U40" s="3" t="s">
        <v>1114</v>
      </c>
    </row>
    <row r="41" spans="2:21">
      <c r="B41" s="3" t="s">
        <v>466</v>
      </c>
      <c r="D41" s="3" t="s">
        <v>189</v>
      </c>
      <c r="H41" s="10"/>
      <c r="I41" s="10"/>
      <c r="J41" s="10"/>
      <c r="K41" s="10"/>
      <c r="L41" s="10"/>
      <c r="M41" s="10"/>
      <c r="N41" s="282">
        <v>37459989.57773035</v>
      </c>
      <c r="O41" s="282">
        <v>94853547.603668377</v>
      </c>
      <c r="P41" s="10"/>
      <c r="Q41" s="282">
        <v>218988596.2163403</v>
      </c>
      <c r="R41" s="282">
        <v>83371027.523610294</v>
      </c>
      <c r="S41" s="303"/>
      <c r="U41" s="3" t="s">
        <v>1114</v>
      </c>
    </row>
    <row r="42" spans="2:21">
      <c r="B42" s="3" t="s">
        <v>467</v>
      </c>
      <c r="D42" s="3" t="s">
        <v>189</v>
      </c>
      <c r="H42" s="10"/>
      <c r="I42" s="10"/>
      <c r="J42" s="10"/>
      <c r="K42" s="10"/>
      <c r="L42" s="10"/>
      <c r="M42" s="10"/>
      <c r="N42" s="282">
        <v>7429834.5300000003</v>
      </c>
      <c r="O42" s="282">
        <v>22739593.510152001</v>
      </c>
      <c r="P42" s="307">
        <v>2370440.480303999</v>
      </c>
      <c r="Q42" s="282">
        <v>84987160.105392396</v>
      </c>
      <c r="R42" s="282">
        <v>46590933.973290004</v>
      </c>
      <c r="S42" s="303"/>
      <c r="U42" s="3" t="s">
        <v>1114</v>
      </c>
    </row>
    <row r="43" spans="2:21">
      <c r="B43" s="3" t="s">
        <v>468</v>
      </c>
      <c r="D43" s="3" t="s">
        <v>189</v>
      </c>
      <c r="H43" s="10"/>
      <c r="I43" s="10"/>
      <c r="J43" s="10"/>
      <c r="K43" s="10"/>
      <c r="L43" s="10"/>
      <c r="M43" s="10"/>
      <c r="N43" s="282">
        <v>-6987581.421986118</v>
      </c>
      <c r="O43" s="282">
        <v>-26590510.266268313</v>
      </c>
      <c r="P43" s="307">
        <v>-37620979.270649046</v>
      </c>
      <c r="Q43" s="282">
        <v>-85362788.83980006</v>
      </c>
      <c r="R43" s="282">
        <v>-92141688.170288146</v>
      </c>
      <c r="S43" s="303"/>
      <c r="U43" s="3" t="s">
        <v>1114</v>
      </c>
    </row>
    <row r="44" spans="2:21">
      <c r="B44" s="3" t="s">
        <v>469</v>
      </c>
      <c r="D44" s="3" t="s">
        <v>189</v>
      </c>
      <c r="H44" s="10"/>
      <c r="I44" s="10"/>
      <c r="J44" s="10"/>
      <c r="K44" s="10"/>
      <c r="L44" s="10"/>
      <c r="M44" s="10"/>
      <c r="N44" s="303"/>
      <c r="O44" s="303"/>
      <c r="P44" s="307">
        <v>2363403.9056672235</v>
      </c>
      <c r="Q44" s="282">
        <v>14755154.906724626</v>
      </c>
      <c r="R44" s="282">
        <v>34143314.35257566</v>
      </c>
      <c r="S44" s="303"/>
      <c r="U44" s="3" t="s">
        <v>1114</v>
      </c>
    </row>
    <row r="45" spans="2:21">
      <c r="B45" s="3" t="s">
        <v>470</v>
      </c>
      <c r="D45" s="3" t="s">
        <v>189</v>
      </c>
      <c r="H45" s="10"/>
      <c r="I45" s="10"/>
      <c r="J45" s="10"/>
      <c r="K45" s="10"/>
      <c r="L45" s="10"/>
      <c r="M45" s="10"/>
      <c r="N45" s="303"/>
      <c r="O45" s="303"/>
      <c r="P45" s="307">
        <v>14652295.895247623</v>
      </c>
      <c r="Q45" s="282">
        <v>16724582.409155497</v>
      </c>
      <c r="R45" s="282">
        <v>18703759.82677523</v>
      </c>
      <c r="S45" s="303"/>
      <c r="U45" s="3" t="s">
        <v>1114</v>
      </c>
    </row>
    <row r="46" spans="2:21">
      <c r="B46" s="3" t="s">
        <v>471</v>
      </c>
      <c r="D46" s="3" t="s">
        <v>189</v>
      </c>
      <c r="H46" s="10"/>
      <c r="I46" s="10"/>
      <c r="J46" s="10"/>
      <c r="K46" s="10"/>
      <c r="L46" s="10"/>
      <c r="M46" s="10"/>
      <c r="N46" s="282">
        <v>-651743.81498073554</v>
      </c>
      <c r="O46" s="282">
        <v>-2713634.922561896</v>
      </c>
      <c r="P46" s="307">
        <v>-6263691.195662085</v>
      </c>
      <c r="Q46" s="282">
        <v>-7178437.7711590901</v>
      </c>
      <c r="R46" s="282">
        <v>-13167856.604152044</v>
      </c>
      <c r="S46" s="303"/>
      <c r="U46" s="3" t="s">
        <v>1114</v>
      </c>
    </row>
    <row r="47" spans="2:21">
      <c r="B47" s="3" t="s">
        <v>472</v>
      </c>
      <c r="D47" s="3" t="s">
        <v>189</v>
      </c>
      <c r="H47" s="10"/>
      <c r="I47" s="10"/>
      <c r="J47" s="10"/>
      <c r="K47" s="10"/>
      <c r="L47" s="10"/>
      <c r="M47" s="10"/>
      <c r="N47" s="303"/>
      <c r="O47" s="303"/>
      <c r="P47" s="307">
        <v>56578492.792342328</v>
      </c>
      <c r="Q47" s="282">
        <v>122315270.04842561</v>
      </c>
      <c r="R47" s="282">
        <v>93323791.857641906</v>
      </c>
      <c r="S47" s="303"/>
      <c r="U47" s="3" t="s">
        <v>1114</v>
      </c>
    </row>
    <row r="48" spans="2:21">
      <c r="B48" s="3" t="s">
        <v>473</v>
      </c>
      <c r="D48" s="3" t="s">
        <v>189</v>
      </c>
      <c r="H48" s="10"/>
      <c r="I48" s="10"/>
      <c r="J48" s="10"/>
      <c r="K48" s="10"/>
      <c r="L48" s="10"/>
      <c r="M48" s="10"/>
      <c r="N48" s="303"/>
      <c r="O48" s="303"/>
      <c r="P48" s="307">
        <v>5993118.6408960866</v>
      </c>
      <c r="Q48" s="282">
        <v>6269821.1828594869</v>
      </c>
      <c r="R48" s="282">
        <v>6247008.5743884807</v>
      </c>
      <c r="S48" s="303"/>
      <c r="U48" s="3" t="s">
        <v>1114</v>
      </c>
    </row>
    <row r="49" spans="2:26">
      <c r="B49" s="3" t="s">
        <v>474</v>
      </c>
      <c r="D49" s="3" t="s">
        <v>189</v>
      </c>
      <c r="H49" s="10"/>
      <c r="I49" s="10"/>
      <c r="J49" s="10"/>
      <c r="K49" s="10"/>
      <c r="L49" s="10"/>
      <c r="M49" s="10"/>
      <c r="N49" s="282">
        <v>109745.32379785551</v>
      </c>
      <c r="O49" s="10"/>
      <c r="P49" s="10"/>
      <c r="Q49" s="10"/>
      <c r="R49" s="10"/>
      <c r="S49" s="303"/>
      <c r="U49" s="3" t="s">
        <v>1114</v>
      </c>
    </row>
    <row r="50" spans="2:26">
      <c r="B50" s="3" t="s">
        <v>475</v>
      </c>
      <c r="D50" s="3" t="s">
        <v>189</v>
      </c>
      <c r="H50" s="10"/>
      <c r="I50" s="10"/>
      <c r="J50" s="10"/>
      <c r="K50" s="10"/>
      <c r="L50" s="10"/>
      <c r="M50" s="10"/>
      <c r="N50" s="303"/>
      <c r="O50" s="303"/>
      <c r="P50" s="307">
        <v>270388092.45989364</v>
      </c>
      <c r="Q50" s="10"/>
      <c r="R50" s="10"/>
      <c r="S50" s="303"/>
      <c r="U50" s="3" t="s">
        <v>1114</v>
      </c>
    </row>
    <row r="51" spans="2:26">
      <c r="B51" s="3" t="s">
        <v>476</v>
      </c>
      <c r="D51" s="3" t="s">
        <v>189</v>
      </c>
      <c r="H51" s="10"/>
      <c r="I51" s="10"/>
      <c r="J51" s="10"/>
      <c r="K51" s="10"/>
      <c r="L51" s="10"/>
      <c r="M51" s="10"/>
      <c r="N51" s="10"/>
      <c r="O51" s="282">
        <v>-6549650.4501419598</v>
      </c>
      <c r="P51" s="307">
        <v>1236097.6837258562</v>
      </c>
      <c r="Q51" s="282">
        <v>14624633.370419957</v>
      </c>
      <c r="R51" s="282">
        <v>27827156.062316984</v>
      </c>
      <c r="S51" s="303"/>
      <c r="U51" s="3" t="s">
        <v>1114</v>
      </c>
      <c r="Z51" s="153"/>
    </row>
    <row r="52" spans="2:26">
      <c r="B52" s="3" t="s">
        <v>477</v>
      </c>
      <c r="D52" s="3" t="s">
        <v>189</v>
      </c>
      <c r="H52" s="10"/>
      <c r="I52" s="10"/>
      <c r="J52" s="10"/>
      <c r="K52" s="10"/>
      <c r="L52" s="10"/>
      <c r="M52" s="10"/>
      <c r="N52" s="303"/>
      <c r="O52" s="303"/>
      <c r="P52" s="307">
        <v>-18434074.327111505</v>
      </c>
      <c r="Q52" s="282">
        <v>-19829873.659733675</v>
      </c>
      <c r="R52" s="282">
        <v>-19994603.596221652</v>
      </c>
      <c r="S52" s="303"/>
      <c r="U52" s="3" t="s">
        <v>1114</v>
      </c>
    </row>
    <row r="53" spans="2:26">
      <c r="B53" s="3" t="s">
        <v>478</v>
      </c>
      <c r="D53" s="3" t="s">
        <v>189</v>
      </c>
      <c r="H53" s="10"/>
      <c r="I53" s="10"/>
      <c r="J53" s="10"/>
      <c r="K53" s="10"/>
      <c r="L53" s="10"/>
      <c r="M53" s="10"/>
      <c r="N53" s="303"/>
      <c r="O53" s="303"/>
      <c r="P53" s="303"/>
      <c r="Q53" s="282">
        <v>177577613.12560752</v>
      </c>
      <c r="R53" s="303"/>
      <c r="S53" s="303"/>
      <c r="U53" s="3" t="s">
        <v>1114</v>
      </c>
    </row>
    <row r="54" spans="2:26">
      <c r="B54" s="3" t="s">
        <v>479</v>
      </c>
      <c r="D54" s="3" t="s">
        <v>189</v>
      </c>
      <c r="H54" s="10"/>
      <c r="I54" s="10"/>
      <c r="J54" s="10"/>
      <c r="K54" s="10"/>
      <c r="L54" s="10"/>
      <c r="M54" s="10"/>
      <c r="N54" s="303"/>
      <c r="O54" s="303"/>
      <c r="P54" s="303"/>
      <c r="Q54" s="282">
        <v>-106774394.81170595</v>
      </c>
      <c r="R54" s="303"/>
      <c r="S54" s="303"/>
      <c r="U54" s="3" t="s">
        <v>1114</v>
      </c>
    </row>
    <row r="55" spans="2:26">
      <c r="B55" s="3" t="s">
        <v>480</v>
      </c>
      <c r="D55" s="3" t="s">
        <v>189</v>
      </c>
      <c r="H55" s="10"/>
      <c r="I55" s="10"/>
      <c r="J55" s="10"/>
      <c r="K55" s="10"/>
      <c r="L55" s="10"/>
      <c r="M55" s="10"/>
      <c r="N55" s="303"/>
      <c r="O55" s="303"/>
      <c r="P55" s="303"/>
      <c r="Q55" s="282">
        <v>-10000000</v>
      </c>
      <c r="R55" s="303"/>
      <c r="S55" s="303"/>
      <c r="U55" s="3" t="s">
        <v>1114</v>
      </c>
    </row>
    <row r="56" spans="2:26">
      <c r="N56" s="153"/>
      <c r="O56" s="153"/>
      <c r="P56" s="153"/>
      <c r="Q56" s="153"/>
    </row>
    <row r="57" spans="2:26" s="8" customFormat="1" ht="13">
      <c r="B57" s="342" t="s">
        <v>1151</v>
      </c>
      <c r="C57" s="342"/>
      <c r="D57" s="342"/>
      <c r="E57" s="342"/>
      <c r="F57" s="342"/>
      <c r="G57" s="342"/>
      <c r="H57" s="342"/>
      <c r="I57" s="342"/>
      <c r="J57" s="342"/>
      <c r="K57" s="342"/>
      <c r="L57" s="342"/>
      <c r="M57" s="342"/>
      <c r="N57" s="342"/>
      <c r="O57" s="342"/>
      <c r="P57" s="342"/>
      <c r="Q57" s="342"/>
      <c r="R57" s="342"/>
      <c r="S57" s="342"/>
      <c r="T57" s="342"/>
      <c r="U57" s="342"/>
      <c r="V57" s="342"/>
      <c r="W57" s="342"/>
      <c r="X57" s="342"/>
    </row>
    <row r="58" spans="2:26">
      <c r="B58" s="343"/>
      <c r="C58" s="343"/>
      <c r="D58" s="343"/>
      <c r="E58" s="343"/>
      <c r="F58" s="343"/>
      <c r="G58" s="343"/>
      <c r="H58" s="343"/>
      <c r="I58" s="343"/>
      <c r="J58" s="343"/>
      <c r="K58" s="343"/>
      <c r="L58" s="343"/>
      <c r="M58" s="343"/>
      <c r="N58" s="343"/>
      <c r="O58" s="343"/>
      <c r="P58" s="343"/>
      <c r="Q58" s="343"/>
      <c r="R58" s="343"/>
      <c r="S58" s="343"/>
      <c r="T58" s="343"/>
      <c r="U58" s="343"/>
      <c r="V58" s="343"/>
      <c r="W58" s="343"/>
      <c r="X58" s="343"/>
    </row>
    <row r="59" spans="2:26" ht="13">
      <c r="B59" s="343" t="s">
        <v>1152</v>
      </c>
      <c r="C59" s="343"/>
      <c r="D59" s="343" t="s">
        <v>189</v>
      </c>
      <c r="E59" s="343"/>
      <c r="F59" s="343"/>
      <c r="G59" s="343"/>
      <c r="H59" s="344"/>
      <c r="I59" s="344"/>
      <c r="J59" s="344"/>
      <c r="K59" s="344"/>
      <c r="L59" s="344"/>
      <c r="M59" s="344"/>
      <c r="N59" s="344"/>
      <c r="O59" s="344"/>
      <c r="P59" s="344"/>
      <c r="Q59" s="344"/>
      <c r="R59" s="345">
        <v>0</v>
      </c>
      <c r="S59" s="344"/>
      <c r="T59" s="343"/>
      <c r="U59" s="4" t="s">
        <v>1159</v>
      </c>
      <c r="V59" s="343"/>
      <c r="W59" s="343" t="s">
        <v>1150</v>
      </c>
      <c r="X59" s="343"/>
    </row>
    <row r="60" spans="2:26">
      <c r="B60" s="343" t="s">
        <v>1153</v>
      </c>
      <c r="C60" s="343"/>
      <c r="D60" s="343" t="s">
        <v>189</v>
      </c>
      <c r="E60" s="343"/>
      <c r="F60" s="343"/>
      <c r="G60" s="343"/>
      <c r="H60" s="344"/>
      <c r="I60" s="344"/>
      <c r="J60" s="344"/>
      <c r="K60" s="344"/>
      <c r="L60" s="344"/>
      <c r="M60" s="344"/>
      <c r="N60" s="344"/>
      <c r="O60" s="344"/>
      <c r="P60" s="344"/>
      <c r="Q60" s="344"/>
      <c r="R60" s="344"/>
      <c r="S60" s="346">
        <f xml:space="preserve"> '26. Toegestane inkomsten'!N46</f>
        <v>312488829.54237598</v>
      </c>
      <c r="T60" s="343"/>
      <c r="U60" s="343"/>
      <c r="V60" s="343"/>
      <c r="W60" s="343" t="s">
        <v>1158</v>
      </c>
      <c r="X60" s="343"/>
    </row>
    <row r="61" spans="2:26">
      <c r="B61" s="343" t="s">
        <v>1168</v>
      </c>
      <c r="C61" s="343"/>
      <c r="D61" s="343" t="s">
        <v>189</v>
      </c>
      <c r="E61" s="343"/>
      <c r="F61" s="343"/>
      <c r="G61" s="343"/>
      <c r="H61" s="344"/>
      <c r="I61" s="344"/>
      <c r="J61" s="344"/>
      <c r="K61" s="344"/>
      <c r="L61" s="344"/>
      <c r="M61" s="344"/>
      <c r="N61" s="344"/>
      <c r="O61" s="344"/>
      <c r="P61" s="344"/>
      <c r="Q61" s="344"/>
      <c r="R61" s="344"/>
      <c r="S61" s="347">
        <v>253214655.21751785</v>
      </c>
      <c r="T61" s="343"/>
      <c r="U61" s="343"/>
      <c r="V61" s="343"/>
      <c r="W61" s="343" t="s">
        <v>1169</v>
      </c>
      <c r="X61" s="343"/>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80"/>
  <sheetViews>
    <sheetView showGridLines="0" zoomScale="85" zoomScaleNormal="85" workbookViewId="0">
      <pane ySplit="10" topLeftCell="A11" activePane="bottomLeft" state="frozen"/>
      <selection pane="bottomLeft" activeCell="A11" sqref="A11"/>
    </sheetView>
  </sheetViews>
  <sheetFormatPr defaultColWidth="13.54296875" defaultRowHeight="12.5"/>
  <cols>
    <col min="1" max="1" width="2.54296875" style="3" customWidth="1"/>
    <col min="2" max="2" width="75.54296875" style="3" customWidth="1"/>
    <col min="3" max="3" width="2.54296875" style="3" customWidth="1"/>
    <col min="4" max="4" width="30.54296875" style="3" customWidth="1"/>
    <col min="5" max="5" width="15.54296875" style="3" customWidth="1"/>
    <col min="6" max="16384" width="13.54296875" style="3"/>
  </cols>
  <sheetData>
    <row r="2" spans="1:10" s="12" customFormat="1" ht="18">
      <c r="B2" s="12" t="s">
        <v>481</v>
      </c>
    </row>
    <row r="4" spans="1:10" ht="13">
      <c r="B4" s="16" t="s">
        <v>272</v>
      </c>
    </row>
    <row r="5" spans="1:10" ht="46.4" customHeight="1">
      <c r="B5" s="352" t="s">
        <v>482</v>
      </c>
      <c r="C5" s="352"/>
      <c r="D5" s="352"/>
      <c r="E5" s="352"/>
    </row>
    <row r="7" spans="1:10" s="8" customFormat="1" ht="13">
      <c r="A7" s="148"/>
      <c r="B7" s="8" t="s">
        <v>143</v>
      </c>
      <c r="F7" s="46"/>
      <c r="G7" s="46"/>
    </row>
    <row r="8" spans="1:10" s="48" customFormat="1" ht="13"/>
    <row r="9" spans="1:10" s="134" customFormat="1" ht="13">
      <c r="A9" s="236"/>
      <c r="B9" s="134" t="s">
        <v>483</v>
      </c>
      <c r="D9" s="134" t="s">
        <v>484</v>
      </c>
      <c r="F9" s="8" t="s">
        <v>186</v>
      </c>
    </row>
    <row r="10" spans="1:10" s="48" customFormat="1" ht="13"/>
    <row r="11" spans="1:10">
      <c r="B11" s="91" cm="1">
        <f t="array" ref="B11:B102">'13. Desinvesteringen'!B335:B426</f>
        <v>316</v>
      </c>
      <c r="D11" s="237">
        <v>0</v>
      </c>
      <c r="F11" s="3" t="s">
        <v>485</v>
      </c>
      <c r="J11" s="88"/>
    </row>
    <row r="12" spans="1:10">
      <c r="B12" s="91">
        <v>317</v>
      </c>
      <c r="D12" s="237">
        <v>0</v>
      </c>
      <c r="F12" s="3" t="s">
        <v>485</v>
      </c>
      <c r="J12" s="88"/>
    </row>
    <row r="13" spans="1:10">
      <c r="B13" s="91">
        <v>318</v>
      </c>
      <c r="D13" s="237">
        <v>0</v>
      </c>
      <c r="F13" s="3" t="s">
        <v>485</v>
      </c>
      <c r="J13" s="88"/>
    </row>
    <row r="14" spans="1:10">
      <c r="B14" s="91">
        <v>319</v>
      </c>
      <c r="D14" s="237">
        <v>0</v>
      </c>
      <c r="F14" s="3" t="s">
        <v>485</v>
      </c>
      <c r="J14" s="88"/>
    </row>
    <row r="15" spans="1:10">
      <c r="B15" s="91">
        <v>320</v>
      </c>
      <c r="D15" s="237">
        <v>0</v>
      </c>
      <c r="F15" s="3" t="s">
        <v>485</v>
      </c>
      <c r="J15" s="88"/>
    </row>
    <row r="16" spans="1:10">
      <c r="B16" s="91">
        <v>321</v>
      </c>
      <c r="D16" s="237">
        <v>0</v>
      </c>
      <c r="F16" s="3" t="s">
        <v>485</v>
      </c>
      <c r="J16" s="88"/>
    </row>
    <row r="17" spans="2:10">
      <c r="B17" s="91">
        <v>322</v>
      </c>
      <c r="D17" s="237">
        <v>0</v>
      </c>
      <c r="F17" s="3" t="s">
        <v>485</v>
      </c>
      <c r="J17" s="88"/>
    </row>
    <row r="18" spans="2:10">
      <c r="B18" s="91">
        <v>323</v>
      </c>
      <c r="D18" s="145">
        <v>4800.0618690721003</v>
      </c>
      <c r="F18" s="3" t="s">
        <v>485</v>
      </c>
      <c r="J18" s="88"/>
    </row>
    <row r="19" spans="2:10">
      <c r="B19" s="91">
        <v>324</v>
      </c>
      <c r="D19" s="145">
        <v>7362.4523493487277</v>
      </c>
      <c r="F19" s="3" t="s">
        <v>485</v>
      </c>
      <c r="J19" s="88"/>
    </row>
    <row r="20" spans="2:10">
      <c r="B20" s="91">
        <v>325</v>
      </c>
      <c r="D20" s="145">
        <v>19106.465971183679</v>
      </c>
      <c r="F20" s="3" t="s">
        <v>485</v>
      </c>
      <c r="J20" s="88"/>
    </row>
    <row r="21" spans="2:10">
      <c r="B21" s="91">
        <v>326</v>
      </c>
      <c r="D21" s="145">
        <v>34361.047919882221</v>
      </c>
      <c r="F21" s="3" t="s">
        <v>485</v>
      </c>
      <c r="J21" s="88"/>
    </row>
    <row r="22" spans="2:10">
      <c r="B22" s="91">
        <v>327</v>
      </c>
      <c r="D22" s="145">
        <v>24689.78297700132</v>
      </c>
      <c r="F22" s="3" t="s">
        <v>485</v>
      </c>
      <c r="J22" s="88"/>
    </row>
    <row r="23" spans="2:10">
      <c r="B23" s="91">
        <v>328</v>
      </c>
      <c r="D23" s="145">
        <v>84795.96142136406</v>
      </c>
      <c r="F23" s="3" t="s">
        <v>485</v>
      </c>
      <c r="J23" s="88"/>
    </row>
    <row r="24" spans="2:10" ht="12" customHeight="1">
      <c r="B24" s="91">
        <v>329</v>
      </c>
      <c r="D24" s="145">
        <v>73143.543504977206</v>
      </c>
      <c r="F24" s="3" t="s">
        <v>485</v>
      </c>
      <c r="J24" s="88"/>
    </row>
    <row r="25" spans="2:10">
      <c r="B25" s="91">
        <v>330</v>
      </c>
      <c r="D25" s="145">
        <v>28650.688160986421</v>
      </c>
      <c r="F25" s="3" t="s">
        <v>485</v>
      </c>
      <c r="J25" s="88"/>
    </row>
    <row r="26" spans="2:10">
      <c r="B26" s="91">
        <v>331</v>
      </c>
      <c r="D26" s="145">
        <v>22915.340357348177</v>
      </c>
      <c r="F26" s="3" t="s">
        <v>485</v>
      </c>
      <c r="J26" s="88"/>
    </row>
    <row r="27" spans="2:10">
      <c r="B27" s="91">
        <v>332</v>
      </c>
      <c r="D27" s="145">
        <v>52322.526677778427</v>
      </c>
      <c r="F27" s="3" t="s">
        <v>485</v>
      </c>
      <c r="J27" s="88"/>
    </row>
    <row r="28" spans="2:10">
      <c r="B28" s="91">
        <v>333</v>
      </c>
      <c r="D28" s="145">
        <v>22168.241432612802</v>
      </c>
      <c r="F28" s="3" t="s">
        <v>485</v>
      </c>
      <c r="J28" s="88"/>
    </row>
    <row r="29" spans="2:10">
      <c r="B29" s="91">
        <v>334</v>
      </c>
      <c r="D29" s="145">
        <v>74293.951826154895</v>
      </c>
      <c r="F29" s="3" t="s">
        <v>485</v>
      </c>
      <c r="J29" s="88"/>
    </row>
    <row r="30" spans="2:10">
      <c r="B30" s="91">
        <v>335</v>
      </c>
      <c r="D30" s="145">
        <v>357.48421114725051</v>
      </c>
      <c r="F30" s="3" t="s">
        <v>485</v>
      </c>
      <c r="J30" s="88"/>
    </row>
    <row r="31" spans="2:10">
      <c r="B31" s="91">
        <v>336</v>
      </c>
      <c r="D31" s="145">
        <v>38915.650783577308</v>
      </c>
      <c r="F31" s="3" t="s">
        <v>485</v>
      </c>
      <c r="J31" s="88"/>
    </row>
    <row r="32" spans="2:10">
      <c r="B32" s="91">
        <v>337</v>
      </c>
      <c r="D32" s="145">
        <v>22545.342886393813</v>
      </c>
      <c r="F32" s="3" t="s">
        <v>485</v>
      </c>
      <c r="J32" s="88"/>
    </row>
    <row r="33" spans="2:10">
      <c r="B33" s="91">
        <v>338</v>
      </c>
      <c r="D33" s="145">
        <v>91128.347042326975</v>
      </c>
      <c r="F33" s="3" t="s">
        <v>485</v>
      </c>
      <c r="J33" s="88"/>
    </row>
    <row r="34" spans="2:10">
      <c r="B34" s="91">
        <v>339</v>
      </c>
      <c r="D34" s="145">
        <v>19475.506076320318</v>
      </c>
      <c r="F34" s="3" t="s">
        <v>485</v>
      </c>
      <c r="J34" s="88"/>
    </row>
    <row r="35" spans="2:10">
      <c r="B35" s="91">
        <v>340</v>
      </c>
      <c r="D35" s="145">
        <v>4265.7894840755598</v>
      </c>
      <c r="F35" s="3" t="s">
        <v>485</v>
      </c>
      <c r="J35" s="88"/>
    </row>
    <row r="36" spans="2:10">
      <c r="B36" s="91">
        <v>341</v>
      </c>
      <c r="D36" s="145">
        <v>6065.0353725967525</v>
      </c>
      <c r="F36" s="3" t="s">
        <v>485</v>
      </c>
      <c r="J36" s="88"/>
    </row>
    <row r="37" spans="2:10">
      <c r="B37" s="91">
        <v>342</v>
      </c>
      <c r="D37" s="145">
        <v>3963.0132452867715</v>
      </c>
      <c r="F37" s="3" t="s">
        <v>485</v>
      </c>
      <c r="J37" s="88"/>
    </row>
    <row r="38" spans="2:10">
      <c r="B38" s="91">
        <v>343</v>
      </c>
      <c r="D38" s="145">
        <v>99386.826026262308</v>
      </c>
      <c r="F38" s="3" t="s">
        <v>485</v>
      </c>
      <c r="J38" s="88"/>
    </row>
    <row r="39" spans="2:10">
      <c r="B39" s="91">
        <v>344</v>
      </c>
      <c r="D39" s="145">
        <v>21724.935672167638</v>
      </c>
      <c r="F39" s="3" t="s">
        <v>485</v>
      </c>
      <c r="J39" s="88"/>
    </row>
    <row r="40" spans="2:10">
      <c r="B40" s="91">
        <v>345</v>
      </c>
      <c r="D40" s="145">
        <v>354150.64233630133</v>
      </c>
      <c r="F40" s="3" t="s">
        <v>485</v>
      </c>
      <c r="J40" s="88"/>
    </row>
    <row r="41" spans="2:10">
      <c r="B41" s="91">
        <v>346</v>
      </c>
      <c r="D41" s="145">
        <v>152476.71374613314</v>
      </c>
      <c r="F41" s="3" t="s">
        <v>485</v>
      </c>
      <c r="J41" s="88"/>
    </row>
    <row r="42" spans="2:10">
      <c r="B42" s="91">
        <v>347</v>
      </c>
      <c r="D42" s="145">
        <v>56089.001773568591</v>
      </c>
      <c r="F42" s="3" t="s">
        <v>485</v>
      </c>
      <c r="J42" s="88"/>
    </row>
    <row r="43" spans="2:10">
      <c r="B43" s="91">
        <v>348</v>
      </c>
      <c r="D43" s="145">
        <v>89195.270846924876</v>
      </c>
      <c r="F43" s="3" t="s">
        <v>485</v>
      </c>
      <c r="J43" s="88"/>
    </row>
    <row r="44" spans="2:10">
      <c r="B44" s="91">
        <v>349</v>
      </c>
      <c r="D44" s="145">
        <v>160239.08891040052</v>
      </c>
      <c r="F44" s="3" t="s">
        <v>485</v>
      </c>
      <c r="J44" s="88"/>
    </row>
    <row r="45" spans="2:10">
      <c r="B45" s="91">
        <v>350</v>
      </c>
      <c r="D45" s="237">
        <v>0</v>
      </c>
      <c r="F45" s="3" t="s">
        <v>485</v>
      </c>
      <c r="J45" s="88"/>
    </row>
    <row r="46" spans="2:10">
      <c r="B46" s="91">
        <v>351</v>
      </c>
      <c r="D46" s="237">
        <v>0</v>
      </c>
      <c r="F46" s="3" t="s">
        <v>485</v>
      </c>
      <c r="J46" s="88"/>
    </row>
    <row r="47" spans="2:10">
      <c r="B47" s="91">
        <v>352</v>
      </c>
      <c r="D47" s="237">
        <v>0</v>
      </c>
      <c r="F47" s="3" t="s">
        <v>485</v>
      </c>
      <c r="J47" s="88"/>
    </row>
    <row r="48" spans="2:10">
      <c r="B48" s="91">
        <v>353</v>
      </c>
      <c r="D48" s="237">
        <v>0</v>
      </c>
      <c r="F48" s="3" t="s">
        <v>485</v>
      </c>
      <c r="J48" s="88"/>
    </row>
    <row r="49" spans="2:10">
      <c r="B49" s="91">
        <v>354</v>
      </c>
      <c r="D49" s="237">
        <v>0</v>
      </c>
      <c r="F49" s="3" t="s">
        <v>485</v>
      </c>
      <c r="J49" s="88"/>
    </row>
    <row r="50" spans="2:10">
      <c r="B50" s="91">
        <v>355</v>
      </c>
      <c r="D50" s="237">
        <v>0</v>
      </c>
      <c r="F50" s="3" t="s">
        <v>485</v>
      </c>
      <c r="J50" s="88"/>
    </row>
    <row r="51" spans="2:10">
      <c r="B51" s="91">
        <v>356</v>
      </c>
      <c r="D51" s="237">
        <v>0</v>
      </c>
      <c r="F51" s="3" t="s">
        <v>485</v>
      </c>
      <c r="J51" s="88"/>
    </row>
    <row r="52" spans="2:10">
      <c r="B52" s="91">
        <v>357</v>
      </c>
      <c r="D52" s="237">
        <v>0</v>
      </c>
      <c r="F52" s="3" t="s">
        <v>485</v>
      </c>
      <c r="J52" s="88"/>
    </row>
    <row r="53" spans="2:10">
      <c r="B53" s="91">
        <v>358</v>
      </c>
      <c r="D53" s="237">
        <v>0</v>
      </c>
      <c r="F53" s="3" t="s">
        <v>485</v>
      </c>
      <c r="J53" s="88"/>
    </row>
    <row r="54" spans="2:10">
      <c r="B54" s="91">
        <v>359</v>
      </c>
      <c r="D54" s="237">
        <v>0</v>
      </c>
      <c r="F54" s="3" t="s">
        <v>485</v>
      </c>
      <c r="J54" s="88"/>
    </row>
    <row r="55" spans="2:10">
      <c r="B55" s="91">
        <v>360</v>
      </c>
      <c r="D55" s="237">
        <v>0</v>
      </c>
      <c r="F55" s="3" t="s">
        <v>485</v>
      </c>
      <c r="J55" s="88"/>
    </row>
    <row r="56" spans="2:10">
      <c r="B56" s="91">
        <v>361</v>
      </c>
      <c r="D56" s="237">
        <v>0</v>
      </c>
      <c r="F56" s="3" t="s">
        <v>485</v>
      </c>
      <c r="J56" s="88"/>
    </row>
    <row r="57" spans="2:10">
      <c r="B57" s="91">
        <v>362</v>
      </c>
      <c r="D57" s="237">
        <v>0</v>
      </c>
      <c r="F57" s="3" t="s">
        <v>485</v>
      </c>
      <c r="J57" s="88"/>
    </row>
    <row r="58" spans="2:10">
      <c r="B58" s="91">
        <v>363</v>
      </c>
      <c r="D58" s="237">
        <v>0</v>
      </c>
      <c r="F58" s="3" t="s">
        <v>485</v>
      </c>
      <c r="J58" s="88"/>
    </row>
    <row r="59" spans="2:10">
      <c r="B59" s="91">
        <v>364</v>
      </c>
      <c r="D59" s="237">
        <v>0</v>
      </c>
      <c r="F59" s="3" t="s">
        <v>485</v>
      </c>
      <c r="J59" s="88"/>
    </row>
    <row r="60" spans="2:10">
      <c r="B60" s="91">
        <v>365</v>
      </c>
      <c r="D60" s="237">
        <v>0</v>
      </c>
      <c r="F60" s="3" t="s">
        <v>485</v>
      </c>
      <c r="J60" s="88"/>
    </row>
    <row r="61" spans="2:10">
      <c r="B61" s="91">
        <v>366</v>
      </c>
      <c r="D61" s="237">
        <v>0</v>
      </c>
      <c r="F61" s="3" t="s">
        <v>485</v>
      </c>
      <c r="J61" s="88"/>
    </row>
    <row r="62" spans="2:10">
      <c r="B62" s="91">
        <v>367</v>
      </c>
      <c r="D62" s="237">
        <v>0</v>
      </c>
      <c r="F62" s="3" t="s">
        <v>485</v>
      </c>
      <c r="J62" s="88"/>
    </row>
    <row r="63" spans="2:10">
      <c r="B63" s="91">
        <v>368</v>
      </c>
      <c r="D63" s="237">
        <v>0</v>
      </c>
      <c r="F63" s="3" t="s">
        <v>485</v>
      </c>
      <c r="J63" s="88"/>
    </row>
    <row r="64" spans="2:10">
      <c r="B64" s="91">
        <v>369</v>
      </c>
      <c r="D64" s="237">
        <v>0</v>
      </c>
      <c r="F64" s="3" t="s">
        <v>485</v>
      </c>
      <c r="J64" s="88"/>
    </row>
    <row r="65" spans="2:10">
      <c r="B65" s="91">
        <v>370</v>
      </c>
      <c r="D65" s="237">
        <v>0</v>
      </c>
      <c r="F65" s="3" t="s">
        <v>485</v>
      </c>
      <c r="J65" s="88"/>
    </row>
    <row r="66" spans="2:10">
      <c r="B66" s="91">
        <v>371</v>
      </c>
      <c r="D66" s="145">
        <v>646.89002615775189</v>
      </c>
      <c r="F66" s="3" t="s">
        <v>485</v>
      </c>
      <c r="J66" s="88"/>
    </row>
    <row r="67" spans="2:10">
      <c r="B67" s="91">
        <v>372</v>
      </c>
      <c r="D67" s="145">
        <v>1357.7574875549008</v>
      </c>
      <c r="F67" s="3" t="s">
        <v>485</v>
      </c>
      <c r="J67" s="88"/>
    </row>
    <row r="68" spans="2:10">
      <c r="B68" s="91">
        <v>373</v>
      </c>
      <c r="D68" s="145">
        <v>7195.5569834638591</v>
      </c>
      <c r="F68" s="3" t="s">
        <v>485</v>
      </c>
      <c r="J68" s="88"/>
    </row>
    <row r="69" spans="2:10">
      <c r="B69" s="91">
        <v>374</v>
      </c>
      <c r="D69" s="145">
        <v>11931.605633190833</v>
      </c>
      <c r="F69" s="3" t="s">
        <v>485</v>
      </c>
      <c r="J69" s="88"/>
    </row>
    <row r="70" spans="2:10">
      <c r="B70" s="91">
        <v>375</v>
      </c>
      <c r="D70" s="145">
        <v>4008.6360537194205</v>
      </c>
      <c r="F70" s="3" t="s">
        <v>485</v>
      </c>
      <c r="J70" s="88"/>
    </row>
    <row r="71" spans="2:10">
      <c r="B71" s="91">
        <v>376</v>
      </c>
      <c r="D71" s="145">
        <v>4682.8462589200817</v>
      </c>
      <c r="F71" s="3" t="s">
        <v>485</v>
      </c>
      <c r="J71" s="88"/>
    </row>
    <row r="72" spans="2:10">
      <c r="B72" s="91">
        <v>377</v>
      </c>
      <c r="D72" s="145">
        <v>4626.8552263726942</v>
      </c>
      <c r="F72" s="3" t="s">
        <v>485</v>
      </c>
      <c r="J72" s="88"/>
    </row>
    <row r="73" spans="2:10">
      <c r="B73" s="91">
        <v>378</v>
      </c>
      <c r="D73" s="145">
        <v>4611.6740310663999</v>
      </c>
      <c r="F73" s="3" t="s">
        <v>485</v>
      </c>
      <c r="J73" s="88"/>
    </row>
    <row r="74" spans="2:10">
      <c r="B74" s="91">
        <v>379</v>
      </c>
      <c r="D74" s="145">
        <v>19084.802391040361</v>
      </c>
      <c r="F74" s="3" t="s">
        <v>485</v>
      </c>
      <c r="J74" s="88"/>
    </row>
    <row r="75" spans="2:10">
      <c r="B75" s="91">
        <v>380</v>
      </c>
      <c r="D75" s="145">
        <v>7912.0882258856245</v>
      </c>
      <c r="F75" s="3" t="s">
        <v>485</v>
      </c>
      <c r="J75" s="88"/>
    </row>
    <row r="76" spans="2:10">
      <c r="B76" s="91">
        <v>381</v>
      </c>
      <c r="D76" s="145">
        <v>204757.05379307119</v>
      </c>
      <c r="F76" s="3" t="s">
        <v>485</v>
      </c>
      <c r="J76" s="88"/>
    </row>
    <row r="77" spans="2:10">
      <c r="B77" s="91">
        <v>382</v>
      </c>
      <c r="D77" s="145">
        <v>114014.92388584625</v>
      </c>
      <c r="F77" s="3" t="s">
        <v>485</v>
      </c>
      <c r="J77" s="88"/>
    </row>
    <row r="78" spans="2:10">
      <c r="B78" s="91">
        <v>383</v>
      </c>
      <c r="D78" s="145">
        <v>32772.828513993481</v>
      </c>
      <c r="F78" s="3" t="s">
        <v>485</v>
      </c>
      <c r="J78" s="88"/>
    </row>
    <row r="79" spans="2:10">
      <c r="B79" s="91">
        <v>384</v>
      </c>
      <c r="D79" s="237">
        <v>0</v>
      </c>
      <c r="F79" s="3" t="s">
        <v>485</v>
      </c>
      <c r="J79" s="88"/>
    </row>
    <row r="80" spans="2:10">
      <c r="B80" s="91">
        <v>385</v>
      </c>
      <c r="D80" s="237">
        <v>0</v>
      </c>
      <c r="F80" s="3" t="s">
        <v>485</v>
      </c>
      <c r="J80" s="88"/>
    </row>
    <row r="81" spans="2:10">
      <c r="B81" s="91">
        <v>386</v>
      </c>
      <c r="D81" s="237">
        <v>0</v>
      </c>
      <c r="F81" s="3" t="s">
        <v>485</v>
      </c>
      <c r="J81" s="88"/>
    </row>
    <row r="82" spans="2:10">
      <c r="B82" s="91">
        <v>387</v>
      </c>
      <c r="D82" s="237">
        <v>0</v>
      </c>
      <c r="F82" s="3" t="s">
        <v>485</v>
      </c>
      <c r="J82" s="88"/>
    </row>
    <row r="83" spans="2:10">
      <c r="B83" s="91">
        <v>388</v>
      </c>
      <c r="D83" s="145">
        <v>4540.0402775800039</v>
      </c>
      <c r="F83" s="3" t="s">
        <v>485</v>
      </c>
      <c r="J83" s="88"/>
    </row>
    <row r="84" spans="2:10">
      <c r="B84" s="91">
        <v>389</v>
      </c>
      <c r="D84" s="145">
        <v>89847.095733059148</v>
      </c>
      <c r="F84" s="3" t="s">
        <v>485</v>
      </c>
      <c r="J84" s="88"/>
    </row>
    <row r="85" spans="2:10">
      <c r="B85" s="91">
        <v>390</v>
      </c>
      <c r="D85" s="237">
        <v>0</v>
      </c>
      <c r="F85" s="3" t="s">
        <v>485</v>
      </c>
      <c r="J85" s="88"/>
    </row>
    <row r="86" spans="2:10">
      <c r="B86" s="91">
        <v>391</v>
      </c>
      <c r="D86" s="145">
        <v>614953.64546122367</v>
      </c>
      <c r="F86" s="3" t="s">
        <v>485</v>
      </c>
      <c r="J86" s="88"/>
    </row>
    <row r="87" spans="2:10">
      <c r="B87" s="91">
        <v>392</v>
      </c>
      <c r="D87" s="145">
        <v>61437.139832305947</v>
      </c>
      <c r="F87" s="3" t="s">
        <v>485</v>
      </c>
      <c r="J87" s="88"/>
    </row>
    <row r="88" spans="2:10">
      <c r="B88" s="91">
        <v>393</v>
      </c>
      <c r="D88" s="237">
        <v>0</v>
      </c>
      <c r="F88" s="3" t="s">
        <v>485</v>
      </c>
      <c r="J88" s="88"/>
    </row>
    <row r="89" spans="2:10">
      <c r="B89" s="91">
        <v>394</v>
      </c>
      <c r="D89" s="145">
        <v>27710.301790765967</v>
      </c>
      <c r="F89" s="3" t="s">
        <v>485</v>
      </c>
      <c r="J89" s="88"/>
    </row>
    <row r="90" spans="2:10">
      <c r="B90" s="91">
        <v>395</v>
      </c>
      <c r="D90" s="145">
        <v>9353.7976978691713</v>
      </c>
      <c r="F90" s="3" t="s">
        <v>485</v>
      </c>
      <c r="J90" s="88"/>
    </row>
    <row r="91" spans="2:10">
      <c r="B91" s="91">
        <v>396</v>
      </c>
      <c r="D91" s="145">
        <v>27670.188323616749</v>
      </c>
      <c r="F91" s="3" t="s">
        <v>485</v>
      </c>
      <c r="J91" s="88"/>
    </row>
    <row r="92" spans="2:10">
      <c r="B92" s="91">
        <v>397</v>
      </c>
      <c r="D92" s="145">
        <v>65069.242178936642</v>
      </c>
      <c r="F92" s="3" t="s">
        <v>485</v>
      </c>
      <c r="J92" s="88"/>
    </row>
    <row r="93" spans="2:10">
      <c r="B93" s="91">
        <v>398</v>
      </c>
      <c r="D93" s="237">
        <v>0</v>
      </c>
      <c r="F93" s="3" t="s">
        <v>485</v>
      </c>
      <c r="J93" s="88"/>
    </row>
    <row r="94" spans="2:10">
      <c r="B94" s="91">
        <v>399</v>
      </c>
      <c r="D94" s="237">
        <v>0</v>
      </c>
      <c r="F94" s="3" t="s">
        <v>485</v>
      </c>
      <c r="J94" s="88"/>
    </row>
    <row r="95" spans="2:10">
      <c r="B95" s="91">
        <v>400</v>
      </c>
      <c r="D95" s="237">
        <v>0</v>
      </c>
      <c r="F95" s="3" t="s">
        <v>485</v>
      </c>
      <c r="J95" s="88"/>
    </row>
    <row r="96" spans="2:10">
      <c r="B96" s="91">
        <v>401</v>
      </c>
      <c r="D96" s="237">
        <v>0</v>
      </c>
      <c r="F96" s="3" t="s">
        <v>485</v>
      </c>
      <c r="J96" s="88"/>
    </row>
    <row r="97" spans="2:10">
      <c r="B97" s="91">
        <v>402</v>
      </c>
      <c r="D97" s="237">
        <v>0</v>
      </c>
      <c r="F97" s="3" t="s">
        <v>485</v>
      </c>
      <c r="J97" s="88"/>
    </row>
    <row r="98" spans="2:10">
      <c r="B98" s="91">
        <v>403</v>
      </c>
      <c r="D98" s="237">
        <v>0</v>
      </c>
      <c r="F98" s="3" t="s">
        <v>485</v>
      </c>
      <c r="J98" s="88"/>
    </row>
    <row r="99" spans="2:10">
      <c r="B99" s="91">
        <v>404</v>
      </c>
      <c r="D99" s="237">
        <v>0</v>
      </c>
      <c r="F99" s="3" t="s">
        <v>485</v>
      </c>
      <c r="J99" s="88"/>
    </row>
    <row r="100" spans="2:10">
      <c r="B100" s="91">
        <v>405</v>
      </c>
      <c r="D100" s="145">
        <v>3006.4882057138966</v>
      </c>
      <c r="F100" s="3" t="s">
        <v>485</v>
      </c>
      <c r="J100" s="88"/>
    </row>
    <row r="101" spans="2:10">
      <c r="B101" s="91">
        <v>406</v>
      </c>
      <c r="D101" s="145">
        <v>303439.87492153718</v>
      </c>
      <c r="F101" s="3" t="s">
        <v>485</v>
      </c>
      <c r="J101" s="88"/>
    </row>
    <row r="102" spans="2:10">
      <c r="B102" s="91">
        <v>407</v>
      </c>
      <c r="D102" s="237">
        <v>0</v>
      </c>
      <c r="F102" s="3" t="s">
        <v>485</v>
      </c>
      <c r="J102" s="88"/>
    </row>
    <row r="103" spans="2:10">
      <c r="B103" s="91">
        <v>408</v>
      </c>
      <c r="D103" s="145">
        <v>0</v>
      </c>
      <c r="F103" s="3" t="s">
        <v>486</v>
      </c>
      <c r="J103" s="88"/>
    </row>
    <row r="104" spans="2:10">
      <c r="B104" s="91">
        <v>409</v>
      </c>
      <c r="D104" s="145">
        <v>0</v>
      </c>
      <c r="F104" s="3" t="s">
        <v>486</v>
      </c>
      <c r="J104" s="88"/>
    </row>
    <row r="105" spans="2:10">
      <c r="B105" s="91">
        <v>410</v>
      </c>
      <c r="D105" s="145">
        <v>0</v>
      </c>
      <c r="F105" s="3" t="s">
        <v>486</v>
      </c>
      <c r="J105" s="88"/>
    </row>
    <row r="106" spans="2:10">
      <c r="B106" s="91">
        <v>411</v>
      </c>
      <c r="D106" s="145">
        <v>0</v>
      </c>
      <c r="F106" s="3" t="s">
        <v>486</v>
      </c>
      <c r="J106" s="88"/>
    </row>
    <row r="107" spans="2:10">
      <c r="B107" s="91">
        <v>412</v>
      </c>
      <c r="D107" s="145">
        <v>0</v>
      </c>
      <c r="F107" s="3" t="s">
        <v>486</v>
      </c>
      <c r="J107" s="88"/>
    </row>
    <row r="108" spans="2:10">
      <c r="B108" s="91">
        <v>413</v>
      </c>
      <c r="D108" s="145">
        <v>0</v>
      </c>
      <c r="F108" s="3" t="s">
        <v>486</v>
      </c>
      <c r="J108" s="88"/>
    </row>
    <row r="109" spans="2:10">
      <c r="B109" s="91">
        <v>414</v>
      </c>
      <c r="D109" s="145">
        <v>4066.6917785254955</v>
      </c>
      <c r="F109" s="3" t="s">
        <v>486</v>
      </c>
      <c r="J109" s="88"/>
    </row>
    <row r="110" spans="2:10">
      <c r="B110" s="91">
        <v>415</v>
      </c>
      <c r="D110" s="145">
        <v>72313.792532278865</v>
      </c>
      <c r="F110" s="3" t="s">
        <v>486</v>
      </c>
      <c r="J110" s="88"/>
    </row>
    <row r="111" spans="2:10">
      <c r="B111" s="91">
        <v>416</v>
      </c>
      <c r="D111" s="145">
        <v>39219.604478837689</v>
      </c>
      <c r="F111" s="3" t="s">
        <v>486</v>
      </c>
    </row>
    <row r="112" spans="2:10">
      <c r="B112" s="91">
        <v>417</v>
      </c>
      <c r="D112" s="145">
        <v>69808.707803642814</v>
      </c>
      <c r="F112" s="3" t="s">
        <v>486</v>
      </c>
    </row>
    <row r="113" spans="2:6">
      <c r="B113" s="91">
        <v>418</v>
      </c>
      <c r="D113" s="145">
        <v>38586.635084201873</v>
      </c>
      <c r="F113" s="3" t="s">
        <v>486</v>
      </c>
    </row>
    <row r="114" spans="2:6">
      <c r="B114" s="91">
        <v>419</v>
      </c>
      <c r="D114" s="145">
        <v>21904.077054372625</v>
      </c>
      <c r="F114" s="3" t="s">
        <v>486</v>
      </c>
    </row>
    <row r="115" spans="2:6">
      <c r="B115" s="91">
        <v>420</v>
      </c>
      <c r="D115" s="145">
        <v>17162.736023996706</v>
      </c>
      <c r="F115" s="3" t="s">
        <v>486</v>
      </c>
    </row>
    <row r="116" spans="2:6">
      <c r="B116" s="91">
        <v>421</v>
      </c>
      <c r="D116" s="145">
        <v>2951.3714473540831</v>
      </c>
      <c r="F116" s="3" t="s">
        <v>486</v>
      </c>
    </row>
    <row r="117" spans="2:6">
      <c r="B117" s="91">
        <v>422</v>
      </c>
      <c r="D117" s="145">
        <v>1042.7959463378704</v>
      </c>
      <c r="F117" s="3" t="s">
        <v>486</v>
      </c>
    </row>
    <row r="118" spans="2:6">
      <c r="B118" s="91">
        <v>423</v>
      </c>
      <c r="D118" s="145">
        <v>1583.1020339233444</v>
      </c>
      <c r="F118" s="3" t="s">
        <v>486</v>
      </c>
    </row>
    <row r="119" spans="2:6">
      <c r="B119" s="91">
        <v>424</v>
      </c>
      <c r="D119" s="145">
        <v>7373.2798573001292</v>
      </c>
      <c r="F119" s="3" t="s">
        <v>486</v>
      </c>
    </row>
    <row r="120" spans="2:6">
      <c r="B120" s="91">
        <v>425</v>
      </c>
      <c r="D120" s="145">
        <v>138596.0081293541</v>
      </c>
      <c r="F120" s="3" t="s">
        <v>486</v>
      </c>
    </row>
    <row r="121" spans="2:6">
      <c r="B121" s="91">
        <v>426</v>
      </c>
      <c r="D121" s="145">
        <v>0</v>
      </c>
      <c r="F121" s="3" t="s">
        <v>486</v>
      </c>
    </row>
    <row r="122" spans="2:6">
      <c r="B122" s="91">
        <v>427</v>
      </c>
      <c r="D122" s="145">
        <v>30711.765477463152</v>
      </c>
      <c r="F122" s="3" t="s">
        <v>486</v>
      </c>
    </row>
    <row r="123" spans="2:6">
      <c r="B123" s="91">
        <v>428</v>
      </c>
      <c r="D123" s="145">
        <v>13771.568761085329</v>
      </c>
      <c r="F123" s="3" t="s">
        <v>486</v>
      </c>
    </row>
    <row r="124" spans="2:6">
      <c r="B124" s="91">
        <v>429</v>
      </c>
      <c r="D124" s="145">
        <v>38953.348948547842</v>
      </c>
      <c r="F124" s="3" t="s">
        <v>486</v>
      </c>
    </row>
    <row r="125" spans="2:6">
      <c r="B125" s="91">
        <v>430</v>
      </c>
      <c r="D125" s="145">
        <v>49700.604054063915</v>
      </c>
      <c r="F125" s="3" t="s">
        <v>486</v>
      </c>
    </row>
    <row r="126" spans="2:6">
      <c r="B126" s="91">
        <v>431</v>
      </c>
      <c r="D126" s="145">
        <v>9176.6384417978097</v>
      </c>
      <c r="F126" s="3" t="s">
        <v>486</v>
      </c>
    </row>
    <row r="127" spans="2:6">
      <c r="B127" s="91">
        <v>432</v>
      </c>
      <c r="D127" s="145">
        <v>350173.006424536</v>
      </c>
      <c r="F127" s="3" t="s">
        <v>486</v>
      </c>
    </row>
    <row r="128" spans="2:6">
      <c r="B128" s="91">
        <v>433</v>
      </c>
      <c r="D128" s="145">
        <v>16791.944833574824</v>
      </c>
      <c r="F128" s="3" t="s">
        <v>486</v>
      </c>
    </row>
    <row r="129" spans="2:6">
      <c r="B129" s="91">
        <v>434</v>
      </c>
      <c r="D129" s="145">
        <v>368844.5346481328</v>
      </c>
      <c r="F129" s="3" t="s">
        <v>486</v>
      </c>
    </row>
    <row r="130" spans="2:6">
      <c r="B130" s="91">
        <v>435</v>
      </c>
      <c r="D130" s="145">
        <v>0</v>
      </c>
      <c r="F130" s="3" t="s">
        <v>486</v>
      </c>
    </row>
    <row r="131" spans="2:6">
      <c r="B131" s="91">
        <v>436</v>
      </c>
      <c r="D131" s="145">
        <v>0</v>
      </c>
      <c r="F131" s="3" t="s">
        <v>486</v>
      </c>
    </row>
    <row r="132" spans="2:6">
      <c r="B132" s="91">
        <v>437</v>
      </c>
      <c r="D132" s="145">
        <v>0</v>
      </c>
      <c r="F132" s="3" t="s">
        <v>486</v>
      </c>
    </row>
    <row r="133" spans="2:6">
      <c r="B133" s="91">
        <v>438</v>
      </c>
      <c r="D133" s="145">
        <v>0</v>
      </c>
      <c r="F133" s="3" t="s">
        <v>486</v>
      </c>
    </row>
    <row r="134" spans="2:6">
      <c r="B134" s="91">
        <v>439</v>
      </c>
      <c r="D134" s="145">
        <v>0</v>
      </c>
      <c r="F134" s="3" t="s">
        <v>486</v>
      </c>
    </row>
    <row r="135" spans="2:6">
      <c r="B135" s="91">
        <v>440</v>
      </c>
      <c r="D135" s="145">
        <v>0</v>
      </c>
      <c r="F135" s="3" t="s">
        <v>486</v>
      </c>
    </row>
    <row r="136" spans="2:6">
      <c r="B136" s="91">
        <v>441</v>
      </c>
      <c r="D136" s="145">
        <v>0</v>
      </c>
      <c r="F136" s="3" t="s">
        <v>486</v>
      </c>
    </row>
    <row r="137" spans="2:6">
      <c r="B137" s="91">
        <v>442</v>
      </c>
      <c r="D137" s="145">
        <v>0</v>
      </c>
      <c r="F137" s="3" t="s">
        <v>486</v>
      </c>
    </row>
    <row r="138" spans="2:6">
      <c r="B138" s="91">
        <v>443</v>
      </c>
      <c r="D138" s="145">
        <v>0</v>
      </c>
      <c r="F138" s="3" t="s">
        <v>486</v>
      </c>
    </row>
    <row r="139" spans="2:6">
      <c r="B139" s="91">
        <v>444</v>
      </c>
      <c r="D139" s="145">
        <v>0</v>
      </c>
      <c r="F139" s="3" t="s">
        <v>486</v>
      </c>
    </row>
    <row r="140" spans="2:6">
      <c r="B140" s="91">
        <v>445</v>
      </c>
      <c r="D140" s="145">
        <v>0</v>
      </c>
      <c r="F140" s="3" t="s">
        <v>486</v>
      </c>
    </row>
    <row r="141" spans="2:6">
      <c r="B141" s="91">
        <v>446</v>
      </c>
      <c r="D141" s="145">
        <v>0</v>
      </c>
      <c r="F141" s="3" t="s">
        <v>486</v>
      </c>
    </row>
    <row r="142" spans="2:6">
      <c r="B142" s="91">
        <v>447</v>
      </c>
      <c r="D142" s="145">
        <v>0</v>
      </c>
      <c r="F142" s="3" t="s">
        <v>486</v>
      </c>
    </row>
    <row r="143" spans="2:6">
      <c r="B143" s="91">
        <v>448</v>
      </c>
      <c r="D143" s="145">
        <v>0</v>
      </c>
      <c r="F143" s="3" t="s">
        <v>486</v>
      </c>
    </row>
    <row r="144" spans="2:6">
      <c r="B144" s="91">
        <v>449</v>
      </c>
      <c r="D144" s="145">
        <v>0</v>
      </c>
      <c r="F144" s="3" t="s">
        <v>486</v>
      </c>
    </row>
    <row r="145" spans="2:6">
      <c r="B145" s="91">
        <v>450</v>
      </c>
      <c r="D145" s="145">
        <v>0</v>
      </c>
      <c r="F145" s="3" t="s">
        <v>486</v>
      </c>
    </row>
    <row r="146" spans="2:6">
      <c r="B146" s="91">
        <v>451</v>
      </c>
      <c r="D146" s="145">
        <v>192.7950154920913</v>
      </c>
      <c r="F146" s="3" t="s">
        <v>486</v>
      </c>
    </row>
    <row r="147" spans="2:6">
      <c r="B147" s="91">
        <v>452</v>
      </c>
      <c r="D147" s="145">
        <v>17486.319304522516</v>
      </c>
      <c r="F147" s="3" t="s">
        <v>486</v>
      </c>
    </row>
    <row r="148" spans="2:6">
      <c r="B148" s="91">
        <v>453</v>
      </c>
      <c r="D148" s="145">
        <v>1732.4051614647706</v>
      </c>
      <c r="F148" s="3" t="s">
        <v>486</v>
      </c>
    </row>
    <row r="149" spans="2:6">
      <c r="B149" s="91">
        <v>454</v>
      </c>
      <c r="D149" s="145">
        <v>2852.1763921840106</v>
      </c>
      <c r="F149" s="3" t="s">
        <v>486</v>
      </c>
    </row>
    <row r="150" spans="2:6">
      <c r="B150" s="91">
        <v>455</v>
      </c>
      <c r="D150" s="145">
        <v>9316.2155574158933</v>
      </c>
      <c r="F150" s="3" t="s">
        <v>486</v>
      </c>
    </row>
    <row r="151" spans="2:6">
      <c r="B151" s="91">
        <v>456</v>
      </c>
      <c r="D151" s="145">
        <v>14209.467414292769</v>
      </c>
      <c r="F151" s="3" t="s">
        <v>486</v>
      </c>
    </row>
    <row r="152" spans="2:6">
      <c r="B152" s="91">
        <v>457</v>
      </c>
      <c r="D152" s="145">
        <v>37532.285815813477</v>
      </c>
      <c r="F152" s="3" t="s">
        <v>486</v>
      </c>
    </row>
    <row r="153" spans="2:6">
      <c r="B153" s="91">
        <v>458</v>
      </c>
      <c r="D153" s="145">
        <v>18395.575662272393</v>
      </c>
      <c r="F153" s="3" t="s">
        <v>486</v>
      </c>
    </row>
    <row r="154" spans="2:6">
      <c r="B154" s="91">
        <v>459</v>
      </c>
      <c r="D154" s="145">
        <v>45342.950536082608</v>
      </c>
      <c r="F154" s="3" t="s">
        <v>486</v>
      </c>
    </row>
    <row r="155" spans="2:6">
      <c r="B155" s="91">
        <v>460</v>
      </c>
      <c r="D155" s="145">
        <v>0</v>
      </c>
      <c r="F155" s="3" t="s">
        <v>486</v>
      </c>
    </row>
    <row r="156" spans="2:6">
      <c r="B156" s="91">
        <v>461</v>
      </c>
      <c r="D156" s="145">
        <v>0</v>
      </c>
      <c r="F156" s="3" t="s">
        <v>486</v>
      </c>
    </row>
    <row r="157" spans="2:6">
      <c r="B157" s="91">
        <v>462</v>
      </c>
      <c r="D157" s="145">
        <v>0</v>
      </c>
      <c r="F157" s="3" t="s">
        <v>486</v>
      </c>
    </row>
    <row r="158" spans="2:6">
      <c r="B158" s="91">
        <v>463</v>
      </c>
      <c r="D158" s="145">
        <v>0</v>
      </c>
      <c r="F158" s="3" t="s">
        <v>486</v>
      </c>
    </row>
    <row r="159" spans="2:6">
      <c r="B159" s="91">
        <v>464</v>
      </c>
      <c r="D159" s="145">
        <v>0</v>
      </c>
      <c r="F159" s="3" t="s">
        <v>486</v>
      </c>
    </row>
    <row r="160" spans="2:6">
      <c r="B160" s="91">
        <v>465</v>
      </c>
      <c r="D160" s="145">
        <v>0</v>
      </c>
      <c r="F160" s="3" t="s">
        <v>486</v>
      </c>
    </row>
    <row r="161" spans="2:6">
      <c r="B161" s="91">
        <v>466</v>
      </c>
      <c r="D161" s="145">
        <v>0</v>
      </c>
      <c r="F161" s="3" t="s">
        <v>486</v>
      </c>
    </row>
    <row r="162" spans="2:6">
      <c r="B162" s="91">
        <v>467</v>
      </c>
      <c r="D162" s="145">
        <v>0</v>
      </c>
      <c r="F162" s="3" t="s">
        <v>486</v>
      </c>
    </row>
    <row r="163" spans="2:6">
      <c r="B163" s="91">
        <v>468</v>
      </c>
      <c r="D163" s="145">
        <v>0</v>
      </c>
      <c r="F163" s="3" t="s">
        <v>486</v>
      </c>
    </row>
    <row r="164" spans="2:6">
      <c r="B164" s="91">
        <v>469</v>
      </c>
      <c r="D164" s="145">
        <v>0</v>
      </c>
      <c r="F164" s="3" t="s">
        <v>486</v>
      </c>
    </row>
    <row r="165" spans="2:6">
      <c r="B165" s="91">
        <v>470</v>
      </c>
      <c r="D165" s="145">
        <v>0</v>
      </c>
      <c r="F165" s="3" t="s">
        <v>486</v>
      </c>
    </row>
    <row r="166" spans="2:6">
      <c r="B166" s="91">
        <v>471</v>
      </c>
      <c r="D166" s="145">
        <v>0</v>
      </c>
      <c r="F166" s="3" t="s">
        <v>486</v>
      </c>
    </row>
    <row r="167" spans="2:6">
      <c r="B167" s="91">
        <v>472</v>
      </c>
      <c r="D167" s="145">
        <v>20595.049218865919</v>
      </c>
      <c r="F167" s="3" t="s">
        <v>486</v>
      </c>
    </row>
    <row r="168" spans="2:6">
      <c r="B168" s="91">
        <v>473</v>
      </c>
      <c r="D168" s="145">
        <v>6033.3008476088025</v>
      </c>
      <c r="F168" s="3" t="s">
        <v>486</v>
      </c>
    </row>
    <row r="169" spans="2:6">
      <c r="B169" s="91">
        <v>474</v>
      </c>
      <c r="D169" s="145">
        <v>114286.36357614314</v>
      </c>
      <c r="F169" s="3" t="s">
        <v>486</v>
      </c>
    </row>
    <row r="170" spans="2:6">
      <c r="B170" s="91">
        <v>475</v>
      </c>
      <c r="D170" s="145">
        <v>1010914.3326142207</v>
      </c>
      <c r="F170" s="3" t="s">
        <v>486</v>
      </c>
    </row>
    <row r="171" spans="2:6">
      <c r="B171" s="91">
        <v>476</v>
      </c>
      <c r="D171" s="145">
        <v>110113.496706638</v>
      </c>
      <c r="F171" s="3" t="s">
        <v>486</v>
      </c>
    </row>
    <row r="172" spans="2:6">
      <c r="B172" s="91">
        <v>477</v>
      </c>
      <c r="D172" s="145">
        <v>26631.619932073358</v>
      </c>
      <c r="F172" s="3" t="s">
        <v>486</v>
      </c>
    </row>
    <row r="173" spans="2:6">
      <c r="B173" s="91">
        <v>478</v>
      </c>
      <c r="D173" s="145">
        <v>1462385.1890917395</v>
      </c>
      <c r="F173" s="3" t="s">
        <v>486</v>
      </c>
    </row>
    <row r="174" spans="2:6">
      <c r="B174" s="91">
        <v>479</v>
      </c>
      <c r="D174" s="145">
        <v>26797.310321813446</v>
      </c>
      <c r="F174" s="3" t="s">
        <v>486</v>
      </c>
    </row>
    <row r="175" spans="2:6">
      <c r="B175" s="91">
        <v>480</v>
      </c>
      <c r="D175" s="145">
        <v>143440.45474083052</v>
      </c>
      <c r="F175" s="3" t="s">
        <v>486</v>
      </c>
    </row>
    <row r="176" spans="2:6">
      <c r="B176" s="91">
        <v>481</v>
      </c>
      <c r="D176" s="145">
        <v>37686.268046364217</v>
      </c>
      <c r="F176" s="3" t="s">
        <v>486</v>
      </c>
    </row>
    <row r="177" spans="2:6">
      <c r="B177" s="91">
        <v>482</v>
      </c>
      <c r="D177" s="145">
        <v>5687877.4465793725</v>
      </c>
      <c r="F177" s="3" t="s">
        <v>486</v>
      </c>
    </row>
    <row r="178" spans="2:6">
      <c r="B178" s="91">
        <v>483</v>
      </c>
      <c r="D178" s="145">
        <v>611283.63783680694</v>
      </c>
      <c r="F178" s="3" t="s">
        <v>486</v>
      </c>
    </row>
    <row r="179" spans="2:6">
      <c r="B179" s="91">
        <v>484</v>
      </c>
      <c r="D179" s="145">
        <v>348308.75445981714</v>
      </c>
      <c r="F179" s="3" t="s">
        <v>486</v>
      </c>
    </row>
    <row r="180" spans="2:6">
      <c r="B180" s="91">
        <v>485</v>
      </c>
      <c r="D180" s="145">
        <v>119705.82972723366</v>
      </c>
      <c r="F180" s="3" t="s">
        <v>486</v>
      </c>
    </row>
    <row r="181" spans="2:6">
      <c r="B181" s="91">
        <v>486</v>
      </c>
      <c r="D181" s="145">
        <v>0</v>
      </c>
      <c r="F181" s="3" t="s">
        <v>486</v>
      </c>
    </row>
    <row r="182" spans="2:6">
      <c r="B182" s="91">
        <v>487</v>
      </c>
      <c r="D182" s="145">
        <v>0</v>
      </c>
      <c r="F182" s="3" t="s">
        <v>486</v>
      </c>
    </row>
    <row r="183" spans="2:6">
      <c r="B183" s="91">
        <v>488</v>
      </c>
      <c r="D183" s="145">
        <v>0</v>
      </c>
      <c r="F183" s="3" t="s">
        <v>486</v>
      </c>
    </row>
    <row r="184" spans="2:6">
      <c r="B184" s="91">
        <v>489</v>
      </c>
      <c r="D184" s="145">
        <v>0</v>
      </c>
      <c r="F184" s="3" t="s">
        <v>486</v>
      </c>
    </row>
    <row r="185" spans="2:6">
      <c r="B185" s="91">
        <v>490</v>
      </c>
      <c r="D185" s="145">
        <v>165539.3694759488</v>
      </c>
      <c r="F185" s="3" t="s">
        <v>486</v>
      </c>
    </row>
    <row r="186" spans="2:6">
      <c r="B186" s="91">
        <v>491</v>
      </c>
      <c r="D186" s="145">
        <v>487022.63956122473</v>
      </c>
      <c r="F186" s="3" t="s">
        <v>486</v>
      </c>
    </row>
    <row r="187" spans="2:6">
      <c r="B187" s="91">
        <v>492</v>
      </c>
      <c r="D187" s="145">
        <v>2791.7858330904492</v>
      </c>
      <c r="F187" s="3" t="s">
        <v>486</v>
      </c>
    </row>
    <row r="188" spans="2:6">
      <c r="B188" s="91">
        <v>493</v>
      </c>
      <c r="D188" s="145">
        <v>9448.553239950219</v>
      </c>
      <c r="F188" s="3" t="s">
        <v>486</v>
      </c>
    </row>
    <row r="189" spans="2:6">
      <c r="B189" s="91">
        <v>494</v>
      </c>
      <c r="D189" s="145">
        <v>124976.62709455805</v>
      </c>
      <c r="F189" s="3" t="s">
        <v>486</v>
      </c>
    </row>
    <row r="190" spans="2:6">
      <c r="B190" s="91">
        <v>495</v>
      </c>
      <c r="D190" s="145">
        <v>18067.471447845164</v>
      </c>
      <c r="F190" s="3" t="s">
        <v>486</v>
      </c>
    </row>
    <row r="191" spans="2:6">
      <c r="B191" s="91">
        <v>496</v>
      </c>
      <c r="D191" s="145">
        <v>24745.075221292602</v>
      </c>
      <c r="F191" s="3" t="s">
        <v>486</v>
      </c>
    </row>
    <row r="192" spans="2:6">
      <c r="B192" s="91">
        <v>497</v>
      </c>
      <c r="D192" s="145">
        <v>96007.434247363446</v>
      </c>
      <c r="F192" s="3" t="s">
        <v>486</v>
      </c>
    </row>
    <row r="193" spans="2:6">
      <c r="B193" s="91">
        <v>498</v>
      </c>
      <c r="D193" s="145">
        <v>256937.21086962681</v>
      </c>
      <c r="F193" s="3" t="s">
        <v>486</v>
      </c>
    </row>
    <row r="194" spans="2:6">
      <c r="B194" s="91">
        <v>499</v>
      </c>
      <c r="D194" s="145">
        <v>702049.39906389359</v>
      </c>
      <c r="F194" s="3" t="s">
        <v>486</v>
      </c>
    </row>
    <row r="195" spans="2:6">
      <c r="B195" s="91">
        <v>500</v>
      </c>
      <c r="D195" s="145">
        <v>1042957.4504958389</v>
      </c>
      <c r="F195" s="3" t="s">
        <v>486</v>
      </c>
    </row>
    <row r="196" spans="2:6">
      <c r="B196" s="91">
        <v>501</v>
      </c>
      <c r="D196" s="145">
        <v>70079.94837897965</v>
      </c>
      <c r="F196" s="3" t="s">
        <v>486</v>
      </c>
    </row>
    <row r="197" spans="2:6">
      <c r="B197" s="91">
        <v>502</v>
      </c>
      <c r="D197" s="145">
        <v>704771.29332217178</v>
      </c>
      <c r="F197" s="3" t="s">
        <v>486</v>
      </c>
    </row>
    <row r="198" spans="2:6">
      <c r="B198" s="91">
        <v>503</v>
      </c>
      <c r="D198" s="145">
        <v>1024239.4945113533</v>
      </c>
      <c r="F198" s="3" t="s">
        <v>486</v>
      </c>
    </row>
    <row r="199" spans="2:6">
      <c r="B199" s="91">
        <v>504</v>
      </c>
      <c r="D199" s="145">
        <v>376397.15055039537</v>
      </c>
      <c r="F199" s="3" t="s">
        <v>486</v>
      </c>
    </row>
    <row r="200" spans="2:6">
      <c r="B200" s="91">
        <v>505</v>
      </c>
      <c r="D200" s="145">
        <v>514916.23301467963</v>
      </c>
      <c r="F200" s="3" t="s">
        <v>486</v>
      </c>
    </row>
    <row r="201" spans="2:6">
      <c r="B201" s="91">
        <v>506</v>
      </c>
      <c r="D201" s="145">
        <v>1302.0888101333342</v>
      </c>
      <c r="F201" s="3" t="s">
        <v>486</v>
      </c>
    </row>
    <row r="202" spans="2:6">
      <c r="B202" s="91">
        <v>507</v>
      </c>
      <c r="D202" s="145">
        <v>32369.723836884237</v>
      </c>
      <c r="F202" s="3" t="s">
        <v>486</v>
      </c>
    </row>
    <row r="203" spans="2:6">
      <c r="B203" s="91">
        <v>508</v>
      </c>
      <c r="D203" s="145">
        <v>0</v>
      </c>
      <c r="F203" s="3" t="s">
        <v>486</v>
      </c>
    </row>
    <row r="204" spans="2:6">
      <c r="B204" s="91">
        <v>509</v>
      </c>
      <c r="D204" s="145">
        <v>0</v>
      </c>
      <c r="F204" s="3" t="s">
        <v>486</v>
      </c>
    </row>
    <row r="205" spans="2:6">
      <c r="B205" s="91">
        <v>510</v>
      </c>
      <c r="D205" s="145">
        <v>391.2500930325707</v>
      </c>
      <c r="F205" s="3" t="s">
        <v>486</v>
      </c>
    </row>
    <row r="206" spans="2:6">
      <c r="B206" s="91">
        <v>511</v>
      </c>
      <c r="D206" s="145">
        <v>5807.0127406390793</v>
      </c>
      <c r="F206" s="3" t="s">
        <v>486</v>
      </c>
    </row>
    <row r="207" spans="2:6">
      <c r="B207" s="91">
        <v>512</v>
      </c>
      <c r="D207" s="145">
        <v>3846.4772684956265</v>
      </c>
      <c r="F207" s="3" t="s">
        <v>486</v>
      </c>
    </row>
    <row r="208" spans="2:6">
      <c r="B208" s="91">
        <v>513</v>
      </c>
      <c r="D208" s="145">
        <v>68227.138320870654</v>
      </c>
      <c r="F208" s="3" t="s">
        <v>486</v>
      </c>
    </row>
    <row r="209" spans="2:6">
      <c r="B209" s="91">
        <v>514</v>
      </c>
      <c r="D209" s="145">
        <v>18541.10836769961</v>
      </c>
      <c r="F209" s="3" t="s">
        <v>486</v>
      </c>
    </row>
    <row r="210" spans="2:6">
      <c r="B210" s="91">
        <v>515</v>
      </c>
      <c r="D210" s="145">
        <v>9654.3986266756274</v>
      </c>
      <c r="F210" s="3" t="s">
        <v>486</v>
      </c>
    </row>
    <row r="211" spans="2:6">
      <c r="B211" s="91">
        <v>516</v>
      </c>
      <c r="D211" s="145">
        <v>11416.655239751346</v>
      </c>
      <c r="F211" s="3" t="s">
        <v>486</v>
      </c>
    </row>
    <row r="212" spans="2:6">
      <c r="B212" s="91">
        <v>517</v>
      </c>
      <c r="D212" s="145">
        <v>17633.404807314058</v>
      </c>
      <c r="F212" s="3" t="s">
        <v>486</v>
      </c>
    </row>
    <row r="213" spans="2:6">
      <c r="B213" s="91">
        <v>518</v>
      </c>
      <c r="D213" s="145">
        <v>15300.61437397597</v>
      </c>
      <c r="F213" s="3" t="s">
        <v>486</v>
      </c>
    </row>
    <row r="214" spans="2:6">
      <c r="B214" s="91">
        <v>519</v>
      </c>
      <c r="D214" s="145">
        <v>16001.249643380297</v>
      </c>
      <c r="F214" s="3" t="s">
        <v>486</v>
      </c>
    </row>
    <row r="215" spans="2:6">
      <c r="B215" s="91">
        <v>520</v>
      </c>
      <c r="D215" s="145">
        <v>20208.996722083291</v>
      </c>
      <c r="F215" s="3" t="s">
        <v>486</v>
      </c>
    </row>
    <row r="216" spans="2:6">
      <c r="B216" s="91">
        <v>521</v>
      </c>
      <c r="D216" s="145">
        <v>58527.314744578129</v>
      </c>
      <c r="F216" s="3" t="s">
        <v>486</v>
      </c>
    </row>
    <row r="217" spans="2:6">
      <c r="B217" s="91">
        <v>522</v>
      </c>
      <c r="D217" s="145">
        <v>247531.06540005477</v>
      </c>
      <c r="F217" s="3" t="s">
        <v>486</v>
      </c>
    </row>
    <row r="218" spans="2:6">
      <c r="B218" s="91">
        <v>523</v>
      </c>
      <c r="D218" s="145">
        <v>31800.173255745365</v>
      </c>
      <c r="F218" s="3" t="s">
        <v>486</v>
      </c>
    </row>
    <row r="219" spans="2:6">
      <c r="B219" s="91">
        <v>524</v>
      </c>
      <c r="D219" s="145">
        <v>0</v>
      </c>
      <c r="F219" s="3" t="s">
        <v>486</v>
      </c>
    </row>
    <row r="220" spans="2:6">
      <c r="B220" s="91">
        <v>525</v>
      </c>
      <c r="D220" s="145">
        <v>0</v>
      </c>
      <c r="F220" s="3" t="s">
        <v>486</v>
      </c>
    </row>
    <row r="221" spans="2:6">
      <c r="B221" s="91">
        <v>526</v>
      </c>
      <c r="D221" s="145">
        <v>0</v>
      </c>
      <c r="F221" s="3" t="s">
        <v>486</v>
      </c>
    </row>
    <row r="222" spans="2:6">
      <c r="B222" s="91">
        <v>527</v>
      </c>
      <c r="D222" s="145">
        <v>0</v>
      </c>
      <c r="F222" s="3" t="s">
        <v>486</v>
      </c>
    </row>
    <row r="223" spans="2:6">
      <c r="B223" s="91">
        <v>528</v>
      </c>
      <c r="D223" s="145">
        <v>0</v>
      </c>
      <c r="F223" s="3" t="s">
        <v>486</v>
      </c>
    </row>
    <row r="224" spans="2:6">
      <c r="B224" s="91">
        <v>529</v>
      </c>
      <c r="D224" s="145">
        <v>0</v>
      </c>
      <c r="F224" s="3" t="s">
        <v>486</v>
      </c>
    </row>
    <row r="225" spans="2:6">
      <c r="B225" s="91">
        <v>530</v>
      </c>
      <c r="D225" s="145">
        <v>0</v>
      </c>
      <c r="F225" s="3" t="s">
        <v>486</v>
      </c>
    </row>
    <row r="226" spans="2:6">
      <c r="B226" s="91">
        <v>531</v>
      </c>
      <c r="D226" s="145">
        <v>2913299.7564751511</v>
      </c>
      <c r="F226" s="3" t="s">
        <v>486</v>
      </c>
    </row>
    <row r="227" spans="2:6">
      <c r="B227" s="91">
        <v>532</v>
      </c>
      <c r="D227" s="145">
        <v>0</v>
      </c>
      <c r="F227" s="3" t="s">
        <v>1106</v>
      </c>
    </row>
    <row r="228" spans="2:6">
      <c r="B228" s="91">
        <v>533</v>
      </c>
      <c r="D228" s="145">
        <v>0</v>
      </c>
      <c r="F228" s="3" t="s">
        <v>1106</v>
      </c>
    </row>
    <row r="229" spans="2:6">
      <c r="B229" s="91">
        <v>534</v>
      </c>
      <c r="D229" s="145">
        <v>0</v>
      </c>
      <c r="F229" s="3" t="s">
        <v>1106</v>
      </c>
    </row>
    <row r="230" spans="2:6">
      <c r="B230" s="91">
        <v>535</v>
      </c>
      <c r="D230" s="145">
        <v>0</v>
      </c>
      <c r="F230" s="3" t="s">
        <v>1106</v>
      </c>
    </row>
    <row r="231" spans="2:6">
      <c r="B231" s="91">
        <v>536</v>
      </c>
      <c r="D231" s="145">
        <v>0</v>
      </c>
      <c r="F231" s="3" t="s">
        <v>1106</v>
      </c>
    </row>
    <row r="232" spans="2:6">
      <c r="B232" s="91">
        <v>537</v>
      </c>
      <c r="D232" s="145">
        <v>0</v>
      </c>
      <c r="F232" s="3" t="s">
        <v>1106</v>
      </c>
    </row>
    <row r="233" spans="2:6">
      <c r="B233" s="91">
        <v>538</v>
      </c>
      <c r="D233" s="145">
        <v>1574.447054456984</v>
      </c>
      <c r="F233" s="3" t="s">
        <v>1106</v>
      </c>
    </row>
    <row r="234" spans="2:6">
      <c r="B234" s="91">
        <v>539</v>
      </c>
      <c r="D234" s="145">
        <v>20479.328356270184</v>
      </c>
      <c r="F234" s="3" t="s">
        <v>1106</v>
      </c>
    </row>
    <row r="235" spans="2:6">
      <c r="B235" s="91">
        <v>540</v>
      </c>
      <c r="D235" s="145">
        <v>25374.385345644296</v>
      </c>
      <c r="F235" s="3" t="s">
        <v>1106</v>
      </c>
    </row>
    <row r="236" spans="2:6">
      <c r="B236" s="91">
        <v>541</v>
      </c>
      <c r="D236" s="145">
        <v>19518.619853143853</v>
      </c>
      <c r="F236" s="3" t="s">
        <v>1106</v>
      </c>
    </row>
    <row r="237" spans="2:6">
      <c r="B237" s="91">
        <v>542</v>
      </c>
      <c r="D237" s="145">
        <v>111800.93961557576</v>
      </c>
      <c r="F237" s="3" t="s">
        <v>1106</v>
      </c>
    </row>
    <row r="238" spans="2:6">
      <c r="B238" s="91">
        <v>543</v>
      </c>
      <c r="D238" s="145">
        <v>31700.152105729732</v>
      </c>
      <c r="F238" s="3" t="s">
        <v>1106</v>
      </c>
    </row>
    <row r="239" spans="2:6">
      <c r="B239" s="91">
        <v>544</v>
      </c>
      <c r="D239" s="145">
        <v>50171.039481668777</v>
      </c>
      <c r="F239" s="3" t="s">
        <v>1106</v>
      </c>
    </row>
    <row r="240" spans="2:6">
      <c r="B240" s="91">
        <v>545</v>
      </c>
      <c r="D240" s="145">
        <v>20841.942479994177</v>
      </c>
      <c r="F240" s="3" t="s">
        <v>1106</v>
      </c>
    </row>
    <row r="241" spans="2:6">
      <c r="B241" s="91">
        <v>546</v>
      </c>
      <c r="D241" s="145">
        <v>21512.630367935792</v>
      </c>
      <c r="F241" s="3" t="s">
        <v>1106</v>
      </c>
    </row>
    <row r="242" spans="2:6">
      <c r="B242" s="91">
        <v>547</v>
      </c>
      <c r="D242" s="145">
        <v>125308.74203121607</v>
      </c>
      <c r="F242" s="3" t="s">
        <v>1106</v>
      </c>
    </row>
    <row r="243" spans="2:6">
      <c r="B243" s="91">
        <v>548</v>
      </c>
      <c r="D243" s="145">
        <v>10935.593498707885</v>
      </c>
      <c r="F243" s="3" t="s">
        <v>1106</v>
      </c>
    </row>
    <row r="244" spans="2:6">
      <c r="B244" s="91">
        <v>549</v>
      </c>
      <c r="D244" s="145">
        <v>626.06137659381329</v>
      </c>
      <c r="F244" s="3" t="s">
        <v>1106</v>
      </c>
    </row>
    <row r="245" spans="2:6">
      <c r="B245" s="91">
        <v>550</v>
      </c>
      <c r="D245" s="145">
        <v>1810.4047177063972</v>
      </c>
      <c r="F245" s="3" t="s">
        <v>1106</v>
      </c>
    </row>
    <row r="246" spans="2:6">
      <c r="B246" s="91">
        <v>551</v>
      </c>
      <c r="D246" s="145">
        <v>10852.493952417557</v>
      </c>
      <c r="F246" s="3" t="s">
        <v>1106</v>
      </c>
    </row>
    <row r="247" spans="2:6">
      <c r="B247" s="91">
        <v>552</v>
      </c>
      <c r="D247" s="145">
        <v>8422.2344911531891</v>
      </c>
      <c r="F247" s="3" t="s">
        <v>1106</v>
      </c>
    </row>
    <row r="248" spans="2:6">
      <c r="B248" s="91">
        <v>553</v>
      </c>
      <c r="D248" s="145">
        <v>104614.15808228625</v>
      </c>
      <c r="F248" s="3" t="s">
        <v>1106</v>
      </c>
    </row>
    <row r="249" spans="2:6">
      <c r="B249" s="91">
        <v>554</v>
      </c>
      <c r="D249" s="145">
        <v>49487.380757693187</v>
      </c>
      <c r="F249" s="3" t="s">
        <v>1106</v>
      </c>
    </row>
    <row r="250" spans="2:6">
      <c r="B250" s="91">
        <v>555</v>
      </c>
      <c r="D250" s="145">
        <v>6751.8169181566982</v>
      </c>
      <c r="F250" s="3" t="s">
        <v>1106</v>
      </c>
    </row>
    <row r="251" spans="2:6">
      <c r="B251" s="91">
        <v>556</v>
      </c>
      <c r="D251" s="145">
        <v>69100.503781985579</v>
      </c>
      <c r="F251" s="3" t="s">
        <v>1106</v>
      </c>
    </row>
    <row r="252" spans="2:6">
      <c r="B252" s="91">
        <v>557</v>
      </c>
      <c r="D252" s="145">
        <v>5340.5922809351332</v>
      </c>
      <c r="F252" s="3" t="s">
        <v>1106</v>
      </c>
    </row>
    <row r="253" spans="2:6">
      <c r="B253" s="91">
        <v>558</v>
      </c>
      <c r="D253" s="145">
        <v>6203.2247031267789</v>
      </c>
      <c r="F253" s="3" t="s">
        <v>1106</v>
      </c>
    </row>
    <row r="254" spans="2:6">
      <c r="B254" s="91">
        <v>559</v>
      </c>
      <c r="D254" s="145">
        <v>367448.10804205487</v>
      </c>
      <c r="F254" s="3" t="s">
        <v>1106</v>
      </c>
    </row>
    <row r="255" spans="2:6">
      <c r="B255" s="91">
        <v>560</v>
      </c>
      <c r="D255" s="145">
        <v>493283.8055615066</v>
      </c>
      <c r="F255" s="3" t="s">
        <v>1106</v>
      </c>
    </row>
    <row r="256" spans="2:6">
      <c r="B256" s="91">
        <v>561</v>
      </c>
      <c r="D256" s="145">
        <v>3398.0182232575817</v>
      </c>
      <c r="F256" s="3" t="s">
        <v>1106</v>
      </c>
    </row>
    <row r="257" spans="2:6">
      <c r="B257" s="91">
        <v>562</v>
      </c>
      <c r="D257" s="145">
        <v>415690.8352187156</v>
      </c>
      <c r="F257" s="3" t="s">
        <v>1106</v>
      </c>
    </row>
    <row r="258" spans="2:6">
      <c r="B258" s="91">
        <v>563</v>
      </c>
      <c r="D258" s="145">
        <v>0</v>
      </c>
      <c r="F258" s="3" t="s">
        <v>1106</v>
      </c>
    </row>
    <row r="259" spans="2:6">
      <c r="B259" s="91">
        <v>564</v>
      </c>
      <c r="D259" s="145">
        <v>0</v>
      </c>
      <c r="F259" s="3" t="s">
        <v>1106</v>
      </c>
    </row>
    <row r="260" spans="2:6">
      <c r="B260" s="91">
        <v>565</v>
      </c>
      <c r="D260" s="145">
        <v>0</v>
      </c>
      <c r="F260" s="3" t="s">
        <v>1106</v>
      </c>
    </row>
    <row r="261" spans="2:6">
      <c r="B261" s="91">
        <v>566</v>
      </c>
      <c r="D261" s="145">
        <v>0</v>
      </c>
      <c r="F261" s="3" t="s">
        <v>1106</v>
      </c>
    </row>
    <row r="262" spans="2:6">
      <c r="B262" s="91">
        <v>567</v>
      </c>
      <c r="D262" s="145">
        <v>0</v>
      </c>
      <c r="F262" s="3" t="s">
        <v>1106</v>
      </c>
    </row>
    <row r="263" spans="2:6">
      <c r="B263" s="91">
        <v>568</v>
      </c>
      <c r="D263" s="145">
        <v>0</v>
      </c>
      <c r="F263" s="3" t="s">
        <v>1106</v>
      </c>
    </row>
    <row r="264" spans="2:6">
      <c r="B264" s="91">
        <v>569</v>
      </c>
      <c r="D264" s="145">
        <v>0</v>
      </c>
      <c r="F264" s="3" t="s">
        <v>1106</v>
      </c>
    </row>
    <row r="265" spans="2:6">
      <c r="B265" s="91">
        <v>570</v>
      </c>
      <c r="D265" s="145">
        <v>0</v>
      </c>
      <c r="F265" s="3" t="s">
        <v>1106</v>
      </c>
    </row>
    <row r="266" spans="2:6">
      <c r="B266" s="91">
        <v>571</v>
      </c>
      <c r="D266" s="145">
        <v>0</v>
      </c>
      <c r="F266" s="3" t="s">
        <v>1106</v>
      </c>
    </row>
    <row r="267" spans="2:6">
      <c r="B267" s="91">
        <v>572</v>
      </c>
      <c r="D267" s="145">
        <v>0</v>
      </c>
      <c r="F267" s="3" t="s">
        <v>1106</v>
      </c>
    </row>
    <row r="268" spans="2:6">
      <c r="B268" s="91">
        <v>573</v>
      </c>
      <c r="D268" s="145">
        <v>53427.92963177264</v>
      </c>
      <c r="F268" s="3" t="s">
        <v>1106</v>
      </c>
    </row>
    <row r="269" spans="2:6">
      <c r="B269" s="91">
        <v>574</v>
      </c>
      <c r="D269" s="145">
        <v>6869.2461574103609</v>
      </c>
      <c r="F269" s="3" t="s">
        <v>1106</v>
      </c>
    </row>
    <row r="270" spans="2:6">
      <c r="B270" s="91">
        <v>575</v>
      </c>
      <c r="D270" s="145">
        <v>4716.7151587022527</v>
      </c>
      <c r="F270" s="3" t="s">
        <v>1106</v>
      </c>
    </row>
    <row r="271" spans="2:6">
      <c r="B271" s="91">
        <v>576</v>
      </c>
      <c r="D271" s="145">
        <v>65931.311505200705</v>
      </c>
      <c r="F271" s="3" t="s">
        <v>1106</v>
      </c>
    </row>
    <row r="272" spans="2:6">
      <c r="B272" s="91">
        <v>577</v>
      </c>
      <c r="D272" s="145">
        <v>24863.217055860056</v>
      </c>
      <c r="F272" s="3" t="s">
        <v>1106</v>
      </c>
    </row>
    <row r="273" spans="2:6">
      <c r="B273" s="91">
        <v>578</v>
      </c>
      <c r="D273" s="145">
        <v>21467.5396328608</v>
      </c>
      <c r="F273" s="3" t="s">
        <v>1106</v>
      </c>
    </row>
    <row r="274" spans="2:6">
      <c r="B274" s="91">
        <v>579</v>
      </c>
      <c r="D274" s="145">
        <v>83136.628234360018</v>
      </c>
      <c r="F274" s="3" t="s">
        <v>1106</v>
      </c>
    </row>
    <row r="275" spans="2:6">
      <c r="B275" s="91">
        <v>580</v>
      </c>
      <c r="D275" s="145">
        <v>41879.587518857079</v>
      </c>
      <c r="F275" s="3" t="s">
        <v>1106</v>
      </c>
    </row>
    <row r="276" spans="2:6">
      <c r="B276" s="91">
        <v>581</v>
      </c>
      <c r="D276" s="145">
        <v>16441.216799999998</v>
      </c>
      <c r="F276" s="3" t="s">
        <v>1106</v>
      </c>
    </row>
    <row r="277" spans="2:6">
      <c r="B277" s="91">
        <v>582</v>
      </c>
      <c r="D277" s="145">
        <v>0</v>
      </c>
      <c r="F277" s="3" t="s">
        <v>1106</v>
      </c>
    </row>
    <row r="278" spans="2:6">
      <c r="B278" s="91">
        <v>583</v>
      </c>
      <c r="D278" s="145">
        <v>156251.04854529988</v>
      </c>
      <c r="F278" s="3" t="s">
        <v>1106</v>
      </c>
    </row>
    <row r="279" spans="2:6">
      <c r="B279" s="91">
        <v>584</v>
      </c>
      <c r="D279" s="145">
        <v>571344.07191404735</v>
      </c>
      <c r="F279" s="3" t="s">
        <v>1106</v>
      </c>
    </row>
    <row r="280" spans="2:6">
      <c r="B280" s="91">
        <v>585</v>
      </c>
      <c r="D280" s="145">
        <v>16920.652386594666</v>
      </c>
      <c r="F280" s="3" t="s">
        <v>1106</v>
      </c>
    </row>
    <row r="281" spans="2:6">
      <c r="B281" s="91">
        <v>586</v>
      </c>
      <c r="D281" s="145">
        <v>161395.41974096847</v>
      </c>
      <c r="F281" s="3" t="s">
        <v>1106</v>
      </c>
    </row>
    <row r="282" spans="2:6">
      <c r="B282" s="91">
        <v>587</v>
      </c>
      <c r="D282" s="145">
        <v>107094.4472815734</v>
      </c>
      <c r="F282" s="3" t="s">
        <v>1106</v>
      </c>
    </row>
    <row r="283" spans="2:6">
      <c r="B283" s="91">
        <v>588</v>
      </c>
      <c r="D283" s="145">
        <v>67773.247093874292</v>
      </c>
      <c r="F283" s="3" t="s">
        <v>1106</v>
      </c>
    </row>
    <row r="284" spans="2:6">
      <c r="B284" s="91">
        <v>589</v>
      </c>
      <c r="D284" s="145">
        <v>520303.7394086328</v>
      </c>
      <c r="F284" s="3" t="s">
        <v>1106</v>
      </c>
    </row>
    <row r="285" spans="2:6">
      <c r="B285" s="91">
        <v>590</v>
      </c>
      <c r="D285" s="145">
        <v>0</v>
      </c>
      <c r="F285" s="3" t="s">
        <v>1106</v>
      </c>
    </row>
    <row r="286" spans="2:6">
      <c r="B286" s="91">
        <v>591</v>
      </c>
      <c r="D286" s="145">
        <v>0</v>
      </c>
      <c r="F286" s="3" t="s">
        <v>1106</v>
      </c>
    </row>
    <row r="287" spans="2:6">
      <c r="B287" s="91">
        <v>592</v>
      </c>
      <c r="D287" s="145">
        <v>0</v>
      </c>
      <c r="F287" s="3" t="s">
        <v>1106</v>
      </c>
    </row>
    <row r="288" spans="2:6">
      <c r="B288" s="91">
        <v>593</v>
      </c>
      <c r="D288" s="145">
        <v>0</v>
      </c>
      <c r="F288" s="3" t="s">
        <v>1106</v>
      </c>
    </row>
    <row r="289" spans="2:6">
      <c r="B289" s="91">
        <v>594</v>
      </c>
      <c r="D289" s="145">
        <v>0</v>
      </c>
      <c r="F289" s="3" t="s">
        <v>1106</v>
      </c>
    </row>
    <row r="290" spans="2:6">
      <c r="B290" s="91">
        <v>595</v>
      </c>
      <c r="D290" s="145">
        <v>0</v>
      </c>
      <c r="F290" s="3" t="s">
        <v>1106</v>
      </c>
    </row>
    <row r="291" spans="2:6">
      <c r="B291" s="91">
        <v>596</v>
      </c>
      <c r="D291" s="145">
        <v>0</v>
      </c>
      <c r="F291" s="3" t="s">
        <v>1106</v>
      </c>
    </row>
    <row r="292" spans="2:6">
      <c r="B292" s="91">
        <v>597</v>
      </c>
      <c r="D292" s="145">
        <v>0</v>
      </c>
      <c r="F292" s="3" t="s">
        <v>1106</v>
      </c>
    </row>
    <row r="293" spans="2:6">
      <c r="B293" s="91">
        <v>598</v>
      </c>
      <c r="D293" s="145">
        <v>0</v>
      </c>
      <c r="F293" s="3" t="s">
        <v>1106</v>
      </c>
    </row>
    <row r="294" spans="2:6">
      <c r="B294" s="91">
        <v>599</v>
      </c>
      <c r="D294" s="145">
        <v>0</v>
      </c>
      <c r="F294" s="3" t="s">
        <v>1106</v>
      </c>
    </row>
    <row r="295" spans="2:6">
      <c r="B295" s="91">
        <v>600</v>
      </c>
      <c r="D295" s="145">
        <v>0</v>
      </c>
      <c r="F295" s="3" t="s">
        <v>1106</v>
      </c>
    </row>
    <row r="296" spans="2:6">
      <c r="B296" s="91">
        <v>601</v>
      </c>
      <c r="D296" s="145">
        <v>0</v>
      </c>
      <c r="F296" s="3" t="s">
        <v>1106</v>
      </c>
    </row>
    <row r="297" spans="2:6">
      <c r="B297" s="91">
        <v>602</v>
      </c>
      <c r="D297" s="145">
        <v>0</v>
      </c>
      <c r="F297" s="3" t="s">
        <v>1106</v>
      </c>
    </row>
    <row r="298" spans="2:6">
      <c r="B298" s="91">
        <v>603</v>
      </c>
      <c r="D298" s="145">
        <v>5866.8839006931503</v>
      </c>
      <c r="F298" s="3" t="s">
        <v>1106</v>
      </c>
    </row>
    <row r="299" spans="2:6">
      <c r="B299" s="91">
        <v>604</v>
      </c>
      <c r="D299" s="145">
        <v>9075542.9359124992</v>
      </c>
      <c r="F299" s="3" t="s">
        <v>1106</v>
      </c>
    </row>
    <row r="300" spans="2:6">
      <c r="B300" s="91">
        <v>605</v>
      </c>
      <c r="D300" s="145">
        <v>87331.73753895532</v>
      </c>
      <c r="F300" s="3" t="s">
        <v>1106</v>
      </c>
    </row>
    <row r="301" spans="2:6">
      <c r="B301" s="91">
        <v>606</v>
      </c>
      <c r="D301" s="145">
        <v>20500.533572624918</v>
      </c>
      <c r="F301" s="3" t="s">
        <v>1106</v>
      </c>
    </row>
    <row r="302" spans="2:6">
      <c r="B302" s="91">
        <v>607</v>
      </c>
      <c r="D302" s="145">
        <v>228572.72715228627</v>
      </c>
      <c r="F302" s="3" t="s">
        <v>1106</v>
      </c>
    </row>
    <row r="303" spans="2:6">
      <c r="B303" s="91">
        <v>608</v>
      </c>
      <c r="D303" s="145">
        <v>287131.81151071272</v>
      </c>
      <c r="F303" s="3" t="s">
        <v>1106</v>
      </c>
    </row>
    <row r="304" spans="2:6">
      <c r="B304" s="91">
        <v>609</v>
      </c>
      <c r="D304" s="145">
        <v>193601.40516849293</v>
      </c>
      <c r="F304" s="3" t="s">
        <v>1106</v>
      </c>
    </row>
    <row r="305" spans="2:6">
      <c r="B305" s="91">
        <v>610</v>
      </c>
      <c r="D305" s="145">
        <v>800920.7553862785</v>
      </c>
      <c r="F305" s="3" t="s">
        <v>1106</v>
      </c>
    </row>
    <row r="306" spans="2:6">
      <c r="B306" s="91">
        <v>611</v>
      </c>
      <c r="D306" s="145">
        <v>668161.29475516581</v>
      </c>
      <c r="F306" s="3" t="s">
        <v>1106</v>
      </c>
    </row>
    <row r="307" spans="2:6">
      <c r="B307" s="91">
        <v>612</v>
      </c>
      <c r="D307" s="145">
        <v>1872522.2209963768</v>
      </c>
      <c r="F307" s="3" t="s">
        <v>1106</v>
      </c>
    </row>
    <row r="308" spans="2:6">
      <c r="B308" s="91">
        <v>613</v>
      </c>
      <c r="D308" s="145">
        <v>2079569.9240820273</v>
      </c>
      <c r="F308" s="3" t="s">
        <v>1106</v>
      </c>
    </row>
    <row r="309" spans="2:6">
      <c r="B309" s="91">
        <v>614</v>
      </c>
      <c r="D309" s="145">
        <v>206182.49436233655</v>
      </c>
      <c r="F309" s="3" t="s">
        <v>1106</v>
      </c>
    </row>
    <row r="310" spans="2:6">
      <c r="B310" s="91">
        <v>615</v>
      </c>
      <c r="D310" s="145">
        <v>166559.3552970431</v>
      </c>
      <c r="F310" s="3" t="s">
        <v>1106</v>
      </c>
    </row>
    <row r="311" spans="2:6">
      <c r="B311" s="91">
        <v>616</v>
      </c>
      <c r="D311" s="145">
        <v>1045405.8018708032</v>
      </c>
      <c r="F311" s="3" t="s">
        <v>1106</v>
      </c>
    </row>
    <row r="312" spans="2:6">
      <c r="B312" s="91">
        <v>617</v>
      </c>
      <c r="D312" s="145">
        <v>3985882.0977839921</v>
      </c>
      <c r="F312" s="3" t="s">
        <v>1106</v>
      </c>
    </row>
    <row r="313" spans="2:6">
      <c r="B313" s="91">
        <v>618</v>
      </c>
      <c r="D313" s="145">
        <v>41545.737407650391</v>
      </c>
      <c r="F313" s="3" t="s">
        <v>1106</v>
      </c>
    </row>
    <row r="314" spans="2:6">
      <c r="B314" s="91">
        <v>619</v>
      </c>
      <c r="D314" s="145">
        <v>4236969.0556051834</v>
      </c>
      <c r="F314" s="3" t="s">
        <v>1106</v>
      </c>
    </row>
    <row r="315" spans="2:6">
      <c r="B315" s="91">
        <v>620</v>
      </c>
      <c r="D315" s="145">
        <v>1309899.9728682514</v>
      </c>
      <c r="F315" s="3" t="s">
        <v>1106</v>
      </c>
    </row>
    <row r="316" spans="2:6">
      <c r="B316" s="91">
        <v>621</v>
      </c>
      <c r="D316" s="145">
        <v>352279.26825206354</v>
      </c>
      <c r="F316" s="3" t="s">
        <v>1106</v>
      </c>
    </row>
    <row r="317" spans="2:6">
      <c r="B317" s="91">
        <v>622</v>
      </c>
      <c r="D317" s="145">
        <v>8614670.2533826157</v>
      </c>
      <c r="F317" s="3" t="s">
        <v>1106</v>
      </c>
    </row>
    <row r="318" spans="2:6">
      <c r="B318" s="91">
        <v>623</v>
      </c>
      <c r="D318" s="145">
        <v>205179.23220155045</v>
      </c>
      <c r="F318" s="3" t="s">
        <v>1106</v>
      </c>
    </row>
    <row r="319" spans="2:6">
      <c r="B319" s="91">
        <v>624</v>
      </c>
      <c r="D319" s="145">
        <v>15286337.673415478</v>
      </c>
      <c r="F319" s="3" t="s">
        <v>1106</v>
      </c>
    </row>
    <row r="320" spans="2:6">
      <c r="B320" s="91">
        <v>625</v>
      </c>
      <c r="D320" s="145">
        <v>132877.15359999999</v>
      </c>
      <c r="F320" s="3" t="s">
        <v>1106</v>
      </c>
    </row>
    <row r="321" spans="2:6">
      <c r="B321" s="91">
        <v>626</v>
      </c>
      <c r="D321" s="145">
        <v>0</v>
      </c>
      <c r="F321" s="3" t="s">
        <v>1106</v>
      </c>
    </row>
    <row r="322" spans="2:6">
      <c r="B322" s="91">
        <v>627</v>
      </c>
      <c r="D322" s="145">
        <v>0</v>
      </c>
      <c r="F322" s="3" t="s">
        <v>1106</v>
      </c>
    </row>
    <row r="323" spans="2:6">
      <c r="B323" s="91">
        <v>628</v>
      </c>
      <c r="D323" s="145">
        <v>1302.4440570578504</v>
      </c>
      <c r="F323" s="3" t="s">
        <v>1106</v>
      </c>
    </row>
    <row r="324" spans="2:6">
      <c r="B324" s="91">
        <v>629</v>
      </c>
      <c r="D324" s="145">
        <v>5160.0974238485833</v>
      </c>
      <c r="F324" s="3" t="s">
        <v>1106</v>
      </c>
    </row>
    <row r="325" spans="2:6">
      <c r="B325" s="91">
        <v>630</v>
      </c>
      <c r="D325" s="145">
        <v>62368.739652133881</v>
      </c>
      <c r="F325" s="3" t="s">
        <v>1106</v>
      </c>
    </row>
    <row r="326" spans="2:6">
      <c r="B326" s="91">
        <v>631</v>
      </c>
      <c r="D326" s="145">
        <v>30973.850514933041</v>
      </c>
      <c r="F326" s="3" t="s">
        <v>1106</v>
      </c>
    </row>
    <row r="327" spans="2:6">
      <c r="B327" s="91">
        <v>632</v>
      </c>
      <c r="D327" s="145">
        <v>66842.607864033591</v>
      </c>
      <c r="F327" s="3" t="s">
        <v>1106</v>
      </c>
    </row>
    <row r="328" spans="2:6">
      <c r="B328" s="91">
        <v>633</v>
      </c>
      <c r="D328" s="145">
        <v>93362.46843644914</v>
      </c>
      <c r="F328" s="3" t="s">
        <v>1106</v>
      </c>
    </row>
    <row r="329" spans="2:6">
      <c r="B329" s="91">
        <v>634</v>
      </c>
      <c r="D329" s="145">
        <v>0</v>
      </c>
      <c r="F329" s="3" t="s">
        <v>1106</v>
      </c>
    </row>
    <row r="330" spans="2:6">
      <c r="B330" s="91">
        <v>635</v>
      </c>
      <c r="D330" s="145">
        <v>0</v>
      </c>
      <c r="F330" s="3" t="s">
        <v>1106</v>
      </c>
    </row>
    <row r="331" spans="2:6">
      <c r="B331" s="91">
        <v>636</v>
      </c>
      <c r="D331" s="145">
        <v>3167.6844298719025</v>
      </c>
      <c r="F331" s="3" t="s">
        <v>1106</v>
      </c>
    </row>
    <row r="332" spans="2:6">
      <c r="B332" s="91">
        <v>637</v>
      </c>
      <c r="D332" s="145">
        <v>8760.1489617965944</v>
      </c>
      <c r="F332" s="3" t="s">
        <v>1106</v>
      </c>
    </row>
    <row r="333" spans="2:6">
      <c r="B333" s="91">
        <v>638</v>
      </c>
      <c r="D333" s="145">
        <v>3367.2299483855559</v>
      </c>
      <c r="F333" s="3" t="s">
        <v>1106</v>
      </c>
    </row>
    <row r="334" spans="2:6">
      <c r="B334" s="91">
        <v>639</v>
      </c>
      <c r="D334" s="145">
        <v>103376.24222389152</v>
      </c>
      <c r="F334" s="3" t="s">
        <v>1106</v>
      </c>
    </row>
    <row r="335" spans="2:6">
      <c r="B335" s="91">
        <v>640</v>
      </c>
      <c r="D335" s="145">
        <v>46475.668533117961</v>
      </c>
      <c r="F335" s="3" t="s">
        <v>1106</v>
      </c>
    </row>
    <row r="336" spans="2:6">
      <c r="B336" s="91">
        <v>641</v>
      </c>
      <c r="D336" s="145">
        <v>16985.961159910781</v>
      </c>
      <c r="F336" s="3" t="s">
        <v>1106</v>
      </c>
    </row>
    <row r="337" spans="2:6">
      <c r="B337" s="91">
        <v>642</v>
      </c>
      <c r="D337" s="145">
        <v>26102.739490909091</v>
      </c>
      <c r="F337" s="3" t="s">
        <v>1106</v>
      </c>
    </row>
    <row r="338" spans="2:6">
      <c r="B338" s="91">
        <v>643</v>
      </c>
      <c r="D338" s="145">
        <v>87808</v>
      </c>
      <c r="F338" s="3" t="s">
        <v>1106</v>
      </c>
    </row>
    <row r="339" spans="2:6">
      <c r="B339" s="91">
        <v>644</v>
      </c>
      <c r="D339" s="145">
        <v>0</v>
      </c>
      <c r="F339" s="3" t="s">
        <v>1106</v>
      </c>
    </row>
    <row r="340" spans="2:6">
      <c r="B340" s="91">
        <v>645</v>
      </c>
      <c r="D340" s="145">
        <v>0</v>
      </c>
      <c r="F340" s="3" t="s">
        <v>1106</v>
      </c>
    </row>
    <row r="341" spans="2:6">
      <c r="B341" s="91">
        <v>646</v>
      </c>
      <c r="D341" s="145">
        <v>0</v>
      </c>
      <c r="F341" s="3" t="s">
        <v>1106</v>
      </c>
    </row>
    <row r="342" spans="2:6">
      <c r="B342" s="91">
        <v>647</v>
      </c>
      <c r="D342" s="145">
        <v>26595.363825908324</v>
      </c>
      <c r="F342" s="3" t="s">
        <v>1106</v>
      </c>
    </row>
    <row r="343" spans="2:6">
      <c r="B343" s="91">
        <v>648</v>
      </c>
      <c r="D343" s="145">
        <v>4399.4836460310435</v>
      </c>
      <c r="F343" s="3" t="s">
        <v>1106</v>
      </c>
    </row>
    <row r="344" spans="2:6">
      <c r="B344" s="91">
        <v>649</v>
      </c>
      <c r="D344" s="145">
        <v>0</v>
      </c>
      <c r="F344" s="3" t="s">
        <v>1171</v>
      </c>
    </row>
    <row r="345" spans="2:6">
      <c r="B345" s="91">
        <v>650</v>
      </c>
      <c r="D345" s="145">
        <v>0</v>
      </c>
      <c r="F345" s="3" t="s">
        <v>1172</v>
      </c>
    </row>
    <row r="346" spans="2:6">
      <c r="B346" s="91">
        <v>651</v>
      </c>
      <c r="D346" s="145">
        <v>0</v>
      </c>
      <c r="F346" s="3" t="s">
        <v>1173</v>
      </c>
    </row>
    <row r="347" spans="2:6">
      <c r="B347" s="91">
        <v>652</v>
      </c>
      <c r="D347" s="145">
        <v>0</v>
      </c>
      <c r="F347" s="3" t="s">
        <v>1174</v>
      </c>
    </row>
    <row r="348" spans="2:6">
      <c r="B348" s="91">
        <v>653</v>
      </c>
      <c r="D348" s="145">
        <v>0</v>
      </c>
      <c r="F348" s="3" t="s">
        <v>1175</v>
      </c>
    </row>
    <row r="349" spans="2:6">
      <c r="B349" s="91">
        <v>654</v>
      </c>
      <c r="D349" s="145">
        <v>0</v>
      </c>
      <c r="F349" s="3" t="s">
        <v>1176</v>
      </c>
    </row>
    <row r="350" spans="2:6">
      <c r="B350" s="91">
        <v>655</v>
      </c>
      <c r="D350" s="145">
        <v>0</v>
      </c>
      <c r="F350" s="3" t="s">
        <v>1177</v>
      </c>
    </row>
    <row r="351" spans="2:6">
      <c r="B351" s="91">
        <v>656</v>
      </c>
      <c r="D351" s="145">
        <v>0</v>
      </c>
      <c r="F351" s="3" t="s">
        <v>1178</v>
      </c>
    </row>
    <row r="352" spans="2:6">
      <c r="B352" s="91">
        <v>657</v>
      </c>
      <c r="D352" s="145">
        <v>6693</v>
      </c>
      <c r="F352" s="3" t="s">
        <v>1170</v>
      </c>
    </row>
    <row r="353" spans="2:6">
      <c r="B353" s="91">
        <v>658</v>
      </c>
      <c r="D353" s="145">
        <v>14367</v>
      </c>
      <c r="F353" s="3" t="s">
        <v>1179</v>
      </c>
    </row>
    <row r="354" spans="2:6">
      <c r="B354" s="91">
        <v>659</v>
      </c>
      <c r="D354" s="145">
        <v>93948</v>
      </c>
      <c r="F354" s="3" t="s">
        <v>1180</v>
      </c>
    </row>
    <row r="355" spans="2:6">
      <c r="B355" s="91">
        <v>660</v>
      </c>
      <c r="D355" s="145">
        <v>18198</v>
      </c>
      <c r="F355" s="3" t="s">
        <v>1181</v>
      </c>
    </row>
    <row r="356" spans="2:6">
      <c r="B356" s="91">
        <v>661</v>
      </c>
      <c r="D356" s="145">
        <v>15661</v>
      </c>
      <c r="F356" s="3" t="s">
        <v>1182</v>
      </c>
    </row>
    <row r="357" spans="2:6">
      <c r="B357" s="91">
        <v>662</v>
      </c>
      <c r="D357" s="145">
        <v>35764</v>
      </c>
      <c r="F357" s="3" t="s">
        <v>1183</v>
      </c>
    </row>
    <row r="358" spans="2:6">
      <c r="B358" s="91">
        <v>663</v>
      </c>
      <c r="D358" s="145">
        <v>19266</v>
      </c>
      <c r="F358" s="3" t="s">
        <v>1184</v>
      </c>
    </row>
    <row r="359" spans="2:6">
      <c r="B359" s="91">
        <v>664</v>
      </c>
      <c r="D359" s="145">
        <v>20844</v>
      </c>
      <c r="F359" s="3" t="s">
        <v>1185</v>
      </c>
    </row>
    <row r="360" spans="2:6">
      <c r="B360" s="91">
        <v>665</v>
      </c>
      <c r="D360" s="145">
        <v>21515</v>
      </c>
      <c r="F360" s="3" t="s">
        <v>1186</v>
      </c>
    </row>
    <row r="361" spans="2:6">
      <c r="B361" s="91">
        <v>666</v>
      </c>
      <c r="D361" s="145">
        <v>22168</v>
      </c>
      <c r="F361" s="3" t="s">
        <v>1187</v>
      </c>
    </row>
    <row r="362" spans="2:6">
      <c r="B362" s="91">
        <v>667</v>
      </c>
      <c r="D362" s="145">
        <v>22734</v>
      </c>
      <c r="F362" s="3" t="s">
        <v>1188</v>
      </c>
    </row>
    <row r="363" spans="2:6">
      <c r="B363" s="91">
        <v>668</v>
      </c>
      <c r="D363" s="145">
        <v>24435</v>
      </c>
      <c r="F363" s="3" t="s">
        <v>1189</v>
      </c>
    </row>
    <row r="364" spans="2:6">
      <c r="B364" s="91">
        <v>669</v>
      </c>
      <c r="D364" s="145">
        <v>34214</v>
      </c>
      <c r="F364" s="3" t="s">
        <v>1190</v>
      </c>
    </row>
    <row r="365" spans="2:6">
      <c r="B365" s="91">
        <v>670</v>
      </c>
      <c r="D365" s="145">
        <v>15206</v>
      </c>
      <c r="F365" s="3" t="s">
        <v>1191</v>
      </c>
    </row>
    <row r="366" spans="2:6">
      <c r="B366" s="91">
        <v>671</v>
      </c>
      <c r="D366" s="145">
        <v>22137</v>
      </c>
      <c r="F366" s="3" t="s">
        <v>1192</v>
      </c>
    </row>
    <row r="367" spans="2:6">
      <c r="B367" s="91">
        <v>672</v>
      </c>
      <c r="D367" s="145">
        <v>33597</v>
      </c>
      <c r="F367" s="3" t="s">
        <v>1193</v>
      </c>
    </row>
    <row r="368" spans="2:6">
      <c r="B368" s="91">
        <v>673</v>
      </c>
      <c r="D368" s="145">
        <v>14916</v>
      </c>
      <c r="F368" s="3" t="s">
        <v>1194</v>
      </c>
    </row>
    <row r="369" spans="2:6">
      <c r="B369" s="91">
        <v>674</v>
      </c>
      <c r="D369" s="145">
        <v>5509</v>
      </c>
      <c r="F369" s="3" t="s">
        <v>1195</v>
      </c>
    </row>
    <row r="370" spans="2:6">
      <c r="B370" s="91">
        <v>675</v>
      </c>
      <c r="D370" s="145">
        <v>6680</v>
      </c>
      <c r="F370" s="3" t="s">
        <v>1196</v>
      </c>
    </row>
    <row r="371" spans="2:6">
      <c r="B371" s="91">
        <v>676</v>
      </c>
      <c r="D371" s="145">
        <v>452654</v>
      </c>
      <c r="F371" s="3" t="s">
        <v>1197</v>
      </c>
    </row>
    <row r="372" spans="2:6">
      <c r="B372" s="91">
        <v>677</v>
      </c>
      <c r="D372" s="145">
        <v>216564</v>
      </c>
      <c r="F372" s="3" t="s">
        <v>1198</v>
      </c>
    </row>
    <row r="373" spans="2:6">
      <c r="B373" s="91">
        <v>678</v>
      </c>
      <c r="D373" s="145">
        <v>1006173</v>
      </c>
      <c r="F373" s="3" t="s">
        <v>1199</v>
      </c>
    </row>
    <row r="374" spans="2:6">
      <c r="B374" s="91">
        <v>679</v>
      </c>
      <c r="D374" s="145">
        <v>85313</v>
      </c>
      <c r="F374" s="3" t="s">
        <v>1200</v>
      </c>
    </row>
    <row r="375" spans="2:6">
      <c r="B375" s="91">
        <v>680</v>
      </c>
      <c r="D375" s="145">
        <v>578683</v>
      </c>
      <c r="F375" s="3" t="s">
        <v>1201</v>
      </c>
    </row>
    <row r="376" spans="2:6">
      <c r="B376" s="91">
        <v>681</v>
      </c>
      <c r="D376" s="145">
        <v>183743</v>
      </c>
      <c r="F376" s="3" t="s">
        <v>1202</v>
      </c>
    </row>
    <row r="377" spans="2:6">
      <c r="B377" s="91">
        <v>682</v>
      </c>
      <c r="D377" s="145">
        <v>431227</v>
      </c>
      <c r="F377" s="3" t="s">
        <v>1203</v>
      </c>
    </row>
    <row r="378" spans="2:6">
      <c r="B378" s="91">
        <v>683</v>
      </c>
      <c r="D378" s="145">
        <v>-2839</v>
      </c>
      <c r="F378" s="3" t="s">
        <v>1204</v>
      </c>
    </row>
    <row r="379" spans="2:6">
      <c r="B379" s="91">
        <v>684</v>
      </c>
      <c r="D379" s="145">
        <v>0</v>
      </c>
      <c r="F379" s="3" t="s">
        <v>1205</v>
      </c>
    </row>
    <row r="380" spans="2:6">
      <c r="B380" s="91">
        <v>685</v>
      </c>
      <c r="D380" s="145">
        <v>0</v>
      </c>
      <c r="F380" s="3" t="s">
        <v>1206</v>
      </c>
    </row>
    <row r="381" spans="2:6">
      <c r="B381" s="91">
        <v>686</v>
      </c>
      <c r="D381" s="145">
        <v>0</v>
      </c>
      <c r="F381" s="3" t="s">
        <v>1207</v>
      </c>
    </row>
    <row r="382" spans="2:6">
      <c r="B382" s="91">
        <v>687</v>
      </c>
      <c r="D382" s="145">
        <v>0</v>
      </c>
      <c r="F382" s="3" t="s">
        <v>1208</v>
      </c>
    </row>
    <row r="383" spans="2:6">
      <c r="B383" s="91">
        <v>688</v>
      </c>
      <c r="D383" s="145">
        <v>0</v>
      </c>
      <c r="F383" s="3" t="s">
        <v>1209</v>
      </c>
    </row>
    <row r="384" spans="2:6">
      <c r="B384" s="91">
        <v>689</v>
      </c>
      <c r="D384" s="145">
        <v>0</v>
      </c>
      <c r="F384" s="3" t="s">
        <v>1210</v>
      </c>
    </row>
    <row r="385" spans="2:6">
      <c r="B385" s="91">
        <v>690</v>
      </c>
      <c r="D385" s="145">
        <v>0</v>
      </c>
      <c r="F385" s="3" t="s">
        <v>1211</v>
      </c>
    </row>
    <row r="386" spans="2:6">
      <c r="B386" s="91">
        <v>691</v>
      </c>
      <c r="D386" s="145">
        <v>0</v>
      </c>
      <c r="F386" s="3" t="s">
        <v>1212</v>
      </c>
    </row>
    <row r="387" spans="2:6">
      <c r="B387" s="91">
        <v>692</v>
      </c>
      <c r="D387" s="145">
        <v>0</v>
      </c>
      <c r="F387" s="3" t="s">
        <v>1213</v>
      </c>
    </row>
    <row r="388" spans="2:6">
      <c r="B388" s="91">
        <v>693</v>
      </c>
      <c r="D388" s="145">
        <v>0</v>
      </c>
      <c r="F388" s="3" t="s">
        <v>1214</v>
      </c>
    </row>
    <row r="389" spans="2:6">
      <c r="B389" s="91">
        <v>694</v>
      </c>
      <c r="D389" s="145">
        <v>0</v>
      </c>
      <c r="F389" s="3" t="s">
        <v>1215</v>
      </c>
    </row>
    <row r="390" spans="2:6">
      <c r="B390" s="91">
        <v>695</v>
      </c>
      <c r="D390" s="145">
        <v>0</v>
      </c>
      <c r="F390" s="3" t="s">
        <v>1216</v>
      </c>
    </row>
    <row r="391" spans="2:6">
      <c r="B391" s="91">
        <v>696</v>
      </c>
      <c r="D391" s="145">
        <v>0</v>
      </c>
      <c r="F391" s="3" t="s">
        <v>1217</v>
      </c>
    </row>
    <row r="392" spans="2:6">
      <c r="B392" s="91">
        <v>697</v>
      </c>
      <c r="D392" s="145">
        <v>0</v>
      </c>
      <c r="F392" s="3" t="s">
        <v>1218</v>
      </c>
    </row>
    <row r="393" spans="2:6">
      <c r="B393" s="91">
        <v>698</v>
      </c>
      <c r="D393" s="145">
        <v>0</v>
      </c>
      <c r="F393" s="3" t="s">
        <v>1219</v>
      </c>
    </row>
    <row r="394" spans="2:6">
      <c r="B394" s="91">
        <v>699</v>
      </c>
      <c r="D394" s="145">
        <v>0</v>
      </c>
      <c r="F394" s="3" t="s">
        <v>1220</v>
      </c>
    </row>
    <row r="395" spans="2:6">
      <c r="B395" s="91">
        <v>700</v>
      </c>
      <c r="D395" s="145">
        <v>0</v>
      </c>
      <c r="F395" s="3" t="s">
        <v>1221</v>
      </c>
    </row>
    <row r="396" spans="2:6">
      <c r="B396" s="91">
        <v>701</v>
      </c>
      <c r="D396" s="145">
        <v>0</v>
      </c>
      <c r="F396" s="3" t="s">
        <v>1222</v>
      </c>
    </row>
    <row r="397" spans="2:6">
      <c r="B397" s="91">
        <v>702</v>
      </c>
      <c r="D397" s="145">
        <v>0</v>
      </c>
      <c r="F397" s="3" t="s">
        <v>1223</v>
      </c>
    </row>
    <row r="398" spans="2:6">
      <c r="B398" s="91">
        <v>703</v>
      </c>
      <c r="D398" s="145">
        <v>0</v>
      </c>
      <c r="F398" s="3" t="s">
        <v>1224</v>
      </c>
    </row>
    <row r="399" spans="2:6">
      <c r="B399" s="91">
        <v>704</v>
      </c>
      <c r="D399" s="145">
        <v>2417</v>
      </c>
      <c r="F399" s="3" t="s">
        <v>1225</v>
      </c>
    </row>
    <row r="400" spans="2:6">
      <c r="B400" s="91">
        <v>705</v>
      </c>
      <c r="D400" s="145">
        <v>13470</v>
      </c>
      <c r="F400" s="3" t="s">
        <v>1226</v>
      </c>
    </row>
    <row r="401" spans="2:6">
      <c r="B401" s="91">
        <v>706</v>
      </c>
      <c r="D401" s="145">
        <v>9189</v>
      </c>
      <c r="F401" s="3" t="s">
        <v>1227</v>
      </c>
    </row>
    <row r="402" spans="2:6">
      <c r="B402" s="91">
        <v>707</v>
      </c>
      <c r="D402" s="145">
        <v>29766</v>
      </c>
      <c r="F402" s="3" t="s">
        <v>1228</v>
      </c>
    </row>
    <row r="403" spans="2:6">
      <c r="B403" s="91">
        <v>708</v>
      </c>
      <c r="D403" s="145">
        <v>6878</v>
      </c>
      <c r="F403" s="3" t="s">
        <v>1229</v>
      </c>
    </row>
    <row r="404" spans="2:6">
      <c r="B404" s="91">
        <v>709</v>
      </c>
      <c r="D404" s="145">
        <v>23564</v>
      </c>
      <c r="F404" s="3" t="s">
        <v>1230</v>
      </c>
    </row>
    <row r="405" spans="2:6">
      <c r="B405" s="91">
        <v>710</v>
      </c>
      <c r="D405" s="145">
        <v>10484</v>
      </c>
      <c r="F405" s="3" t="s">
        <v>1231</v>
      </c>
    </row>
    <row r="406" spans="2:6">
      <c r="B406" s="91">
        <v>711</v>
      </c>
      <c r="D406" s="145">
        <v>12672</v>
      </c>
      <c r="F406" s="3" t="s">
        <v>1232</v>
      </c>
    </row>
    <row r="407" spans="2:6">
      <c r="B407" s="91">
        <v>712</v>
      </c>
      <c r="D407" s="145">
        <v>17647</v>
      </c>
      <c r="F407" s="3" t="s">
        <v>1233</v>
      </c>
    </row>
    <row r="408" spans="2:6">
      <c r="B408" s="91">
        <v>713</v>
      </c>
      <c r="D408" s="145">
        <v>54274</v>
      </c>
      <c r="F408" s="3" t="s">
        <v>1234</v>
      </c>
    </row>
    <row r="409" spans="2:6">
      <c r="B409" s="91">
        <v>714</v>
      </c>
      <c r="D409" s="145">
        <v>34231</v>
      </c>
      <c r="F409" s="3" t="s">
        <v>1235</v>
      </c>
    </row>
    <row r="410" spans="2:6">
      <c r="B410" s="91">
        <v>715</v>
      </c>
      <c r="D410" s="145">
        <v>17490</v>
      </c>
      <c r="F410" s="3" t="s">
        <v>1236</v>
      </c>
    </row>
    <row r="411" spans="2:6">
      <c r="B411" s="91">
        <v>716</v>
      </c>
      <c r="D411" s="145">
        <v>58833</v>
      </c>
      <c r="F411" s="3" t="s">
        <v>1237</v>
      </c>
    </row>
    <row r="412" spans="2:6">
      <c r="B412" s="91">
        <v>717</v>
      </c>
      <c r="D412" s="145">
        <v>24808</v>
      </c>
      <c r="F412" s="3" t="s">
        <v>1238</v>
      </c>
    </row>
    <row r="413" spans="2:6">
      <c r="B413" s="91">
        <v>718</v>
      </c>
      <c r="D413" s="145">
        <v>57851</v>
      </c>
      <c r="F413" s="3" t="s">
        <v>1239</v>
      </c>
    </row>
    <row r="414" spans="2:6">
      <c r="B414" s="91">
        <v>719</v>
      </c>
      <c r="D414" s="145">
        <v>-1152</v>
      </c>
      <c r="F414" s="3" t="s">
        <v>1240</v>
      </c>
    </row>
    <row r="415" spans="2:6">
      <c r="B415" s="91">
        <v>720</v>
      </c>
      <c r="D415" s="145">
        <v>20375</v>
      </c>
      <c r="F415" s="3" t="s">
        <v>1241</v>
      </c>
    </row>
    <row r="416" spans="2:6">
      <c r="B416" s="91">
        <v>721</v>
      </c>
      <c r="D416" s="145">
        <v>55782</v>
      </c>
      <c r="F416" s="3" t="s">
        <v>1242</v>
      </c>
    </row>
    <row r="417" spans="2:6">
      <c r="B417" s="91">
        <v>722</v>
      </c>
      <c r="D417" s="174">
        <v>0</v>
      </c>
    </row>
    <row r="418" spans="2:6">
      <c r="B418" s="91">
        <v>723</v>
      </c>
      <c r="D418" s="145">
        <v>9194</v>
      </c>
      <c r="F418" s="3" t="s">
        <v>1243</v>
      </c>
    </row>
    <row r="419" spans="2:6">
      <c r="B419" s="91">
        <v>724</v>
      </c>
      <c r="D419" s="145">
        <v>42726.282584850291</v>
      </c>
      <c r="F419" s="3" t="s">
        <v>1245</v>
      </c>
    </row>
    <row r="420" spans="2:6">
      <c r="B420" s="91">
        <v>725</v>
      </c>
      <c r="D420" s="174">
        <v>0</v>
      </c>
    </row>
    <row r="421" spans="2:6">
      <c r="B421" s="91">
        <v>726</v>
      </c>
      <c r="D421" s="145">
        <v>24946.696009652533</v>
      </c>
      <c r="F421" s="3" t="s">
        <v>1244</v>
      </c>
    </row>
    <row r="422" spans="2:6">
      <c r="B422" s="91">
        <v>727</v>
      </c>
      <c r="D422" s="145">
        <v>0</v>
      </c>
      <c r="F422" s="3" t="s">
        <v>1246</v>
      </c>
    </row>
    <row r="423" spans="2:6">
      <c r="B423" s="91">
        <v>728</v>
      </c>
      <c r="D423" s="145">
        <v>0</v>
      </c>
      <c r="F423" s="3" t="s">
        <v>1248</v>
      </c>
    </row>
    <row r="424" spans="2:6">
      <c r="B424" s="91">
        <v>729</v>
      </c>
      <c r="D424" s="145">
        <v>0</v>
      </c>
      <c r="F424" s="3" t="s">
        <v>1249</v>
      </c>
    </row>
    <row r="425" spans="2:6">
      <c r="B425" s="91">
        <v>730</v>
      </c>
      <c r="D425" s="145">
        <v>0</v>
      </c>
      <c r="F425" s="3" t="s">
        <v>1250</v>
      </c>
    </row>
    <row r="426" spans="2:6">
      <c r="B426" s="91">
        <v>731</v>
      </c>
      <c r="D426" s="145">
        <v>23561</v>
      </c>
      <c r="F426" s="3" t="s">
        <v>1251</v>
      </c>
    </row>
    <row r="427" spans="2:6">
      <c r="B427" s="91">
        <v>732</v>
      </c>
      <c r="D427" s="145">
        <v>0</v>
      </c>
      <c r="F427" s="3" t="s">
        <v>1247</v>
      </c>
    </row>
    <row r="428" spans="2:6">
      <c r="B428" s="91">
        <v>733</v>
      </c>
      <c r="D428" s="145">
        <v>0</v>
      </c>
      <c r="F428" s="3" t="s">
        <v>1252</v>
      </c>
    </row>
    <row r="429" spans="2:6">
      <c r="B429" s="91">
        <v>734</v>
      </c>
      <c r="D429" s="145">
        <v>0</v>
      </c>
      <c r="F429" s="3" t="s">
        <v>1253</v>
      </c>
    </row>
    <row r="430" spans="2:6">
      <c r="B430" s="91">
        <v>735</v>
      </c>
      <c r="D430" s="145">
        <v>323324</v>
      </c>
      <c r="F430" s="3" t="s">
        <v>1254</v>
      </c>
    </row>
    <row r="431" spans="2:6">
      <c r="B431" s="91">
        <v>736</v>
      </c>
      <c r="D431" s="145">
        <v>744081</v>
      </c>
      <c r="F431" s="3" t="s">
        <v>1255</v>
      </c>
    </row>
    <row r="432" spans="2:6">
      <c r="B432" s="91">
        <v>737</v>
      </c>
      <c r="D432" s="145">
        <v>153272</v>
      </c>
      <c r="F432" s="3" t="s">
        <v>1256</v>
      </c>
    </row>
    <row r="433" spans="2:6">
      <c r="B433" s="91">
        <v>738</v>
      </c>
      <c r="D433" s="145">
        <v>0</v>
      </c>
      <c r="F433" s="3" t="s">
        <v>1257</v>
      </c>
    </row>
    <row r="434" spans="2:6">
      <c r="B434" s="91">
        <v>739</v>
      </c>
      <c r="D434" s="145">
        <v>0</v>
      </c>
      <c r="F434" s="3" t="s">
        <v>1258</v>
      </c>
    </row>
    <row r="435" spans="2:6">
      <c r="B435" s="91">
        <v>740</v>
      </c>
      <c r="D435" s="145">
        <v>0</v>
      </c>
      <c r="F435" s="3" t="s">
        <v>1259</v>
      </c>
    </row>
    <row r="436" spans="2:6">
      <c r="B436" s="91">
        <v>741</v>
      </c>
      <c r="D436" s="174">
        <v>0</v>
      </c>
    </row>
    <row r="437" spans="2:6">
      <c r="B437" s="91">
        <v>742</v>
      </c>
      <c r="D437" s="145">
        <v>0</v>
      </c>
      <c r="F437" s="3" t="s">
        <v>1260</v>
      </c>
    </row>
    <row r="438" spans="2:6">
      <c r="B438" s="91">
        <v>743</v>
      </c>
      <c r="D438" s="145">
        <v>14109</v>
      </c>
      <c r="F438" s="3" t="s">
        <v>1261</v>
      </c>
    </row>
    <row r="439" spans="2:6">
      <c r="B439" s="91">
        <v>744</v>
      </c>
      <c r="D439" s="145">
        <v>410</v>
      </c>
      <c r="F439" s="3" t="s">
        <v>1262</v>
      </c>
    </row>
    <row r="440" spans="2:6">
      <c r="B440" s="91">
        <v>745</v>
      </c>
      <c r="D440" s="145">
        <v>298590</v>
      </c>
      <c r="F440" s="3" t="s">
        <v>1263</v>
      </c>
    </row>
    <row r="441" spans="2:6">
      <c r="B441" s="91">
        <v>746</v>
      </c>
      <c r="D441" s="145">
        <v>936661</v>
      </c>
      <c r="F441" s="3" t="s">
        <v>1264</v>
      </c>
    </row>
    <row r="442" spans="2:6">
      <c r="B442" s="91">
        <v>747</v>
      </c>
      <c r="D442" s="145">
        <v>104558</v>
      </c>
      <c r="F442" s="3" t="s">
        <v>1265</v>
      </c>
    </row>
    <row r="443" spans="2:6">
      <c r="B443" s="91">
        <v>748</v>
      </c>
      <c r="D443" s="145">
        <v>88806</v>
      </c>
      <c r="F443" s="3" t="s">
        <v>1266</v>
      </c>
    </row>
    <row r="444" spans="2:6">
      <c r="B444" s="91">
        <v>749</v>
      </c>
      <c r="D444" s="145">
        <v>0</v>
      </c>
      <c r="F444" s="3" t="s">
        <v>1267</v>
      </c>
    </row>
    <row r="445" spans="2:6">
      <c r="B445" s="91">
        <v>750</v>
      </c>
      <c r="D445" s="145">
        <v>0</v>
      </c>
      <c r="F445" s="3" t="s">
        <v>1268</v>
      </c>
    </row>
    <row r="446" spans="2:6">
      <c r="B446" s="91">
        <v>751</v>
      </c>
      <c r="D446" s="145">
        <v>1187</v>
      </c>
      <c r="F446" s="3" t="s">
        <v>1269</v>
      </c>
    </row>
    <row r="447" spans="2:6">
      <c r="B447" s="91">
        <v>752</v>
      </c>
      <c r="D447" s="145">
        <v>22413</v>
      </c>
      <c r="F447" s="3" t="s">
        <v>1270</v>
      </c>
    </row>
    <row r="448" spans="2:6">
      <c r="B448" s="91">
        <v>753</v>
      </c>
      <c r="D448" s="145">
        <v>1097</v>
      </c>
      <c r="F448" s="3" t="s">
        <v>1271</v>
      </c>
    </row>
    <row r="449" spans="2:6">
      <c r="B449" s="91">
        <v>754</v>
      </c>
      <c r="D449" s="145">
        <v>75827</v>
      </c>
      <c r="F449" s="3" t="s">
        <v>1272</v>
      </c>
    </row>
    <row r="450" spans="2:6">
      <c r="B450" s="91">
        <v>755</v>
      </c>
      <c r="D450" s="145">
        <v>72643</v>
      </c>
      <c r="F450" s="3" t="s">
        <v>1273</v>
      </c>
    </row>
    <row r="451" spans="2:6">
      <c r="B451" s="91">
        <v>756</v>
      </c>
      <c r="D451" s="145">
        <v>9985</v>
      </c>
      <c r="F451" s="3" t="s">
        <v>1274</v>
      </c>
    </row>
    <row r="452" spans="2:6">
      <c r="B452" s="91">
        <v>757</v>
      </c>
      <c r="D452" s="145">
        <v>50722</v>
      </c>
      <c r="F452" s="3" t="s">
        <v>1275</v>
      </c>
    </row>
    <row r="453" spans="2:6">
      <c r="B453" s="91">
        <v>758</v>
      </c>
      <c r="D453" s="145">
        <v>54089</v>
      </c>
      <c r="F453" s="3" t="s">
        <v>1276</v>
      </c>
    </row>
    <row r="454" spans="2:6">
      <c r="B454" s="91">
        <v>759</v>
      </c>
      <c r="D454" s="145">
        <v>143516</v>
      </c>
      <c r="F454" s="3" t="s">
        <v>1277</v>
      </c>
    </row>
    <row r="455" spans="2:6">
      <c r="B455" s="91">
        <v>760</v>
      </c>
      <c r="D455" s="145">
        <v>168982</v>
      </c>
      <c r="F455" s="3" t="s">
        <v>1278</v>
      </c>
    </row>
    <row r="456" spans="2:6">
      <c r="B456" s="91">
        <v>761</v>
      </c>
      <c r="D456" s="145">
        <v>18167</v>
      </c>
      <c r="F456" s="3" t="s">
        <v>1279</v>
      </c>
    </row>
    <row r="457" spans="2:6">
      <c r="B457" s="91">
        <v>762</v>
      </c>
      <c r="D457" s="145">
        <v>7986</v>
      </c>
      <c r="F457" s="3" t="s">
        <v>1280</v>
      </c>
    </row>
    <row r="458" spans="2:6">
      <c r="B458" s="91">
        <v>763</v>
      </c>
      <c r="D458" s="145">
        <v>11808</v>
      </c>
      <c r="F458" s="3" t="s">
        <v>1281</v>
      </c>
    </row>
    <row r="459" spans="2:6">
      <c r="B459" s="91">
        <v>764</v>
      </c>
      <c r="D459" s="145">
        <v>89571</v>
      </c>
      <c r="F459" s="3" t="s">
        <v>1282</v>
      </c>
    </row>
    <row r="460" spans="2:6">
      <c r="B460" s="91">
        <v>765</v>
      </c>
      <c r="D460" s="145">
        <v>5680</v>
      </c>
      <c r="F460" s="3" t="s">
        <v>1283</v>
      </c>
    </row>
    <row r="461" spans="2:6">
      <c r="B461" s="91">
        <v>766</v>
      </c>
      <c r="D461" s="145">
        <v>101239</v>
      </c>
      <c r="F461" s="3" t="s">
        <v>1284</v>
      </c>
    </row>
    <row r="462" spans="2:6">
      <c r="B462" s="91">
        <v>767</v>
      </c>
      <c r="D462" s="145">
        <v>53910</v>
      </c>
      <c r="F462" s="3" t="s">
        <v>1285</v>
      </c>
    </row>
    <row r="463" spans="2:6">
      <c r="B463" s="91">
        <v>768</v>
      </c>
      <c r="D463" s="145">
        <v>45</v>
      </c>
      <c r="F463" s="3" t="s">
        <v>1286</v>
      </c>
    </row>
    <row r="464" spans="2:6">
      <c r="B464" s="91">
        <v>769</v>
      </c>
      <c r="D464" s="145">
        <v>0</v>
      </c>
      <c r="F464" s="3" t="s">
        <v>1287</v>
      </c>
    </row>
    <row r="465" spans="2:6">
      <c r="B465" s="91">
        <v>770</v>
      </c>
      <c r="D465" s="145">
        <v>0</v>
      </c>
      <c r="F465" s="3" t="s">
        <v>1288</v>
      </c>
    </row>
    <row r="466" spans="2:6">
      <c r="B466" s="91">
        <v>771</v>
      </c>
      <c r="D466" s="145">
        <v>17208</v>
      </c>
      <c r="F466" s="3" t="s">
        <v>1289</v>
      </c>
    </row>
    <row r="467" spans="2:6">
      <c r="B467" s="91">
        <v>772</v>
      </c>
      <c r="D467" s="145">
        <v>0</v>
      </c>
      <c r="F467" s="3" t="s">
        <v>1290</v>
      </c>
    </row>
    <row r="468" spans="2:6">
      <c r="B468" s="91">
        <v>773</v>
      </c>
      <c r="D468" s="145">
        <v>0</v>
      </c>
      <c r="F468" s="3" t="s">
        <v>1291</v>
      </c>
    </row>
    <row r="469" spans="2:6">
      <c r="B469" s="91">
        <v>774</v>
      </c>
      <c r="D469" s="145">
        <v>0</v>
      </c>
      <c r="F469" s="3" t="s">
        <v>1292</v>
      </c>
    </row>
    <row r="470" spans="2:6">
      <c r="B470" s="91">
        <v>775</v>
      </c>
      <c r="D470" s="145">
        <v>14374</v>
      </c>
      <c r="F470" s="3" t="s">
        <v>1293</v>
      </c>
    </row>
    <row r="471" spans="2:6">
      <c r="B471" s="91">
        <v>776</v>
      </c>
      <c r="D471" s="145">
        <v>100816</v>
      </c>
      <c r="F471" s="3" t="s">
        <v>1294</v>
      </c>
    </row>
    <row r="472" spans="2:6">
      <c r="B472" s="91">
        <v>777</v>
      </c>
      <c r="D472" s="145">
        <v>8539</v>
      </c>
      <c r="F472" s="3" t="s">
        <v>1295</v>
      </c>
    </row>
    <row r="473" spans="2:6">
      <c r="B473" s="91">
        <v>778</v>
      </c>
      <c r="D473" s="145">
        <v>14644</v>
      </c>
      <c r="F473" s="3" t="s">
        <v>1296</v>
      </c>
    </row>
    <row r="474" spans="2:6">
      <c r="B474" s="91">
        <v>779</v>
      </c>
      <c r="D474" s="145">
        <v>229382</v>
      </c>
      <c r="F474" s="3" t="s">
        <v>1297</v>
      </c>
    </row>
    <row r="475" spans="2:6">
      <c r="B475" s="91">
        <v>780</v>
      </c>
      <c r="D475" s="145">
        <v>122132</v>
      </c>
      <c r="F475" s="3" t="s">
        <v>1298</v>
      </c>
    </row>
    <row r="476" spans="2:6">
      <c r="B476" s="91">
        <v>781</v>
      </c>
      <c r="D476" s="145">
        <v>0</v>
      </c>
      <c r="F476" s="3" t="s">
        <v>1299</v>
      </c>
    </row>
    <row r="477" spans="2:6">
      <c r="B477" s="91">
        <v>782</v>
      </c>
      <c r="D477" s="145">
        <v>0</v>
      </c>
      <c r="F477" s="3" t="s">
        <v>1300</v>
      </c>
    </row>
    <row r="478" spans="2:6">
      <c r="B478" s="91">
        <v>783</v>
      </c>
      <c r="D478" s="145">
        <v>92560</v>
      </c>
      <c r="F478" s="3" t="s">
        <v>1301</v>
      </c>
    </row>
    <row r="479" spans="2:6">
      <c r="B479" s="91">
        <v>784</v>
      </c>
      <c r="D479" s="145">
        <v>135438</v>
      </c>
      <c r="F479" s="3" t="s">
        <v>1302</v>
      </c>
    </row>
    <row r="480" spans="2:6">
      <c r="B480" s="91">
        <v>785</v>
      </c>
      <c r="D480" s="145">
        <v>0</v>
      </c>
      <c r="F480" s="3" t="s">
        <v>1303</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51B291193E29D9448A9A92EC12DBDD8C" ma:contentTypeVersion="0" ma:contentTypeDescription="Create a new document." ma:contentTypeScope="" ma:versionID="e5a5efb1e133609a9fb1a40809f1ddcf">
  <xsd:schema xmlns:xsd="http://www.w3.org/2001/XMLSchema" xmlns:xs="http://www.w3.org/2001/XMLSchema" xmlns:p="http://schemas.microsoft.com/office/2006/metadata/properties" xmlns:ns2="5e7bef76-b888-41a2-a261-5f525b37d47e" targetNamespace="http://schemas.microsoft.com/office/2006/metadata/properties" ma:root="true" ma:fieldsID="99605c63a45b0ef1e719f0401e61cf2e" ns2:_="">
    <xsd:import namespace="5e7bef76-b888-41a2-a261-5f525b37d47e"/>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7bef76-b888-41a2-a261-5f525b37d47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0 2 6 1 0 2 1 6 - 1 3 f f - 4 e 2 2 - 8 9 1 c - 6 6 0 1 c b 2 3 8 5 f 6 "   x m l n s = " h t t p : / / s c h e m a s . m i c r o s o f t . c o m / D a t a M a s h u p " > A A A A A I 8 I A A B Q S w M E F A A C A A g A e F 2 r X E d 5 1 x 2 m A A A A 9 w A A A B I A H A B D b 2 5 m a W c v U G F j a 2 F n Z S 5 4 b W w g o h g A K K A U A A A A A A A A A A A A A A A A A A A A A A A A A A A A h Y 9 L D o I w G I S v Q r q n D z C G k F I W b s G Y m B i 3 T a 3 Q C D + G F s v d X H g k r y B G U X c u Z + a b Z O Z + v f F 8 b J v g o n t r O s g Q w x Q F G l R 3 M F B l a H D H M E G 5 4 B u p T r L S w Q S D T U d r M l Q 7 d 0 4 J 8 d 5 j H + O u r 0 h E K S P 7 s t i q W r c y N G C d B K X R p 3 X 4 3 0 K C 7 1 5 j R I T Z Y o l Z Q m N M O Z l d X h r 4 E t E 0 + J n + m H w 1 N G 7 o t Y A m X B e c z J K T 9 w n x A F B L A w Q U A A I A C A B 4 X a t c 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F 2 r X P h 4 R O O Q B Q A A y R 4 A A B M A H A B G b 3 J t d W x h c y 9 T Z W N 0 a W 9 u M S 5 t I K I Y A C i g F A A A A A A A A A A A A A A A A A A A A A A A A A A A A O 1 Z X 2 / a S B B / j 9 T v s H J e Q A I S I L m X H p H g c h e l l 4 Y 0 c O k D Q t G C B 2 e D v a a 7 a 3 I X l O 9 + s z Z g G 9 b G N N d e W z V C w d j z f 2 b n t 7 O W M F b M 5 6 Q X f d f f H h z I B y r A J o f W x 7 8 u j 7 r e y A + e L N I i L q g 3 B w T / O g L p W 6 T 3 y a 2 d U 0 V H V I I s W e f t m + r 7 3 o e r 6 k 3 1 u H r c t M q V i P r 2 / P 7 q u n N / g R y a c T G 4 p h 6 0 r N V t a / g y 0 F K G S 3 J 7 5 N 9 f 8 j l I B Y J x B 7 S m F e 1 i 0 B s / g E d b F l J Z l U s F X s t K E W 9 K O 7 T e U S r O W o 3 j x r H 2 o U 9 H L t R 6 4 K K 3 t / 6 T L G 2 p q x C g 4 w c y 0 H x k B A 7 j h E 7 k + E G w x z n w I T l r E S 2 s v F Z w y x 7 R S A c m z E U Z t l F L y o y l h t L g 0 L o D M a c c d T j k i A R M j Q Q w G 3 9 Z Q 5 S i w 2 8 R X x A y i J K g K J 2 G D 9 5 R q 5 x p Q D 3 D g k 0 7 1 2 a 0 M f F z O q Y K H F 8 w G J J f z 4 h 1 0 i Q 9 x a Z S + Z N Y V x t t h R m V q l 5 I R X 2 t Q / t q D m j o q Q 4 L o d w m U U g k g / B 2 v a y 9 3 8 1 b f w V v w 8 D b K M j b f I X e E y N v I d Z T I 2 u i I P 7 0 X d / z M B N z E E / s 0 U 5 V 5 S 1 4 / h x + 8 9 3 A 4 7 I U Z 7 S y s D 6 C U u C y x y k Q X W q Y P a v / z w w I 1 Q U S L g 9 9 6 z 3 V 6 t P 3 u j M P x H T 5 o 4 O L C U n k j O o i s / 7 w X b R A X y 3 t 1 W L R K s K 4 C 8 / o F v 5 u B w o C Y b 1 s F d r p 2 u 4 L 4 Q e z k t m 5 C l l Y G 1 W s p W a E M b L E v O 6 0 L + u 1 l n S G U + p Z L 6 h o k W w 4 c g S 2 o M 6 q z q + Y V L V e 4 J U G 2 z T D c o U o H U 0 e u K 7 2 C C + 8 E Y i X b a e b 8 e r y h Y p z d F p B 7 T m m d w V G o 3 Y O c g x c 3 z K I b m S I b m r R m f G K B L e 3 5 R 5 i M G z 4 m y g f H J j j v 0 S h t W 0 7 f B i V W q y q g V E N H 6 D g e v i 5 5 O q X k 5 o u t V j u n e 9 i H m 0 g 6 C y Z r n L u A K b 8 m T m p e t Z k Y l X Q B o s q i 7 U + c + 5 y C s V Q V Z 9 b O + U 3 B 4 w X d S 9 G 4 U 0 s / I n C B h T e B U w m 9 N 3 A 1 G s A A 9 A 1 z P J i f c X R / O 5 u h e a 7 K G 8 R 9 7 d N a e 4 w p f E T b f d E 2 2 K 8 O + F 2 t e t x h A 8 z S I F t B F q J L r s v U K V a S A y h X x a I Y p c k g k T a o x A 2 T D 5 / c Q A x W P W d I 0 l W c j 8 T K R D 4 W W z U t w s V a T t N a F F k p M q C D O x + O g n p R h d F N r n q E z T 1 A j S N T Z r G N k 2 z A M 1 J A V 2 n 2 z S 5 w J R e k e v x D t d j 1 x d y h i m c h r t 6 k o i 6 f E R 9 e Q v T h K i p H W N D K 4 i K e u p S K S F / m e / o K M k 5 J O o j + e L 2 G H F M f W O R P a T s G k 3 2 6 l j m Y e X / a 1 o b + S p Q I K t c m I b D j Y Z T 8 l P S I C U u a p H l a F j E 7 Q 7 e U u i R z Y B I b C / 8 g Y a t w w N F 7 J T Y 3 E a Z V w / 1 7 I L Y F V 3 D L P x S O D f 1 n O Q Y z X x l g r 5 a F l a V 8 F / A V j 2 B W 1 3 v G f W F c J W F V t t g h X r X g F S u r I F o E 1 v W G G b A o V B v D D 5 7 Y s + m p m 8 P f g x y P h 9 + X t N 3 Y 0 j a u + 2 G M z W m S Y A T u F G B c w a q q i j u o S Y O R P e X b b V D X c r H U a X 7 c X m H Q v R Z l a N X 8 X 6 H p u Y G v p z 4 e s E o c W q K g 1 v f x 1 7 h E i U o l z M E m 2 q F j B I 2 4 U + K T 1 w c + M K S q R I U P H 2 i L l P A l B z 7 W E 8 6 6 G H D y Y 1 5 T m / b P o N d r O x K h G t 5 q B c q x g j t s / X P 6 G E 5 q I 1 t I U t 4 8 m 1 D d w a C 6 n c Q m A B s G W H q v t o u 9 l B 3 h v s M E 3 K 3 s y a e L e F 7 r Z s s S 3 Q m + 0 c d / L T 7 R + 2 + r u u b q x C b P 7 T 1 1 z U E W H r L a n q A y W T Z u H e l n y R W C F 7 9 7 j K P c V Q O k q g A g Y i T i 3 6 P d G p 3 N V 2 w F x f R d U K y h i I B U + B R z 9 2 D e k 2 b e 3 C 8 e 0 9 W 7 C V M 3 m o 2 9 F v D C r / k U 9 + f R f l A 9 0 A 4 C J 1 e L a j N a 2 Q G d I r F j L L D c 5 6 C z D E X y W D r c u V R r n c j 2 E O W 3 P b m D F V e W p y E i C y M + L 7 9 q h v 8 O v l B / T r 9 M f z K f Y G Y P b 5 m A k q 8 0 Y w F v v 0 X U E s B A i 0 A F A A C A A g A e F 2 r X E d 5 1 x 2 m A A A A 9 w A A A B I A A A A A A A A A A A A A A A A A A A A A A E N v b m Z p Z y 9 Q Y W N r Y W d l L n h t b F B L A Q I t A B Q A A g A I A H h d q 1 x T c j g s m w A A A O E A A A A T A A A A A A A A A A A A A A A A A P I A A A B b Q 2 9 u d G V u d F 9 U e X B l c 1 0 u e G 1 s U E s B A i 0 A F A A C A A g A e F 2 r X P h 4 R O O Q B Q A A y R 4 A A B M A A A A A A A A A A A A A A A A A 2 g E A A E Z v c m 1 1 b G F z L 1 N l Y 3 R p b 2 4 x L m 1 Q S w U G A A A A A A M A A w D C A A A A t w 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6 F I A A A A A A A D G U 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S W 5 2 Z X N 0 Z X J p b m d l b j w v S X R l b V B h d G g + P C 9 J d G V t T G 9 j Y X R p b 2 4 + P F N 0 Y W J s Z U V u d H J p Z X M + P E V u d H J 5 I F R 5 c G U 9 I k Z p b G x F c n J v c k N v d W 5 0 I i B W Y W x 1 Z T 0 i b D A i I C 8 + P E V u d H J 5 I F R 5 c G U 9 I k 5 h d m l n Y X R p b 2 5 T d G V w T m F t Z S I g V m F s d W U 9 I n N O Y X Z p Z 2 F 0 a W U 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5 h b W V V c G R h d G V k Q W Z 0 Z X J G a W x s I i B W Y W x 1 Z T 0 i b D A i I C 8 + P E V u d H J 5 I F R 5 c G U 9 I k J 1 Z m Z l c k 5 l e H R S Z W Z y Z X N o I i B W Y W x 1 Z T 0 i b D E i I C 8 + P E V u d H J 5 I F R 5 c G U 9 I k Z p b G x P Y m p l Y 3 R U e X B l I i B W Y W x 1 Z T 0 i c 1 R h Y m x l I i A v P j x F b n R y e S B U e X B l P S J S Z X N 1 b H R U e X B l I i B W Y W x 1 Z T 0 i c 1 R h Y m x l I i A v P j x F b n R y e S B U e X B l P S J G a W x s V G F y Z 2 V 0 I i B W Y W x 1 Z T 0 i c 0 l u d m V z d G V y a W 5 n Z W 5 f M i I g L z 4 8 R W 5 0 c n k g V H l w Z T 0 i T G 9 h Z G V k V G 9 B b m F s e X N p c 1 N l c n Z p Y 2 V z I i B W Y W x 1 Z T 0 i b D A i I C 8 + P E V u d H J 5 I F R 5 c G U 9 I k Z p b G x F c n J v c k N v Z G U i I F Z h b H V l P S J z V W 5 r b m 9 3 b i I g L z 4 8 R W 5 0 c n k g V H l w Z T 0 i R m l s b E x h c 3 R V c G R h d G V k I i B W Y W x 1 Z T 0 i Z D I w M j Y t M D U t M T F U M D k 6 N D M 6 M j I u M D Y z M z g 0 N V o i I C 8 + P E V u d H J 5 I F R 5 c G U 9 I k Z p b G x D b 2 x 1 b W 5 U e X B l c y I g V m F s d W U 9 I n N B d 1 V G Q m d Z R C I g L z 4 8 R W 5 0 c n k g V H l w Z T 0 i R m l s b E N v d W 5 0 I i B W Y W x 1 Z T 0 i b D E y M y I g L z 4 8 R W 5 0 c n k g V H l w Z T 0 i R m l s b E N v b H V t b k 5 h b W V z I i B W Y W x 1 Z T 0 i c 1 s m c X V v d D t J b m R l e C Z x d W 9 0 O y w m c X V v d D t J b n Z l c 3 R l c m l u Z 3 N i Z W R y Y W c m c X V v d D s s J n F 1 b 3 Q 7 S m F h c i B i Z W d p b i B h Z n N j a H J p a n Z l b i Z x d W 9 0 O y w m c X V v d D t B Y 3 R p d m F j Y X R l Z 2 9 y a W U m c X V v d D s s J n F 1 b 3 Q 7 Q m V z d G F u Z H N u Y W F t J n F 1 b 3 Q 7 L C Z x d W 9 0 O 1 Z l c n N p Z S Z x d W 9 0 O 1 0 i I C 8 + P E V u d H J 5 I F R 5 c G U 9 I k Z p b G x T d G F 0 d X M i I F Z h b H V l P S J z Q 2 9 t c G x l d G U 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0 N v b H V t b k N v d W 5 0 J n F 1 b 3 Q 7 O j Y s J n F 1 b 3 Q 7 S 2 V 5 Q 2 9 s d W 1 u T m F t Z X M m c X V v d D s 6 W 1 0 s J n F 1 b 3 Q 7 Q 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1 J l b G F 0 a W 9 u c 2 h p c E l u Z m 8 m c X V v d D s 6 W 1 1 9 I i A v P j w v U 3 R h Y m x l R W 5 0 c m l l c z 4 8 L 0 l 0 Z W 0 + P E l 0 Z W 0 + P E l 0 Z W 1 M b 2 N h d G l v b j 4 8 S X R l b V R 5 c G U + R m 9 y b X V s Y T w v S X R l b V R 5 c G U + P E l 0 Z W 1 Q Y X R o P l N l Y 3 R p b 2 4 x L 0 R l c 2 l u d m V z d G V y a W 5 n P C 9 J d G V t U G F 0 a D 4 8 L 0 l 0 Z W 1 M b 2 N h d G l v b j 4 8 U 3 R h Y m x l R W 5 0 c m l l c z 4 8 R W 5 0 c n k g V H l w Z T 0 i Q n V m Z m V y T m V 4 d F J l Z n J l c 2 g i I F Z h b H V l P S J s M S I g L z 4 8 R W 5 0 c n k g V H l w Z T 0 i R m l s b E V u Y W J s Z W Q i I F Z h b H V l P S J s M S I g L z 4 8 R W 5 0 c n k g V H l w Z T 0 i R m l s b E N v b H V t b k 5 h b W V z I i B W Y W x 1 Z T 0 i c 1 s m c X V v d D t J b m R l e C Z x d W 9 0 O y w m c X V v d D t B Y 3 R p d m F r b G F z c 2 U m c X V v d D s s J n F 1 b 3 Q 7 T 2 9 y c 3 B y b 2 5 r Z W x p a m s g a W 5 2 Z X N 0 Z X J p b m d z a m F h c i Z x d W 9 0 O y w m c X V v d D t E Z X N p b n Z l c 3 R l c m l u Z y A o b 2 9 y c 3 B y b 2 5 r Z W x p a m t l I G l u d m V z d G V y a W 5 n c 2 J l Z H J h Z y k m c X V v d D s s J n F 1 b 3 Q 7 T 3 B i c m V u Z 3 N 0 Z W 4 g Z G l l I H N h b W V u a G F u Z 2 V u I G 1 l d C B k Z X N p b n Z l c 3 R l c m l u Z y Z x d W 9 0 O y w m c X V v d D t K Y W F y J n F 1 b 3 Q 7 L C Z x d W 9 0 O 0 J l c 3 R h b m R z b m F h b S Z x d W 9 0 O y w m c X V v d D t W Z X J z a W U m c X V v d D t d I i A v P j x F b n R y e S B U e X B l P S J G a W x s Z W R D b 2 1 w b G V 0 Z V J l c 3 V s d F R v V 2 9 y a 3 N o Z W V 0 I i B W Y W x 1 Z T 0 i b D E i I C 8 + P E V u d H J 5 I F R 5 c G U 9 I k Z p b G x T d G F 0 d X M i I F Z h b H V l P S J z Q 2 9 t c G x l d G U i I C 8 + P E V u d H J 5 I F R 5 c G U 9 I k l z U H J p d m F 0 Z S I g V m F s d W U 9 I m w w I i A v P j x F b n R y e S B U e X B l P S J G a W x s T G F z d F V w Z G F 0 Z W Q i I F Z h b H V l P S J k M j A y N i 0 w N S 0 x M V Q w O T o 0 M z o 0 N C 4 z M j U w N T E 0 W i I g L z 4 8 R W 5 0 c n k g V H l w Z T 0 i U m V z d W x 0 V H l w Z S I g V m F s d W U 9 I n N U Y W J s Z S I g L z 4 8 R W 5 0 c n k g V H l w Z T 0 i T m F 2 a W d h d G l v b l N 0 Z X B O Y W 1 l I i B W Y W x 1 Z T 0 i c 0 5 h d m l n Y X R p Z S I g L z 4 8 R W 5 0 c n k g V H l w Z T 0 i T m F t Z V V w Z G F 0 Z W R B Z n R l c k Z p b G w i I F Z h b H V l P S J s M C 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D b 2 x 1 b W 5 U e X B l c y I g V m F s d W U 9 I n N B d 1 l D Q l F V R E J n T T 0 i I C 8 + P E V u d H J 5 I F R 5 c G U 9 I k Z p b G x P Y m p l Y 3 R U e X B l I i B W Y W x 1 Z T 0 i c 1 R h Y m x l I i A v P j x F b n R y e S B U e X B l P S J G a W x s R X J y b 3 J D b 3 V u d C I g V m F s d W U 9 I m w w I i A v P j x F b n R y e S B U e X B l P S J G a W x s R X J y b 3 J D b 2 R l I i B W Y W x 1 Z T 0 i c 1 V u a 2 5 v d 2 4 i I C 8 + P E V u d H J 5 I F R 5 c G U 9 I k Z p b G x D b 3 V u d C I g V m F s d W U 9 I m w 3 O D U i I C 8 + P E V u d H J 5 I F R 5 c G U 9 I l J l b G F 0 a W 9 u c 2 h p c E l u Z m 9 D b 2 5 0 Y W l u Z X I i I F Z h b H V l P S J z e y Z x d W 9 0 O 2 N v b H V t b k N v d W 5 0 J n F 1 b 3 Q 7 O j g s J n F 1 b 3 Q 7 a 2 V 5 Q 2 9 s d W 1 u T m F t Z X M m c X V v d D s 6 W 1 0 s J n F 1 b 3 Q 7 c X V l c n l S Z W x h d G l v b n N o a X B z J n F 1 b 3 Q 7 O l t d L C Z x d W 9 0 O 2 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Q 2 9 s d W 1 u Q 2 9 1 b n Q m c X V v d D s 6 O C w m c X V v d D t L Z X l D b 2 x 1 b W 5 O Y W 1 l c y Z x d W 9 0 O z p b X S w m c X V v d D t D b 2 x 1 b W 5 J Z G V u d G l 0 a W V z J n F 1 b 3 Q 7 O l s m c X V v d D t T Z W N 0 a W 9 u M S 9 E Z X N p b n Z l c 3 R l c m l u Z y 9 B d X R v U m V t b 3 Z l Z E N v b H V t b n M x L n t J b m R l e C w w f S Z x d W 9 0 O y w m c X V v d D t T Z W N 0 a W 9 u M S 9 E Z X N p b n Z l c 3 R l c m l u Z y 9 B d X R v U m V t b 3 Z l Z E N v b H V t b n M x L n t B Y 3 R p d m F r b G F z c 2 U s M X 0 m c X V v d D s s J n F 1 b 3 Q 7 U 2 V j d G l v b j E v R G V z a W 5 2 Z X N 0 Z X J p b m c v Q X V 0 b 1 J l b W 9 2 Z W R D b 2 x 1 b W 5 z M S 5 7 T 2 9 y c 3 B y b 2 5 r Z W x p a m s g a W 5 2 Z X N 0 Z X J p b m d z a m F h c i w y f S Z x d W 9 0 O y w m c X V v d D t T Z W N 0 a W 9 u M S 9 E Z X N p b n Z l c 3 R l c m l u Z y 9 B d X R v U m V t b 3 Z l Z E N v b H V t b n M x L n t E Z X N p b n Z l c 3 R l c m l u Z y A o b 2 9 y c 3 B y b 2 5 r Z W x p a m t l I G l u d m V z d G V y a W 5 n c 2 J l Z H J h Z y k s M 3 0 m c X V v d D s s J n F 1 b 3 Q 7 U 2 V j d G l v b j E v R G V z a W 5 2 Z X N 0 Z X J p b m c v Q X V 0 b 1 J l b W 9 2 Z W R D b 2 x 1 b W 5 z M S 5 7 T 3 B i c m V u Z 3 N 0 Z W 4 g Z G l l I H N h b W V u a G F u Z 2 V u I G 1 l d C B k Z X N p b n Z l c 3 R l c m l u Z y w 0 f S Z x d W 9 0 O y w m c X V v d D t T Z W N 0 a W 9 u M S 9 E Z X N p b n Z l c 3 R l c m l u Z y 9 B d X R v U m V t b 3 Z l Z E N v b H V t b n M x L n t K Y W F y L D V 9 J n F 1 b 3 Q 7 L C Z x d W 9 0 O 1 N l Y 3 R p b 2 4 x L 0 R l c 2 l u d m V z d G V y a W 5 n L 0 F 1 d G 9 S Z W 1 v d m V k Q 2 9 s d W 1 u c z E u e 0 J l c 3 R h b m R z b m F h b S w 2 f S Z x d W 9 0 O y w m c X V v d D t T Z W N 0 a W 9 u M S 9 E Z X N p b n Z l c 3 R l c m l u Z y 9 B d X R v U m V t b 3 Z l Z E N v b H V t b n M x L n t W Z X J z a W U s N 3 0 m c X V v d D t d L C Z x d W 9 0 O 1 J l b G F 0 a W 9 u c 2 h p c E l u Z m 8 m c X V v d D s 6 W 1 1 9 I i A v P j x F b n R y e S B U e X B l P S J B Z G R l Z F R v R G F 0 Y U 1 v Z G V s I i B W Y W x 1 Z T 0 i b D A i I C 8 + P C 9 T d G F i b G V F b n R y a W V z P j w v S X R l b T 4 8 S X R l b T 4 8 S X R l b U x v Y 2 F 0 a W 9 u P j x J d G V t V H l w Z T 5 G b 3 J t d W x h P C 9 J d G V t V H l w Z T 4 8 S X R l b V B h d G g + U 2 V j d G l v b j E v T 2 1 6 Z X Q 8 L 0 l 0 Z W 1 Q Y X R o P j w v S X R l b U x v Y 2 F 0 a W 9 u P j x T d G F i b G V F b n R y a W V z P j x F b n R y e S B U e X B l P S J G a W x s Q 2 9 s d W 1 u V H l w Z X M i I F Z h b H V l P S J z Q m d Z R E J R V U Z C U V l E I i A v P j x F b n R y e S B U e X B l P S J C d W Z m Z X J O Z X h 0 U m V m c m V z a C I g V m F s d W U 9 I m w x I i A v P j x F b n R y e S B U e X B l P S J G a W x s T G F z d F V w Z G F 0 Z W Q i I F Z h b H V l P S J k M j A y N i 0 w N S 0 x M V Q w O T o 0 M z o 0 N i 4 5 N T E 5 M T I 4 W i I g L z 4 8 R W 5 0 c n k g V H l w Z T 0 i R m l s b E V u Y W J s Z W Q i I F Z h b H V l P S J s M S I g L z 4 8 R W 5 0 c n k g V H l w Z T 0 i R m l s b G V k Q 2 9 t c G x l d G V S Z X N 1 b H R U b 1 d v c m t z a G V l d C I g V m F s d W U 9 I m w x I i A v P j x F b n R y e S B U e X B l P S J G a W x s V G F y Z 2 V 0 T m F t Z U N 1 c 3 R v b W l 6 Z W Q i I F Z h b H V l P S J s M S I g L z 4 8 R W 5 0 c n k g V H l w Z T 0 i R m l s b F R v R G F 0 Y U 1 v Z G V s R W 5 h Y m x l Z C I g V m F s d W U 9 I m w w I i A v P j x F b n R y e S B U e X B l P S J J c 1 B y a X Z h d G U i I F Z h b H V l P S J s M C I g L z 4 8 R W 5 0 c n k g V H l w Z T 0 i R m l s b E V y c m 9 y Q 2 9 1 b n Q i I F Z h b H V l P S J s M C 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2 1 6 Z X Q i I C 8 + P E V u d H J 5 I F R 5 c G U 9 I l F 1 Z X J 5 S U Q i I F Z h b H V l P S J z N j A 0 M W R k M G U t N z I 5 M C 0 0 N T F m L W E 3 O D Y t Y z l k N 2 Z h Z D g 3 N m U x I i A v P j x F b n R y e S B U e X B l P S J G a W x s Q 2 9 s d W 1 u T m F t Z X M i I F Z h b H V l P S J z W y Z x d W 9 0 O 0 N h d G V n b 3 J p Z S Z x d W 9 0 O y w m c X V v d D t T d W J j Y X R l Z 2 9 y a W U m c X V v d D s s J n F 1 b 3 Q 7 S m F h c i Z x d W 9 0 O y w m c X V v d D t P b X p l d H J l Z 3 V s Z X J p b m c g d G F y a W V m Z 2 V y Z W d 1 b G V l c m Q m c X V v d D s s J n F 1 b 3 Q 7 T 3 Z l c m J v Z W s t I G V u I H R l c n V n a 2 9 v c H J l Z 2 V s a W 5 n J n F 1 b 3 Q 7 L C Z x d W 9 0 O 1 Z l a W x p b m d n Z W x k Z W 4 m c X V v d D s s J n F 1 b 3 Q 7 U 2 F s Z G 8 g Y W R t a W 5 p c 3 R y Y X R p Z X Z l I G 9 u Y m F s Y W 5 z J n F 1 b 3 Q 7 L C Z x d W 9 0 O 0 J l c 3 R h b m R z b m F h b S Z x d W 9 0 O y w m c X V v d D t W Z X J z a W U m c X V v d D t d I i A v P j x F b n R y e S B U e X B l P S J G a W x s R X J y b 3 J D b 2 R l I i B W Y W x 1 Z T 0 i c 1 V u a 2 5 v d 2 4 i I C 8 + P E V u d H J 5 I F R 5 c G U 9 I k Z p b G x T d G F 0 d X M i I F Z h b H V l P S J z Q 2 9 t c G x l d G U i I C 8 + P E V u d H J 5 I F R 5 c G U 9 I k Z p b G x D b 3 V u d C I g V m F s d W U 9 I m w 2 I i A v P j x F b n R y e S B U e X B l P S J S Z W x h d G l v b n N o a X B J b m Z v Q 2 9 u d G F p b m V y I i B W Y W x 1 Z T 0 i c 3 s m c X V v d D t j b 2 x 1 b W 5 D b 3 V u d C Z x d W 9 0 O z o 5 L C Z x d W 9 0 O 2 t l e U N v b H V t b k 5 h b W V z J n F 1 b 3 Q 7 O l t d L C Z x d W 9 0 O 3 F 1 Z X J 5 U m V s Y X R p b 2 5 z a G l w c y Z x d W 9 0 O z p b X S w m c X V v d D t j b 2 x 1 b W 5 J Z G V u d G l 0 a W V z J n F 1 b 3 Q 7 O l s m c X V v d D t T Z W N 0 a W 9 u M S 9 P b X p l d C 9 B d X R v U m V t b 3 Z l Z E N v b H V t b n M x L n t D Y X R l Z 2 9 y a W U s M H 0 m c X V v d D s s J n F 1 b 3 Q 7 U 2 V j d G l v b j E v T 2 1 6 Z X Q v Q X V 0 b 1 J l b W 9 2 Z W R D b 2 x 1 b W 5 z M S 5 7 U 3 V i Y 2 F 0 Z W d v c m l l L D F 9 J n F 1 b 3 Q 7 L C Z x d W 9 0 O 1 N l Y 3 R p b 2 4 x L 0 9 t e m V 0 L 0 F 1 d G 9 S Z W 1 v d m V k Q 2 9 s d W 1 u c z E u e 0 p h Y X I s M n 0 m c X V v d D s s J n F 1 b 3 Q 7 U 2 V j d G l v b j E v T 2 1 6 Z X Q v Q X V 0 b 1 J l b W 9 2 Z W R D b 2 x 1 b W 5 z M S 5 7 T 2 1 6 Z X R y Z W d 1 b G V y a W 5 n I H R h c m l l Z m d l c m V n d W x l Z X J k L D N 9 J n F 1 b 3 Q 7 L C Z x d W 9 0 O 1 N l Y 3 R p b 2 4 x L 0 9 t e m V 0 L 0 F 1 d G 9 S Z W 1 v d m V k Q 2 9 s d W 1 u c z E u e 0 9 2 Z X J i b 2 V r L S B l b i B 0 Z X J 1 Z 2 t v b 3 B y Z W d l b G l u Z y w 0 f S Z x d W 9 0 O y w m c X V v d D t T Z W N 0 a W 9 u M S 9 P b X p l d C 9 B d X R v U m V t b 3 Z l Z E N v b H V t b n M x L n t W Z W l s a W 5 n Z 2 V s Z G V u L D V 9 J n F 1 b 3 Q 7 L C Z x d W 9 0 O 1 N l Y 3 R p b 2 4 x L 0 9 t e m V 0 L 0 F 1 d G 9 S Z W 1 v d m V k Q 2 9 s d W 1 u c z E u e 1 N h b G R v I G F k b W l u a X N 0 c m F 0 a W V 2 Z S B v b m J h b G F u c y w 2 f S Z x d W 9 0 O y w m c X V v d D t T Z W N 0 a W 9 u M S 9 P b X p l d C 9 B d X R v U m V t b 3 Z l Z E N v b H V t b n M x L n t C Z X N 0 Y W 5 k c 2 5 h Y W 0 s N 3 0 m c X V v d D s s J n F 1 b 3 Q 7 U 2 V j d G l v b j E v T 2 1 6 Z X Q v Q X V 0 b 1 J l b W 9 2 Z W R D b 2 x 1 b W 5 z M S 5 7 V m V y c 2 l l L D h 9 J n F 1 b 3 Q 7 X S w m c X V v d D t D b 2 x 1 b W 5 D b 3 V u d C Z x d W 9 0 O z o 5 L C Z x d W 9 0 O 0 t l e U N v b H V t b k 5 h b W V z J n F 1 b 3 Q 7 O l t d L C Z x d W 9 0 O 0 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1 J l b G F 0 a W 9 u c 2 h p c E l u Z m 8 m c X V v d D s 6 W 1 1 9 I i A v P j x F b n R y e S B U e X B l P S J B Z G R l Z F R v R G F 0 Y U 1 v Z G V s I i B W Y W x 1 Z T 0 i b D A i I C 8 + P C 9 T d G F i b G V F b n R y a W V z P j w v S X R l b T 4 8 S X R l b T 4 8 S X R l b U x v Y 2 F 0 a W 9 u P j x J d G V t V H l w Z T 5 G b 3 J t d W x h P C 9 J d G V t V H l w Z T 4 8 S X R l b V B h d G g + U 2 V j d G l v b j E v V 1 V J J T J G T 2 1 i b 3 V 3 P C 9 J d G V t U G F 0 a D 4 8 L 0 l 0 Z W 1 M b 2 N h d G l v b j 4 8 U 3 R h Y m x l R W 5 0 c m l l c 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Q n V m Z m V y T m V 4 d F J l Z n J l c 2 g i I F Z h b H V l P S J s M S I g L z 4 8 R W 5 0 c n k g V H l w Z T 0 i R m l s b E V u Y W J s Z W Q i I F Z h b H V l P S J s M S I g L z 4 8 R W 5 0 c n k g V H l w Z T 0 i R m l s b G V k Q 2 9 t c G x l d G V S Z X N 1 b H R U b 1 d v c m t z a G V l d C I g V m F s d W U 9 I m w x I i A v P j x F b n R y e S B U e X B l P S J J c 1 B y a X Z h d G U i I F Z h b H V l P S J s M C I g L z 4 8 R W 5 0 c n k g V H l w Z T 0 i U X V l c n l J R C I g V m F s d W U 9 I n M x O W N j Z T c 3 M y 0 w M z d j L T R m Z T M t O T I 5 N C 1 j N G M 1 O T E 2 N G Q 4 M z A i I C 8 + P E V u d H J 5 I F R 5 c G U 9 I l J l c 3 V s d F R 5 c G U i I F Z h b H V l P S J z V G F i b G U i I C 8 + P E V u d H J 5 I F R 5 c G U 9 I k 5 h d m l n Y X R p b 2 5 T d G V w T m F t Z S I g V m F s d W U 9 I n N O Y X Z p Z 2 F 0 a W U i I C 8 + P E V u d H J 5 I F R 5 c G U 9 I k 5 h b W V V c G R h d G V k Q W Z 0 Z X J G a W x s I i B W Y W x 1 Z T 0 i b D A i I C 8 + P E V u d H J 5 I F R 5 c G U 9 I k Z p b G x U Y X J n Z X Q i I F Z h b H V l P S J z V 1 V J X 0 9 t Y m 9 1 d y I g L z 4 8 R W 5 0 c n k g V H l w Z T 0 i T G 9 h Z G V k V G 9 B b m F s e X N p c 1 N l c n Z p Y 2 V z I i B W Y W x 1 Z T 0 i b D A i I C 8 + P E V u d H J 5 I F R 5 c G U 9 I k Z p b G x T d G F 0 d X M i I F Z h b H V l P S J z Q 2 9 t c G x l d G U i I C 8 + P E V u d H J 5 I F R 5 c G U 9 I k Z p b G x M Y X N 0 V X B k Y X R l Z C I g V m F s d W U 9 I m Q y M D I 2 L T A 1 L T E x V D A 5 O j Q z O j Q x L j A 1 M z A w N j h a I i A v P j x F b n R y e S B U e X B l P S J G a W x s V G 9 E Y X R h T W 9 k Z W x F b m F i b G V k I i B W Y W x 1 Z T 0 i b D A i I C 8 + P E V u d H J 5 I F R 5 c G U 9 I k Z p b G x P Y m p l Y 3 R U e X B l I i B W Y W x 1 Z T 0 i c 1 R h Y m x l I i A v P j x F b n R y e S B U e X B l P S J G a W x s Q 2 9 s d W 1 u V H l w Z X M i I F Z h b H V l P S J z Q X d V R k J n W U d C Z z 0 9 I i A v P j x F b n R y e S B U e X B l P S J G a W x s R X J y b 3 J D b 3 V u d C I g V m F s d W U 9 I m w w I i A v P j x F b n R y e S B U e X B l P S J G a W x s R X J y b 3 J D b 2 R l I i B W Y W x 1 Z T 0 i c 1 V u a 2 5 v d 2 4 i I C 8 + P E V u d H J 5 I F R 5 c G U 9 I k Z p b G x D b 3 V u d C I g V m F s d W U 9 I m w z O S I g L z 4 8 R W 5 0 c n k g V H l w Z T 0 i U m V s Y X R p b 2 5 z a G l w S W 5 m b 0 N v b n R h a W 5 l c i I g V m F s d W U 9 I n N 7 J n F 1 b 3 Q 7 Y 2 9 s d W 1 u Q 2 9 1 b n Q m c X V v d D s 6 N y w m c X V v d D t r Z X l D b 2 x 1 b W 5 O Y W 1 l c y Z x d W 9 0 O z p b X S w m c X V v d D t x d W V y e V J l b G F 0 a W 9 u c 2 h p c H M m c X V v d D s 6 W 1 0 s J n F 1 b 3 Q 7 Y 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0 N v b H V t b k N v d W 5 0 J n F 1 b 3 Q 7 O j c s J n F 1 b 3 Q 7 S 2 V 5 Q 2 9 s d W 1 u T m F t Z X M m c X V v d D s 6 W 1 0 s J n F 1 b 3 Q 7 Q 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1 J l b G F 0 a W 9 u c 2 h p c E l u Z m 8 m c X V v d D s 6 W 1 1 9 I i A v P j x F b n R y e S B U e X B l P S J B Z G R l Z F R v R G F 0 Y U 1 v Z G V s I i B W Y W x 1 Z T 0 i b D A i I C 8 + P C 9 T d G F i b G V F b n R y a W V z P j w v S X R l b T 4 8 S X R l b T 4 8 S X R l b U x v Y 2 F 0 a W 9 u P j x J d G V t V H l w Z T 5 G b 3 J t d W x h P C 9 J d G V t V H l w Z T 4 8 S X R l b V B h d G g + U 2 V j d G l v b j E v T 3 B l c m F 0 a W 9 u Z W x l J T I w a 2 9 z d G V u P C 9 J d G V t U G F 0 a D 4 8 L 0 l 0 Z W 1 M b 2 N h d G l v b j 4 8 U 3 R h Y m x l R W 5 0 c m l l c z 4 8 R W 5 0 c n k g V H l w Z T 0 i R m l s b E V y c m 9 y Q 2 9 1 b n Q i I F Z h b H V l P S J s M C I g L z 4 8 R W 5 0 c n k g V H l w Z T 0 i Q n V m Z m V y T m V 4 d F J l Z n J l c 2 g i I F Z h b H V l P S J s M S I g L z 4 8 R W 5 0 c n k g V H l w Z T 0 i R m l s b E V u Y W J s Z W Q i I F Z h b H V l P S J s M S I g L z 4 8 R W 5 0 c n k g V H l w Z T 0 i R m l s b G V k Q 2 9 t c G x l d G V S Z X N 1 b H R U b 1 d v c m t z a G V l d C I g V m F s d W U 9 I m w x I i A v P j x F b n R y e S B U e X B l P S J G a W x s T G F z d F V w Z G F 0 Z W Q i I F Z h b H V l P S J k M j A y N i 0 w N S 0 x M V Q w O T o 0 M z o 0 O S 4 x N z M 0 N z U 4 W i I g L z 4 8 R W 5 0 c n k g V H l w Z T 0 i R m l s b F R h c m d l d E 5 h b W V D d X N 0 b 2 1 p e m V k I i B W Y W x 1 Z T 0 i b D E i I C 8 + P E V u d H J 5 I F R 5 c G U 9 I k Z p b G x U b 0 R h d G F N b 2 R l b E V u Y W J s Z W Q i I F Z h b H V l P S J s M C I g L z 4 8 R W 5 0 c n k g V H l w Z T 0 i S X N Q c m l 2 Y X R l I i B W Y W x 1 Z T 0 i b D A i I C 8 + P E V u d H J 5 I F R 5 c G U 9 I l F 1 Z X J 5 S U Q i I F Z h b H V l P S J z N D E x Z G Z k O G E t M m I 5 O C 0 0 N z l k L T k y N D I t M j R k O D A x M T M 5 Z j E z I i A v P j x F b n R y e S B U e X B l P S J G a W x s Q 2 9 s d W 1 u V H l w Z X M i I F Z h b H V l P S J z Q m d Z R E J R V U d B d z 0 9 I i A v P j x F b n R y e S B U e X B l P S J S Z X N 1 b H R U e X B l I i B W Y W x 1 Z T 0 i c 1 R h Y m x l I i A v P j x F b n R y e S B U e X B l P S J O Y X Z p Z 2 F 0 a W 9 u U 3 R l c E 5 h b W U i I F Z h b H V l P S J z T m F 2 a W d h d G l l I i A v P j x F b n R y e S B U e X B l P S J G a W x s T 2 J q Z W N 0 V H l w Z S I g V m F s d W U 9 I n N U Y W J s Z S I g L z 4 8 R W 5 0 c n k g V H l w Z T 0 i T m F t Z V V w Z G F 0 Z W R B Z n R l c k Z p b G w i I F Z h b H V l P S J s M C I g L z 4 8 R W 5 0 c n k g V H l w Z T 0 i R m l s b F R h c m d l d C I g V m F s d W U 9 I n N P c G V y Y X R p b 2 5 l b G V f a 2 9 z d G V u I i A v P j x F b n R y e S B U e X B l P S J G a W x s R X J y b 3 J D b 2 R l I i B W Y W x 1 Z T 0 i c 1 V u a 2 5 v d 2 4 i I C 8 + P E V u d H J 5 I F R 5 c G U 9 I k Z p b G x D b 2 x 1 b W 5 O Y W 1 l c y I g V m F s d W U 9 I n N b J n F 1 b 3 Q 7 Q 2 F 0 Z W d v c m l l J n F 1 b 3 Q 7 L C Z x d W 9 0 O 1 N 1 Y m N h d G V n b 3 J p Z S Z x d W 9 0 O y w m c X V v d D t K Y W F y J n F 1 b 3 Q 7 L C Z x d W 9 0 O 1 R U L 0 J U L 0 F U J n F 1 b 3 Q 7 L C Z x d W 9 0 O 0 t D J n F 1 b 3 Q 7 L C Z x d W 9 0 O 0 J l c 3 R h b m R z b m F h b S Z x d W 9 0 O y w m c X V v d D t W Z X J z a W U m c X V v d D t d I i A v P j x F b n R y e S B U e X B l P S J G a W x s Q 2 9 1 b n Q i I F Z h b H V l P S J s M T U 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9 w Z X J h d G l v b m V s Z S B r b 3 N 0 Z W 4 v Q X V 0 b 1 J l b W 9 2 Z W R D b 2 x 1 b W 5 z M S 5 7 Q 2 F 0 Z W d v c m l l L D B 9 J n F 1 b 3 Q 7 L C Z x d W 9 0 O 1 N l Y 3 R p b 2 4 x L 0 9 w Z X J h d G l v b m V s Z S B r b 3 N 0 Z W 4 v Q X V 0 b 1 J l b W 9 2 Z W R D b 2 x 1 b W 5 z M S 5 7 U 3 V i Y 2 F 0 Z W d v c m l l L D F 9 J n F 1 b 3 Q 7 L C Z x d W 9 0 O 1 N l Y 3 R p b 2 4 x L 0 9 w Z X J h d G l v b m V s Z S B r b 3 N 0 Z W 4 v Q X V 0 b 1 J l b W 9 2 Z W R D b 2 x 1 b W 5 z M S 5 7 S m F h c i w y f S Z x d W 9 0 O y w m c X V v d D t T Z W N 0 a W 9 u M S 9 P c G V y Y X R p b 2 5 l b G U g a 2 9 z d G V u L 0 F 1 d G 9 S Z W 1 v d m V k Q 2 9 s d W 1 u c z E u e 1 R U L 0 J U L 0 F U L D N 9 J n F 1 b 3 Q 7 L C Z x d W 9 0 O 1 N l Y 3 R p b 2 4 x L 0 9 w Z X J h d G l v b m V s Z S B r b 3 N 0 Z W 4 v Q X V 0 b 1 J l b W 9 2 Z W R D b 2 x 1 b W 5 z M S 5 7 S 0 M s N H 0 m c X V v d D s s J n F 1 b 3 Q 7 U 2 V j d G l v b j E v T 3 B l c m F 0 a W 9 u Z W x l I G t v c 3 R l b i 9 B d X R v U m V t b 3 Z l Z E N v b H V t b n M x L n t C Z X N 0 Y W 5 k c 2 5 h Y W 0 s N X 0 m c X V v d D s s J n F 1 b 3 Q 7 U 2 V j d G l v b j E v T 3 B l c m F 0 a W 9 u Z W x l I G t v c 3 R l b i 9 B d X R v U m V t b 3 Z l Z E N v b H V t b n M x L n t W Z X J z a W U s N n 0 m c X V v d D t d L C Z x d W 9 0 O 0 N v b H V t b k N v d W 5 0 J n F 1 b 3 Q 7 O j c s J n F 1 b 3 Q 7 S 2 V 5 Q 2 9 s d W 1 u T m F t Z X M m c X V v d D s 6 W 1 0 s J n F 1 b 3 Q 7 Q 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U m V s Y X R p b 2 5 z a G l w S W 5 m b y Z x d W 9 0 O z p b X X 0 i I C 8 + P E V u d H J 5 I F R 5 c G U 9 I k F k Z G V k V G 9 E Y X R h T W 9 k Z W w i I F Z h b H V l P S J s M C 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S X R l b T 4 8 S X R l b U x v Y 2 F 0 a W 9 u P j x J d G V t V H l w Z T 5 G b 3 J t d W x h P C 9 J d G V t V H l w Z T 4 8 S X R l b V B h d G g + U 2 V j d G l v b j E v T 2 1 6 Z X Q v U m l q Z W 4 l M j B n Z X N v c n R l Z X J k P C 9 J d G V t U G F 0 a D 4 8 L 0 l 0 Z W 1 M b 2 N h d G l v b j 4 8 U 3 R h Y m x l R W 5 0 c m l l c y A v P j w v S X R l b T 4 8 L 0 l 0 Z W 1 z P j w v T G 9 j Y W x Q Y W N r Y W d l T W V 0 Y W R h d G F G a W x l P h Y A A A B Q S w U G A A A A A A A A A A A A A A A A A A A A A A A A 2 g A A A A E A A A D Q j J 3 f A R X R E Y x 6 A M B P w p f r A Q A A A E + + S u + u m e J K i g O 0 V U o H a 9 M A A A A A A g A A A A A A A 2 Y A A M A A A A A Q A A A A U B v e + i o o g I n K J R u M E 4 d E o g A A A A A E g A A A o A A A A B A A A A C s C / 9 v U V x h C w 2 F n r 6 z D T O u U A A A A B 3 i j R O 2 z O F t R O g i 6 j / W c V l w o i p x p A N 0 G l S q N 9 X I P S i a r L A L O v 1 2 2 A J K S t e B X B D / Z 2 a v h o F M o j s K v L 9 6 f L 4 L Z r 5 B e O g V 2 m K 3 b k x 6 M B V 1 W 0 W D F A A A A H Z Y M v v z Y 5 i L / N J 3 v e F I k / y S p G 6 8 < / D a t a M a s h u p > 
</file>

<file path=customXml/item4.xml><?xml version="1.0" encoding="utf-8"?>
<p:properties xmlns:p="http://schemas.microsoft.com/office/2006/metadata/properties" xmlns:xsi="http://www.w3.org/2001/XMLSchema-instance" xmlns:pc="http://schemas.microsoft.com/office/infopath/2007/PartnerControls">
  <documentManagement>
    <_dlc_DocId xmlns="5e7bef76-b888-41a2-a261-5f525b37d47e">ECT67VDXDTCW-1015355145-21</_dlc_DocId>
    <_dlc_DocIdUrl xmlns="5e7bef76-b888-41a2-a261-5f525b37d47e">
      <Url>https://intranet.acm.local/project/tarievenbesluiten/_layouts/15/DocIdRedir.aspx?ID=ECT67VDXDTCW-1015355145-21</Url>
      <Description>ECT67VDXDTCW-1015355145-21</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51D173-5D1D-4DD1-A11E-C256FB3A6440}">
  <ds:schemaRefs>
    <ds:schemaRef ds:uri="http://schemas.microsoft.com/sharepoint/events"/>
  </ds:schemaRefs>
</ds:datastoreItem>
</file>

<file path=customXml/itemProps2.xml><?xml version="1.0" encoding="utf-8"?>
<ds:datastoreItem xmlns:ds="http://schemas.openxmlformats.org/officeDocument/2006/customXml" ds:itemID="{0E72E719-7A92-4893-9EE5-29DDC12A8F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7bef76-b888-41a2-a261-5f525b37d4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CC0C11-BCA0-40B0-A1EB-00F8BE4AEEA8}">
  <ds:schemaRefs>
    <ds:schemaRef ds:uri="http://schemas.microsoft.com/DataMashup"/>
  </ds:schemaRefs>
</ds:datastoreItem>
</file>

<file path=customXml/itemProps4.xml><?xml version="1.0" encoding="utf-8"?>
<ds:datastoreItem xmlns:ds="http://schemas.openxmlformats.org/officeDocument/2006/customXml" ds:itemID="{9CDAB9D1-B815-4B0E-93E7-4496A7FE99F6}">
  <ds:schemaRefs>
    <ds:schemaRef ds:uri="http://purl.org/dc/terms/"/>
    <ds:schemaRef ds:uri="http://schemas.openxmlformats.org/package/2006/metadata/core-properties"/>
    <ds:schemaRef ds:uri="http://schemas.microsoft.com/office/2006/documentManagement/types"/>
    <ds:schemaRef ds:uri="http://purl.org/dc/dcmitype/"/>
    <ds:schemaRef ds:uri="5e7bef76-b888-41a2-a261-5f525b37d47e"/>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3F476EE9-57EE-4A57-9645-1C093EDB7B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Correctie schatting ITC</vt:lpstr>
      <vt:lpstr>25. Incidentele correcties</vt:lpstr>
      <vt:lpstr>26. Toegestane inkomsten</vt:lpstr>
      <vt:lpstr>27. RPM</vt:lpstr>
      <vt:lpstr>28.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2026-05-28T07:58:00Z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0x01010051B291193E29D9448A9A92EC12DBDD8C</vt:lpwstr>
  </property>
  <property fmtid="{D5CDD505-2E9C-101B-9397-08002B2CF9AE}" pid="3" name="_dlc_DocIdItemGuid">
    <vt:lpwstr>a9497878-f6cf-4388-bc7c-e5d352bb2b88</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