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A3923FE-5A72-44CF-87CC-4213E59CF849}" xr6:coauthVersionLast="47" xr6:coauthVersionMax="47" xr10:uidLastSave="{00000000-0000-0000-0000-000000000000}"/>
  <bookViews>
    <workbookView xWindow="3120" yWindow="3120" windowWidth="10590" windowHeight="11295" tabRatio="847" xr2:uid="{00000000-000D-0000-FFFF-FFFF00000000}"/>
  </bookViews>
  <sheets>
    <sheet name="Titelblad" sheetId="9" r:id="rId1"/>
    <sheet name="Toelichting" sheetId="10" r:id="rId2"/>
    <sheet name="Bronnen en toepassingen" sheetId="11" r:id="rId3"/>
    <sheet name="Resultaat" sheetId="21" r:id="rId4"/>
    <sheet name="Input --&gt;" sheetId="25" r:id="rId5"/>
    <sheet name="Data" sheetId="18" r:id="rId6"/>
    <sheet name="Berekeningen --&gt;" sheetId="15" r:id="rId7"/>
    <sheet name="Berekening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18" l="1"/>
  <c r="S27" i="18"/>
  <c r="S22" i="18"/>
  <c r="S18" i="18"/>
  <c r="S21" i="18"/>
  <c r="S17" i="18"/>
  <c r="F38" i="22"/>
  <c r="J56" i="22" s="1"/>
  <c r="F33" i="22"/>
  <c r="O56" i="22" l="1"/>
  <c r="K56" i="22"/>
  <c r="Q56" i="22"/>
  <c r="M56" i="22"/>
  <c r="P56" i="22"/>
  <c r="L56" i="22"/>
  <c r="N56" i="22"/>
  <c r="K35" i="22"/>
  <c r="L35" i="22"/>
  <c r="M35" i="22"/>
  <c r="N35" i="22"/>
  <c r="O35" i="22"/>
  <c r="P35" i="22"/>
  <c r="Q35" i="22"/>
  <c r="K36" i="22"/>
  <c r="L36" i="22"/>
  <c r="M36" i="22"/>
  <c r="N36" i="22"/>
  <c r="O36" i="22"/>
  <c r="P36" i="22"/>
  <c r="Q36" i="22"/>
  <c r="J36" i="22"/>
  <c r="J35" i="22"/>
  <c r="K32" i="22"/>
  <c r="K47" i="22" s="1"/>
  <c r="L32" i="22"/>
  <c r="L47" i="22" s="1"/>
  <c r="M32" i="22"/>
  <c r="M47" i="22" s="1"/>
  <c r="N32" i="22"/>
  <c r="N47" i="22" s="1"/>
  <c r="O32" i="22"/>
  <c r="O47" i="22" s="1"/>
  <c r="P32" i="22"/>
  <c r="P47" i="22" s="1"/>
  <c r="Q32" i="22"/>
  <c r="Q47" i="22" s="1"/>
  <c r="J32" i="22"/>
  <c r="J47" i="22" s="1"/>
  <c r="J28" i="22"/>
  <c r="K28" i="22"/>
  <c r="L28" i="22"/>
  <c r="M28" i="22"/>
  <c r="N28" i="22"/>
  <c r="O28" i="22"/>
  <c r="P28" i="22"/>
  <c r="Q28" i="22"/>
  <c r="K27" i="22"/>
  <c r="K44" i="22" s="1"/>
  <c r="L27" i="22"/>
  <c r="M27" i="22"/>
  <c r="N27" i="22"/>
  <c r="O27" i="22"/>
  <c r="O44" i="22" s="1"/>
  <c r="P27" i="22"/>
  <c r="Q27" i="22"/>
  <c r="J27" i="22"/>
  <c r="K25" i="22"/>
  <c r="L25" i="22"/>
  <c r="M25" i="22"/>
  <c r="N25" i="22"/>
  <c r="O25" i="22"/>
  <c r="P25" i="22"/>
  <c r="Q25" i="22"/>
  <c r="J25" i="22"/>
  <c r="Q24" i="22"/>
  <c r="P24" i="22"/>
  <c r="O24" i="22"/>
  <c r="N24" i="22"/>
  <c r="N48" i="22" s="1"/>
  <c r="M24" i="22"/>
  <c r="L24" i="22"/>
  <c r="K24" i="22"/>
  <c r="J24" i="22"/>
  <c r="J48" i="22" s="1"/>
  <c r="J44" i="22" l="1"/>
  <c r="O48" i="22"/>
  <c r="M44" i="22"/>
  <c r="N44" i="22"/>
  <c r="K48" i="22"/>
  <c r="Q44" i="22"/>
  <c r="L48" i="22"/>
  <c r="P48" i="22"/>
  <c r="P49" i="22" s="1"/>
  <c r="P50" i="22" s="1"/>
  <c r="P53" i="22" s="1"/>
  <c r="P54" i="22" s="1"/>
  <c r="P58" i="22" s="1"/>
  <c r="P20" i="21" s="1"/>
  <c r="M48" i="22"/>
  <c r="K49" i="22"/>
  <c r="J49" i="22"/>
  <c r="J50" i="22" s="1"/>
  <c r="J53" i="22" s="1"/>
  <c r="J54" i="22" s="1"/>
  <c r="J58" i="22" s="1"/>
  <c r="J20" i="21" s="1"/>
  <c r="M49" i="22"/>
  <c r="M50" i="22" s="1"/>
  <c r="P44" i="22"/>
  <c r="L44" i="22"/>
  <c r="L49" i="22"/>
  <c r="L50" i="22" s="1"/>
  <c r="L53" i="22" s="1"/>
  <c r="L54" i="22" s="1"/>
  <c r="L58" i="22" s="1"/>
  <c r="L20" i="21" s="1"/>
  <c r="Q48" i="22"/>
  <c r="Q49" i="22" s="1"/>
  <c r="Q50" i="22" s="1"/>
  <c r="O49" i="22"/>
  <c r="O50" i="22" s="1"/>
  <c r="O53" i="22" s="1"/>
  <c r="O54" i="22" s="1"/>
  <c r="O58" i="22" s="1"/>
  <c r="O20" i="21" s="1"/>
  <c r="K50" i="22"/>
  <c r="K53" i="22" s="1"/>
  <c r="K54" i="22" s="1"/>
  <c r="K58" i="22" s="1"/>
  <c r="K20" i="21" s="1"/>
  <c r="N49" i="22"/>
  <c r="N50" i="22" s="1"/>
  <c r="N53" i="22" l="1"/>
  <c r="N54" i="22" s="1"/>
  <c r="N58" i="22" s="1"/>
  <c r="N20" i="21" s="1"/>
  <c r="M53" i="22"/>
  <c r="M54" i="22" s="1"/>
  <c r="M58" i="22" s="1"/>
  <c r="M20" i="21" s="1"/>
  <c r="Q53" i="22"/>
  <c r="Q54" i="22" s="1"/>
  <c r="K17" i="21"/>
  <c r="O17" i="21"/>
  <c r="J17" i="21"/>
  <c r="P17" i="21"/>
  <c r="N17" i="21"/>
  <c r="L17" i="21"/>
  <c r="B15" i="10"/>
  <c r="M17" i="21" l="1"/>
  <c r="Q17" i="21"/>
  <c r="Q58" i="22"/>
  <c r="Q20" i="21" s="1"/>
  <c r="B16" i="10"/>
  <c r="B17" i="10" l="1"/>
</calcChain>
</file>

<file path=xl/sharedStrings.xml><?xml version="1.0" encoding="utf-8"?>
<sst xmlns="http://schemas.openxmlformats.org/spreadsheetml/2006/main" count="196" uniqueCount="131">
  <si>
    <t>Titelblad</t>
  </si>
  <si>
    <t>Over dit bestand</t>
  </si>
  <si>
    <t>Zaaknummer</t>
  </si>
  <si>
    <t>Titel</t>
  </si>
  <si>
    <t>Ondertitel</t>
  </si>
  <si>
    <t>Hoort bij besluit(en):</t>
  </si>
  <si>
    <t>Hoort bij onderzoek/publicatie ACM:</t>
  </si>
  <si>
    <t>Kenmerk besluit(en)</t>
  </si>
  <si>
    <t>Samenhang met andere rekenbestanden</t>
  </si>
  <si>
    <t>Overig opmerkingen</t>
  </si>
  <si>
    <t>Over de status van dit bestand</t>
  </si>
  <si>
    <t>Toelichting bij de werking van dit model</t>
  </si>
  <si>
    <t>Legenda voor gebruik van celkleuren en tabkleuren</t>
  </si>
  <si>
    <t>Beschrijving</t>
  </si>
  <si>
    <t>Waarde die zonder berekening wordt overgenomen uit een andere cel</t>
  </si>
  <si>
    <t>Berekende waarde</t>
  </si>
  <si>
    <t>Cel is niet van toepassing (dus leeg, niet nul), maar er wordt door een formule wel naar verwezen</t>
  </si>
  <si>
    <t>Bronnenoverzicht en specifieke toepassingen</t>
  </si>
  <si>
    <t>Bronnenoverzicht</t>
  </si>
  <si>
    <t>Exacte bestandsnaam</t>
  </si>
  <si>
    <t>Eenheid</t>
  </si>
  <si>
    <t>Constante</t>
  </si>
  <si>
    <t>Beschrijving gegevens</t>
  </si>
  <si>
    <t>Toelichting bij bijzonderheden</t>
  </si>
  <si>
    <t>Resultaat</t>
  </si>
  <si>
    <t>Celkleur getallen</t>
  </si>
  <si>
    <t>Omschrijving</t>
  </si>
  <si>
    <t>Bronverwijzing</t>
  </si>
  <si>
    <t>Opmerking</t>
  </si>
  <si>
    <t>9. …</t>
  </si>
  <si>
    <t>10. …</t>
  </si>
  <si>
    <t>Ophalen gegevens voor berekening</t>
  </si>
  <si>
    <t>Rijtotaal</t>
  </si>
  <si>
    <t>In rekenmodellen probeert ACM zoveel mogelijk eenvoudige navolgbare berekeningen te maken en geen ingewikkelde functies of toepassingen te gebruiken.</t>
  </si>
  <si>
    <t>Wanneer toch gebruik wordt gemaakt van cel- en rangenamen, macro's of andere bijzondere functies in Excel wordt de werking ervan hier toegelicht</t>
  </si>
  <si>
    <t>Duiding van specifieke Excel-toepassingen en overige bijzonderheden</t>
  </si>
  <si>
    <t>Toelichting bij dit bestand</t>
  </si>
  <si>
    <t>Nr.</t>
  </si>
  <si>
    <t xml:space="preserve">Verkorte naam </t>
  </si>
  <si>
    <t>Beschrijving berekening</t>
  </si>
  <si>
    <t>Beschrijving resultaat</t>
  </si>
  <si>
    <t>Zoals gebruikt in dit bestand</t>
  </si>
  <si>
    <t>Ophalen resultaat</t>
  </si>
  <si>
    <t>Zaaknummer en/of kenmerk ACM</t>
  </si>
  <si>
    <t>In onderstaand overzicht houdt ACM bij welke bronnen gebruikt zijn voor de data en berekeningen in dit bestand.</t>
  </si>
  <si>
    <t>Ieder inputblad heeft een kolom 'bronverwijzing', waarin gebruikte bronnen met een verkorte naam worden aangeduid. Deze bronnen worden verder toegelicht in deze tabel.</t>
  </si>
  <si>
    <t>Indien van toepassing</t>
  </si>
  <si>
    <t>Data en input (bron wordt vermeld)</t>
  </si>
  <si>
    <t>Berekende waarde die wordt opgehaald op een ander tabblad, incl. (eind)resultaat van berekening</t>
  </si>
  <si>
    <t>Definitief? (ja/nee)</t>
  </si>
  <si>
    <t>Indien publicatie, datum van dit bestand:</t>
  </si>
  <si>
    <t>Indien definitief, wordt bestand openbaar en/of gepubliceerd? (ja/nee)</t>
  </si>
  <si>
    <t>Juridisch integraal onderdeel van bovenstaande besluit(en) (ja/nee)?</t>
  </si>
  <si>
    <t>Indien publicatie, bevat bedrijfsvertrouwelijke gegevens? (ja/nee)</t>
  </si>
  <si>
    <t>[ EINDE TABBLAD ]</t>
  </si>
  <si>
    <t>Naam bestand</t>
  </si>
  <si>
    <t>Aanvullende gegevens bestand</t>
  </si>
  <si>
    <t>Datum/wijze ontvangst, versie nr., URL, etc.</t>
  </si>
  <si>
    <t>Deze berekening is ontwikkeld in het standaardsjabloon van ACM Directie Toezicht Energie, versie 6 (april 2024)</t>
  </si>
  <si>
    <t>ACM/24/193126</t>
  </si>
  <si>
    <t>Gewijzigd redelijk rendement model rendementstoets warmte extern</t>
  </si>
  <si>
    <t>WACC-model rendementstoets warmte extern</t>
  </si>
  <si>
    <t>Nee</t>
  </si>
  <si>
    <t>Ja</t>
  </si>
  <si>
    <t>Excelbestand bij adviesrapport Brattle 2023</t>
  </si>
  <si>
    <t>WACC for the Heating sector 2023 and 2024-2025</t>
  </si>
  <si>
    <t>ACM/22/178893</t>
  </si>
  <si>
    <t>Uitspraak CBb t.a.v. bodemwaarde risicovrije rente</t>
  </si>
  <si>
    <t>ECLI:NL:CBB:2023:321, 4 juli 2023</t>
  </si>
  <si>
    <t>Uitspraken CBb over kostenvoet vreemd vermogen</t>
  </si>
  <si>
    <t>ECLI:NL:CBB:2022:184, 26 april 2022; ECLI:NL:CBB:2023:348, 11 juli 2023</t>
  </si>
  <si>
    <t>Nominale WACC</t>
  </si>
  <si>
    <t>Nominale WACC voor belasting, afgerond op één decimaal</t>
  </si>
  <si>
    <t>Algemeen</t>
  </si>
  <si>
    <t>Gearing (vreemd vermogen vs totaal vermogen)</t>
  </si>
  <si>
    <t>%</t>
  </si>
  <si>
    <t>Belastingvoet</t>
  </si>
  <si>
    <t>Kostenvoet vreemd vermogen</t>
  </si>
  <si>
    <t>Daadwerkelijke kostenvoet vreemd vermogen</t>
  </si>
  <si>
    <t>Opslag daadwerkelijke transactiekosten</t>
  </si>
  <si>
    <t>Kostenvoet eigen vermogen</t>
  </si>
  <si>
    <t>Risicovrije rente zonder toepassing bodemwaarde</t>
  </si>
  <si>
    <t>Bodemwaarde risicovrije rente</t>
  </si>
  <si>
    <t>Marktrisicopremie</t>
  </si>
  <si>
    <t>Asset bèta</t>
  </si>
  <si>
    <t>Brondata WACC</t>
  </si>
  <si>
    <t xml:space="preserve">Op dit tabblad geeft de ACM alle gegevens weer die zij heeft gebruikt voor de berekening van de WACC. </t>
  </si>
  <si>
    <t>Berekening redelijk rendement</t>
  </si>
  <si>
    <t xml:space="preserve">De gegevens worden tussendoor nergens afgerond, alleen het eindresultaat wordt afgerond. </t>
  </si>
  <si>
    <t>De re-leveringformule van Modigliani en Miller zoals die in de tekstboeken staat, maakt gebruik van gearing = vreemd vermogen / eigen vermogen.</t>
  </si>
  <si>
    <t>De formule luidt dan: equity bèta = asset bèta * (1 + (1 - belastingvoet) * VV / EV).</t>
  </si>
  <si>
    <t>Dat kan herschreven worden zodat gearing = vreemd vermogen / totaal vermogen gebruikt kan worden:</t>
  </si>
  <si>
    <t>De ACM past deze formule hieronder toe bij de berekening van de equity bèta.</t>
  </si>
  <si>
    <t>De uitkomst voor de equity bèta is hetzelfde.</t>
  </si>
  <si>
    <t>Berekening kostenvoet vreemd vermogen</t>
  </si>
  <si>
    <t>Kostenvoet vreemd vermogen (nominaal, voor belasting)</t>
  </si>
  <si>
    <t>Berekening kostenvoet eigen vermogen</t>
  </si>
  <si>
    <t>Risicovrije rente met toepassing bodemwaarde</t>
  </si>
  <si>
    <t>Equity bèta</t>
  </si>
  <si>
    <t>Kostenvoet eigen vermogen (nominaal, na belasting)</t>
  </si>
  <si>
    <t>Kostenvoet eigen vermogen (nominaal, voor belasting)</t>
  </si>
  <si>
    <t>Berekening nominale WACC voor belasting</t>
  </si>
  <si>
    <t>Nominale WACC voor belasting</t>
  </si>
  <si>
    <t>De ACM rondt de berekende WACC af op één decimaal achter de komma, maar omdat het om een percentage gaat rondt de formule af op drie decimalen.</t>
  </si>
  <si>
    <t>Werkelijke transactiekosten</t>
  </si>
  <si>
    <t>Werkelijke kostenvoet vreemd vermogen excl. Transactiekosten</t>
  </si>
  <si>
    <t>Dit tabblad presenteert de resultaten voor het redelijk rendement voor warmteleveranciers voor de historische jaren 2018-2022 en de toekomstige jaren 2023-2025.</t>
  </si>
  <si>
    <t>Voorwaardelijke opslag asymmetrisch reguleringsrisico</t>
  </si>
  <si>
    <t>Redelijk rendement</t>
  </si>
  <si>
    <t>Rendelijk rendement, afgerond op één decimaal</t>
  </si>
  <si>
    <t>De formule luidt dan: equity bèta = asset bèta * ((1 - g) + g * (1 - belastingvoet)) / (1 - g ).</t>
  </si>
  <si>
    <t>Geen.</t>
  </si>
  <si>
    <t xml:space="preserve">Dit model bevat de berekening van het redelijk rendement (op basis van de WACC) voor warmteleveranciers voor de jaren 2018-2025. De ACM gebruikt het redelijk rendement voor de uitvoering van de rendementstoets. </t>
  </si>
  <si>
    <t>Excelbestand kostenvoet vreemd vermogen en gearing 2023</t>
  </si>
  <si>
    <t>Excelbestand kostenvoet vreemd vermogen en gearing 2018-2022</t>
  </si>
  <si>
    <t>Op dit tabblad berekent de ACM het redelijk rendement voor de jaren 2018-2025.</t>
  </si>
  <si>
    <t>De kostenvoet vreemd vermogen voor jaar T is berekend op basis van de daadwerkelijke kosten voor vreemd vermogen van warmteleveranciers in jaar T (voor WACC 2023-2025: op basis van daadwerkelijke kosten in 2023).</t>
  </si>
  <si>
    <t>ACM/INT/533181 - 3</t>
  </si>
  <si>
    <t>ACM/INT/533181 - 2</t>
  </si>
  <si>
    <t>Berekeningen KVV en gearing - 533181 - Aanpassing Brattle 2018-2022</t>
  </si>
  <si>
    <t>Berekeningen KVV en gearing - 533181 - Berekeningen 2023</t>
  </si>
  <si>
    <t>Verwerking van respons op informatieverzoek van januari 2025 (verwerkt in februari en maart 2025)</t>
  </si>
  <si>
    <t>Bewerking van "Excelbestand bij adviesrapport Brattle 2023" (verwerkt in april 2025)</t>
  </si>
  <si>
    <t>Bloomberg GTNLG20Y en GTDEM20Y</t>
  </si>
  <si>
    <t>Op basis van mediaan (exclusief bedrijven met negatief eigen vermogen en zonder rentedragende schuld).</t>
  </si>
  <si>
    <t>Op basis van gewogen gemiddelde in jaar T.</t>
  </si>
  <si>
    <t>Gemiddelde van de rente van Duitse en Nederlandse obligaties met een looptijd van 20 jaar; 2018-2024: jaargemiddelde; 2025 vastgesteld over de periode 29 april 2022 tot en met 28 april 2025.</t>
  </si>
  <si>
    <t>Afspraak CBb t.a.v. opslag asymmetrisch reguleringsrisico (ingesteld voor Vereniging Energie-Nederland op 2 oktober 2023)</t>
  </si>
  <si>
    <t>Gewijzigd besluit redelijk rendement warmteleveranciers 2018-2022 en 2023-2025</t>
  </si>
  <si>
    <t>Gewijzigd besluit redelijk rendement warmteleveranciers 2018-2022 en 2023-2025, Besluit WACC warmteleveranciers 2018-2022 en 2023-2025</t>
  </si>
  <si>
    <t>ACM/UIT/635961; ACM/UIT/600827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</si>
</sst>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</numFmts>
  <fonts count="2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8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top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>
      <alignment vertical="top"/>
    </xf>
    <xf numFmtId="49" fontId="8" fillId="5" borderId="1">
      <alignment vertical="top"/>
    </xf>
    <xf numFmtId="49" fontId="6" fillId="16" borderId="1">
      <alignment vertical="top"/>
    </xf>
    <xf numFmtId="49" fontId="6" fillId="0" borderId="0">
      <alignment vertical="top"/>
    </xf>
    <xf numFmtId="41" fontId="5" fillId="9" borderId="0">
      <alignment vertical="top"/>
    </xf>
    <xf numFmtId="41" fontId="5" fillId="8" borderId="0">
      <alignment vertical="top"/>
    </xf>
    <xf numFmtId="41" fontId="5" fillId="7" borderId="0">
      <alignment vertical="top"/>
    </xf>
    <xf numFmtId="41" fontId="5" fillId="43" borderId="0">
      <alignment vertical="top"/>
    </xf>
    <xf numFmtId="41" fontId="5" fillId="6" borderId="0">
      <alignment vertical="top"/>
    </xf>
    <xf numFmtId="41" fontId="5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2" borderId="3" applyNumberFormat="0" applyAlignment="0" applyProtection="0"/>
    <xf numFmtId="0" fontId="15" fillId="13" borderId="4" applyNumberFormat="0" applyAlignment="0" applyProtection="0"/>
    <xf numFmtId="0" fontId="16" fillId="13" borderId="3" applyNumberFormat="0" applyAlignment="0" applyProtection="0"/>
    <xf numFmtId="0" fontId="17" fillId="0" borderId="5" applyNumberFormat="0" applyFill="0" applyAlignment="0" applyProtection="0"/>
    <xf numFmtId="0" fontId="11" fillId="14" borderId="6" applyNumberFormat="0" applyAlignment="0" applyProtection="0"/>
    <xf numFmtId="0" fontId="13" fillId="15" borderId="7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5" fillId="41" borderId="0" applyNumberFormat="0">
      <alignment vertical="top"/>
    </xf>
    <xf numFmtId="10" fontId="5" fillId="0" borderId="0" applyFont="0" applyFill="0" applyBorder="0" applyAlignment="0" applyProtection="0">
      <alignment vertical="top"/>
    </xf>
    <xf numFmtId="41" fontId="5" fillId="42" borderId="0">
      <alignment vertical="top"/>
    </xf>
    <xf numFmtId="41" fontId="5" fillId="44" borderId="0">
      <alignment vertical="top"/>
    </xf>
  </cellStyleXfs>
  <cellXfs count="56">
    <xf numFmtId="0" fontId="0" fillId="0" borderId="0" xfId="0">
      <alignment vertical="top"/>
    </xf>
    <xf numFmtId="0" fontId="6" fillId="0" borderId="0" xfId="4" applyFont="1">
      <alignment vertical="top"/>
    </xf>
    <xf numFmtId="0" fontId="5" fillId="0" borderId="0" xfId="4">
      <alignment vertical="top"/>
    </xf>
    <xf numFmtId="0" fontId="7" fillId="0" borderId="0" xfId="4" applyFont="1">
      <alignment vertical="top"/>
    </xf>
    <xf numFmtId="0" fontId="9" fillId="0" borderId="0" xfId="4" applyFont="1">
      <alignment vertical="top"/>
    </xf>
    <xf numFmtId="0" fontId="10" fillId="0" borderId="0" xfId="4" applyFont="1">
      <alignment vertical="top"/>
    </xf>
    <xf numFmtId="0" fontId="5" fillId="0" borderId="2" xfId="4" applyBorder="1">
      <alignment vertical="top"/>
    </xf>
    <xf numFmtId="49" fontId="8" fillId="5" borderId="1" xfId="5">
      <alignment vertical="top"/>
    </xf>
    <xf numFmtId="49" fontId="6" fillId="16" borderId="1" xfId="6">
      <alignment vertical="top"/>
    </xf>
    <xf numFmtId="0" fontId="5" fillId="0" borderId="0" xfId="4" applyFill="1">
      <alignment vertical="top"/>
    </xf>
    <xf numFmtId="0" fontId="7" fillId="0" borderId="2" xfId="4" applyFont="1" applyBorder="1" applyAlignment="1">
      <alignment horizontal="left" vertical="top" wrapText="1"/>
    </xf>
    <xf numFmtId="0" fontId="5" fillId="0" borderId="2" xfId="4" applyBorder="1" applyAlignment="1">
      <alignment horizontal="left" vertical="top" wrapText="1"/>
    </xf>
    <xf numFmtId="0" fontId="10" fillId="0" borderId="0" xfId="4" applyFont="1" applyFill="1">
      <alignment vertical="top"/>
    </xf>
    <xf numFmtId="49" fontId="7" fillId="16" borderId="2" xfId="6" applyFont="1" applyBorder="1">
      <alignment vertical="top"/>
    </xf>
    <xf numFmtId="0" fontId="8" fillId="5" borderId="1" xfId="5" applyNumberFormat="1">
      <alignment vertical="top"/>
    </xf>
    <xf numFmtId="0" fontId="12" fillId="0" borderId="0" xfId="4" applyFont="1">
      <alignment vertical="top"/>
    </xf>
    <xf numFmtId="49" fontId="11" fillId="5" borderId="2" xfId="5" applyFont="1" applyBorder="1">
      <alignment vertical="top"/>
    </xf>
    <xf numFmtId="0" fontId="5" fillId="11" borderId="0" xfId="4" applyFill="1">
      <alignment vertical="top"/>
    </xf>
    <xf numFmtId="0" fontId="5" fillId="0" borderId="0" xfId="4" applyFont="1">
      <alignment vertical="top"/>
    </xf>
    <xf numFmtId="49" fontId="5" fillId="16" borderId="2" xfId="6" applyFont="1" applyBorder="1">
      <alignment vertical="top"/>
    </xf>
    <xf numFmtId="0" fontId="5" fillId="0" borderId="2" xfId="4" applyFont="1" applyBorder="1">
      <alignment vertical="top"/>
    </xf>
    <xf numFmtId="49" fontId="10" fillId="0" borderId="0" xfId="14">
      <alignment vertical="top"/>
    </xf>
    <xf numFmtId="49" fontId="6" fillId="0" borderId="0" xfId="7">
      <alignment vertical="top"/>
    </xf>
    <xf numFmtId="49" fontId="9" fillId="0" borderId="0" xfId="15">
      <alignment vertical="top"/>
    </xf>
    <xf numFmtId="41" fontId="5" fillId="9" borderId="0" xfId="8">
      <alignment vertical="top"/>
    </xf>
    <xf numFmtId="9" fontId="5" fillId="0" borderId="0" xfId="4" applyNumberFormat="1">
      <alignment vertical="top"/>
    </xf>
    <xf numFmtId="41" fontId="5" fillId="43" borderId="0" xfId="11">
      <alignment vertical="top"/>
    </xf>
    <xf numFmtId="10" fontId="5" fillId="0" borderId="0" xfId="63">
      <alignment vertical="top"/>
    </xf>
    <xf numFmtId="0" fontId="5" fillId="0" borderId="2" xfId="4" applyFont="1" applyBorder="1" applyAlignment="1">
      <alignment horizontal="left" vertical="top" wrapText="1"/>
    </xf>
    <xf numFmtId="41" fontId="5" fillId="10" borderId="0" xfId="13">
      <alignment vertical="top"/>
    </xf>
    <xf numFmtId="41" fontId="5" fillId="8" borderId="0" xfId="9">
      <alignment vertical="top"/>
    </xf>
    <xf numFmtId="0" fontId="9" fillId="11" borderId="0" xfId="4" applyFont="1" applyFill="1">
      <alignment vertical="top"/>
    </xf>
    <xf numFmtId="0" fontId="5" fillId="41" borderId="0" xfId="62" applyNumberFormat="1">
      <alignment vertical="top"/>
    </xf>
    <xf numFmtId="0" fontId="5" fillId="0" borderId="2" xfId="4" applyFill="1" applyBorder="1" applyAlignment="1">
      <alignment horizontal="left" vertical="top" wrapText="1"/>
    </xf>
    <xf numFmtId="0" fontId="5" fillId="0" borderId="2" xfId="4" applyBorder="1" applyAlignment="1">
      <alignment vertical="top" wrapText="1"/>
    </xf>
    <xf numFmtId="14" fontId="5" fillId="0" borderId="2" xfId="4" applyNumberFormat="1" applyBorder="1" applyAlignment="1">
      <alignment horizontal="left" vertical="top" wrapText="1"/>
    </xf>
    <xf numFmtId="10" fontId="5" fillId="43" borderId="0" xfId="63" applyFill="1">
      <alignment vertical="top"/>
    </xf>
    <xf numFmtId="0" fontId="6" fillId="16" borderId="1" xfId="6" applyNumberFormat="1" applyAlignment="1">
      <alignment horizontal="right" vertical="top"/>
    </xf>
    <xf numFmtId="2" fontId="5" fillId="43" borderId="0" xfId="4" applyNumberFormat="1" applyFill="1">
      <alignment vertical="top"/>
    </xf>
    <xf numFmtId="10" fontId="5" fillId="10" borderId="0" xfId="4" applyNumberFormat="1" applyFill="1">
      <alignment vertical="top"/>
    </xf>
    <xf numFmtId="164" fontId="5" fillId="9" borderId="0" xfId="4" applyNumberFormat="1" applyFill="1">
      <alignment vertical="top"/>
    </xf>
    <xf numFmtId="164" fontId="5" fillId="9" borderId="0" xfId="63" applyNumberFormat="1" applyFill="1">
      <alignment vertical="top"/>
    </xf>
    <xf numFmtId="10" fontId="5" fillId="8" borderId="0" xfId="4" applyNumberFormat="1" applyFont="1" applyFill="1">
      <alignment vertical="top"/>
    </xf>
    <xf numFmtId="2" fontId="5" fillId="0" borderId="0" xfId="4" applyNumberFormat="1">
      <alignment vertical="top"/>
    </xf>
    <xf numFmtId="0" fontId="5" fillId="0" borderId="0" xfId="4" applyAlignment="1">
      <alignment vertical="top" wrapText="1"/>
    </xf>
    <xf numFmtId="49" fontId="5" fillId="0" borderId="0" xfId="15" applyFont="1">
      <alignment vertical="top"/>
    </xf>
    <xf numFmtId="10" fontId="5" fillId="10" borderId="0" xfId="4" applyNumberFormat="1" applyFont="1" applyFill="1">
      <alignment vertical="top"/>
    </xf>
    <xf numFmtId="2" fontId="5" fillId="10" borderId="0" xfId="4" applyNumberFormat="1" applyFont="1" applyFill="1">
      <alignment vertical="top"/>
    </xf>
    <xf numFmtId="49" fontId="5" fillId="16" borderId="1" xfId="6" applyFont="1">
      <alignment vertical="top"/>
    </xf>
    <xf numFmtId="2" fontId="5" fillId="8" borderId="0" xfId="4" applyNumberFormat="1" applyFont="1" applyFill="1">
      <alignment vertical="top"/>
    </xf>
    <xf numFmtId="10" fontId="5" fillId="9" borderId="0" xfId="4" applyNumberFormat="1" applyFont="1" applyFill="1">
      <alignment vertical="top"/>
    </xf>
    <xf numFmtId="10" fontId="5" fillId="0" borderId="0" xfId="4" applyNumberFormat="1" applyFont="1">
      <alignment vertical="top"/>
    </xf>
    <xf numFmtId="0" fontId="5" fillId="0" borderId="2" xfId="4" applyFill="1" applyBorder="1" applyAlignment="1">
      <alignment vertical="top" wrapText="1"/>
    </xf>
    <xf numFmtId="49" fontId="5" fillId="0" borderId="0" xfId="15" applyFont="1" applyFill="1">
      <alignment vertical="top"/>
    </xf>
    <xf numFmtId="14" fontId="5" fillId="0" borderId="2" xfId="4" applyNumberFormat="1" applyFill="1" applyBorder="1" applyAlignment="1">
      <alignment horizontal="left" vertical="top" wrapText="1"/>
    </xf>
    <xf numFmtId="15" fontId="5" fillId="45" borderId="2" xfId="4" applyNumberFormat="1" applyFill="1" applyBorder="1" applyAlignment="1">
      <alignment horizontal="left" vertical="top" wrapText="1"/>
    </xf>
  </cellXfs>
  <cellStyles count="66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Dataverzoek" xfId="64" xr:uid="{00000000-0005-0000-0000-00001F000000}"/>
    <cellStyle name="Cel Input" xfId="11" xr:uid="{00000000-0005-0000-0000-000020000000}"/>
    <cellStyle name="Cel input database" xfId="65" xr:uid="{D3BE9B27-7433-43F4-96C8-5DBCFAF23CCF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 [0]" xfId="24" builtinId="6" hidden="1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5000000}"/>
    <cellStyle name="Procent" xfId="27" builtinId="5" hidden="1"/>
    <cellStyle name="Procent" xfId="63" builtinId="5"/>
    <cellStyle name="Standaard" xfId="0" builtinId="0" customBuiltin="1"/>
    <cellStyle name="Standaard ACM-DE" xfId="4" xr:uid="{00000000-0005-0000-0000-000039000000}"/>
    <cellStyle name="Titel" xfId="28" builtinId="15" hidden="1"/>
    <cellStyle name="Toelichting" xfId="15" xr:uid="{00000000-0005-0000-0000-00003B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0"/>
  <tableStyles count="0" defaultTableStyle="TableStyleMedium2" defaultPivotStyle="PivotStyleLight16"/>
  <colors>
    <mruColors>
      <color rgb="FFFFFFCC"/>
      <color rgb="FFCCFFFF"/>
      <color rgb="FFFFCC99"/>
      <color rgb="FFE1FFE1"/>
      <color rgb="FF99FF99"/>
      <color rgb="FFCCC8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133351</xdr:rowOff>
    </xdr:from>
    <xdr:to>
      <xdr:col>1</xdr:col>
      <xdr:colOff>1905000</xdr:colOff>
      <xdr:row>10</xdr:row>
      <xdr:rowOff>94480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85801"/>
          <a:ext cx="1838325" cy="109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8D9"/>
  </sheetPr>
  <dimension ref="B2:E64"/>
  <sheetViews>
    <sheetView showGridLines="0" tabSelected="1" zoomScale="85" zoomScaleNormal="85" workbookViewId="0">
      <pane ySplit="3" topLeftCell="A8" activePane="bottomLeft" state="frozen"/>
      <selection activeCell="O39" sqref="O39"/>
      <selection pane="bottomLeft" activeCell="C8" sqref="C8"/>
    </sheetView>
  </sheetViews>
  <sheetFormatPr defaultColWidth="9.140625" defaultRowHeight="12.75" x14ac:dyDescent="0.2"/>
  <cols>
    <col min="1" max="1" width="5.7109375" style="2" customWidth="1"/>
    <col min="2" max="2" width="43.7109375" style="2" customWidth="1"/>
    <col min="3" max="3" width="91.85546875" style="2" customWidth="1"/>
    <col min="4" max="4" width="5.7109375" style="2" customWidth="1"/>
    <col min="5" max="16384" width="9.140625" style="2"/>
  </cols>
  <sheetData>
    <row r="2" spans="2:5" s="7" customFormat="1" ht="18" x14ac:dyDescent="0.2">
      <c r="B2" s="7" t="s">
        <v>0</v>
      </c>
    </row>
    <row r="6" spans="2:5" x14ac:dyDescent="0.2">
      <c r="B6" s="3"/>
    </row>
    <row r="13" spans="2:5" s="8" customFormat="1" x14ac:dyDescent="0.2">
      <c r="B13" s="8" t="s">
        <v>1</v>
      </c>
    </row>
    <row r="14" spans="2:5" s="9" customFormat="1" x14ac:dyDescent="0.2"/>
    <row r="15" spans="2:5" x14ac:dyDescent="0.2">
      <c r="B15" s="10" t="s">
        <v>2</v>
      </c>
      <c r="C15" s="11" t="s">
        <v>59</v>
      </c>
      <c r="E15" s="21"/>
    </row>
    <row r="16" spans="2:5" x14ac:dyDescent="0.2">
      <c r="B16" s="10" t="s">
        <v>3</v>
      </c>
      <c r="C16" s="33" t="s">
        <v>60</v>
      </c>
    </row>
    <row r="17" spans="2:3" x14ac:dyDescent="0.2">
      <c r="B17" s="10" t="s">
        <v>4</v>
      </c>
      <c r="C17" s="11"/>
    </row>
    <row r="18" spans="2:3" x14ac:dyDescent="0.2">
      <c r="B18" s="10" t="s">
        <v>5</v>
      </c>
      <c r="C18" s="11" t="s">
        <v>128</v>
      </c>
    </row>
    <row r="19" spans="2:3" ht="25.5" x14ac:dyDescent="0.2">
      <c r="B19" s="10" t="s">
        <v>6</v>
      </c>
      <c r="C19" s="33" t="s">
        <v>129</v>
      </c>
    </row>
    <row r="20" spans="2:3" x14ac:dyDescent="0.2">
      <c r="B20" s="10" t="s">
        <v>7</v>
      </c>
      <c r="C20" s="33" t="s">
        <v>130</v>
      </c>
    </row>
    <row r="21" spans="2:3" x14ac:dyDescent="0.2">
      <c r="B21" s="10" t="s">
        <v>8</v>
      </c>
      <c r="C21" s="11" t="s">
        <v>61</v>
      </c>
    </row>
    <row r="22" spans="2:3" x14ac:dyDescent="0.2">
      <c r="B22" s="10" t="s">
        <v>9</v>
      </c>
      <c r="C22" s="11"/>
    </row>
    <row r="24" spans="2:3" x14ac:dyDescent="0.2">
      <c r="B24" s="23" t="s">
        <v>58</v>
      </c>
    </row>
    <row r="27" spans="2:3" s="8" customFormat="1" x14ac:dyDescent="0.2">
      <c r="B27" s="8" t="s">
        <v>10</v>
      </c>
    </row>
    <row r="29" spans="2:3" x14ac:dyDescent="0.2">
      <c r="B29" s="28" t="s">
        <v>49</v>
      </c>
      <c r="C29" s="11" t="s">
        <v>63</v>
      </c>
    </row>
    <row r="30" spans="2:3" ht="25.5" x14ac:dyDescent="0.2">
      <c r="B30" s="28" t="s">
        <v>51</v>
      </c>
      <c r="C30" s="11" t="s">
        <v>63</v>
      </c>
    </row>
    <row r="31" spans="2:3" x14ac:dyDescent="0.2">
      <c r="B31" s="28" t="s">
        <v>50</v>
      </c>
      <c r="C31" s="55">
        <v>45939</v>
      </c>
    </row>
    <row r="32" spans="2:3" ht="25.5" x14ac:dyDescent="0.2">
      <c r="B32" s="28" t="s">
        <v>52</v>
      </c>
      <c r="C32" s="11" t="s">
        <v>63</v>
      </c>
    </row>
    <row r="33" spans="2:3" ht="25.5" x14ac:dyDescent="0.2">
      <c r="B33" s="28" t="s">
        <v>53</v>
      </c>
      <c r="C33" s="11" t="s">
        <v>62</v>
      </c>
    </row>
    <row r="34" spans="2:3" x14ac:dyDescent="0.2">
      <c r="B34" s="10" t="s">
        <v>9</v>
      </c>
      <c r="C34" s="11"/>
    </row>
    <row r="36" spans="2:3" x14ac:dyDescent="0.2">
      <c r="B36" s="4"/>
    </row>
    <row r="37" spans="2:3" x14ac:dyDescent="0.2">
      <c r="B37" s="23" t="s">
        <v>54</v>
      </c>
    </row>
    <row r="64" spans="2:2" x14ac:dyDescent="0.2">
      <c r="B64" s="2">
        <v>6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8D9"/>
  </sheetPr>
  <dimension ref="B2:H21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H27" sqref="H27"/>
    </sheetView>
  </sheetViews>
  <sheetFormatPr defaultColWidth="9.140625" defaultRowHeight="12.75" x14ac:dyDescent="0.2"/>
  <cols>
    <col min="1" max="1" width="5.7109375" style="2" customWidth="1"/>
    <col min="2" max="2" width="35.28515625" style="2" customWidth="1"/>
    <col min="3" max="3" width="2.7109375" style="2" customWidth="1"/>
    <col min="4" max="4" width="86.140625" style="2" customWidth="1"/>
    <col min="5" max="5" width="29.85546875" style="2" customWidth="1"/>
    <col min="6" max="6" width="24.7109375" style="2" customWidth="1"/>
    <col min="7" max="7" width="37.28515625" style="2" customWidth="1"/>
    <col min="8" max="16384" width="9.140625" style="2"/>
  </cols>
  <sheetData>
    <row r="2" spans="2:8" s="7" customFormat="1" ht="18" x14ac:dyDescent="0.2">
      <c r="B2" s="7" t="s">
        <v>36</v>
      </c>
    </row>
    <row r="5" spans="2:8" s="8" customFormat="1" x14ac:dyDescent="0.2">
      <c r="B5" s="8" t="s">
        <v>11</v>
      </c>
    </row>
    <row r="7" spans="2:8" x14ac:dyDescent="0.2">
      <c r="B7" s="18" t="s">
        <v>112</v>
      </c>
    </row>
    <row r="8" spans="2:8" x14ac:dyDescent="0.2">
      <c r="H8" s="25"/>
    </row>
    <row r="10" spans="2:8" s="8" customFormat="1" x14ac:dyDescent="0.2">
      <c r="B10" s="8" t="s">
        <v>12</v>
      </c>
    </row>
    <row r="11" spans="2:8" x14ac:dyDescent="0.2">
      <c r="C11" s="9"/>
    </row>
    <row r="12" spans="2:8" x14ac:dyDescent="0.2">
      <c r="B12" s="22" t="s">
        <v>25</v>
      </c>
      <c r="C12" s="9"/>
      <c r="D12" s="22" t="s">
        <v>13</v>
      </c>
      <c r="F12" s="12"/>
    </row>
    <row r="13" spans="2:8" x14ac:dyDescent="0.2">
      <c r="C13" s="9"/>
    </row>
    <row r="14" spans="2:8" x14ac:dyDescent="0.2">
      <c r="B14" s="26">
        <v>123</v>
      </c>
      <c r="C14" s="9"/>
      <c r="D14" s="18" t="s">
        <v>47</v>
      </c>
    </row>
    <row r="15" spans="2:8" x14ac:dyDescent="0.2">
      <c r="B15" s="29">
        <f>B14</f>
        <v>123</v>
      </c>
      <c r="C15" s="9"/>
      <c r="D15" s="2" t="s">
        <v>14</v>
      </c>
    </row>
    <row r="16" spans="2:8" x14ac:dyDescent="0.2">
      <c r="B16" s="30">
        <f>B15+B14</f>
        <v>246</v>
      </c>
      <c r="C16" s="9"/>
      <c r="D16" s="2" t="s">
        <v>15</v>
      </c>
    </row>
    <row r="17" spans="2:6" x14ac:dyDescent="0.2">
      <c r="B17" s="24">
        <f>B15+B16</f>
        <v>369</v>
      </c>
      <c r="C17" s="9"/>
      <c r="D17" s="18" t="s">
        <v>48</v>
      </c>
      <c r="E17" s="12"/>
      <c r="F17" s="5"/>
    </row>
    <row r="18" spans="2:6" x14ac:dyDescent="0.2">
      <c r="B18" s="32"/>
      <c r="C18" s="9"/>
      <c r="D18" s="18" t="s">
        <v>16</v>
      </c>
      <c r="E18" s="12"/>
    </row>
    <row r="19" spans="2:6" x14ac:dyDescent="0.2">
      <c r="B19" s="9"/>
      <c r="C19" s="9"/>
    </row>
    <row r="21" spans="2:6" x14ac:dyDescent="0.2">
      <c r="B21" s="23" t="s">
        <v>54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8D9"/>
  </sheetPr>
  <dimension ref="B2:H33"/>
  <sheetViews>
    <sheetView showGridLines="0" topLeftCell="C1" zoomScale="85" zoomScaleNormal="85" workbookViewId="0">
      <pane ySplit="3" topLeftCell="A4" activePane="bottomLeft" state="frozen"/>
      <selection activeCell="B6" sqref="B6"/>
      <selection pane="bottomLeft" activeCell="F13" sqref="F12:F13"/>
    </sheetView>
  </sheetViews>
  <sheetFormatPr defaultColWidth="9.140625" defaultRowHeight="12.75" x14ac:dyDescent="0.2"/>
  <cols>
    <col min="1" max="1" width="5.7109375" style="2" customWidth="1"/>
    <col min="2" max="2" width="7.5703125" style="2" customWidth="1"/>
    <col min="3" max="3" width="35.140625" style="2" customWidth="1"/>
    <col min="4" max="5" width="36.28515625" style="2" customWidth="1"/>
    <col min="6" max="6" width="40.7109375" style="2" customWidth="1"/>
    <col min="7" max="7" width="5.7109375" style="2" customWidth="1"/>
    <col min="8" max="16384" width="9.140625" style="2"/>
  </cols>
  <sheetData>
    <row r="2" spans="2:8" s="7" customFormat="1" ht="18" x14ac:dyDescent="0.2">
      <c r="B2" s="7" t="s">
        <v>17</v>
      </c>
    </row>
    <row r="5" spans="2:8" s="8" customFormat="1" x14ac:dyDescent="0.2">
      <c r="B5" s="8" t="s">
        <v>18</v>
      </c>
    </row>
    <row r="7" spans="2:8" x14ac:dyDescent="0.2">
      <c r="B7" s="23" t="s">
        <v>44</v>
      </c>
    </row>
    <row r="8" spans="2:8" x14ac:dyDescent="0.2">
      <c r="B8" s="23" t="s">
        <v>45</v>
      </c>
    </row>
    <row r="10" spans="2:8" x14ac:dyDescent="0.2">
      <c r="B10" s="16" t="s">
        <v>37</v>
      </c>
      <c r="C10" s="16" t="s">
        <v>38</v>
      </c>
      <c r="D10" s="16" t="s">
        <v>55</v>
      </c>
      <c r="E10" s="16" t="s">
        <v>43</v>
      </c>
      <c r="F10" s="16" t="s">
        <v>56</v>
      </c>
      <c r="H10" s="21"/>
    </row>
    <row r="11" spans="2:8" x14ac:dyDescent="0.2">
      <c r="B11" s="13"/>
      <c r="C11" s="19" t="s">
        <v>41</v>
      </c>
      <c r="D11" s="19" t="s">
        <v>19</v>
      </c>
      <c r="E11" s="19" t="s">
        <v>46</v>
      </c>
      <c r="F11" s="19" t="s">
        <v>57</v>
      </c>
    </row>
    <row r="12" spans="2:8" ht="25.5" x14ac:dyDescent="0.2">
      <c r="B12" s="20">
        <v>1</v>
      </c>
      <c r="C12" s="52" t="s">
        <v>114</v>
      </c>
      <c r="D12" s="52" t="s">
        <v>119</v>
      </c>
      <c r="E12" s="52" t="s">
        <v>118</v>
      </c>
      <c r="F12" s="54" t="s">
        <v>122</v>
      </c>
    </row>
    <row r="13" spans="2:8" ht="38.25" x14ac:dyDescent="0.2">
      <c r="B13" s="6">
        <v>2</v>
      </c>
      <c r="C13" s="52" t="s">
        <v>113</v>
      </c>
      <c r="D13" s="52" t="s">
        <v>120</v>
      </c>
      <c r="E13" s="52" t="s">
        <v>117</v>
      </c>
      <c r="F13" s="54" t="s">
        <v>121</v>
      </c>
    </row>
    <row r="14" spans="2:8" ht="25.5" x14ac:dyDescent="0.2">
      <c r="B14" s="6">
        <v>3</v>
      </c>
      <c r="C14" s="34" t="s">
        <v>64</v>
      </c>
      <c r="D14" s="34" t="s">
        <v>65</v>
      </c>
      <c r="E14" s="34" t="s">
        <v>66</v>
      </c>
      <c r="F14" s="35">
        <v>45128</v>
      </c>
    </row>
    <row r="15" spans="2:8" ht="25.5" x14ac:dyDescent="0.2">
      <c r="B15" s="6">
        <v>4</v>
      </c>
      <c r="C15" s="34" t="s">
        <v>67</v>
      </c>
      <c r="D15" s="34"/>
      <c r="E15" s="34"/>
      <c r="F15" s="34" t="s">
        <v>68</v>
      </c>
    </row>
    <row r="16" spans="2:8" ht="25.5" x14ac:dyDescent="0.2">
      <c r="B16" s="6">
        <v>5</v>
      </c>
      <c r="C16" s="34" t="s">
        <v>69</v>
      </c>
      <c r="D16" s="34"/>
      <c r="E16" s="34"/>
      <c r="F16" s="34" t="s">
        <v>70</v>
      </c>
    </row>
    <row r="17" spans="2:6" x14ac:dyDescent="0.2">
      <c r="B17" s="6">
        <v>6</v>
      </c>
      <c r="C17" s="34"/>
      <c r="D17" s="34"/>
      <c r="E17" s="34"/>
      <c r="F17" s="34"/>
    </row>
    <row r="18" spans="2:6" x14ac:dyDescent="0.2">
      <c r="B18" s="6">
        <v>7</v>
      </c>
      <c r="C18" s="34"/>
      <c r="D18" s="34"/>
      <c r="E18" s="34"/>
      <c r="F18" s="34"/>
    </row>
    <row r="19" spans="2:6" x14ac:dyDescent="0.2">
      <c r="B19" s="6">
        <v>8</v>
      </c>
      <c r="C19" s="34"/>
      <c r="D19" s="34"/>
      <c r="E19" s="34"/>
      <c r="F19" s="34"/>
    </row>
    <row r="20" spans="2:6" x14ac:dyDescent="0.2">
      <c r="B20" s="6">
        <v>9</v>
      </c>
      <c r="C20" s="34"/>
      <c r="D20" s="34"/>
      <c r="E20" s="34"/>
      <c r="F20" s="34"/>
    </row>
    <row r="21" spans="2:6" x14ac:dyDescent="0.2">
      <c r="B21" s="6">
        <v>10</v>
      </c>
      <c r="C21" s="34"/>
      <c r="D21" s="34"/>
      <c r="E21" s="34"/>
      <c r="F21" s="34"/>
    </row>
    <row r="24" spans="2:6" s="8" customFormat="1" x14ac:dyDescent="0.2">
      <c r="B24" s="8" t="s">
        <v>35</v>
      </c>
    </row>
    <row r="26" spans="2:6" x14ac:dyDescent="0.2">
      <c r="B26" s="23" t="s">
        <v>33</v>
      </c>
    </row>
    <row r="27" spans="2:6" x14ac:dyDescent="0.2">
      <c r="B27" s="23" t="s">
        <v>34</v>
      </c>
    </row>
    <row r="33" spans="2:2" x14ac:dyDescent="0.2">
      <c r="B33" s="23" t="s">
        <v>54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</sheetPr>
  <dimension ref="B2:W24"/>
  <sheetViews>
    <sheetView showGridLines="0" zoomScale="85" zoomScaleNormal="85" workbookViewId="0">
      <pane xSplit="4" ySplit="12" topLeftCell="E13" activePane="bottomRight" state="frozen"/>
      <selection activeCell="B6" sqref="B6"/>
      <selection pane="topRight" activeCell="B6" sqref="B6"/>
      <selection pane="bottomLeft" activeCell="B6" sqref="B6"/>
      <selection pane="bottomRight" activeCell="H31" sqref="H31"/>
    </sheetView>
  </sheetViews>
  <sheetFormatPr defaultColWidth="9.140625" defaultRowHeight="12.75" outlineLevelCol="1" x14ac:dyDescent="0.2"/>
  <cols>
    <col min="1" max="1" width="5.7109375" style="2" customWidth="1"/>
    <col min="2" max="2" width="41.42578125" style="2" customWidth="1"/>
    <col min="3" max="3" width="5.7109375" style="2" customWidth="1"/>
    <col min="4" max="4" width="13.7109375" style="2" customWidth="1"/>
    <col min="5" max="5" width="2.7109375" style="2" customWidth="1"/>
    <col min="6" max="6" width="13.7109375" style="2" customWidth="1"/>
    <col min="7" max="7" width="2.7109375" style="2" customWidth="1"/>
    <col min="8" max="8" width="13.7109375" style="2" customWidth="1"/>
    <col min="9" max="9" width="2.7109375" style="2" customWidth="1"/>
    <col min="10" max="17" width="12.5703125" style="2" customWidth="1"/>
    <col min="18" max="19" width="12.5703125" style="2" customWidth="1" outlineLevel="1"/>
    <col min="20" max="22" width="2.7109375" style="2" customWidth="1"/>
    <col min="23" max="23" width="30.85546875" style="2" customWidth="1"/>
    <col min="24" max="37" width="13.7109375" style="2" customWidth="1"/>
    <col min="38" max="16384" width="9.140625" style="2"/>
  </cols>
  <sheetData>
    <row r="2" spans="2:23" s="14" customFormat="1" ht="18" x14ac:dyDescent="0.2">
      <c r="B2" s="14" t="s">
        <v>24</v>
      </c>
    </row>
    <row r="4" spans="2:23" x14ac:dyDescent="0.2">
      <c r="B4" s="22" t="s">
        <v>40</v>
      </c>
    </row>
    <row r="5" spans="2:23" x14ac:dyDescent="0.2">
      <c r="B5" s="18" t="s">
        <v>106</v>
      </c>
      <c r="F5" s="15"/>
    </row>
    <row r="6" spans="2:23" x14ac:dyDescent="0.2">
      <c r="B6" s="18"/>
      <c r="F6" s="15"/>
    </row>
    <row r="7" spans="2:23" x14ac:dyDescent="0.2">
      <c r="B7" s="23" t="s">
        <v>23</v>
      </c>
      <c r="F7" s="15"/>
    </row>
    <row r="8" spans="2:23" x14ac:dyDescent="0.2">
      <c r="B8" s="45" t="s">
        <v>111</v>
      </c>
    </row>
    <row r="9" spans="2:23" x14ac:dyDescent="0.2">
      <c r="B9" s="4"/>
    </row>
    <row r="11" spans="2:23" s="8" customFormat="1" x14ac:dyDescent="0.2">
      <c r="B11" s="8" t="s">
        <v>26</v>
      </c>
      <c r="D11" s="8" t="s">
        <v>20</v>
      </c>
      <c r="F11" s="8" t="s">
        <v>21</v>
      </c>
      <c r="H11" s="8" t="s">
        <v>32</v>
      </c>
      <c r="J11" s="37">
        <v>2018</v>
      </c>
      <c r="K11" s="37">
        <v>2019</v>
      </c>
      <c r="L11" s="37">
        <v>2020</v>
      </c>
      <c r="M11" s="37">
        <v>2021</v>
      </c>
      <c r="N11" s="37">
        <v>2022</v>
      </c>
      <c r="O11" s="37">
        <v>2023</v>
      </c>
      <c r="P11" s="37">
        <v>2024</v>
      </c>
      <c r="Q11" s="37">
        <v>2025</v>
      </c>
      <c r="R11" s="8" t="s">
        <v>29</v>
      </c>
      <c r="S11" s="8" t="s">
        <v>30</v>
      </c>
      <c r="W11" s="8" t="s">
        <v>28</v>
      </c>
    </row>
    <row r="14" spans="2:23" s="8" customFormat="1" x14ac:dyDescent="0.2">
      <c r="B14" s="8" t="s">
        <v>42</v>
      </c>
    </row>
    <row r="16" spans="2:23" x14ac:dyDescent="0.2">
      <c r="B16" s="22" t="s">
        <v>71</v>
      </c>
    </row>
    <row r="17" spans="2:17" x14ac:dyDescent="0.2">
      <c r="B17" s="2" t="s">
        <v>72</v>
      </c>
      <c r="D17" s="2" t="s">
        <v>75</v>
      </c>
      <c r="J17" s="41">
        <f>Berekening!J54</f>
        <v>4.7E-2</v>
      </c>
      <c r="K17" s="41">
        <f>Berekening!K54</f>
        <v>0.05</v>
      </c>
      <c r="L17" s="41">
        <f>Berekening!L54</f>
        <v>5.2999999999999999E-2</v>
      </c>
      <c r="M17" s="41">
        <f>Berekening!M54</f>
        <v>5.6000000000000001E-2</v>
      </c>
      <c r="N17" s="41">
        <f>Berekening!N54</f>
        <v>5.8999999999999997E-2</v>
      </c>
      <c r="O17" s="41">
        <f>Berekening!O54</f>
        <v>6.7000000000000004E-2</v>
      </c>
      <c r="P17" s="41">
        <f>Berekening!P54</f>
        <v>6.3E-2</v>
      </c>
      <c r="Q17" s="41">
        <f>Berekening!Q54</f>
        <v>6.3E-2</v>
      </c>
    </row>
    <row r="19" spans="2:17" x14ac:dyDescent="0.2">
      <c r="B19" s="1" t="s">
        <v>108</v>
      </c>
    </row>
    <row r="20" spans="2:17" x14ac:dyDescent="0.2">
      <c r="B20" s="2" t="s">
        <v>109</v>
      </c>
      <c r="D20" s="2" t="s">
        <v>75</v>
      </c>
      <c r="J20" s="40">
        <f>Berekening!J58</f>
        <v>5.1999999999999998E-2</v>
      </c>
      <c r="K20" s="40">
        <f>Berekening!K58</f>
        <v>5.5E-2</v>
      </c>
      <c r="L20" s="40">
        <f>Berekening!L58</f>
        <v>5.7999999999999996E-2</v>
      </c>
      <c r="M20" s="40">
        <f>Berekening!M58</f>
        <v>6.0999999999999999E-2</v>
      </c>
      <c r="N20" s="40">
        <f>Berekening!N58</f>
        <v>6.4000000000000001E-2</v>
      </c>
      <c r="O20" s="40">
        <f>Berekening!O58</f>
        <v>7.2000000000000008E-2</v>
      </c>
      <c r="P20" s="40">
        <f>Berekening!P58</f>
        <v>6.8000000000000005E-2</v>
      </c>
      <c r="Q20" s="40">
        <f>Berekening!Q58</f>
        <v>6.8000000000000005E-2</v>
      </c>
    </row>
    <row r="23" spans="2:17" x14ac:dyDescent="0.2">
      <c r="B23" s="5"/>
    </row>
    <row r="24" spans="2:17" x14ac:dyDescent="0.2">
      <c r="B24" s="23" t="s">
        <v>54</v>
      </c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5B6E-9B78-4017-AF35-2D4803EABDDD}">
  <sheetPr>
    <tabColor theme="0" tint="-4.9989318521683403E-2"/>
  </sheetPr>
  <dimension ref="B2:B3"/>
  <sheetViews>
    <sheetView showGridLines="0" zoomScale="85" zoomScaleNormal="85" workbookViewId="0">
      <selection activeCell="O51" sqref="O51"/>
    </sheetView>
  </sheetViews>
  <sheetFormatPr defaultColWidth="9.140625" defaultRowHeight="12.75" x14ac:dyDescent="0.2"/>
  <cols>
    <col min="1" max="1" width="5.7109375" style="17" customWidth="1"/>
    <col min="2" max="16384" width="9.140625" style="17"/>
  </cols>
  <sheetData>
    <row r="2" spans="2:2" x14ac:dyDescent="0.2">
      <c r="B2" s="31"/>
    </row>
    <row r="3" spans="2:2" x14ac:dyDescent="0.2">
      <c r="B3" s="31"/>
    </row>
  </sheetData>
  <pageMargins left="0.7" right="0.7" top="0.75" bottom="0.75" header="0.3" footer="0.3"/>
  <pageSetup paperSize="9" orientation="portrait" r:id="rId1"/>
  <headerFooter>
    <oddFooter>&amp;C&amp;1#&amp;"Calibri"&amp;10&amp;K000000C2 - 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1FFE1"/>
  </sheetPr>
  <dimension ref="B2:V33"/>
  <sheetViews>
    <sheetView showGridLines="0" zoomScale="80" zoomScaleNormal="80" workbookViewId="0">
      <pane xSplit="4" ySplit="12" topLeftCell="E13" activePane="bottomRight" state="frozen"/>
      <selection activeCell="B6" sqref="B6"/>
      <selection pane="topRight" activeCell="B6" sqref="B6"/>
      <selection pane="bottomLeft" activeCell="B6" sqref="B6"/>
      <selection pane="bottomRight" activeCell="X48" sqref="X48"/>
    </sheetView>
  </sheetViews>
  <sheetFormatPr defaultColWidth="9.140625" defaultRowHeight="12.75" x14ac:dyDescent="0.2"/>
  <cols>
    <col min="1" max="1" width="5.7109375" style="2" customWidth="1"/>
    <col min="2" max="2" width="41.42578125" style="2" customWidth="1"/>
    <col min="3" max="3" width="5.7109375" style="2" customWidth="1"/>
    <col min="4" max="4" width="13.7109375" style="2" customWidth="1"/>
    <col min="5" max="5" width="2.7109375" style="2" customWidth="1"/>
    <col min="6" max="6" width="13.7109375" style="2" customWidth="1"/>
    <col min="7" max="7" width="2.7109375" style="2" customWidth="1"/>
    <col min="8" max="8" width="13.7109375" style="2" customWidth="1"/>
    <col min="9" max="9" width="2.7109375" style="2" customWidth="1"/>
    <col min="10" max="17" width="12.5703125" style="2" customWidth="1"/>
    <col min="18" max="18" width="2.7109375" style="2" customWidth="1"/>
    <col min="19" max="19" width="87.85546875" style="2" customWidth="1"/>
    <col min="20" max="20" width="2.7109375" style="2" customWidth="1"/>
    <col min="21" max="21" width="30.7109375" style="2" customWidth="1"/>
    <col min="22" max="22" width="2.7109375" style="2" customWidth="1"/>
    <col min="23" max="37" width="13.7109375" style="2" customWidth="1"/>
    <col min="38" max="16384" width="9.140625" style="2"/>
  </cols>
  <sheetData>
    <row r="2" spans="2:21" s="14" customFormat="1" ht="18" x14ac:dyDescent="0.2">
      <c r="B2" s="14" t="s">
        <v>85</v>
      </c>
    </row>
    <row r="4" spans="2:21" x14ac:dyDescent="0.2">
      <c r="B4" s="22" t="s">
        <v>22</v>
      </c>
      <c r="J4"/>
    </row>
    <row r="5" spans="2:21" x14ac:dyDescent="0.2">
      <c r="B5" s="18" t="s">
        <v>86</v>
      </c>
      <c r="F5" s="15"/>
    </row>
    <row r="6" spans="2:21" x14ac:dyDescent="0.2">
      <c r="B6" s="18"/>
      <c r="F6" s="15"/>
    </row>
    <row r="7" spans="2:21" x14ac:dyDescent="0.2">
      <c r="B7" s="23" t="s">
        <v>23</v>
      </c>
      <c r="F7" s="15"/>
    </row>
    <row r="8" spans="2:21" x14ac:dyDescent="0.2">
      <c r="B8" s="53" t="s">
        <v>116</v>
      </c>
    </row>
    <row r="11" spans="2:21" s="8" customFormat="1" x14ac:dyDescent="0.2">
      <c r="B11" s="8" t="s">
        <v>26</v>
      </c>
      <c r="D11" s="8" t="s">
        <v>20</v>
      </c>
      <c r="F11" s="8" t="s">
        <v>21</v>
      </c>
      <c r="H11" s="8" t="s">
        <v>32</v>
      </c>
      <c r="J11" s="37">
        <v>2018</v>
      </c>
      <c r="K11" s="37">
        <v>2019</v>
      </c>
      <c r="L11" s="37">
        <v>2020</v>
      </c>
      <c r="M11" s="37">
        <v>2021</v>
      </c>
      <c r="N11" s="37">
        <v>2022</v>
      </c>
      <c r="O11" s="37">
        <v>2023</v>
      </c>
      <c r="P11" s="37">
        <v>2024</v>
      </c>
      <c r="Q11" s="37">
        <v>2025</v>
      </c>
      <c r="S11" s="8" t="s">
        <v>27</v>
      </c>
      <c r="U11" s="8" t="s">
        <v>28</v>
      </c>
    </row>
    <row r="14" spans="2:21" s="8" customFormat="1" x14ac:dyDescent="0.2">
      <c r="B14" s="8" t="s">
        <v>85</v>
      </c>
    </row>
    <row r="16" spans="2:21" x14ac:dyDescent="0.2">
      <c r="B16" s="22" t="s">
        <v>73</v>
      </c>
    </row>
    <row r="17" spans="2:22" x14ac:dyDescent="0.2">
      <c r="B17" s="2" t="s">
        <v>74</v>
      </c>
      <c r="D17" s="2" t="s">
        <v>75</v>
      </c>
      <c r="J17" s="36">
        <v>0.75</v>
      </c>
      <c r="K17" s="36">
        <v>0.76</v>
      </c>
      <c r="L17" s="36">
        <v>0.74</v>
      </c>
      <c r="M17" s="36">
        <v>0.75</v>
      </c>
      <c r="N17" s="36">
        <v>0.73</v>
      </c>
      <c r="O17" s="36">
        <v>0.76</v>
      </c>
      <c r="P17" s="36">
        <v>0.76</v>
      </c>
      <c r="Q17" s="36">
        <v>0.76</v>
      </c>
      <c r="S17" s="9" t="str">
        <f>'Bronnen en toepassingen'!$C$12&amp;" ; "&amp;'Bronnen en toepassingen'!$C$13</f>
        <v>Excelbestand kostenvoet vreemd vermogen en gearing 2018-2022 ; Excelbestand kostenvoet vreemd vermogen en gearing 2023</v>
      </c>
      <c r="U17" s="9" t="s">
        <v>124</v>
      </c>
    </row>
    <row r="18" spans="2:22" x14ac:dyDescent="0.2">
      <c r="B18" s="2" t="s">
        <v>76</v>
      </c>
      <c r="D18" s="2" t="s">
        <v>75</v>
      </c>
      <c r="J18" s="36">
        <v>0.25</v>
      </c>
      <c r="K18" s="36">
        <v>0.25</v>
      </c>
      <c r="L18" s="36">
        <v>0.25</v>
      </c>
      <c r="M18" s="36">
        <v>0.25</v>
      </c>
      <c r="N18" s="36">
        <v>0.25800000000000001</v>
      </c>
      <c r="O18" s="36">
        <v>0.25800000000000001</v>
      </c>
      <c r="P18" s="36">
        <v>0.25800000000000001</v>
      </c>
      <c r="Q18" s="36">
        <v>0.25800000000000001</v>
      </c>
      <c r="S18" s="2" t="str">
        <f>'Bronnen en toepassingen'!$C$14</f>
        <v>Excelbestand bij adviesrapport Brattle 2023</v>
      </c>
    </row>
    <row r="19" spans="2:22" x14ac:dyDescent="0.2">
      <c r="J19" s="27"/>
      <c r="K19" s="27"/>
      <c r="L19" s="27"/>
      <c r="M19" s="27"/>
      <c r="N19" s="27"/>
      <c r="O19" s="27"/>
      <c r="P19" s="27"/>
      <c r="Q19" s="27"/>
    </row>
    <row r="20" spans="2:22" x14ac:dyDescent="0.2">
      <c r="B20" s="2" t="s">
        <v>77</v>
      </c>
      <c r="J20" s="27"/>
      <c r="K20" s="27"/>
      <c r="L20" s="27"/>
      <c r="M20" s="27"/>
      <c r="N20" s="27"/>
      <c r="O20" s="27"/>
      <c r="P20" s="27"/>
      <c r="Q20" s="27"/>
    </row>
    <row r="21" spans="2:22" x14ac:dyDescent="0.2">
      <c r="B21" s="2" t="s">
        <v>105</v>
      </c>
      <c r="D21" s="2" t="s">
        <v>75</v>
      </c>
      <c r="J21" s="36">
        <v>2.4560853225248539E-2</v>
      </c>
      <c r="K21" s="36">
        <v>3.0377503535024063E-2</v>
      </c>
      <c r="L21" s="36">
        <v>2.9820327898740139E-2</v>
      </c>
      <c r="M21" s="36">
        <v>2.9418494801680049E-2</v>
      </c>
      <c r="N21" s="36">
        <v>3.0238318936847381E-2</v>
      </c>
      <c r="O21" s="36">
        <v>3.8300000000000001E-2</v>
      </c>
      <c r="P21" s="36">
        <v>3.8300000000000001E-2</v>
      </c>
      <c r="Q21" s="36">
        <v>3.8300000000000001E-2</v>
      </c>
      <c r="S21" s="9" t="str">
        <f>'Bronnen en toepassingen'!$C$14&amp;" ; "&amp;'Bronnen en toepassingen'!$C$13</f>
        <v>Excelbestand bij adviesrapport Brattle 2023 ; Excelbestand kostenvoet vreemd vermogen en gearing 2023</v>
      </c>
      <c r="U21" s="9" t="s">
        <v>125</v>
      </c>
      <c r="V21" s="9"/>
    </row>
    <row r="22" spans="2:22" x14ac:dyDescent="0.2">
      <c r="B22" s="2" t="s">
        <v>104</v>
      </c>
      <c r="D22" s="2" t="s">
        <v>75</v>
      </c>
      <c r="J22" s="36">
        <v>9.1724220739603928E-5</v>
      </c>
      <c r="K22" s="36">
        <v>0</v>
      </c>
      <c r="L22" s="36">
        <v>1.4247314719620499E-4</v>
      </c>
      <c r="M22" s="36">
        <v>4.7297982327120115E-3</v>
      </c>
      <c r="N22" s="36">
        <v>2.8421514071803266E-3</v>
      </c>
      <c r="O22" s="36">
        <v>2.2000000000000001E-3</v>
      </c>
      <c r="P22" s="36">
        <v>2.2000000000000001E-3</v>
      </c>
      <c r="Q22" s="36">
        <v>2.2000000000000001E-3</v>
      </c>
      <c r="S22" s="9" t="str">
        <f>'Bronnen en toepassingen'!$C$14&amp;" ; "&amp;'Bronnen en toepassingen'!$C$13</f>
        <v>Excelbestand bij adviesrapport Brattle 2023 ; Excelbestand kostenvoet vreemd vermogen en gearing 2023</v>
      </c>
      <c r="U22" s="9" t="s">
        <v>125</v>
      </c>
      <c r="V22" s="9"/>
    </row>
    <row r="23" spans="2:22" x14ac:dyDescent="0.2">
      <c r="J23" s="27"/>
      <c r="K23" s="27"/>
      <c r="L23" s="27"/>
      <c r="M23" s="27"/>
      <c r="N23" s="27"/>
      <c r="O23" s="27"/>
      <c r="P23" s="27"/>
      <c r="Q23" s="27"/>
      <c r="U23" s="9"/>
      <c r="V23" s="9"/>
    </row>
    <row r="24" spans="2:22" x14ac:dyDescent="0.2">
      <c r="B24" s="2" t="s">
        <v>80</v>
      </c>
      <c r="J24" s="27"/>
      <c r="K24" s="27"/>
      <c r="L24" s="27"/>
      <c r="M24" s="27"/>
      <c r="N24" s="27"/>
      <c r="O24" s="27"/>
      <c r="P24" s="27"/>
      <c r="Q24" s="27"/>
      <c r="U24" s="9"/>
      <c r="V24" s="9"/>
    </row>
    <row r="25" spans="2:22" x14ac:dyDescent="0.2">
      <c r="B25" s="2" t="s">
        <v>81</v>
      </c>
      <c r="D25" s="2" t="s">
        <v>75</v>
      </c>
      <c r="J25" s="36">
        <v>8.9999999999999993E-3</v>
      </c>
      <c r="K25" s="36">
        <v>2.0999999999999999E-3</v>
      </c>
      <c r="L25" s="36">
        <v>-1.5E-3</v>
      </c>
      <c r="M25" s="36">
        <v>0</v>
      </c>
      <c r="N25" s="36">
        <v>1.44E-2</v>
      </c>
      <c r="O25" s="36">
        <v>2.75E-2</v>
      </c>
      <c r="P25" s="36">
        <v>2.6700000000000002E-2</v>
      </c>
      <c r="Q25" s="36">
        <v>2.5499999999999998E-2</v>
      </c>
      <c r="S25" s="44" t="s">
        <v>123</v>
      </c>
      <c r="U25" s="9" t="s">
        <v>126</v>
      </c>
    </row>
    <row r="26" spans="2:22" x14ac:dyDescent="0.2">
      <c r="B26" s="2" t="s">
        <v>82</v>
      </c>
      <c r="D26" s="2" t="s">
        <v>75</v>
      </c>
      <c r="F26" s="36">
        <v>5.0000000000000001E-3</v>
      </c>
      <c r="J26" s="27"/>
      <c r="K26" s="27"/>
      <c r="L26" s="27"/>
      <c r="M26" s="27"/>
      <c r="N26" s="27"/>
      <c r="O26" s="27"/>
      <c r="P26" s="27"/>
      <c r="Q26" s="27"/>
      <c r="S26" s="2" t="s">
        <v>67</v>
      </c>
      <c r="U26" s="9"/>
    </row>
    <row r="27" spans="2:22" x14ac:dyDescent="0.2">
      <c r="B27" s="2" t="s">
        <v>83</v>
      </c>
      <c r="D27" s="2" t="s">
        <v>75</v>
      </c>
      <c r="J27" s="36">
        <v>0.05</v>
      </c>
      <c r="K27" s="36">
        <v>0.05</v>
      </c>
      <c r="L27" s="36">
        <v>0.05</v>
      </c>
      <c r="M27" s="36">
        <v>0.05</v>
      </c>
      <c r="N27" s="36">
        <v>0.05</v>
      </c>
      <c r="O27" s="36">
        <v>0.05</v>
      </c>
      <c r="P27" s="36">
        <v>0.05</v>
      </c>
      <c r="Q27" s="36">
        <v>0.05</v>
      </c>
      <c r="S27" s="2" t="str">
        <f>'Bronnen en toepassingen'!$C$14</f>
        <v>Excelbestand bij adviesrapport Brattle 2023</v>
      </c>
    </row>
    <row r="28" spans="2:22" x14ac:dyDescent="0.2">
      <c r="B28" s="2" t="s">
        <v>84</v>
      </c>
      <c r="D28" s="2" t="s">
        <v>75</v>
      </c>
      <c r="J28" s="38">
        <v>0.47089619292831558</v>
      </c>
      <c r="K28" s="38">
        <v>0.47088553651493725</v>
      </c>
      <c r="L28" s="38">
        <v>0.53537905380155182</v>
      </c>
      <c r="M28" s="38">
        <v>0.532831431518756</v>
      </c>
      <c r="N28" s="38">
        <v>0.53770055418456031</v>
      </c>
      <c r="O28" s="38">
        <v>0.50963702880339512</v>
      </c>
      <c r="P28" s="38">
        <v>0.43699850777458682</v>
      </c>
      <c r="Q28" s="38">
        <v>0.43699850777458682</v>
      </c>
      <c r="S28" s="2" t="str">
        <f>'Bronnen en toepassingen'!$C$14</f>
        <v>Excelbestand bij adviesrapport Brattle 2023</v>
      </c>
    </row>
    <row r="30" spans="2:22" x14ac:dyDescent="0.2">
      <c r="B30" s="2" t="s">
        <v>107</v>
      </c>
      <c r="D30" s="2" t="s">
        <v>75</v>
      </c>
      <c r="F30" s="36">
        <v>5.0000000000000001E-3</v>
      </c>
      <c r="S30" s="2" t="s">
        <v>127</v>
      </c>
    </row>
    <row r="33" spans="2:2" x14ac:dyDescent="0.2">
      <c r="B33" s="23" t="s">
        <v>54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B2:B3"/>
  <sheetViews>
    <sheetView showGridLines="0" zoomScale="85" zoomScaleNormal="85" workbookViewId="0">
      <selection activeCell="B1" sqref="B1:B4"/>
    </sheetView>
  </sheetViews>
  <sheetFormatPr defaultColWidth="9.140625" defaultRowHeight="12.75" x14ac:dyDescent="0.2"/>
  <cols>
    <col min="1" max="1" width="5.7109375" style="17" customWidth="1"/>
    <col min="2" max="16384" width="9.140625" style="17"/>
  </cols>
  <sheetData>
    <row r="2" spans="2:2" x14ac:dyDescent="0.2">
      <c r="B2" s="31"/>
    </row>
    <row r="3" spans="2:2" x14ac:dyDescent="0.2">
      <c r="B3" s="3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CC"/>
  </sheetPr>
  <dimension ref="B2:W61"/>
  <sheetViews>
    <sheetView showGridLines="0" zoomScale="70" zoomScaleNormal="70" workbookViewId="0">
      <pane xSplit="4" ySplit="19" topLeftCell="O20" activePane="bottomRight" state="frozen"/>
      <selection activeCell="B6" sqref="B6"/>
      <selection pane="topRight" activeCell="B6" sqref="B6"/>
      <selection pane="bottomLeft" activeCell="B6" sqref="B6"/>
      <selection pane="bottomRight" activeCell="W34" sqref="W34"/>
    </sheetView>
  </sheetViews>
  <sheetFormatPr defaultColWidth="9.140625" defaultRowHeight="12.75" outlineLevelRow="1" outlineLevelCol="1" x14ac:dyDescent="0.2"/>
  <cols>
    <col min="1" max="1" width="5.7109375" style="2" customWidth="1"/>
    <col min="2" max="2" width="51.28515625" style="2" customWidth="1"/>
    <col min="3" max="3" width="5.7109375" style="2" customWidth="1"/>
    <col min="4" max="4" width="13.7109375" style="2" customWidth="1"/>
    <col min="5" max="5" width="2.7109375" style="2" customWidth="1"/>
    <col min="6" max="6" width="13.7109375" style="2" customWidth="1"/>
    <col min="7" max="7" width="2.7109375" style="2" customWidth="1"/>
    <col min="8" max="8" width="13.7109375" style="2" customWidth="1"/>
    <col min="9" max="9" width="2.7109375" style="2" customWidth="1"/>
    <col min="10" max="17" width="12.5703125" style="2" customWidth="1"/>
    <col min="18" max="19" width="12.5703125" style="2" customWidth="1" outlineLevel="1"/>
    <col min="20" max="22" width="2.7109375" style="2" customWidth="1"/>
    <col min="23" max="23" width="30.7109375" style="2" customWidth="1"/>
    <col min="24" max="37" width="13.7109375" style="2" customWidth="1"/>
    <col min="38" max="16384" width="9.140625" style="2"/>
  </cols>
  <sheetData>
    <row r="2" spans="2:6" s="14" customFormat="1" ht="18" x14ac:dyDescent="0.2">
      <c r="B2" s="14" t="s">
        <v>87</v>
      </c>
    </row>
    <row r="4" spans="2:6" x14ac:dyDescent="0.2">
      <c r="B4" s="22" t="s">
        <v>39</v>
      </c>
    </row>
    <row r="5" spans="2:6" x14ac:dyDescent="0.2">
      <c r="B5" s="18" t="s">
        <v>115</v>
      </c>
      <c r="F5" s="15"/>
    </row>
    <row r="6" spans="2:6" x14ac:dyDescent="0.2">
      <c r="B6" s="18"/>
      <c r="F6" s="15"/>
    </row>
    <row r="7" spans="2:6" x14ac:dyDescent="0.2">
      <c r="B7" s="23" t="s">
        <v>23</v>
      </c>
      <c r="F7" s="15"/>
    </row>
    <row r="8" spans="2:6" x14ac:dyDescent="0.2">
      <c r="B8" s="18" t="s">
        <v>88</v>
      </c>
    </row>
    <row r="9" spans="2:6" x14ac:dyDescent="0.2">
      <c r="B9" s="18"/>
    </row>
    <row r="10" spans="2:6" x14ac:dyDescent="0.2">
      <c r="B10" s="18" t="s">
        <v>89</v>
      </c>
    </row>
    <row r="11" spans="2:6" x14ac:dyDescent="0.2">
      <c r="B11" s="18" t="s">
        <v>90</v>
      </c>
    </row>
    <row r="12" spans="2:6" x14ac:dyDescent="0.2">
      <c r="B12" s="18" t="s">
        <v>91</v>
      </c>
    </row>
    <row r="13" spans="2:6" x14ac:dyDescent="0.2">
      <c r="B13" s="18" t="s">
        <v>110</v>
      </c>
    </row>
    <row r="14" spans="2:6" x14ac:dyDescent="0.2">
      <c r="B14" s="18" t="s">
        <v>92</v>
      </c>
    </row>
    <row r="15" spans="2:6" x14ac:dyDescent="0.2">
      <c r="B15" s="18" t="s">
        <v>93</v>
      </c>
    </row>
    <row r="16" spans="2:6" x14ac:dyDescent="0.2">
      <c r="B16" s="4"/>
    </row>
    <row r="18" spans="2:23" s="8" customFormat="1" x14ac:dyDescent="0.2">
      <c r="B18" s="8" t="s">
        <v>26</v>
      </c>
      <c r="D18" s="8" t="s">
        <v>20</v>
      </c>
      <c r="F18" s="8" t="s">
        <v>21</v>
      </c>
      <c r="H18" s="8" t="s">
        <v>32</v>
      </c>
      <c r="J18" s="37">
        <v>2018</v>
      </c>
      <c r="K18" s="37">
        <v>2019</v>
      </c>
      <c r="L18" s="37">
        <v>2020</v>
      </c>
      <c r="M18" s="37">
        <v>2021</v>
      </c>
      <c r="N18" s="37">
        <v>2022</v>
      </c>
      <c r="O18" s="37">
        <v>2023</v>
      </c>
      <c r="P18" s="37">
        <v>2024</v>
      </c>
      <c r="Q18" s="37">
        <v>2025</v>
      </c>
      <c r="R18" s="8" t="s">
        <v>29</v>
      </c>
      <c r="S18" s="8" t="s">
        <v>30</v>
      </c>
      <c r="W18" s="8" t="s">
        <v>28</v>
      </c>
    </row>
    <row r="21" spans="2:23" s="8" customFormat="1" x14ac:dyDescent="0.2">
      <c r="B21" s="8" t="s">
        <v>31</v>
      </c>
    </row>
    <row r="23" spans="2:23" x14ac:dyDescent="0.2">
      <c r="B23" s="22" t="s">
        <v>73</v>
      </c>
      <c r="J23" s="18"/>
      <c r="K23" s="18"/>
      <c r="L23" s="18"/>
      <c r="M23" s="18"/>
      <c r="N23" s="18"/>
      <c r="O23" s="18"/>
      <c r="P23" s="18"/>
      <c r="Q23" s="18"/>
      <c r="R23" s="18"/>
    </row>
    <row r="24" spans="2:23" x14ac:dyDescent="0.2">
      <c r="B24" s="2" t="s">
        <v>74</v>
      </c>
      <c r="D24" s="2" t="s">
        <v>75</v>
      </c>
      <c r="I24" s="18"/>
      <c r="J24" s="46">
        <f>Data!J17</f>
        <v>0.75</v>
      </c>
      <c r="K24" s="46">
        <f>Data!K17</f>
        <v>0.76</v>
      </c>
      <c r="L24" s="46">
        <f>Data!L17</f>
        <v>0.74</v>
      </c>
      <c r="M24" s="46">
        <f>Data!M17</f>
        <v>0.75</v>
      </c>
      <c r="N24" s="46">
        <f>Data!N17</f>
        <v>0.73</v>
      </c>
      <c r="O24" s="46">
        <f>Data!O17</f>
        <v>0.76</v>
      </c>
      <c r="P24" s="46">
        <f>Data!P17</f>
        <v>0.76</v>
      </c>
      <c r="Q24" s="46">
        <f>Data!Q17</f>
        <v>0.76</v>
      </c>
      <c r="R24" s="18"/>
    </row>
    <row r="25" spans="2:23" x14ac:dyDescent="0.2">
      <c r="B25" s="2" t="s">
        <v>76</v>
      </c>
      <c r="D25" s="2" t="s">
        <v>75</v>
      </c>
      <c r="I25" s="18"/>
      <c r="J25" s="46">
        <f>Data!J18</f>
        <v>0.25</v>
      </c>
      <c r="K25" s="46">
        <f>Data!K18</f>
        <v>0.25</v>
      </c>
      <c r="L25" s="46">
        <f>Data!L18</f>
        <v>0.25</v>
      </c>
      <c r="M25" s="46">
        <f>Data!M18</f>
        <v>0.25</v>
      </c>
      <c r="N25" s="46">
        <f>Data!N18</f>
        <v>0.25800000000000001</v>
      </c>
      <c r="O25" s="46">
        <f>Data!O18</f>
        <v>0.25800000000000001</v>
      </c>
      <c r="P25" s="46">
        <f>Data!P18</f>
        <v>0.25800000000000001</v>
      </c>
      <c r="Q25" s="46">
        <f>Data!Q18</f>
        <v>0.25800000000000001</v>
      </c>
      <c r="R25" s="18"/>
    </row>
    <row r="26" spans="2:23" x14ac:dyDescent="0.2"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2:23" x14ac:dyDescent="0.2">
      <c r="B27" s="1" t="s">
        <v>77</v>
      </c>
      <c r="I27" s="18"/>
      <c r="J27" s="46">
        <f>Data!J21</f>
        <v>2.4560853225248539E-2</v>
      </c>
      <c r="K27" s="46">
        <f>Data!K21</f>
        <v>3.0377503535024063E-2</v>
      </c>
      <c r="L27" s="46">
        <f>Data!L21</f>
        <v>2.9820327898740139E-2</v>
      </c>
      <c r="M27" s="46">
        <f>Data!M21</f>
        <v>2.9418494801680049E-2</v>
      </c>
      <c r="N27" s="46">
        <f>Data!N21</f>
        <v>3.0238318936847381E-2</v>
      </c>
      <c r="O27" s="46">
        <f>Data!O21</f>
        <v>3.8300000000000001E-2</v>
      </c>
      <c r="P27" s="46">
        <f>Data!P21</f>
        <v>3.8300000000000001E-2</v>
      </c>
      <c r="Q27" s="46">
        <f>Data!Q21</f>
        <v>3.8300000000000001E-2</v>
      </c>
      <c r="R27" s="18"/>
    </row>
    <row r="28" spans="2:23" x14ac:dyDescent="0.2">
      <c r="B28" s="2" t="s">
        <v>78</v>
      </c>
      <c r="D28" s="2" t="s">
        <v>75</v>
      </c>
      <c r="I28" s="18"/>
      <c r="J28" s="46">
        <f>Data!J22</f>
        <v>9.1724220739603928E-5</v>
      </c>
      <c r="K28" s="46">
        <f>Data!K22</f>
        <v>0</v>
      </c>
      <c r="L28" s="46">
        <f>Data!L22</f>
        <v>1.4247314719620499E-4</v>
      </c>
      <c r="M28" s="46">
        <f>Data!M22</f>
        <v>4.7297982327120115E-3</v>
      </c>
      <c r="N28" s="46">
        <f>Data!N22</f>
        <v>2.8421514071803266E-3</v>
      </c>
      <c r="O28" s="46">
        <f>Data!O22</f>
        <v>2.2000000000000001E-3</v>
      </c>
      <c r="P28" s="46">
        <f>Data!P22</f>
        <v>2.2000000000000001E-3</v>
      </c>
      <c r="Q28" s="46">
        <f>Data!Q22</f>
        <v>2.2000000000000001E-3</v>
      </c>
      <c r="R28" s="18"/>
    </row>
    <row r="29" spans="2:23" x14ac:dyDescent="0.2">
      <c r="B29" s="2" t="s">
        <v>79</v>
      </c>
      <c r="D29" s="2" t="s">
        <v>75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2:23" x14ac:dyDescent="0.2"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2:23" x14ac:dyDescent="0.2">
      <c r="B31" s="1" t="s">
        <v>80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2:23" x14ac:dyDescent="0.2">
      <c r="B32" s="2" t="s">
        <v>81</v>
      </c>
      <c r="D32" s="2" t="s">
        <v>75</v>
      </c>
      <c r="I32" s="18"/>
      <c r="J32" s="46">
        <f>Data!J25</f>
        <v>8.9999999999999993E-3</v>
      </c>
      <c r="K32" s="46">
        <f>Data!K25</f>
        <v>2.0999999999999999E-3</v>
      </c>
      <c r="L32" s="46">
        <f>Data!L25</f>
        <v>-1.5E-3</v>
      </c>
      <c r="M32" s="46">
        <f>Data!M25</f>
        <v>0</v>
      </c>
      <c r="N32" s="46">
        <f>Data!N25</f>
        <v>1.44E-2</v>
      </c>
      <c r="O32" s="46">
        <f>Data!O25</f>
        <v>2.75E-2</v>
      </c>
      <c r="P32" s="46">
        <f>Data!P25</f>
        <v>2.6700000000000002E-2</v>
      </c>
      <c r="Q32" s="46">
        <f>Data!Q25</f>
        <v>2.5499999999999998E-2</v>
      </c>
      <c r="R32" s="18"/>
    </row>
    <row r="33" spans="2:19" x14ac:dyDescent="0.2">
      <c r="B33" s="2" t="s">
        <v>82</v>
      </c>
      <c r="D33" s="2" t="s">
        <v>75</v>
      </c>
      <c r="F33" s="39">
        <f>Data!F26</f>
        <v>5.0000000000000001E-3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2:19" x14ac:dyDescent="0.2"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2:19" x14ac:dyDescent="0.2">
      <c r="B35" s="2" t="s">
        <v>83</v>
      </c>
      <c r="D35" s="2" t="s">
        <v>75</v>
      </c>
      <c r="I35" s="18"/>
      <c r="J35" s="46">
        <f>Data!J27</f>
        <v>0.05</v>
      </c>
      <c r="K35" s="46">
        <f>Data!K27</f>
        <v>0.05</v>
      </c>
      <c r="L35" s="46">
        <f>Data!L27</f>
        <v>0.05</v>
      </c>
      <c r="M35" s="46">
        <f>Data!M27</f>
        <v>0.05</v>
      </c>
      <c r="N35" s="46">
        <f>Data!N27</f>
        <v>0.05</v>
      </c>
      <c r="O35" s="46">
        <f>Data!O27</f>
        <v>0.05</v>
      </c>
      <c r="P35" s="46">
        <f>Data!P27</f>
        <v>0.05</v>
      </c>
      <c r="Q35" s="46">
        <f>Data!Q27</f>
        <v>0.05</v>
      </c>
      <c r="R35" s="18"/>
    </row>
    <row r="36" spans="2:19" x14ac:dyDescent="0.2">
      <c r="B36" s="2" t="s">
        <v>84</v>
      </c>
      <c r="D36" s="2" t="s">
        <v>75</v>
      </c>
      <c r="I36" s="18"/>
      <c r="J36" s="47">
        <f>Data!J28</f>
        <v>0.47089619292831558</v>
      </c>
      <c r="K36" s="47">
        <f>Data!K28</f>
        <v>0.47088553651493725</v>
      </c>
      <c r="L36" s="47">
        <f>Data!L28</f>
        <v>0.53537905380155182</v>
      </c>
      <c r="M36" s="47">
        <f>Data!M28</f>
        <v>0.532831431518756</v>
      </c>
      <c r="N36" s="47">
        <f>Data!N28</f>
        <v>0.53770055418456031</v>
      </c>
      <c r="O36" s="47">
        <f>Data!O28</f>
        <v>0.50963702880339512</v>
      </c>
      <c r="P36" s="47">
        <f>Data!P28</f>
        <v>0.43699850777458682</v>
      </c>
      <c r="Q36" s="47">
        <f>Data!Q28</f>
        <v>0.43699850777458682</v>
      </c>
      <c r="R36" s="18"/>
    </row>
    <row r="37" spans="2:19" x14ac:dyDescent="0.2"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2:19" x14ac:dyDescent="0.2">
      <c r="B38" s="2" t="s">
        <v>107</v>
      </c>
      <c r="D38" s="2" t="s">
        <v>75</v>
      </c>
      <c r="F38" s="39">
        <f>Data!F30</f>
        <v>5.0000000000000001E-3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2:19" x14ac:dyDescent="0.2"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2:19" x14ac:dyDescent="0.2"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2:19" s="8" customFormat="1" x14ac:dyDescent="0.2">
      <c r="B41" s="8" t="s">
        <v>87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2:19" x14ac:dyDescent="0.2"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2:19" x14ac:dyDescent="0.2">
      <c r="B43" s="22" t="s">
        <v>94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2:19" x14ac:dyDescent="0.2">
      <c r="B44" s="2" t="s">
        <v>95</v>
      </c>
      <c r="D44" s="2" t="s">
        <v>75</v>
      </c>
      <c r="I44" s="18"/>
      <c r="J44" s="42">
        <f t="shared" ref="J44:Q44" si="0">J27+J28</f>
        <v>2.4652577445988144E-2</v>
      </c>
      <c r="K44" s="42">
        <f t="shared" si="0"/>
        <v>3.0377503535024063E-2</v>
      </c>
      <c r="L44" s="42">
        <f t="shared" si="0"/>
        <v>2.9962801045936342E-2</v>
      </c>
      <c r="M44" s="42">
        <f t="shared" si="0"/>
        <v>3.4148293034392062E-2</v>
      </c>
      <c r="N44" s="42">
        <f t="shared" si="0"/>
        <v>3.308047034402771E-2</v>
      </c>
      <c r="O44" s="42">
        <f t="shared" si="0"/>
        <v>4.0500000000000001E-2</v>
      </c>
      <c r="P44" s="42">
        <f t="shared" si="0"/>
        <v>4.0500000000000001E-2</v>
      </c>
      <c r="Q44" s="42">
        <f t="shared" si="0"/>
        <v>4.0500000000000001E-2</v>
      </c>
      <c r="R44" s="18"/>
    </row>
    <row r="45" spans="2:19" x14ac:dyDescent="0.2"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2:19" x14ac:dyDescent="0.2">
      <c r="B46" s="1" t="s">
        <v>96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2:19" x14ac:dyDescent="0.2">
      <c r="B47" s="2" t="s">
        <v>97</v>
      </c>
      <c r="D47" s="2" t="s">
        <v>75</v>
      </c>
      <c r="I47" s="18"/>
      <c r="J47" s="42">
        <f t="shared" ref="J47:Q47" si="1">MAX(J32,$F$33)</f>
        <v>8.9999999999999993E-3</v>
      </c>
      <c r="K47" s="42">
        <f t="shared" si="1"/>
        <v>5.0000000000000001E-3</v>
      </c>
      <c r="L47" s="42">
        <f t="shared" si="1"/>
        <v>5.0000000000000001E-3</v>
      </c>
      <c r="M47" s="42">
        <f t="shared" si="1"/>
        <v>5.0000000000000001E-3</v>
      </c>
      <c r="N47" s="42">
        <f t="shared" si="1"/>
        <v>1.44E-2</v>
      </c>
      <c r="O47" s="42">
        <f t="shared" si="1"/>
        <v>2.75E-2</v>
      </c>
      <c r="P47" s="42">
        <f t="shared" si="1"/>
        <v>2.6700000000000002E-2</v>
      </c>
      <c r="Q47" s="42">
        <f t="shared" si="1"/>
        <v>2.5499999999999998E-2</v>
      </c>
      <c r="R47" s="18"/>
      <c r="S47" s="43"/>
    </row>
    <row r="48" spans="2:19" x14ac:dyDescent="0.2">
      <c r="B48" s="2" t="s">
        <v>98</v>
      </c>
      <c r="I48" s="18"/>
      <c r="J48" s="49">
        <f>((1-J24)+J24*(1-J25))/(1-J24)*J36</f>
        <v>1.5304126270170257</v>
      </c>
      <c r="K48" s="49">
        <f t="shared" ref="K48:P48" si="2">((1-K24)+K24*(1-K25))/(1-K24)*K36</f>
        <v>1.5892386857379135</v>
      </c>
      <c r="L48" s="49">
        <f t="shared" si="2"/>
        <v>1.6782074186471718</v>
      </c>
      <c r="M48" s="49">
        <f t="shared" si="2"/>
        <v>1.731702152435957</v>
      </c>
      <c r="N48" s="49">
        <f t="shared" si="2"/>
        <v>1.6164075252201489</v>
      </c>
      <c r="O48" s="49">
        <f t="shared" si="2"/>
        <v>1.7071141674817727</v>
      </c>
      <c r="P48" s="49">
        <f t="shared" si="2"/>
        <v>1.4637993348756078</v>
      </c>
      <c r="Q48" s="49">
        <f>Q36*((1-Q24)+Q24*(1-Q25))/(1-Q24)</f>
        <v>1.4637993348756078</v>
      </c>
      <c r="R48" s="18"/>
    </row>
    <row r="49" spans="2:23" x14ac:dyDescent="0.2">
      <c r="B49" s="2" t="s">
        <v>99</v>
      </c>
      <c r="D49" s="2" t="s">
        <v>75</v>
      </c>
      <c r="I49" s="18"/>
      <c r="J49" s="42">
        <f>J47+J35*J48</f>
        <v>8.5520631350851292E-2</v>
      </c>
      <c r="K49" s="42">
        <f>K47+K35*K48</f>
        <v>8.446193428689569E-2</v>
      </c>
      <c r="L49" s="42">
        <f>L47+L35*L48</f>
        <v>8.8910370932358596E-2</v>
      </c>
      <c r="M49" s="42">
        <f>M47+M35*M48</f>
        <v>9.1585107621797862E-2</v>
      </c>
      <c r="N49" s="42">
        <f t="shared" ref="N49:Q49" si="3">N47+N35*N48</f>
        <v>9.5220376261007447E-2</v>
      </c>
      <c r="O49" s="42">
        <f t="shared" si="3"/>
        <v>0.11285570837408863</v>
      </c>
      <c r="P49" s="42">
        <f t="shared" si="3"/>
        <v>9.9889966743780395E-2</v>
      </c>
      <c r="Q49" s="42">
        <f t="shared" si="3"/>
        <v>9.8689966743780388E-2</v>
      </c>
      <c r="R49" s="18"/>
    </row>
    <row r="50" spans="2:23" x14ac:dyDescent="0.2">
      <c r="B50" s="2" t="s">
        <v>100</v>
      </c>
      <c r="D50" s="2" t="s">
        <v>75</v>
      </c>
      <c r="I50" s="18"/>
      <c r="J50" s="42">
        <f>J49/(1-J25)</f>
        <v>0.11402750846780173</v>
      </c>
      <c r="K50" s="42">
        <f t="shared" ref="K50:Q50" si="4">K49/(1-K25)</f>
        <v>0.11261591238252759</v>
      </c>
      <c r="L50" s="42">
        <f t="shared" si="4"/>
        <v>0.11854716124314479</v>
      </c>
      <c r="M50" s="42">
        <f t="shared" si="4"/>
        <v>0.12211347682906382</v>
      </c>
      <c r="N50" s="42">
        <f t="shared" si="4"/>
        <v>0.12832934806065693</v>
      </c>
      <c r="O50" s="42">
        <f t="shared" si="4"/>
        <v>0.15209664201359654</v>
      </c>
      <c r="P50" s="42">
        <f t="shared" si="4"/>
        <v>0.13462259668973101</v>
      </c>
      <c r="Q50" s="42">
        <f t="shared" si="4"/>
        <v>0.13300534601587655</v>
      </c>
      <c r="R50" s="18"/>
    </row>
    <row r="51" spans="2:23" x14ac:dyDescent="0.2"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2:23" x14ac:dyDescent="0.2">
      <c r="B52" s="1" t="s">
        <v>101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2:23" x14ac:dyDescent="0.2">
      <c r="B53" s="2" t="s">
        <v>102</v>
      </c>
      <c r="D53" s="2" t="s">
        <v>75</v>
      </c>
      <c r="I53" s="18"/>
      <c r="J53" s="42">
        <f>J24*J44+(1-J24)*J50</f>
        <v>4.6996310201441543E-2</v>
      </c>
      <c r="K53" s="42">
        <f t="shared" ref="K53:Q53" si="5">K24*K44+(1-K24)*K50</f>
        <v>5.0114721658424913E-2</v>
      </c>
      <c r="L53" s="42">
        <f t="shared" si="5"/>
        <v>5.2994734697210541E-2</v>
      </c>
      <c r="M53" s="42">
        <f t="shared" si="5"/>
        <v>5.6139588983059999E-2</v>
      </c>
      <c r="N53" s="42">
        <f t="shared" si="5"/>
        <v>5.8797667327517601E-2</v>
      </c>
      <c r="O53" s="42">
        <f t="shared" si="5"/>
        <v>6.7283194083263165E-2</v>
      </c>
      <c r="P53" s="42">
        <f t="shared" si="5"/>
        <v>6.3089423205535441E-2</v>
      </c>
      <c r="Q53" s="42">
        <f t="shared" si="5"/>
        <v>6.2701283043810369E-2</v>
      </c>
      <c r="R53" s="18"/>
      <c r="W53" s="5"/>
    </row>
    <row r="54" spans="2:23" outlineLevel="1" x14ac:dyDescent="0.2">
      <c r="B54" s="2" t="s">
        <v>72</v>
      </c>
      <c r="D54" s="2" t="s">
        <v>75</v>
      </c>
      <c r="I54" s="18"/>
      <c r="J54" s="50">
        <f>ROUND(J53,3)</f>
        <v>4.7E-2</v>
      </c>
      <c r="K54" s="50">
        <f t="shared" ref="K54:Q54" si="6">ROUND(K53,3)</f>
        <v>0.05</v>
      </c>
      <c r="L54" s="50">
        <f t="shared" si="6"/>
        <v>5.2999999999999999E-2</v>
      </c>
      <c r="M54" s="50">
        <f t="shared" si="6"/>
        <v>5.6000000000000001E-2</v>
      </c>
      <c r="N54" s="50">
        <f t="shared" si="6"/>
        <v>5.8999999999999997E-2</v>
      </c>
      <c r="O54" s="50">
        <f t="shared" si="6"/>
        <v>6.7000000000000004E-2</v>
      </c>
      <c r="P54" s="50">
        <f t="shared" si="6"/>
        <v>6.3E-2</v>
      </c>
      <c r="Q54" s="50">
        <f t="shared" si="6"/>
        <v>6.3E-2</v>
      </c>
      <c r="R54" s="18"/>
      <c r="W54" s="2" t="s">
        <v>103</v>
      </c>
    </row>
    <row r="55" spans="2:23" x14ac:dyDescent="0.2"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2:23" x14ac:dyDescent="0.2">
      <c r="B56" s="1" t="s">
        <v>107</v>
      </c>
      <c r="D56" s="2" t="s">
        <v>75</v>
      </c>
      <c r="I56" s="18"/>
      <c r="J56" s="42">
        <f>$F$38</f>
        <v>5.0000000000000001E-3</v>
      </c>
      <c r="K56" s="42">
        <f t="shared" ref="K56:Q56" si="7">$F$38</f>
        <v>5.0000000000000001E-3</v>
      </c>
      <c r="L56" s="42">
        <f t="shared" si="7"/>
        <v>5.0000000000000001E-3</v>
      </c>
      <c r="M56" s="42">
        <f t="shared" si="7"/>
        <v>5.0000000000000001E-3</v>
      </c>
      <c r="N56" s="42">
        <f t="shared" si="7"/>
        <v>5.0000000000000001E-3</v>
      </c>
      <c r="O56" s="42">
        <f t="shared" si="7"/>
        <v>5.0000000000000001E-3</v>
      </c>
      <c r="P56" s="42">
        <f t="shared" si="7"/>
        <v>5.0000000000000001E-3</v>
      </c>
      <c r="Q56" s="42">
        <f t="shared" si="7"/>
        <v>5.0000000000000001E-3</v>
      </c>
      <c r="R56" s="18"/>
    </row>
    <row r="57" spans="2:23" x14ac:dyDescent="0.2"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2:23" x14ac:dyDescent="0.2">
      <c r="B58" s="1" t="s">
        <v>108</v>
      </c>
      <c r="D58" s="2" t="s">
        <v>75</v>
      </c>
      <c r="I58" s="18"/>
      <c r="J58" s="50">
        <f>J54+J56</f>
        <v>5.1999999999999998E-2</v>
      </c>
      <c r="K58" s="50">
        <f t="shared" ref="K58:Q58" si="8">K54+K56</f>
        <v>5.5E-2</v>
      </c>
      <c r="L58" s="50">
        <f t="shared" si="8"/>
        <v>5.7999999999999996E-2</v>
      </c>
      <c r="M58" s="50">
        <f t="shared" si="8"/>
        <v>6.0999999999999999E-2</v>
      </c>
      <c r="N58" s="50">
        <f t="shared" si="8"/>
        <v>6.4000000000000001E-2</v>
      </c>
      <c r="O58" s="50">
        <f t="shared" si="8"/>
        <v>7.2000000000000008E-2</v>
      </c>
      <c r="P58" s="50">
        <f t="shared" si="8"/>
        <v>6.8000000000000005E-2</v>
      </c>
      <c r="Q58" s="50">
        <f t="shared" si="8"/>
        <v>6.8000000000000005E-2</v>
      </c>
      <c r="R58" s="18"/>
    </row>
    <row r="59" spans="2:23" x14ac:dyDescent="0.2">
      <c r="I59" s="18"/>
      <c r="J59" s="51"/>
      <c r="K59" s="51"/>
      <c r="L59" s="51"/>
      <c r="M59" s="51"/>
      <c r="N59" s="51"/>
      <c r="O59" s="51"/>
      <c r="P59" s="51"/>
      <c r="Q59" s="51"/>
      <c r="R59" s="18"/>
    </row>
    <row r="61" spans="2:23" x14ac:dyDescent="0.2">
      <c r="J61" s="27"/>
      <c r="K61" s="27"/>
      <c r="L61" s="27"/>
      <c r="M61" s="27"/>
      <c r="N61" s="27"/>
      <c r="O61" s="27"/>
      <c r="P61" s="27"/>
      <c r="Q61" s="2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e7bef76-b888-41a2-a261-5f525b37d47e">ECT67VDXDTCW-640230012-28</_dlc_DocId>
    <_dlc_DocIdUrl xmlns="5e7bef76-b888-41a2-a261-5f525b37d47e">
      <Url>https://intranet.acm.local/project/excellent-in-excel/_layouts/15/DocIdRedir.aspx?ID=ECT67VDXDTCW-640230012-28</Url>
      <Description>ECT67VDXDTCW-640230012-28</Description>
    </_dlc_DocIdUrl>
    <Status xmlns="94b38974-1436-4631-a0be-797faa579778">Actueel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9BCFB3BA7984093AF6B5FDACCE3FF" ma:contentTypeVersion="3" ma:contentTypeDescription="Een nieuw document maken." ma:contentTypeScope="" ma:versionID="44c9b78b1b5f99b81785515933270f61">
  <xsd:schema xmlns:xsd="http://www.w3.org/2001/XMLSchema" xmlns:xs="http://www.w3.org/2001/XMLSchema" xmlns:p="http://schemas.microsoft.com/office/2006/metadata/properties" xmlns:ns2="5e7bef76-b888-41a2-a261-5f525b37d47e" xmlns:ns3="94b38974-1436-4631-a0be-797faa579778" targetNamespace="http://schemas.microsoft.com/office/2006/metadata/properties" ma:root="true" ma:fieldsID="682d6accd8b13bfc1b5fd9028b61781a" ns2:_="" ns3:_="">
    <xsd:import namespace="5e7bef76-b888-41a2-a261-5f525b37d47e"/>
    <xsd:import namespace="94b38974-1436-4631-a0be-797faa5797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8974-1436-4631-a0be-797faa579778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Actueel" ma:format="RadioButtons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BACF5907-5A9C-413A-AB63-8A8AE74C2D6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DC4B28-42FD-4275-AD39-0DAE99CBE63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5e7bef76-b888-41a2-a261-5f525b37d47e"/>
    <ds:schemaRef ds:uri="http://schemas.microsoft.com/office/infopath/2007/PartnerControls"/>
    <ds:schemaRef ds:uri="http://schemas.openxmlformats.org/package/2006/metadata/core-properties"/>
    <ds:schemaRef ds:uri="94b38974-1436-4631-a0be-797faa57977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320577-CAFC-4BDF-9994-709EBF76F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bef76-b888-41a2-a261-5f525b37d47e"/>
    <ds:schemaRef ds:uri="94b38974-1436-4631-a0be-797faa5797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CB1C9F-CCF9-4E38-862A-1CB92CDDD7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Titelblad</vt:lpstr>
      <vt:lpstr>Toelichting</vt:lpstr>
      <vt:lpstr>Bronnen en toepassingen</vt:lpstr>
      <vt:lpstr>Resultaat</vt:lpstr>
      <vt:lpstr>Input --&gt;</vt:lpstr>
      <vt:lpstr>Data</vt:lpstr>
      <vt:lpstr>Berekeningen --&gt;</vt:lpstr>
      <vt:lpstr>Berekening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2021-06-08T09:19:18Z</dcterms:created>
  <dcterms:modified xsi:type="dcterms:W3CDTF">2025-10-08T09:03:02Z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0x010100F459BCFB3BA7984093AF6B5FDACCE3FF</vt:lpwstr>
  </property>
  <property fmtid="{D5CDD505-2E9C-101B-9397-08002B2CF9AE}" pid="3" name="_dlc_DocIdItemGuid">
    <vt:lpwstr>3787884f-217a-413a-809c-5823269b9869</vt:lpwstr>
  </property>
</Properties>
</file>