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defaultThemeVersion="124226"/>
  <xr:revisionPtr revIDLastSave="0" documentId="8_{31781FA5-80C8-49C4-ADAA-8A8EFD5E128F}" xr6:coauthVersionLast="47" xr6:coauthVersionMax="47" xr10:uidLastSave="{00000000-0000-0000-0000-000000000000}"/>
  <bookViews>
    <workbookView xWindow="1950" yWindow="1950" windowWidth="21600" windowHeight="11325" xr2:uid="{00000000-000D-0000-FFFF-FFFF00000000}"/>
  </bookViews>
  <sheets>
    <sheet name="Titelblad" sheetId="9" r:id="rId1"/>
    <sheet name="Toelichting" sheetId="38" r:id="rId2"/>
    <sheet name="Bronnen en toepassingen" sheetId="11" r:id="rId3"/>
    <sheet name="1. Resultaat" sheetId="37" r:id="rId4"/>
    <sheet name="Input --&gt;" sheetId="13" r:id="rId5"/>
    <sheet name="2. Reguleringsparameters" sheetId="18" r:id="rId6"/>
    <sheet name="3. GAW model" sheetId="26" r:id="rId7"/>
    <sheet name="4. Operationele kosten" sheetId="25" r:id="rId8"/>
    <sheet name="Berekeningen --&gt;" sheetId="15" r:id="rId9"/>
    <sheet name="5. Berekening op parameters" sheetId="31" r:id="rId10"/>
    <sheet name="6. Berekening doorrollen " sheetId="33" r:id="rId11"/>
    <sheet name="7. Berekening bijschatten " sheetId="35" r:id="rId12"/>
    <sheet name="8. Berekening oper. kosten" sheetId="27" r:id="rId13"/>
    <sheet name="9. Berekening doelm.factor" sheetId="36"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[1]ORI!#REF!</definedName>
    <definedName name="afd">'[2]PwC - Afdelingen'!$A$2:$B$109</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#REF!</definedName>
    <definedName name="DF_GRID_3">[1]ORI!#REF!</definedName>
    <definedName name="ee">[1]ORI!#REF!</definedName>
    <definedName name="eeee">'[7]Toegestane Omzet'!#REF!</definedName>
    <definedName name="Eigenaar">[3]Lijsten!$G$2:$G$11</definedName>
    <definedName name="eur">#REF!</definedName>
    <definedName name="factor">#REF!</definedName>
    <definedName name="fik">[8]cockpit!$B$9</definedName>
    <definedName name="Financiering">[3]Lijsten!$P$2:$P$9</definedName>
    <definedName name="Jaar">[3]Lijsten!$A$2:$A$19</definedName>
    <definedName name="Kwartaal">[3]Lijsten!$B$2:$B$5</definedName>
    <definedName name="METHODE">#REF!</definedName>
    <definedName name="Naam">[9]Lijsten!$B$3:$B$10</definedName>
    <definedName name="NAAM_NE">'[7]Toegestane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'[7]Toegestane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olver_adj" localSheetId="13" hidden="1">'9. Berekening doelm.factor'!$F$38</definedName>
    <definedName name="solver_cvg" localSheetId="13" hidden="1">0.000001</definedName>
    <definedName name="solver_drv" localSheetId="13" hidden="1">1</definedName>
    <definedName name="solver_eng" localSheetId="12" hidden="1">1</definedName>
    <definedName name="solver_eng" localSheetId="13" hidden="1">1</definedName>
    <definedName name="solver_est" localSheetId="13" hidden="1">1</definedName>
    <definedName name="solver_itr" localSheetId="13" hidden="1">2147483647</definedName>
    <definedName name="solver_lhs0" localSheetId="13" hidden="1">'9. Berekening doelm.factor'!#REF!</definedName>
    <definedName name="solver_lhs1" localSheetId="13" hidden="1">'9. Berekening doelm.factor'!$F$43</definedName>
    <definedName name="solver_lhs2" localSheetId="13" hidden="1">'9. Berekening doelm.factor'!$F$43</definedName>
    <definedName name="solver_lhs3" localSheetId="13" hidden="1">'9. Berekening doelm.factor'!#REF!</definedName>
    <definedName name="solver_lhs4" localSheetId="13" hidden="1">'9. Berekening doelm.factor'!#REF!</definedName>
    <definedName name="solver_lhs5" localSheetId="13" hidden="1">'9. Berekening doelm.factor'!#REF!</definedName>
    <definedName name="solver_lhs6" localSheetId="13" hidden="1">'9. Berekening doelm.factor'!#REF!</definedName>
    <definedName name="solver_mip" localSheetId="13" hidden="1">2147483647</definedName>
    <definedName name="solver_mni" localSheetId="13" hidden="1">30</definedName>
    <definedName name="solver_mrt" localSheetId="13" hidden="1">0.075</definedName>
    <definedName name="solver_msl" localSheetId="13" hidden="1">2</definedName>
    <definedName name="solver_neg" localSheetId="12" hidden="1">1</definedName>
    <definedName name="solver_neg" localSheetId="13" hidden="1">2</definedName>
    <definedName name="solver_nod" localSheetId="13" hidden="1">2147483647</definedName>
    <definedName name="solver_num" localSheetId="12" hidden="1">0</definedName>
    <definedName name="solver_num" localSheetId="13" hidden="1">1</definedName>
    <definedName name="solver_nwt" localSheetId="13" hidden="1">1</definedName>
    <definedName name="solver_opt" localSheetId="12" hidden="1">'8. Berekening oper. kosten'!#REF!</definedName>
    <definedName name="solver_opt" localSheetId="13" hidden="1">'9. Berekening doelm.factor'!$F$43</definedName>
    <definedName name="solver_pre" localSheetId="13" hidden="1">0.00000000001</definedName>
    <definedName name="solver_rbv" localSheetId="13" hidden="1">1</definedName>
    <definedName name="solver_rel0" localSheetId="13" hidden="1">2</definedName>
    <definedName name="solver_rel1" localSheetId="13" hidden="1">2</definedName>
    <definedName name="solver_rel2" localSheetId="13" hidden="1">2</definedName>
    <definedName name="solver_rel3" localSheetId="13" hidden="1">2</definedName>
    <definedName name="solver_rel4" localSheetId="13" hidden="1">2</definedName>
    <definedName name="solver_rel5" localSheetId="13" hidden="1">2</definedName>
    <definedName name="solver_rel6" localSheetId="13" hidden="1">2</definedName>
    <definedName name="solver_rhs0" localSheetId="13" hidden="1">'9. Berekening doelm.factor'!#REF!</definedName>
    <definedName name="solver_rhs1" localSheetId="13" hidden="1">'9. Berekening doelm.factor'!$F$33</definedName>
    <definedName name="solver_rhs2" localSheetId="13" hidden="1">'9. Berekening doelm.factor'!$F$33</definedName>
    <definedName name="solver_rhs3" localSheetId="13" hidden="1">'9. Berekening doelm.factor'!#REF!</definedName>
    <definedName name="solver_rhs4" localSheetId="13" hidden="1">'9. Berekening doelm.factor'!#REF!</definedName>
    <definedName name="solver_rhs5" localSheetId="13" hidden="1">'9. Berekening doelm.factor'!#REF!</definedName>
    <definedName name="solver_rhs6" localSheetId="13" hidden="1">'9. Berekening doelm.factor'!#REF!</definedName>
    <definedName name="solver_rlx" localSheetId="13" hidden="1">2</definedName>
    <definedName name="solver_rsd" localSheetId="13" hidden="1">0</definedName>
    <definedName name="solver_scl" localSheetId="13" hidden="1">1</definedName>
    <definedName name="solver_sho" localSheetId="13" hidden="1">2</definedName>
    <definedName name="solver_ssz" localSheetId="13" hidden="1">100</definedName>
    <definedName name="solver_tim" localSheetId="13" hidden="1">2147483647</definedName>
    <definedName name="solver_tol" localSheetId="13" hidden="1">0.01</definedName>
    <definedName name="solver_typ" localSheetId="12" hidden="1">1</definedName>
    <definedName name="solver_typ" localSheetId="13" hidden="1">1</definedName>
    <definedName name="solver_val" localSheetId="12" hidden="1">0</definedName>
    <definedName name="solver_val" localSheetId="13" hidden="1">0</definedName>
    <definedName name="solver_ver" localSheetId="12" hidden="1">3</definedName>
    <definedName name="solver_ver" localSheetId="13" hidden="1">3</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27" l="1"/>
  <c r="M29" i="27"/>
  <c r="N30" i="27"/>
  <c r="O31" i="27"/>
  <c r="P32" i="27"/>
  <c r="L17" i="27"/>
  <c r="M18" i="27"/>
  <c r="N19" i="27"/>
  <c r="O20" i="27"/>
  <c r="P21" i="27"/>
  <c r="K57" i="27"/>
  <c r="L57" i="27"/>
  <c r="M57" i="27"/>
  <c r="N57" i="27"/>
  <c r="O57" i="27"/>
  <c r="P57" i="27"/>
  <c r="L58" i="27"/>
  <c r="M58" i="27"/>
  <c r="N58" i="27"/>
  <c r="O58" i="27"/>
  <c r="P58" i="27"/>
  <c r="M59" i="27"/>
  <c r="N59" i="27"/>
  <c r="O59" i="27"/>
  <c r="P59" i="27"/>
  <c r="N60" i="27"/>
  <c r="O60" i="27"/>
  <c r="P60" i="27"/>
  <c r="O61" i="27"/>
  <c r="P61" i="27"/>
  <c r="P62" i="27"/>
  <c r="I56" i="27"/>
  <c r="J56" i="27"/>
  <c r="K56" i="27"/>
  <c r="L56" i="27"/>
  <c r="M56" i="27"/>
  <c r="N56" i="27"/>
  <c r="O56" i="27"/>
  <c r="P56" i="27"/>
  <c r="H56" i="27"/>
  <c r="H53" i="27" l="1"/>
  <c r="I53" i="27"/>
  <c r="J53" i="27"/>
  <c r="I52" i="27"/>
  <c r="J52" i="27"/>
  <c r="H52" i="27"/>
  <c r="F40" i="27"/>
  <c r="F39" i="27" l="1"/>
  <c r="I18" i="37" l="1"/>
  <c r="J18" i="37"/>
  <c r="K18" i="37"/>
  <c r="L18" i="37"/>
  <c r="H18" i="37"/>
  <c r="L17" i="33" l="1"/>
  <c r="M17" i="33"/>
  <c r="N17" i="33"/>
  <c r="O17" i="33"/>
  <c r="P17" i="33"/>
  <c r="M16" i="33"/>
  <c r="N16" i="33"/>
  <c r="O16" i="33"/>
  <c r="P16" i="33"/>
  <c r="L16" i="33"/>
  <c r="I43" i="27" l="1"/>
  <c r="J43" i="27"/>
  <c r="H43" i="27"/>
  <c r="M19" i="36" l="1"/>
  <c r="N19" i="36"/>
  <c r="O19" i="36"/>
  <c r="P19" i="36"/>
  <c r="L19" i="36"/>
  <c r="M19" i="31" l="1"/>
  <c r="F56" i="31" s="1"/>
  <c r="N19" i="31"/>
  <c r="F57" i="31" s="1"/>
  <c r="O19" i="31"/>
  <c r="F58" i="31" s="1"/>
  <c r="P19" i="31"/>
  <c r="F59" i="31" s="1"/>
  <c r="L19" i="31"/>
  <c r="F55" i="31" s="1"/>
  <c r="P59" i="31"/>
  <c r="O58" i="31"/>
  <c r="N57" i="31"/>
  <c r="M56" i="31"/>
  <c r="L55" i="31"/>
  <c r="L16" i="36" s="1"/>
  <c r="L17" i="35" l="1"/>
  <c r="M17" i="35"/>
  <c r="N17" i="35"/>
  <c r="O17" i="35"/>
  <c r="P17" i="35"/>
  <c r="M16" i="35"/>
  <c r="N16" i="35"/>
  <c r="O16" i="35"/>
  <c r="P16" i="35"/>
  <c r="L16" i="35"/>
  <c r="B64" i="38" l="1"/>
  <c r="B52" i="38"/>
  <c r="B53" i="38" s="1"/>
  <c r="B54" i="38" l="1"/>
  <c r="B58" i="38" s="1"/>
  <c r="B59" i="38"/>
  <c r="M13" i="33" l="1"/>
  <c r="N13" i="33"/>
  <c r="O13" i="33"/>
  <c r="P13" i="33"/>
  <c r="L13" i="33"/>
  <c r="L22" i="33" l="1"/>
  <c r="M25" i="35"/>
  <c r="N25" i="35"/>
  <c r="O25" i="35"/>
  <c r="P25" i="35"/>
  <c r="L25" i="35"/>
  <c r="J23" i="35"/>
  <c r="M20" i="35"/>
  <c r="N20" i="35"/>
  <c r="O20" i="35"/>
  <c r="P20" i="35"/>
  <c r="M21" i="35"/>
  <c r="N21" i="35"/>
  <c r="O21" i="35"/>
  <c r="P21" i="35"/>
  <c r="L21" i="35"/>
  <c r="L20" i="35"/>
  <c r="L29" i="35" l="1"/>
  <c r="M29" i="35"/>
  <c r="M30" i="35" s="1"/>
  <c r="P29" i="35"/>
  <c r="P30" i="35" s="1"/>
  <c r="P31" i="35" s="1"/>
  <c r="O29" i="35"/>
  <c r="O30" i="35" s="1"/>
  <c r="N29" i="35"/>
  <c r="N30" i="35" s="1"/>
  <c r="L30" i="35"/>
  <c r="L31" i="35" l="1"/>
  <c r="O31" i="35"/>
  <c r="N31" i="35"/>
  <c r="N36" i="35" s="1"/>
  <c r="P36" i="35"/>
  <c r="P39" i="35" s="1"/>
  <c r="P24" i="36" s="1"/>
  <c r="O36" i="35" l="1"/>
  <c r="O39" i="35" s="1"/>
  <c r="O24" i="36" s="1"/>
  <c r="M31" i="35"/>
  <c r="N39" i="35"/>
  <c r="N24" i="36" s="1"/>
  <c r="L36" i="35" l="1"/>
  <c r="L39" i="35" s="1"/>
  <c r="L24" i="36" s="1"/>
  <c r="M36" i="35"/>
  <c r="M39" i="35" s="1"/>
  <c r="M24" i="36" s="1"/>
  <c r="N22" i="33"/>
  <c r="N25" i="33" s="1"/>
  <c r="N23" i="36" s="1"/>
  <c r="L25" i="33"/>
  <c r="L23" i="36" s="1"/>
  <c r="M22" i="33"/>
  <c r="M25" i="33" s="1"/>
  <c r="M23" i="36" s="1"/>
  <c r="O22" i="33" l="1"/>
  <c r="O25" i="33" s="1"/>
  <c r="O23" i="36" s="1"/>
  <c r="P22" i="33"/>
  <c r="P25" i="33" s="1"/>
  <c r="P23" i="36" s="1"/>
  <c r="F36" i="27" l="1"/>
  <c r="M78" i="27" l="1"/>
  <c r="N79" i="27"/>
  <c r="P81" i="27"/>
  <c r="L77" i="27"/>
  <c r="O80" i="27"/>
  <c r="H13" i="31"/>
  <c r="F25" i="31" s="1"/>
  <c r="I13" i="31"/>
  <c r="F26" i="31" s="1"/>
  <c r="J13" i="31"/>
  <c r="F27" i="31" s="1"/>
  <c r="K13" i="31"/>
  <c r="F28" i="31" s="1"/>
  <c r="L13" i="31"/>
  <c r="F29" i="31" s="1"/>
  <c r="L28" i="31" s="1"/>
  <c r="L16" i="27" s="1"/>
  <c r="M13" i="31"/>
  <c r="F30" i="31" s="1"/>
  <c r="M29" i="31" s="1"/>
  <c r="N13" i="31"/>
  <c r="F31" i="31" s="1"/>
  <c r="N30" i="31" s="1"/>
  <c r="N18" i="27" s="1"/>
  <c r="O13" i="31"/>
  <c r="F32" i="31" s="1"/>
  <c r="O31" i="31" s="1"/>
  <c r="O19" i="27" s="1"/>
  <c r="P13" i="31"/>
  <c r="F33" i="31" s="1"/>
  <c r="P32" i="31" s="1"/>
  <c r="P20" i="27" s="1"/>
  <c r="H16" i="31"/>
  <c r="F40" i="31" s="1"/>
  <c r="I16" i="31"/>
  <c r="F41" i="31" s="1"/>
  <c r="I40" i="31" s="1"/>
  <c r="J16" i="31"/>
  <c r="F42" i="31" s="1"/>
  <c r="J41" i="31" s="1"/>
  <c r="K16" i="31"/>
  <c r="L16" i="31"/>
  <c r="M16" i="31"/>
  <c r="N16" i="31"/>
  <c r="O16" i="31"/>
  <c r="P16" i="31"/>
  <c r="F48" i="31" s="1"/>
  <c r="P47" i="31" s="1"/>
  <c r="P31" i="27" s="1"/>
  <c r="P80" i="27" s="1"/>
  <c r="M28" i="31" l="1"/>
  <c r="M16" i="27" s="1"/>
  <c r="M17" i="27"/>
  <c r="N29" i="31"/>
  <c r="O30" i="31"/>
  <c r="P31" i="31"/>
  <c r="F45" i="31"/>
  <c r="M44" i="31" s="1"/>
  <c r="M28" i="27" s="1"/>
  <c r="M77" i="27" s="1"/>
  <c r="N56" i="31"/>
  <c r="F44" i="31"/>
  <c r="L43" i="31" s="1"/>
  <c r="L27" i="27" s="1"/>
  <c r="L76" i="27" s="1"/>
  <c r="M55" i="31"/>
  <c r="M16" i="36" s="1"/>
  <c r="F47" i="31"/>
  <c r="O46" i="31" s="1"/>
  <c r="O30" i="27" s="1"/>
  <c r="O79" i="27" s="1"/>
  <c r="P58" i="31"/>
  <c r="F43" i="31"/>
  <c r="K42" i="31" s="1"/>
  <c r="K41" i="31" s="1"/>
  <c r="K40" i="31" s="1"/>
  <c r="F46" i="31"/>
  <c r="N45" i="31" s="1"/>
  <c r="N29" i="27" s="1"/>
  <c r="N78" i="27" s="1"/>
  <c r="O57" i="31"/>
  <c r="J40" i="31"/>
  <c r="O29" i="31" l="1"/>
  <c r="O18" i="27"/>
  <c r="N28" i="31"/>
  <c r="N16" i="27" s="1"/>
  <c r="N17" i="27"/>
  <c r="P30" i="31"/>
  <c r="P19" i="27"/>
  <c r="P46" i="31"/>
  <c r="P30" i="27" s="1"/>
  <c r="P79" i="27" s="1"/>
  <c r="N44" i="31"/>
  <c r="L42" i="31"/>
  <c r="L41" i="31" s="1"/>
  <c r="O45" i="31"/>
  <c r="M43" i="31"/>
  <c r="O56" i="31"/>
  <c r="O55" i="31" s="1"/>
  <c r="O16" i="36" s="1"/>
  <c r="P57" i="31"/>
  <c r="N55" i="31"/>
  <c r="N16" i="36" s="1"/>
  <c r="P45" i="31"/>
  <c r="P29" i="27" s="1"/>
  <c r="P78" i="27" s="1"/>
  <c r="J26" i="31"/>
  <c r="K27" i="31"/>
  <c r="I25" i="31"/>
  <c r="N43" i="31" l="1"/>
  <c r="N27" i="27" s="1"/>
  <c r="N76" i="27" s="1"/>
  <c r="N28" i="27"/>
  <c r="N77" i="27" s="1"/>
  <c r="M42" i="31"/>
  <c r="M27" i="27"/>
  <c r="M76" i="27" s="1"/>
  <c r="O44" i="31"/>
  <c r="O28" i="27" s="1"/>
  <c r="O77" i="27" s="1"/>
  <c r="O29" i="27"/>
  <c r="O78" i="27" s="1"/>
  <c r="P29" i="31"/>
  <c r="P18" i="27"/>
  <c r="O28" i="31"/>
  <c r="O16" i="27" s="1"/>
  <c r="O17" i="27"/>
  <c r="P56" i="31"/>
  <c r="L26" i="27"/>
  <c r="N42" i="31"/>
  <c r="O43" i="31"/>
  <c r="O27" i="27" s="1"/>
  <c r="O76" i="27" s="1"/>
  <c r="M41" i="31"/>
  <c r="M26" i="27"/>
  <c r="P44" i="31"/>
  <c r="P28" i="27" s="1"/>
  <c r="P77" i="27" s="1"/>
  <c r="L40" i="31"/>
  <c r="L25" i="27"/>
  <c r="K26" i="31"/>
  <c r="K25" i="31" s="1"/>
  <c r="J25" i="31"/>
  <c r="L27" i="31"/>
  <c r="P28" i="31" l="1"/>
  <c r="P16" i="27" s="1"/>
  <c r="P17" i="27"/>
  <c r="P55" i="31"/>
  <c r="P16" i="36" s="1"/>
  <c r="L26" i="31"/>
  <c r="L15" i="27"/>
  <c r="M27" i="31"/>
  <c r="L24" i="27"/>
  <c r="M40" i="31"/>
  <c r="M25" i="27"/>
  <c r="O42" i="31"/>
  <c r="P43" i="31"/>
  <c r="P27" i="27" s="1"/>
  <c r="P76" i="27" s="1"/>
  <c r="N41" i="31"/>
  <c r="N26" i="27"/>
  <c r="P42" i="31" l="1"/>
  <c r="O41" i="31"/>
  <c r="O26" i="27"/>
  <c r="L25" i="31"/>
  <c r="L14" i="27"/>
  <c r="F20" i="36"/>
  <c r="N40" i="31"/>
  <c r="N25" i="27"/>
  <c r="N27" i="31"/>
  <c r="M24" i="27"/>
  <c r="M26" i="31"/>
  <c r="M15" i="27"/>
  <c r="N24" i="27" l="1"/>
  <c r="P41" i="31"/>
  <c r="P26" i="27"/>
  <c r="L13" i="27"/>
  <c r="M25" i="31"/>
  <c r="M14" i="27"/>
  <c r="N26" i="31"/>
  <c r="N15" i="27"/>
  <c r="P27" i="31"/>
  <c r="O40" i="31"/>
  <c r="O25" i="27"/>
  <c r="O27" i="31"/>
  <c r="L75" i="27" l="1"/>
  <c r="L68" i="27"/>
  <c r="L67" i="27"/>
  <c r="P40" i="31"/>
  <c r="P25" i="27"/>
  <c r="P26" i="31"/>
  <c r="P15" i="27"/>
  <c r="M13" i="27"/>
  <c r="O26" i="31"/>
  <c r="O15" i="27"/>
  <c r="O24" i="27"/>
  <c r="N25" i="31"/>
  <c r="N14" i="27"/>
  <c r="M75" i="27" l="1"/>
  <c r="M68" i="27"/>
  <c r="M67" i="27"/>
  <c r="N13" i="27"/>
  <c r="P24" i="27"/>
  <c r="P25" i="31"/>
  <c r="P14" i="27"/>
  <c r="O25" i="31"/>
  <c r="O14" i="27"/>
  <c r="N75" i="27" l="1"/>
  <c r="N68" i="27"/>
  <c r="N67" i="27"/>
  <c r="P13" i="27"/>
  <c r="O13" i="27"/>
  <c r="P75" i="27" l="1"/>
  <c r="P68" i="27"/>
  <c r="O75" i="27"/>
  <c r="O68" i="27"/>
  <c r="O67" i="27"/>
  <c r="P67" i="27"/>
  <c r="M25" i="36"/>
  <c r="M30" i="36" s="1"/>
  <c r="L25" i="36"/>
  <c r="L30" i="36" s="1"/>
  <c r="N25" i="36" l="1"/>
  <c r="N30" i="36" s="1"/>
  <c r="P25" i="36" l="1"/>
  <c r="P30" i="36" s="1"/>
  <c r="F39" i="36" s="1"/>
  <c r="O25" i="36"/>
  <c r="O30" i="36" s="1"/>
  <c r="F33" i="36" l="1"/>
  <c r="F40" i="36"/>
  <c r="L42" i="36" s="1"/>
  <c r="M42" i="36" s="1"/>
  <c r="N42" i="36" s="1"/>
  <c r="O42" i="36" s="1"/>
  <c r="P42" i="36" s="1"/>
  <c r="F43" i="36" l="1"/>
  <c r="F46" i="36" s="1"/>
  <c r="F47" i="36" l="1"/>
  <c r="F48" i="36" s="1"/>
  <c r="F12" i="37" l="1"/>
  <c r="F14" i="37" l="1"/>
  <c r="L49" i="36"/>
  <c r="H22" i="37" l="1"/>
  <c r="M49" i="36"/>
  <c r="N49" i="36" l="1"/>
  <c r="J22" i="37" s="1"/>
  <c r="I22" i="37"/>
  <c r="O49" i="36" l="1"/>
  <c r="P49" i="36" l="1"/>
  <c r="K22" i="37"/>
  <c r="L22"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58" authorId="0" shapeId="0" xr:uid="{00000000-0006-0000-04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<sst xmlns="http://schemas.openxmlformats.org/spreadsheetml/2006/main" count="611" uniqueCount="371">
  <si>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</si>
  <si>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</si>
  <si>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</si>
  <si>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</si>
  <si>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</si>
  <si>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</si>
  <si>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</si>
  <si>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</si>
  <si>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</si>
  <si>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</si>
  <si>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</si>
  <si>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</si>
  <si>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</si>
  <si>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</si>
  <si>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</si>
  <si>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</si>
  <si>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</si>
  <si>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</si>
  <si>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</si>
  <si>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</si>
  <si>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</si>
  <si>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</si>
  <si>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</si>
  <si>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</si>
  <si>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</si>
  <si>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</si>
  <si>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</si>
  <si>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</si>
  <si>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</si>
  <si>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</si>
  <si>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</si>
  <si>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</si>
  <si>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</si>
  <si>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</si>
  <si>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</si>
  <si>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</si>
  <si>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</si>
  <si>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</si>
  <si>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</si>
  <si>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</si>
  <si>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</si>
  <si>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</si>
  <si>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</si>
  <si>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</si>
  <si>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</si>
  <si>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</si>
  <si>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</si>
  <si>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</si>
  <si>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</si>
  <si>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</si>
  <si>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</si>
  <si>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</si>
  <si>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</si>
  <si>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</si>
  <si>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</si>
  <si>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</si>
  <si>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berekening</t>
  </si>
  <si>
    <t>Beschrijving resultaat</t>
  </si>
  <si>
    <t>Grijze cijfers geven de uitkomt van een check berekening; dit is geen resultaat waarmee verder wordt gerekend</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</si>
  <si>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</si>
  <si>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</si>
  <si>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</si>
  <si>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</si>
  <si>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</si>
  <si>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</si>
  <si>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</si>
  <si>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</si>
  <si>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</si>
  <si>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</si>
  <si>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</si>
  <si>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</si>
  <si>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</si>
  <si>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</si>
  <si>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</si>
  <si>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t>
  </si>
  <si>
    <t>Jaarlijkse CPI</t>
  </si>
  <si>
    <t>1+CPI</t>
  </si>
  <si>
    <t>2020</t>
  </si>
  <si>
    <t>2021</t>
  </si>
  <si>
    <t>2022</t>
  </si>
  <si>
    <t>2023</t>
  </si>
  <si>
    <t>2024</t>
  </si>
  <si>
    <t>2025</t>
  </si>
  <si>
    <t>2026</t>
  </si>
  <si>
    <t>CPI</t>
  </si>
  <si>
    <t>Frontier shift</t>
  </si>
  <si>
    <t>EUR, pp jaar</t>
  </si>
  <si>
    <t>Berekening CPI-mutatie</t>
  </si>
  <si>
    <t>Berekening frontier shift</t>
  </si>
  <si>
    <t>2018</t>
  </si>
  <si>
    <t>2019</t>
  </si>
  <si>
    <t>CPI september jaar t-2 t/m augustus jaar t-1</t>
  </si>
  <si>
    <t>1- opex FS</t>
  </si>
  <si>
    <t>WACC</t>
  </si>
  <si>
    <t>Invulmodule reguleringsdata TenneT 2018</t>
  </si>
  <si>
    <t>Invulmodule reguleringsdata TenneT 2019</t>
  </si>
  <si>
    <t>Reguleringsdata TenneT 2018</t>
  </si>
  <si>
    <t>Reguleringsdata TenneT 2019</t>
  </si>
  <si>
    <t>Tabel 1 - Resultaat</t>
  </si>
  <si>
    <t>Tabel 4 - Operationele kosten</t>
  </si>
  <si>
    <t>Tabel 5 - Berekening op parameters</t>
  </si>
  <si>
    <t>1+CPI van 2018 naar jaar</t>
  </si>
  <si>
    <t>1+CPI van 2019 naar jaar</t>
  </si>
  <si>
    <t>1+CPI van 2020 naar jaar</t>
  </si>
  <si>
    <t xml:space="preserve">1+CPI </t>
  </si>
  <si>
    <t>1-Frontier shift</t>
  </si>
  <si>
    <t>1-FS van 2018 naar jaar</t>
  </si>
  <si>
    <t>1-FS van 2019 naar jaar</t>
  </si>
  <si>
    <t>1-FS van 2020 naar jaar</t>
  </si>
  <si>
    <t>1+%</t>
  </si>
  <si>
    <t>Tabel 8 - Berekening verwachte operationele kosten</t>
  </si>
  <si>
    <t>Tabel 3 - Input uit het GAW model</t>
  </si>
  <si>
    <t>Kapitaalkosten doorrollen</t>
  </si>
  <si>
    <t>Vermogenskosten</t>
  </si>
  <si>
    <t>Formule</t>
  </si>
  <si>
    <t>Tabel 6 - Berekening kapitaalkosten doorrollen</t>
  </si>
  <si>
    <t>Percentage bijschatten bestaand vermogen</t>
  </si>
  <si>
    <t>Percentage bijschatten nieuw vermogen</t>
  </si>
  <si>
    <t>Stijging GAW</t>
  </si>
  <si>
    <t>Stijging benodigd vermogen</t>
  </si>
  <si>
    <t>Toegestane inkomsten</t>
  </si>
  <si>
    <t>EUR, pp 2021</t>
  </si>
  <si>
    <t>Begininkomsten</t>
  </si>
  <si>
    <t>Definitieve resultaten</t>
  </si>
  <si>
    <t>Netto contante waarde 2022</t>
  </si>
  <si>
    <t>EUR,  pp 2026</t>
  </si>
  <si>
    <t>Eindinkomsten</t>
  </si>
  <si>
    <t>De waarde in de roze cel is door de oplosser berekend. Zie de toelichting bij de oplosser in het tabblad 'Bronnen en toepassingen' voor een meer gedetailleerdere toelichting.</t>
  </si>
  <si>
    <t>EUR,  pp 2021</t>
  </si>
  <si>
    <t>Hulpberekeningen voor de oplosser</t>
  </si>
  <si>
    <t>1+ CPI van 2021 naar 2026</t>
  </si>
  <si>
    <t>Jaarlijkse consumentenprijsindex</t>
  </si>
  <si>
    <t>1+ discontovoet</t>
  </si>
  <si>
    <t>Nominale WACC bestaand vermogen</t>
  </si>
  <si>
    <t xml:space="preserve">Begininkomsten </t>
  </si>
  <si>
    <t>Geschatte inflatie</t>
  </si>
  <si>
    <t>Samenhang van dit bestand met andere bestanden</t>
  </si>
  <si>
    <t>Reguleringsdata</t>
  </si>
  <si>
    <t>GAW model</t>
  </si>
  <si>
    <t>Toelichting samenhang tabbladen:</t>
  </si>
  <si>
    <t>Berekeningen</t>
  </si>
  <si>
    <t>2. Reguleringsparameters</t>
  </si>
  <si>
    <t>5. Berekening op parameters</t>
  </si>
  <si>
    <t>[berekeningstabbladen]</t>
  </si>
  <si>
    <t>3. GAW model</t>
  </si>
  <si>
    <t>6. Berekening doorrollen</t>
  </si>
  <si>
    <t>7. Berekening bijschatten</t>
  </si>
  <si>
    <t>1. Resultaat</t>
  </si>
  <si>
    <t>4. Operationele kosten</t>
  </si>
  <si>
    <t>8. Berekening oper. kosten</t>
  </si>
  <si>
    <t>Oplosser</t>
  </si>
  <si>
    <t>Gebruik van oplosser</t>
  </si>
  <si>
    <t>https://support.office.com/nl-nl/article/de-invoegtoepassing-oplosser-laden-in-excel-612926fc-d53b-46b4-872c-e24772f078ca</t>
  </si>
  <si>
    <t>1. De oplosser kan worden geopend via Gegevens – Analysis – Solver
2. Klik op “Solve” om de begininkomsten te berekenen.
3. Er verschijnt nu een pop-up. Controleer of “Keep solver solution” is aangevinkt. Klik vervolgens op “OK”.
4. De begininkomsten zijn nu opnieuw berekend.</t>
  </si>
  <si>
    <t>1-%</t>
  </si>
  <si>
    <t>1 - Frontier shift van … naar …</t>
  </si>
  <si>
    <t xml:space="preserve">1+ CPI van … naar … </t>
  </si>
  <si>
    <t>Berekening discontovoet</t>
  </si>
  <si>
    <t>1 + Discontovoet</t>
  </si>
  <si>
    <t xml:space="preserve">Nominale WACC </t>
  </si>
  <si>
    <t>1 + Discontovoet van ... naar…</t>
  </si>
  <si>
    <t>Link</t>
  </si>
  <si>
    <t>Nee</t>
  </si>
  <si>
    <t>Ja</t>
  </si>
  <si>
    <t xml:space="preserve">Op dit tabblad berekent de ACM de bijschating van kapitaalkosten van activa geactiveerd vanaf 2020 (bijschatten). De hoogte van de bijschatting en de daaruit volgende GAW en afschrijvingen worden berekend in het GAW model. De kapitaalkosten bestaan uit de afschrijvingen en de vermogenskosten. De vermogenskosten worden berekend door de gestandaardiseerde activawaarde (GAW) te vermenigvuldigen met de gewogen gemiddelde kosten van kapitaal (WACC). </t>
  </si>
  <si>
    <t>Realisatie regel- en reservevermogen</t>
  </si>
  <si>
    <t>Realisatie noodvermogen</t>
  </si>
  <si>
    <t>Realisatie primaire reserve</t>
  </si>
  <si>
    <t>Realisatie herstelvoorzieningen</t>
  </si>
  <si>
    <t>Operationele kosten systeemtaak</t>
  </si>
  <si>
    <t>Inkoopkosten energie &amp; vermogen</t>
  </si>
  <si>
    <t xml:space="preserve">Afschrijvingen activa geactiveerd t/m 2020 </t>
  </si>
  <si>
    <t>Afschrijvingen en GAW</t>
  </si>
  <si>
    <t>Vermogenskosten doorrollen</t>
  </si>
  <si>
    <t xml:space="preserve">Kapitaalkosten doorrollen </t>
  </si>
  <si>
    <t xml:space="preserve">GAW Ultimo 2020 </t>
  </si>
  <si>
    <t xml:space="preserve">GAW activa doorrollen t/m 2020 </t>
  </si>
  <si>
    <t xml:space="preserve">Als de totale activawaarde (de GAW van doorrollen + bijschatten) hoger is dan de GAW ultimo 2020 wordt over de stijging de WACC nieuw vermogen toegepast. </t>
  </si>
  <si>
    <t xml:space="preserve">Berekening operationele kosten </t>
  </si>
  <si>
    <t xml:space="preserve">Verwachte operationele kosten </t>
  </si>
  <si>
    <t>Verwachte kosten systeemtaak</t>
  </si>
  <si>
    <t xml:space="preserve">Verwachte kapitaalkosten bijschatten </t>
  </si>
  <si>
    <t>Berekening kapitaalkosten doorrollen</t>
  </si>
  <si>
    <t>GAW activa geactiveerd t/m 2020</t>
  </si>
  <si>
    <t>Afschrijvingen en GAW systeem (doorrollen)</t>
  </si>
  <si>
    <t>Afschrijvingen activa geactiveerd t/m 2020 systeem</t>
  </si>
  <si>
    <t>Afschrijvingen en GAW systeem (bijschatten)</t>
  </si>
  <si>
    <t>GAW Ultimo 2020 systeem</t>
  </si>
  <si>
    <t>GAW activa geactiveerd t/m 2020 systeem</t>
  </si>
  <si>
    <t>GAW-berekening TenneT</t>
  </si>
  <si>
    <t xml:space="preserve">GAW ultimo 2020 systeem </t>
  </si>
  <si>
    <t xml:space="preserve">Op dit tabblad berekent de ACM de kapitaalkosten van activa geactiveerd tot en met 2020 (doorrollen). De kapitaalkosten bestaan uit de afschrijvingen en de vermogenskosten. De vermogenskosten worden berekend door de gestandardiseerde activawaarde (GAW) te vermenigvuldigen met de gewogen gemiddelde kosten van kapitaal (WACC). Voor de systeemtaken wordt er geen onderscheid gemaakt tussen binnen scope en buiten scope omdat de kosten voor de systeemtaken geen onderdeel uitmaken van het benchmark (TCB18) onderzoek. Er wordt dus geen statische efficiëntiescore toegepast op de kosten van de systeemtaken. </t>
  </si>
  <si>
    <t>Afschrijvingen en GAW systeem</t>
  </si>
  <si>
    <t>Directe algemene operationele kosten</t>
  </si>
  <si>
    <t>GAW activa bijschatten vanaf 2021 systeem</t>
  </si>
  <si>
    <t>Afschrijvingen activa bijschatten vanaf 2021 systeem</t>
  </si>
  <si>
    <t xml:space="preserve">Afschrijvingen activa bijschatten vanaf 2021 </t>
  </si>
  <si>
    <t xml:space="preserve">GAW activa bijschatten vanaf 2021 </t>
  </si>
  <si>
    <t>1+ discontovoet van pp 2022 naar pp jaar</t>
  </si>
  <si>
    <t>CBS</t>
  </si>
  <si>
    <t>CBS Statline Jaarmutatie consumentenprijsindex</t>
  </si>
  <si>
    <t>Input</t>
  </si>
  <si>
    <t>Tabel 2 - Reguleringsparameters</t>
  </si>
  <si>
    <t xml:space="preserve">Indirecte algemene operationele kosten </t>
  </si>
  <si>
    <t>Indirecte algemene operationele kosten</t>
  </si>
  <si>
    <t>Op dit blad voert de ACM berekeningen op de CPI, de frontier shift en de nominale WACC uit, zodat deze toegepast kunnen worden in de berekening van de verwachte efficiënte kosten. In de tariefregulering is de WACC de schatting van de vermogenskostenvoet. Daarom gebruikt de ACM de WACC als disconteringsvoet voor de verschillen. De ACM gebruikt de nominale WACC omdat deze WACC ook een inflatievergoeding voor vermogensverschaffers bevat.</t>
  </si>
  <si>
    <t>16 t/m 20</t>
  </si>
  <si>
    <t>Verwachte verandering OPEX a.g.v. uitbreiding/krimp van de netomvang: % van verandering aanschafwaarden</t>
  </si>
  <si>
    <t>Verwachte verandering OPEX a.g.v. uitbreiding/krimp van de netomvang</t>
  </si>
  <si>
    <t xml:space="preserve">Op dit tabblad geeft de ACM de GAW-waarden ultimo 2020 voor de systeemtaken weer. Daarnaast toont dit tabblad de GAW en afschrijvingen voor de periode 2022-2026 zoals berekend in het GAW-model op basis van "doorrollen en bijschatten". Voor de bijgeschatte investeringen zijn in dit tabblad de waarden opgenomen voor de jaren 2022 t/m 2026. Deze gegevens zijn afkomstig uit het GAW-model en worden gebruikt voor de berekening van de verwachte kapitaalkosten. Voor de systeemtaken wordt er geen onderscheid gemaakt tussen binnen scope en buiten scope omdat de kosten voor de systeemtaken geen onderdeel uitmaken van het benchmark (TCB18) onderzoek. Er wordt dus geen statische efficiëntiescore toegepast op de kosten van de systeemtaken. </t>
  </si>
  <si>
    <t>Reële aanschafwaarden</t>
  </si>
  <si>
    <t>Op dit tabblad geeft de ACM een overzicht van de operationele kosten voor de systeemtaken van TenneT voor de jaren 2018 t/m 2020. Deze zijn de basis voor de verwachte (efficiënte) operationele kosten voor de reguleringsperiode 2022-2026. De operationele kosten kunnen worden opgesplitst in algemene operationele kosten en inkoopkosten energie &amp; vermogen. Binnen de algemene operationele kosten maakt de ACM nog een verder onderscheid tussen directe en indirecte algemene operationele kosten.</t>
  </si>
  <si>
    <t>Tabel 7 - Berekening verwachte kapitaalkosten bijschatten</t>
  </si>
  <si>
    <t>Berekening verwachte kapitaalkosten</t>
  </si>
  <si>
    <t xml:space="preserve">Verwachte vermogenskosten bijschatten </t>
  </si>
  <si>
    <t>Verwachte vermogenskosten</t>
  </si>
  <si>
    <t>Verwachte kapitaalkosten bijschatten</t>
  </si>
  <si>
    <t xml:space="preserve">Verwachte verandering operationele kosten a.g.v. veranderende netomvang </t>
  </si>
  <si>
    <t>Verwachte operationele kosten wegens het in stand houden van het net</t>
  </si>
  <si>
    <t>Tabel 9 - Berekening doelmatigheidsfactor</t>
  </si>
  <si>
    <t>Op dit tabblad berekent de ACM de verwachte efficiënte kosten, de begininkomsten, de eindinkomsten, de doelmatigheidsfactor en de toegestane inkomsten. De eindinkomsten zijn gelijk aan de verwachte efficiënte kosten 2026. De doelmatigheidsfactor is het resultaat van een berekening van het verschil tussen de verwachte jaarlijkse ontwikkeling van de CPI in de periode 2021-2026 en de jaarlijkse ontwikkeling tussen de begininkomsten en de eindinkomsten. Zie 'toelichting bij bijzonderheden' voor een toelichting bij de berekening van de begininkomsten.</t>
  </si>
  <si>
    <t>Om de begininkomsten te bepalen, gebruikt de ACM de invoegtoepassing 'Oplosser'. Een expliciete berekening voor de begininkomsten 2021 modelleren in dit model is namelijk onevenredig complex. Voor meer toelichting hierbij, zie het tabblad 'Bronnen en toepassingen'.</t>
  </si>
  <si>
    <t>Berekening verwachte efficiënte kosten</t>
  </si>
  <si>
    <t>Verwachte efficiënte kosten systeemtaak</t>
  </si>
  <si>
    <t>Totale verwachte efficiënte kosten</t>
  </si>
  <si>
    <t xml:space="preserve">Berekening doelmatigheidsfactor &amp; begininkomsten </t>
  </si>
  <si>
    <t>Doelmatigheidsfactor (onafgerond)</t>
  </si>
  <si>
    <t>Toegestane inkomsten die volgen uit begininkomsten en doelmatigheidsfactor</t>
  </si>
  <si>
    <t xml:space="preserve">Doelmatigheidsfactor  </t>
  </si>
  <si>
    <t xml:space="preserve">Totale toegestane inkomsten methode doelmatigheidsfactor </t>
  </si>
  <si>
    <t>Op dit tabblad toont de ACM de begininkomsten, toegestane inkomsten en doelmatigheidsfactor. Deze gegevens zijn het resultaat van berekeningen op de berekeningstabbladen in dit bestand. Voor de tarievenbesluiten zijn enkel de begininkomsten en doelmatigheidsfactor van belang. De geschatte CPI en toegestane inkomsten dienen om een globaal beeld te geven van de inkomsten gedurende de periode. De daadwerkelijke inflatie kan afwijken, waarmee ook de toegestane inkomsten in de tarievenbesluiten kunnen afwijken. Ook worden er in de tarievenbesluiten nog correcties doorgevoerd die van invloed zijn op de toegestane inkomsten.</t>
  </si>
  <si>
    <t>Begininkomsten en doelmatigheidsfactor</t>
  </si>
  <si>
    <t>Doelmatigheidsfactor</t>
  </si>
  <si>
    <t>Methodebesluit 2017-2021</t>
  </si>
  <si>
    <t>GAW-berekening TenneT voor de reguleringsperiode 2022-2026</t>
  </si>
  <si>
    <t>ACM/UIT/505479</t>
  </si>
  <si>
    <t>9. Berekening doelmatigheidsfactor</t>
  </si>
  <si>
    <t>Berekening doelmatigheidsfactor</t>
  </si>
  <si>
    <t>De ACM gebruikt de oplosser om de begininkomsten te berekenen. De aanleiding daarvoor is als volgt. Een gevolg van de gewijzigde methode is dat een preciezere schatting van de ontwikkeling van de efficiënte kapitaalkosten mogelijk is.  Dat leidt er echter ook toe dat er niet per definitie sprake is van een gelijkmatige ontwikkeling van de efficiënte kosten tijdens de reguleringsperiode. Een gewijzigde verdeling van kapitaalkosten over de tijd leidt bijvoorbeeld tot een stijging vanaf het ingangsjaar en een verwachte daling daarna.
In de oude schattingsmethode bepaalde de ACM de efficiënte kosten in het jaar voorafgaand aan de reguleringsperiode en de verwachte efficiënte kosten in het laatste jaar van de reguleringsperiode. De consequentie daarvan is dat alle ontwikkelingen van de verwachte efficiënte kosten in tussenliggende jaren niet tot uitdrukking komen in de doelmatigheidsfactor. Daardoor ontstaat – zeker bij een ongelijkmatige ontwikkeling van de verwachte efficiënte kosten – het risico dat TenneT gesommeerd over de reguleringsperiode aanzienlijk meer of minder dan haar verwachte efficiënte kosten kan terugverdienen via de tarieven. Dat zou leiden tot over- of onderdekking van de verwachte efficiënte kosten over de reguleringsperiode.
Het doel van de methode is dat TenneT in beginsel haar verwachte efficiënte kosten inclusief een redelijk rendement dat in het economisch verkeer gebruikelijk is terug kan verdienen binnen de betrokken reguleringsperiode.  Daarom is het noodzakelijk om de manier waarop de ACM het efficiënte kostenniveau ten behoeve van het bepalen van de begininkomsten vaststelt te wijzigen. In plaats van de verwachte efficiënte kosten voor het beginjaar (2021) te bepalen, bepaalt de ACM het efficiënte kostenniveau van 2021 zodanig dat gesommeerd over de reguleringsperiode (2022-2026) TenneT haar verwachte efficiënte kosten terug kan verdienen.
Een expliciete berekening voor de begininkomsten 2021 inbouwen in dit model is onevenredig complex, omdat er dan wiskundig geoptimaliseerd moet worden. Daarom maakt de ACM gebruik van de oplosser. De oplosser kan het efficiënte kostenniveau 2021 vinden zodanig dat gesommeerd over de reguleringsperiode (2022-2026) de verwachte efficiënte kosten terugverdiend kunnen worden.</t>
  </si>
  <si>
    <t xml:space="preserve">Op het tabblad ‘9. Berekening doelmatigheidsfactor’ berekent de ACM de totale verwachte efficiënte kosten. Vervolgens gebruikt de ACM de oplosser om de begininkomsten te berekenen zodanig dat gesommeerd over de reguleringsperiode (2022-2026) de verwachte efficiënte kosten terugverdiend kunnen worden. De totale verwachte efficiënte kosten zijn daarbij gelijk aan de totale toegestane inkomsten. 
Indien de verwachte efficiënte kosten op het tabblad ‘9. Berekening doelmatigheidsfactor’ worden aangepast, dan veranderen de begininkomsten niet automatisch mee. In dat geval moet de oplosser worden gebruikt om de begininkomsten opnieuw te berekenen.  De begininkomsten met de oplosserworden als volgt berekend:
Op het tabblad ‘9. Berekening doelmatigheidsfactor’ gebruikt de ACM de invoegtoepassing "oplosser". Uitleg over hoe deze invoegtoepassing ingeladen kan worden is te vinden via deze link:
</t>
  </si>
  <si>
    <t>Grondslagendocument RD2020, p.30</t>
  </si>
  <si>
    <t>Grondslagendocument RD2020, p.29</t>
  </si>
  <si>
    <t>Aanvulling reguleringsdata TenneT 2018-2019, tab 2A. Algemene OPEX 2018, cel P54; Aanvulling reguleringsdata TenneT 2018-2019, tab 2A. Algemene OPEX 2019, cel P54; Reguleringsdata TenneT 2020, tab 2A, cel P54</t>
  </si>
  <si>
    <t>Indirecte algemene operationele kosten TenneT</t>
  </si>
  <si>
    <t>Indirecte algemene operationele kosten TenneT - verdeelsleutel 2</t>
  </si>
  <si>
    <t>Indirecte algemene operationele kosten TenneT - verdeelsleutel 3</t>
  </si>
  <si>
    <t xml:space="preserve">Aanvulling reguleringsdata TenneT 2018-2019, tab 2A. Algemene OPEX 2018, som van cellen J23 en J36 t/m J42; Aanvulling reguleringsdata TenneT 2018-2019, tab 2A. Algemene OPEX 2019, som van cellen J23 en J36 t/m J42; Reguleringsdata TenneT 2020, tab 2A, som van cellen J23 en J36 t/m J42 </t>
  </si>
  <si>
    <t>Aanvulling reguleringsdata TenneT 2018-2019, tab 2A. Algemene OPEX 2018, som van cellen J45 t/m J48, J50 en J51; Aanvulling reguleringsdata TenneT 2018-2019, tab 2A. Algemene OPEX 2019, som van cellen J45 t/m J48, J50 en J51; Reguleringsdata TenneT 2020, tab 2A, som van cellen J45 t/m J48, J50 en J51</t>
  </si>
  <si>
    <t xml:space="preserve">Directe algemene operationele kosten </t>
  </si>
  <si>
    <t>Inkoopkosten regel- en reservevermogen</t>
  </si>
  <si>
    <t>Inkoopkosten noodvermogen</t>
  </si>
  <si>
    <t>Inkoopkosten primaire reserve</t>
  </si>
  <si>
    <t>Inkoopkosten herstelvoorzieningen</t>
  </si>
  <si>
    <t>Op dit tabblad berekent de ACM de verwachte operationele kosten van TenneT. De ACM schat de operationele kosten voor ieder jaar van de reguleringsperiode op basis van de gerealiseerde algemene operationele kosten en inkoopkosten energie en vermogen in de jaren 2018 t/m 2020 en een verandering als gevolg van de veranderende netomvang. Hierbij worden de gerealiseerde indirecte algemene operationele kosten in de jaren 2018 t/m 2020 op basis van de verdeelsleutels 2020 toebedeeld aan de systeemtaak.</t>
  </si>
  <si>
    <t>Indirecte algemene operationele kosten TenneT toebedeeld op basis van verdeelsleutel 2</t>
  </si>
  <si>
    <t>Indirecte algemene operationele kosten TenneT toebedeeld op basis van verdeelsleutel 3</t>
  </si>
  <si>
    <t>Reguleringsdata TenneT 2020</t>
  </si>
  <si>
    <t>Invulmodule reguleringsdata TenneT 2020</t>
  </si>
  <si>
    <t>Aanvulling reguleringsdata TenneT 2018-2019</t>
  </si>
  <si>
    <t>Invulmodule reguleringsdata TenneT - Aanvulling 2018-2019</t>
  </si>
  <si>
    <t>Grondslagendocument RD2020</t>
  </si>
  <si>
    <t>Grondslagendocument bij CODATA-verzoek Reguleringsdata TenneT TSO B.V. 2020</t>
  </si>
  <si>
    <t>Verdeelsleutels indirecte algemene operationele kosten 2020</t>
  </si>
  <si>
    <t xml:space="preserve">Op dit tabblad geeft de ACM een overzicht van de relevante reguleringsparameters voor de reguleringsperiode 2022-2026, te weten: WACC, CPI, frontier shift, verwachte verandering operationele kosten als gevolg van uitbreiding/krimp van de netomvang en de verdeelsleutels voor de indirecte algemene operationele kosten. Aan de hand van deze reguleringsparameters berekent de ACM de verwachte efficiënte kosten van TenneT voor de jaren 2022 t/m 2026 en uiteindelijk de doelmatigheidsfactor. </t>
  </si>
  <si>
    <t>Percentage indirecte operationele kosten toegewezen aan de systeemtaak op basis van verdeelsleutel 2</t>
  </si>
  <si>
    <t>Percentage indirecte operationele kosten toegewezen aan de systeemtaak op basis van verdeelsleutel 3</t>
  </si>
  <si>
    <t>Percentage indirecte algemene operationele kosten toegewezen aan de systeemtaak op basis van verdeelsleutel 2</t>
  </si>
  <si>
    <t>Percentage indirecte algemene operationele kosten toegewezen aan de systeemtaak op basis van verdeelsleutel 3</t>
  </si>
  <si>
    <t xml:space="preserve">TenneT gebruikt verschillende verdeelsleutels om de indirecte algemene kosten aan de verschillende segmenten (EHS, HS, systeem, NOZ fase I en NOZ fase II) toe te bedelen. De kosten die met verdeelsleutel 2, ofwel de algemene sleutel uren toebedeeld worden betreffen kosten voor systemen en primaire bedrijfsprocessen en personeelskosten. De kosten die met verdeelsleutel 3, ofwel de algemene sleutel circuitlengte en stations (inclusief toerekening aan systeemtaak en NOZ) toebedeeld worden betreffen kosten voor algemeen beheer. 
</t>
  </si>
  <si>
    <t>Reële aanschafwaarde bijgeschatte investeringen 2021 systeem</t>
  </si>
  <si>
    <t xml:space="preserve">Reële aanschafwaarde bijgeschatte investeringen 2021 </t>
  </si>
  <si>
    <t>Reële aanschafwaarde bijgeschatte investeringen 2022</t>
  </si>
  <si>
    <t>Reële aanschafwaarde bijgeschatte investeringen 2023</t>
  </si>
  <si>
    <t>Reële aanschafwaarde bijgeschatte investeringen 2024</t>
  </si>
  <si>
    <t>Reële aanschafwaarde bijgeschatte investeringen 2025</t>
  </si>
  <si>
    <t>Reële aanschafwaarde bijgeschatte investeringen 2026</t>
  </si>
  <si>
    <t>Reële aanschafwaarde nog niet volledig afgeschreven activa in 2020 systeem</t>
  </si>
  <si>
    <t>Reële aanschafwaarden nog niet volledig afgeschreven activa in 2020 systeem</t>
  </si>
  <si>
    <t>Reële aanschafwaarde bijgeschatte investeringen 2022 systeem</t>
  </si>
  <si>
    <t>Reële aanschafwaarde bijgeschatte investeringen 2023 systeem</t>
  </si>
  <si>
    <t>Reële aanschafwaarde bijgeschatte investeringen 2024 systeem</t>
  </si>
  <si>
    <t>Reële aanschafwaarde bijgeschatte investeringen 2025 systeem</t>
  </si>
  <si>
    <t>Reële aanschafwaarde bijgeschatte investeringen 2026 systeem</t>
  </si>
  <si>
    <t>Verandering operationele kosten door bijgeschatte investeringen in 2021 systeem</t>
  </si>
  <si>
    <t>Verandering operationele kosten door bijgeschatte investeringen in 2022 systeem</t>
  </si>
  <si>
    <t>Verandering operationele kosten door bijgeschatte investeringen in 2023 systeem</t>
  </si>
  <si>
    <t>Verandering operationele kosten door bijgeschatte investeringen in 2024 systeem</t>
  </si>
  <si>
    <t>Verandering operationele kosten door bijgeschatte investeringen in 2025 systeem</t>
  </si>
  <si>
    <t>Verandering operationele kosten door bijgeschatte investeringen in 2026 systeem</t>
  </si>
  <si>
    <t>Verandering operationele kosten door verandering in aanschafwaarden ten opzichte van gemiddelde 2018-2020</t>
  </si>
  <si>
    <t>1+CPI van 2021 naar jaar</t>
  </si>
  <si>
    <t>1+CPI van 2022 naar jaar</t>
  </si>
  <si>
    <t>1+CPI van 2023 naar jaar</t>
  </si>
  <si>
    <t>1+CPI van 2024 naar jaar</t>
  </si>
  <si>
    <t>1+CPI van 2025 naar jaar</t>
  </si>
  <si>
    <t>1+CPI van 2026 naar jaar</t>
  </si>
  <si>
    <t>1-FS van 2021 naar jaar</t>
  </si>
  <si>
    <t>1-FS van 2022 naar jaar</t>
  </si>
  <si>
    <t>1-FS van 2023 naar jaar</t>
  </si>
  <si>
    <t>1-FS van 2024 naar jaar</t>
  </si>
  <si>
    <t>1-FS van 2025 naar jaar</t>
  </si>
  <si>
    <t>1-FS van 2026 naar jaar</t>
  </si>
  <si>
    <t>GAW-berekening TenneT, tabel 2, cellen  H103:P103</t>
  </si>
  <si>
    <t>GAW-berekening TenneT, tabel 2, cellen  H104:P104</t>
  </si>
  <si>
    <t>GAW-berekening TenneT, tabel 2, cellen  H105:P105</t>
  </si>
  <si>
    <t>GAW-berekening TenneT, tabel 2, cellen  H106:P106</t>
  </si>
  <si>
    <t>GAW-berekening TenneT, tabel 2, cellen  H107:P107</t>
  </si>
  <si>
    <t>Reëel-plus WACC bestaand vermogen</t>
  </si>
  <si>
    <t>Reëel-plus WACC nieuw vermogen</t>
  </si>
  <si>
    <t>GAW-berekening TenneT, tabel 2, cellen  L89:P89</t>
  </si>
  <si>
    <t>GAW-berekening TenneT, tabel 2, cellen  L90:P90</t>
  </si>
  <si>
    <t>GAW-berekening TenneT, tabel 2, cellen  L94:P94</t>
  </si>
  <si>
    <t>GAW-berekening TenneT, tabel 2, cellen  L95:P95</t>
  </si>
  <si>
    <t>GAW-berekening TenneT, tabel 2, cel J99</t>
  </si>
  <si>
    <t>GAW-berekening TenneT, tabel 2, cellen  H108:P108</t>
  </si>
  <si>
    <t>GAW-berekening TenneT, tabel 2, cellen  H109:P109</t>
  </si>
  <si>
    <t>10</t>
  </si>
  <si>
    <t>N.v.t.</t>
  </si>
  <si>
    <t xml:space="preserve">Dit bestand is bedoeld ter verduidelijking van de berekeningen door ACM. Aan dit bestand kunnen geen rechten worden ontleend. </t>
  </si>
  <si>
    <t>ACM/23/184728</t>
  </si>
  <si>
    <t>Gewijzigd methodebesluit Systeemtaken TenneT 2022-2026</t>
  </si>
  <si>
    <t>ACM/UIT/600685</t>
  </si>
  <si>
    <t>Gewijzigd methodebesluit 2022-2026</t>
  </si>
  <si>
    <t>CBb uitspraak</t>
  </si>
  <si>
    <t>Uitspraak van het College van Beroep voor het bedrijfsleven 4 juli 2023, ECLI:NL:CBB:2023:317</t>
  </si>
  <si>
    <t>Gewijzigd methodebesluit 2022-2026, paragraaf 7.4.1</t>
  </si>
  <si>
    <t>Gewijzigd vanwege uitspraak CBb</t>
  </si>
  <si>
    <t>2018 t/m 2021: CBS; 2022 t/m 2026: Gewijzigd methodebesluit 2022-2026, paragraaf 7.4.2</t>
  </si>
  <si>
    <t>2018 t/m 2021: Methodebesluit 2017-2021, paragraaf 8.2; 2022 t/m 2026: Gewijzigd methodebesluit 2022-2026, paragraaf 7.4.3</t>
  </si>
  <si>
    <t>Gewijzigd methodebesluit 2022-2026, paragraaf 7.3.2</t>
  </si>
  <si>
    <t>De roze gemarkeerde cellen bevatten gewijzigde input ten opzichte van de Doelmatigheidsfactorberekening Systeemtaken TenneT 2022-2026 behorende bij het methodebesluit van 16 september 2021 (zie ook tab 'Toelichting')</t>
  </si>
  <si>
    <t>Reguleringsdata TenneT 2018, tab 2B, cel K55; Reguleringsdata TenneT 2019, tab 2B, cel K55; Reguleringsdata TenneT 2020, tab 2B, cel I55</t>
  </si>
  <si>
    <t>Reguleringsdata TenneT 2018, tab 2B, cel K62; Reguleringsdata TenneT 2019, tab 2B, cel K62; Reguleringsdata TenneT 2020, tab 2B, cel I62</t>
  </si>
  <si>
    <t>Reguleringsdata TenneT 2018, tab 2B, cel K69; Reguleringsdata TenneT 2019, tab 2B, cel K69; Reguleringsdata TenneT 2020, tab 2B, cel I69</t>
  </si>
  <si>
    <t>Reguleringsdata TenneT 2018, tab 2B, cel K74; Reguleringsdata TenneT 2019, tab 2B, cel K74; Reguleringsdata TenneT 2020, tab 2B, cel I74</t>
  </si>
  <si>
    <t>Gewijzigde doelmatigheidsfactorberekening Systeemtaken TenneT 2022-2026</t>
  </si>
  <si>
    <r>
      <t>Dit bestand bevat de berekening van de begininkomsten en doelmatigheidsfactor voor TenneT voor de periode 2022-2026. De verhouding tussen de begininkomsten 2021 en de eindinkomsten 2026 bepaalt de doelmatigheidsfactor. De eindinkomsten zijn gelijk aan de verwachte efficiënte kosten in het jaar 2026. De begininkomsten worden vastgesteld op een bedrag dat zodanig is dat de netto contante waarde van de jaarlijkse toegestane inkomsten die volgen uit de begininkomsten, de doelmatigheidsfactor en de verwachte inflatie gelijk is aan de netto contante waarde van de jaarlijkse verwachte efficiënte kosten.
In dit bestand zijn naar aanleiding van een CBb uitspraak op 4 juli 2023 (ECLI:NL:CBB:2023:317) wijzigingen opgenomen ten opzichte van de Doelmatigheidsfactorberekening Systeemtaken TenneT 2022-2026 bij het methodebesluit van 16 september 2021. De wijziging naar aanleiding van deze uitspraak zie</t>
    </r>
    <r>
      <rPr>
        <strike/>
        <sz val="10"/>
        <rFont val="Arial"/>
        <family val="2"/>
      </rPr>
      <t>t</t>
    </r>
    <r>
      <rPr>
        <sz val="10"/>
        <rFont val="Arial"/>
        <family val="2"/>
      </rPr>
      <t xml:space="preserve"> op de hoogte van de WACC (tabblad 2, cellen L15:P17). Deze cellen zijn roze gemarkeerd.</t>
    </r>
  </si>
  <si>
    <r>
      <rPr>
        <i/>
        <sz val="10"/>
        <rFont val="Arial"/>
        <family val="2"/>
      </rPr>
      <t>Opmerking TenneT:</t>
    </r>
    <r>
      <rPr>
        <sz val="10"/>
        <rFont val="Arial"/>
        <family val="2"/>
      </rPr>
      <t xml:space="preserve"> Bedrijfsvertrouwelijk</t>
    </r>
  </si>
  <si>
    <t>=GEMIDDELDE($H46*L$13*L$24;$I46*L$14*L$25;$J46* L$15*L$26)</t>
  </si>
  <si>
    <t>=GEMIDDELDE($H47*L$13*L$24;$I47*L$14*L$25;$J47* L$15*L$26)</t>
  </si>
  <si>
    <t>=GEMIDDELDE($H48*L$13*L$24;$I48*L$14*L$25;$J48* L$15*L$26)</t>
  </si>
  <si>
    <t>=GEMIDDELDE($H49*L$13*L$24;$I49*L$14*L$25;$J49* L$15*L$26)</t>
  </si>
  <si>
    <t>=GEMIDDELDE($H46*M$13*M$24;$I46*M$14*M$25;$J46* M$15*M$26)</t>
  </si>
  <si>
    <t>=GEMIDDELDE($H47*M$13*M$24;$I47*M$14*M$25;$J47* M$15*M$26)</t>
  </si>
  <si>
    <t>=GEMIDDELDE($H48*M$13*M$24;$I48*M$14*M$25;$J48* M$15*M$26)</t>
  </si>
  <si>
    <t>=GEMIDDELDE($H49*M$13*M$24;$I49*M$14*M$25;$J49* M$15*M$26)</t>
  </si>
  <si>
    <t>=GEMIDDELDE($H46*N$13*N$24;$I46*N$14*N$25;$J46* N$15*N$26)</t>
  </si>
  <si>
    <t>=GEMIDDELDE($H47*N$13*N$24;$I47*N$14*N$25;$J47* N$15*N$26)</t>
  </si>
  <si>
    <t>=GEMIDDELDE($H48*N$13*N$24;$I48*N$14*N$25;$J48* N$15*N$26)</t>
  </si>
  <si>
    <t>=GEMIDDELDE($H49*N$13*N$24;$I49*N$14*N$25;$J49* N$15*N$26)</t>
  </si>
  <si>
    <t>=GEMIDDELDE($H46*O$13*O$24;$I46*O$14*O$25;$J46* O$15*O$26)</t>
  </si>
  <si>
    <t>=GEMIDDELDE($H47*O$13*O$24;$I47*O$14*O$25;$J47* O$15*O$26)</t>
  </si>
  <si>
    <t>=GEMIDDELDE($H48*O$13*O$24;$I48*O$14*O$25;$J48* O$15*O$26)</t>
  </si>
  <si>
    <t>=GEMIDDELDE($H49*O$13*O$24;$I49*O$14*O$25;$J49* O$15*O$26)</t>
  </si>
  <si>
    <t>=GEMIDDELDE($H46*P$13*P$24;$I46*P$14*P$25;$J46* P$15*P$26)</t>
  </si>
  <si>
    <t>=GEMIDDELDE($H47*P$13*P$24;$I47*P$14*P$25;$J47* P$15*P$26)</t>
  </si>
  <si>
    <t>=GEMIDDELDE($H48*P$13*P$24;$I48*P$14*P$25;$J48* P$15*P$26)</t>
  </si>
  <si>
    <t>=GEMIDDELDE($H49*P$13*P$24;$I49*P$14*P$25;$J49* P$15*P$26)</t>
  </si>
  <si>
    <t>='4. Operationele kosten'!H19</t>
  </si>
  <si>
    <t>='4. Operationele kosten'!H20</t>
  </si>
  <si>
    <t>='4. Operationele kosten'!H21</t>
  </si>
  <si>
    <t>='4. Operationele kosten'!H22</t>
  </si>
  <si>
    <t>='4. Operationele kosten'!I19</t>
  </si>
  <si>
    <t>='4. Operationele kosten'!I20</t>
  </si>
  <si>
    <t>='4. Operationele kosten'!I21</t>
  </si>
  <si>
    <t>='4. Operationele kosten'!I22</t>
  </si>
  <si>
    <t>='4. Operationele kosten'!J19</t>
  </si>
  <si>
    <t>='4. Operationele kosten'!J20</t>
  </si>
  <si>
    <t>='4. Operationele kosten'!J21</t>
  </si>
  <si>
    <t>='4. Operationele kosten'!J22</t>
  </si>
  <si>
    <t>Gewijzigd methodebesluit Systeemtaken TenneT 2017-2021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</si>
</sst>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000_ ;_ * \-#,##0.000_ ;_ * &quot;-&quot;_ ;_ @_ "/>
    <numFmt numFmtId="165" formatCode="_(* #,##0_);_(* \(#,##0\);_(* &quot;-&quot;_);_(@_)"/>
    <numFmt numFmtId="166" formatCode="_(* #,##0.00_);_(* \(#,##0.00\);_(* &quot;-&quot;??_);_(@_)"/>
    <numFmt numFmtId="167" formatCode="0.0%"/>
    <numFmt numFmtId="168" formatCode="_(* #,##0_);_(* \(#,##0\);_(* &quot;-&quot;??_);_(@_)"/>
    <numFmt numFmtId="169" formatCode="_ * #,##0_ ;_ * \-#,##0_ ;_ * &quot;-&quot;??_ ;_ @_ "/>
    <numFmt numFmtId="170" formatCode="_ * #,##0.00000_ ;_ * \-#,##0.00000_ ;_ * &quot;-&quot;_ ;_ @_ "/>
    <numFmt numFmtId="171" formatCode="0.000%"/>
    <numFmt numFmtId="172" formatCode="_ * #,##0.000_ ;_ * \-#,##0.000_ ;_ * &quot;-&quot;???_ ;_ @_ "/>
  </numFmts>
  <fonts count="35">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8"/>
      <name val="Arial"/>
      <family val="2"/>
    </font>
    <font>
      <sz val="10"/>
      <name val="DTLArgoT"/>
    </font>
    <font>
      <sz val="8"/>
      <name val="Arial"/>
      <family val="2"/>
    </font>
    <font>
      <strike/>
      <sz val="10"/>
      <name val="Arial"/>
      <family val="2"/>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auto="1"/>
      </top>
      <bottom style="thin">
        <color auto="1"/>
      </bottom>
      <diagonal/>
    </border>
    <border>
      <left/>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81">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7" fillId="20" borderId="1">
      <alignment vertical="top"/>
    </xf>
    <xf numFmtId="49" fontId="7" fillId="0" borderId="0">
      <alignment vertical="top"/>
    </xf>
    <xf numFmtId="41" fontId="6" fillId="12" borderId="0">
      <alignment vertical="top"/>
    </xf>
    <xf numFmtId="41" fontId="6" fillId="47" borderId="0">
      <alignment vertical="top"/>
    </xf>
    <xf numFmtId="41" fontId="6" fillId="8" borderId="0">
      <alignment vertical="top"/>
    </xf>
    <xf numFmtId="49" fontId="11" fillId="0" borderId="0">
      <alignment vertical="top"/>
    </xf>
    <xf numFmtId="49" fontId="10" fillId="0" borderId="0">
      <alignment vertical="top"/>
    </xf>
    <xf numFmtId="0" fontId="17" fillId="16" borderId="3" applyNumberFormat="0" applyAlignment="0" applyProtection="0"/>
    <xf numFmtId="0" fontId="18" fillId="17" borderId="4" applyNumberFormat="0" applyAlignment="0" applyProtection="0"/>
    <xf numFmtId="0" fontId="19" fillId="17" borderId="3" applyNumberFormat="0" applyAlignment="0" applyProtection="0"/>
    <xf numFmtId="0" fontId="20" fillId="0" borderId="5" applyNumberFormat="0" applyFill="0" applyAlignment="0" applyProtection="0"/>
    <xf numFmtId="0" fontId="14" fillId="18" borderId="6" applyNumberFormat="0" applyAlignment="0" applyProtection="0"/>
    <xf numFmtId="0" fontId="16" fillId="19" borderId="7"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0" fontId="4" fillId="3" borderId="0" applyNumberFormat="0" applyBorder="0" applyAlignment="0" applyProtection="0"/>
    <xf numFmtId="41" fontId="6" fillId="13" borderId="0">
      <alignment vertical="top"/>
    </xf>
    <xf numFmtId="41" fontId="6" fillId="10" borderId="0">
      <alignment vertical="top"/>
    </xf>
    <xf numFmtId="41" fontId="6" fillId="14" borderId="0">
      <alignment vertical="top"/>
    </xf>
    <xf numFmtId="0" fontId="17" fillId="16" borderId="3" applyNumberFormat="0" applyAlignment="0" applyProtection="0"/>
    <xf numFmtId="0" fontId="18" fillId="17" borderId="4" applyNumberFormat="0" applyAlignment="0" applyProtection="0"/>
    <xf numFmtId="0" fontId="14" fillId="18" borderId="6" applyNumberFormat="0" applyAlignment="0" applyProtection="0"/>
    <xf numFmtId="0" fontId="1" fillId="19" borderId="7" applyNumberFormat="0" applyFont="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166" fontId="6" fillId="12" borderId="0" applyFont="0" applyFill="0" applyBorder="0" applyAlignment="0" applyProtection="0">
      <alignment vertical="top"/>
    </xf>
    <xf numFmtId="165" fontId="6" fillId="46" borderId="0">
      <alignment vertical="top"/>
    </xf>
    <xf numFmtId="0" fontId="1" fillId="0" borderId="0"/>
    <xf numFmtId="0" fontId="32" fillId="0" borderId="0"/>
    <xf numFmtId="49" fontId="9" fillId="5" borderId="12">
      <alignment vertical="top"/>
    </xf>
    <xf numFmtId="166" fontId="6" fillId="12" borderId="0" applyFont="0" applyFill="0" applyBorder="0" applyAlignment="0" applyProtection="0">
      <alignment vertical="top"/>
    </xf>
    <xf numFmtId="165" fontId="6" fillId="10" borderId="0">
      <alignment vertical="top"/>
    </xf>
  </cellStyleXfs>
  <cellXfs count="112">
    <xf numFmtId="0" fontId="0" fillId="0" borderId="0" xfId="0">
      <alignment vertical="top"/>
    </xf>
    <xf numFmtId="49" fontId="6" fillId="20" borderId="0" xfId="5" applyFont="1" applyBorder="1">
      <alignment vertical="top"/>
    </xf>
    <xf numFmtId="41" fontId="6" fillId="8" borderId="0" xfId="9">
      <alignment vertical="top"/>
    </xf>
    <xf numFmtId="49" fontId="7" fillId="20" borderId="12" xfId="5" applyBorder="1">
      <alignment vertical="top"/>
    </xf>
    <xf numFmtId="10" fontId="6" fillId="13" borderId="0" xfId="62" applyNumberFormat="1">
      <alignment vertical="top"/>
    </xf>
    <xf numFmtId="10" fontId="6" fillId="14" borderId="0" xfId="64" applyNumberFormat="1">
      <alignment vertical="top"/>
    </xf>
    <xf numFmtId="167" fontId="6" fillId="12" borderId="0" xfId="7" applyNumberFormat="1">
      <alignment vertical="top"/>
    </xf>
    <xf numFmtId="167" fontId="6" fillId="47" borderId="0" xfId="8" applyNumberFormat="1">
      <alignment vertical="top"/>
    </xf>
    <xf numFmtId="172" fontId="6" fillId="14" borderId="0" xfId="64" applyNumberFormat="1">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0" fontId="6" fillId="0" borderId="2" xfId="4" applyBorder="1">
      <alignment vertical="top"/>
    </xf>
    <xf numFmtId="49" fontId="7" fillId="20" borderId="1" xfId="5">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2" fontId="6" fillId="11" borderId="0" xfId="4" applyNumberFormat="1" applyFill="1">
      <alignment vertical="top"/>
    </xf>
    <xf numFmtId="1" fontId="6" fillId="0" borderId="0" xfId="4" applyNumberFormat="1">
      <alignment vertical="top"/>
    </xf>
    <xf numFmtId="1" fontId="10" fillId="0" borderId="0" xfId="4" applyNumberFormat="1" applyFont="1">
      <alignment vertical="top"/>
    </xf>
    <xf numFmtId="0" fontId="13" fillId="0" borderId="0" xfId="4" applyFont="1">
      <alignment vertical="top"/>
    </xf>
    <xf numFmtId="0" fontId="15" fillId="0" borderId="0" xfId="4" applyFont="1">
      <alignment vertical="top"/>
    </xf>
    <xf numFmtId="0" fontId="6" fillId="0" borderId="0" xfId="4" applyAlignment="1">
      <alignment horizontal="center" vertical="top"/>
    </xf>
    <xf numFmtId="0" fontId="6" fillId="15" borderId="0" xfId="4" applyFill="1">
      <alignment vertical="top"/>
    </xf>
    <xf numFmtId="49" fontId="6" fillId="20" borderId="2" xfId="5" applyFont="1" applyBorder="1">
      <alignment vertical="top"/>
    </xf>
    <xf numFmtId="0" fontId="8" fillId="0" borderId="0" xfId="4" applyFont="1" applyAlignment="1">
      <alignment horizontal="left" vertical="top" wrapText="1"/>
    </xf>
    <xf numFmtId="49" fontId="7" fillId="0" borderId="0" xfId="6">
      <alignment vertical="top"/>
    </xf>
    <xf numFmtId="49" fontId="10" fillId="0" borderId="0" xfId="11">
      <alignment vertical="top"/>
    </xf>
    <xf numFmtId="41" fontId="6" fillId="47" borderId="0" xfId="8">
      <alignment vertical="top"/>
    </xf>
    <xf numFmtId="10" fontId="6" fillId="0" borderId="0" xfId="60">
      <alignment vertical="top"/>
    </xf>
    <xf numFmtId="41" fontId="6" fillId="12" borderId="0" xfId="7">
      <alignment vertical="top"/>
    </xf>
    <xf numFmtId="10" fontId="6" fillId="12" borderId="0" xfId="60" applyFill="1">
      <alignment vertical="top"/>
    </xf>
    <xf numFmtId="10" fontId="6" fillId="0" borderId="0" xfId="60" applyFill="1">
      <alignment vertical="top"/>
    </xf>
    <xf numFmtId="0" fontId="7" fillId="0" borderId="0" xfId="4" applyFont="1" applyAlignment="1">
      <alignment horizontal="right" vertical="top"/>
    </xf>
    <xf numFmtId="164" fontId="6" fillId="12" borderId="0" xfId="7" applyNumberFormat="1">
      <alignment vertical="top"/>
    </xf>
    <xf numFmtId="41" fontId="6" fillId="45" borderId="0" xfId="58" applyNumberFormat="1">
      <alignment vertical="top"/>
    </xf>
    <xf numFmtId="0" fontId="6" fillId="0" borderId="0" xfId="4" applyAlignment="1">
      <alignment vertical="top" wrapText="1"/>
    </xf>
    <xf numFmtId="0" fontId="6" fillId="0" borderId="0" xfId="4" applyAlignment="1">
      <alignment horizontal="left" vertical="top" wrapText="1"/>
    </xf>
    <xf numFmtId="0" fontId="6" fillId="7" borderId="0" xfId="4" applyFill="1">
      <alignment vertical="top"/>
    </xf>
    <xf numFmtId="49" fontId="6" fillId="0" borderId="0" xfId="6" applyFont="1">
      <alignment vertical="top"/>
    </xf>
    <xf numFmtId="168" fontId="6" fillId="0" borderId="0" xfId="4" applyNumberFormat="1">
      <alignment vertical="top"/>
    </xf>
    <xf numFmtId="0" fontId="6" fillId="48" borderId="0" xfId="4" applyFill="1">
      <alignment vertical="top"/>
    </xf>
    <xf numFmtId="43" fontId="6" fillId="48" borderId="0" xfId="4" applyNumberFormat="1" applyFill="1">
      <alignment vertical="top"/>
    </xf>
    <xf numFmtId="168" fontId="6" fillId="48" borderId="0" xfId="74" applyNumberFormat="1" applyFill="1">
      <alignment vertical="top"/>
    </xf>
    <xf numFmtId="0" fontId="6" fillId="0" borderId="0" xfId="4" applyAlignment="1">
      <alignment horizontal="left" vertical="top"/>
    </xf>
    <xf numFmtId="0" fontId="32" fillId="0" borderId="0" xfId="77"/>
    <xf numFmtId="3" fontId="6" fillId="0" borderId="0" xfId="4" applyNumberFormat="1">
      <alignment vertical="top"/>
    </xf>
    <xf numFmtId="167" fontId="6" fillId="0" borderId="0" xfId="4" applyNumberFormat="1">
      <alignment vertical="top"/>
    </xf>
    <xf numFmtId="0" fontId="9" fillId="5" borderId="12" xfId="78" applyNumberFormat="1">
      <alignment vertical="top"/>
    </xf>
    <xf numFmtId="0" fontId="9" fillId="5" borderId="12" xfId="78" applyNumberFormat="1" applyAlignment="1">
      <alignment horizontal="center" vertical="top"/>
    </xf>
    <xf numFmtId="168" fontId="6" fillId="48" borderId="0" xfId="4" applyNumberFormat="1" applyFill="1">
      <alignment vertical="top"/>
    </xf>
    <xf numFmtId="0" fontId="32" fillId="0" borderId="0" xfId="77" applyAlignment="1">
      <alignment horizontal="center"/>
    </xf>
    <xf numFmtId="0" fontId="6" fillId="48" borderId="0" xfId="4" applyFill="1" applyAlignment="1">
      <alignment horizontal="center" vertical="top"/>
    </xf>
    <xf numFmtId="0" fontId="10" fillId="0" borderId="0" xfId="4" applyFont="1" applyAlignment="1">
      <alignment horizontal="left" vertical="top" wrapText="1"/>
    </xf>
    <xf numFmtId="10" fontId="6" fillId="48" borderId="0" xfId="60" applyFill="1">
      <alignment vertical="top"/>
    </xf>
    <xf numFmtId="0" fontId="6" fillId="48" borderId="0" xfId="4" applyFill="1" applyAlignment="1">
      <alignment horizontal="left" vertical="top"/>
    </xf>
    <xf numFmtId="0" fontId="7" fillId="48" borderId="0" xfId="4" applyFont="1" applyFill="1" applyAlignment="1">
      <alignment horizontal="left" vertical="top"/>
    </xf>
    <xf numFmtId="3" fontId="6" fillId="48" borderId="0" xfId="4" applyNumberFormat="1" applyFill="1">
      <alignment vertical="top"/>
    </xf>
    <xf numFmtId="0" fontId="15" fillId="0" borderId="0" xfId="4" applyFont="1" applyAlignment="1">
      <alignment vertical="top" wrapText="1"/>
    </xf>
    <xf numFmtId="0" fontId="15" fillId="0" borderId="13" xfId="4" applyFont="1" applyBorder="1" applyAlignment="1">
      <alignment horizontal="center" vertical="top" wrapText="1"/>
    </xf>
    <xf numFmtId="0" fontId="15" fillId="0" borderId="13" xfId="4" applyFont="1" applyBorder="1" applyAlignment="1">
      <alignment vertical="top" wrapText="1"/>
    </xf>
    <xf numFmtId="0" fontId="15" fillId="0" borderId="0" xfId="4" applyFont="1" applyAlignment="1">
      <alignment horizontal="center" vertical="top" wrapText="1"/>
    </xf>
    <xf numFmtId="0" fontId="0" fillId="0" borderId="0" xfId="0" applyAlignment="1"/>
    <xf numFmtId="0" fontId="28" fillId="48" borderId="0" xfId="0" applyFont="1" applyFill="1" applyAlignment="1"/>
    <xf numFmtId="49" fontId="9" fillId="5" borderId="12" xfId="78">
      <alignment vertical="top"/>
    </xf>
    <xf numFmtId="0" fontId="31" fillId="0" borderId="0" xfId="0" applyFont="1" applyAlignment="1"/>
    <xf numFmtId="0" fontId="6" fillId="0" borderId="14" xfId="4" applyBorder="1">
      <alignment vertical="top"/>
    </xf>
    <xf numFmtId="0" fontId="6" fillId="0" borderId="15" xfId="4" applyBorder="1">
      <alignment vertical="top"/>
    </xf>
    <xf numFmtId="0" fontId="6" fillId="0" borderId="16" xfId="4" applyBorder="1">
      <alignment vertical="top"/>
    </xf>
    <xf numFmtId="0" fontId="6" fillId="0" borderId="17" xfId="4" applyBorder="1">
      <alignment vertical="top"/>
    </xf>
    <xf numFmtId="0" fontId="6" fillId="47" borderId="0" xfId="4" applyFill="1" applyAlignment="1">
      <alignment horizontal="center" vertical="top"/>
    </xf>
    <xf numFmtId="0" fontId="6" fillId="0" borderId="18" xfId="4" applyBorder="1">
      <alignment vertical="top"/>
    </xf>
    <xf numFmtId="0" fontId="6" fillId="12" borderId="0" xfId="4" applyFill="1" applyAlignment="1">
      <alignment horizontal="center" vertical="top"/>
    </xf>
    <xf numFmtId="0" fontId="6" fillId="13" borderId="0" xfId="4" applyFill="1" applyAlignment="1">
      <alignment horizontal="center" vertical="top"/>
    </xf>
    <xf numFmtId="0" fontId="6" fillId="0" borderId="19" xfId="4" applyBorder="1">
      <alignment vertical="top"/>
    </xf>
    <xf numFmtId="0" fontId="6" fillId="0" borderId="20" xfId="4" applyBorder="1">
      <alignment vertical="top"/>
    </xf>
    <xf numFmtId="0" fontId="6" fillId="0" borderId="21" xfId="4" applyBorder="1">
      <alignment vertical="top"/>
    </xf>
    <xf numFmtId="0" fontId="31" fillId="0" borderId="0" xfId="0" applyFont="1" applyAlignment="1">
      <alignment horizontal="center" vertical="top"/>
    </xf>
    <xf numFmtId="0" fontId="10" fillId="12" borderId="0" xfId="4" applyFont="1" applyFill="1" applyAlignment="1">
      <alignment horizontal="center" vertical="top"/>
    </xf>
    <xf numFmtId="41" fontId="6" fillId="14" borderId="0" xfId="64">
      <alignment vertical="top"/>
    </xf>
    <xf numFmtId="41" fontId="6" fillId="13" borderId="0" xfId="62">
      <alignment vertical="top"/>
    </xf>
    <xf numFmtId="41" fontId="6" fillId="10" borderId="0" xfId="63">
      <alignment vertical="top"/>
    </xf>
    <xf numFmtId="165" fontId="6" fillId="46" borderId="0" xfId="75">
      <alignment vertical="top"/>
    </xf>
    <xf numFmtId="0" fontId="0" fillId="0" borderId="2" xfId="0" applyBorder="1">
      <alignment vertical="top"/>
    </xf>
    <xf numFmtId="166" fontId="13" fillId="0" borderId="0" xfId="74" applyFont="1" applyFill="1">
      <alignment vertical="top"/>
    </xf>
    <xf numFmtId="0" fontId="6" fillId="9" borderId="0" xfId="4" applyFill="1">
      <alignment vertical="top"/>
    </xf>
    <xf numFmtId="0" fontId="6" fillId="12" borderId="0" xfId="4" applyFill="1">
      <alignment vertical="top"/>
    </xf>
    <xf numFmtId="0" fontId="15" fillId="0" borderId="0" xfId="4" applyFont="1" applyAlignment="1">
      <alignment horizontal="center" vertical="top"/>
    </xf>
    <xf numFmtId="0" fontId="28" fillId="0" borderId="0" xfId="76" applyFont="1"/>
    <xf numFmtId="0" fontId="15" fillId="48" borderId="0" xfId="4" applyFont="1" applyFill="1" applyAlignment="1">
      <alignment horizontal="center" vertical="top"/>
    </xf>
    <xf numFmtId="49" fontId="22" fillId="0" borderId="2" xfId="57" applyBorder="1" applyAlignment="1">
      <alignment vertical="top"/>
    </xf>
    <xf numFmtId="41" fontId="6" fillId="0" borderId="0" xfId="4" applyNumberFormat="1">
      <alignment vertical="top"/>
    </xf>
    <xf numFmtId="170" fontId="6" fillId="45" borderId="0" xfId="58" applyNumberFormat="1">
      <alignment vertical="top"/>
    </xf>
    <xf numFmtId="169" fontId="6" fillId="0" borderId="0" xfId="59" applyNumberFormat="1" applyFill="1">
      <alignment vertical="top"/>
    </xf>
    <xf numFmtId="172" fontId="6" fillId="0" borderId="0" xfId="4" applyNumberFormat="1">
      <alignment vertical="top"/>
    </xf>
    <xf numFmtId="10" fontId="0" fillId="48" borderId="0" xfId="0" applyNumberFormat="1" applyFill="1">
      <alignment vertical="top"/>
    </xf>
    <xf numFmtId="0" fontId="10" fillId="0" borderId="0" xfId="4" applyFont="1" applyAlignment="1">
      <alignment vertical="top" wrapText="1"/>
    </xf>
    <xf numFmtId="167" fontId="6" fillId="14" borderId="0" xfId="64" applyNumberFormat="1">
      <alignment vertical="top"/>
    </xf>
    <xf numFmtId="43" fontId="6" fillId="14" borderId="0" xfId="64" applyNumberFormat="1">
      <alignment vertical="top"/>
    </xf>
    <xf numFmtId="171" fontId="6" fillId="13" borderId="0" xfId="62" applyNumberFormat="1">
      <alignment vertical="top"/>
    </xf>
    <xf numFmtId="0" fontId="0" fillId="48" borderId="0" xfId="0" applyFill="1">
      <alignment vertical="top"/>
    </xf>
    <xf numFmtId="0" fontId="6" fillId="45" borderId="0" xfId="58" applyNumberFormat="1">
      <alignment vertical="top"/>
    </xf>
    <xf numFmtId="172" fontId="6" fillId="45" borderId="0" xfId="58" applyNumberFormat="1">
      <alignment vertical="top"/>
    </xf>
    <xf numFmtId="0" fontId="6" fillId="0" borderId="0" xfId="0" applyFont="1">
      <alignment vertical="top"/>
    </xf>
    <xf numFmtId="41" fontId="6" fillId="12" borderId="0" xfId="7" quotePrefix="1">
      <alignment vertical="top"/>
    </xf>
    <xf numFmtId="41" fontId="6" fillId="14" borderId="0" xfId="64" quotePrefix="1">
      <alignment vertical="top"/>
    </xf>
    <xf numFmtId="0" fontId="6" fillId="0" borderId="0" xfId="4" applyAlignment="1">
      <alignment horizontal="left" vertical="top" wrapText="1"/>
    </xf>
    <xf numFmtId="0" fontId="14" fillId="6" borderId="12" xfId="4" applyFont="1" applyFill="1" applyBorder="1">
      <alignment vertical="top"/>
    </xf>
    <xf numFmtId="167" fontId="6" fillId="10" borderId="0" xfId="80" applyNumberFormat="1">
      <alignment vertical="top"/>
    </xf>
    <xf numFmtId="41" fontId="6" fillId="49" borderId="0" xfId="8" applyFill="1">
      <alignment vertical="top"/>
    </xf>
    <xf numFmtId="0" fontId="6" fillId="0" borderId="0" xfId="4" applyAlignment="1">
      <alignment horizontal="left" vertical="top" wrapText="1"/>
    </xf>
    <xf numFmtId="49" fontId="22" fillId="0" borderId="0" xfId="57" applyAlignment="1">
      <alignment horizontal="left" vertical="top" wrapText="1"/>
    </xf>
  </cellXfs>
  <cellStyles count="81">
    <cellStyle name="_x000d__x000a_JournalTemplate=C:\COMFO\CTALK\JOURSTD.TPL_x000d__x000a_LbStateAddress=3 3 0 251 1 89 2 311_x000d__x000a_LbStateJou_01. TS-TAR(i)-12-09" xfId="77" xr:uid="{00000000-0005-0000-0000-000000000000}"/>
    <cellStyle name="_kop1 Bladtitel 2" xfId="78" xr:uid="{00000000-0005-0000-0000-000002000000}"/>
    <cellStyle name="_kop2 Bloktitel" xfId="5" xr:uid="{00000000-0005-0000-0000-000003000000}"/>
    <cellStyle name="_kop3 Subkop" xfId="6" xr:uid="{00000000-0005-0000-0000-000005000000}"/>
    <cellStyle name="20% - Accent1" xfId="33" builtinId="30" hidden="1"/>
    <cellStyle name="20% - Accent2" xfId="37" builtinId="34" hidden="1"/>
    <cellStyle name="20% - Accent3" xfId="41" builtinId="38" hidden="1"/>
    <cellStyle name="20% - Accent4" xfId="45" builtinId="42" hidden="1"/>
    <cellStyle name="20% - Accent5" xfId="49" builtinId="46" hidden="1"/>
    <cellStyle name="20% - Accent6" xfId="53" builtinId="50" hidden="1"/>
    <cellStyle name="40% - Accent1" xfId="34" builtinId="31" hidden="1"/>
    <cellStyle name="40% - Accent2" xfId="38" builtinId="35" hidden="1"/>
    <cellStyle name="40% - Accent3" xfId="42" builtinId="39" hidden="1"/>
    <cellStyle name="40% - Accent4" xfId="46" builtinId="43" hidden="1"/>
    <cellStyle name="40% - Accent5" xfId="50" builtinId="47" hidden="1"/>
    <cellStyle name="40% - Accent6" xfId="54" builtinId="51" hidden="1"/>
    <cellStyle name="60% - Accent1" xfId="35" builtinId="32" hidden="1"/>
    <cellStyle name="60% - Accent2" xfId="39" builtinId="36" hidden="1"/>
    <cellStyle name="60% - Accent3" xfId="43" builtinId="40" hidden="1"/>
    <cellStyle name="60% - Accent4" xfId="47" builtinId="44" hidden="1"/>
    <cellStyle name="60% - Accent5" xfId="51" builtinId="48" hidden="1"/>
    <cellStyle name="60% - Accent6" xfId="55" builtinId="52" hidden="1"/>
    <cellStyle name="Accent1" xfId="32" builtinId="29" hidden="1"/>
    <cellStyle name="Accent2" xfId="36" builtinId="33" hidden="1"/>
    <cellStyle name="Accent3" xfId="40" builtinId="37" hidden="1"/>
    <cellStyle name="Accent4" xfId="44" builtinId="41" hidden="1"/>
    <cellStyle name="Accent5" xfId="48" builtinId="45" hidden="1"/>
    <cellStyle name="Accent6" xfId="52" builtinId="49" hidden="1"/>
    <cellStyle name="Bad" xfId="61" hidden="1" xr:uid="{00000000-0005-0000-0000-00001E000000}"/>
    <cellStyle name="Berekening" xfId="14" builtinId="22" hidden="1"/>
    <cellStyle name="Cel (tussen)resultaat" xfId="62" xr:uid="{00000000-0005-0000-0000-000021000000}"/>
    <cellStyle name="Cel Berekening" xfId="7" xr:uid="{00000000-0005-0000-0000-000022000000}"/>
    <cellStyle name="Cel Bijzonderheid" xfId="63" xr:uid="{00000000-0005-0000-0000-000025000000}"/>
    <cellStyle name="Cel Bijzonderheid 2" xfId="80" xr:uid="{856144DC-7C6D-4679-9BD7-D7B207C2E519}"/>
    <cellStyle name="Cel Dataverzoek 2" xfId="75" xr:uid="{00000000-0005-0000-0000-000026000000}"/>
    <cellStyle name="Cel Input" xfId="8" xr:uid="{00000000-0005-0000-0000-000027000000}"/>
    <cellStyle name="Cel n.v.t. (leeg)" xfId="58" xr:uid="{00000000-0005-0000-0000-000029000000}"/>
    <cellStyle name="Cel PM extern" xfId="9" xr:uid="{00000000-0005-0000-0000-00002A000000}"/>
    <cellStyle name="Cel Verwijzing" xfId="64" xr:uid="{00000000-0005-0000-0000-00002D000000}"/>
    <cellStyle name="Check Cell" xfId="67" hidden="1" xr:uid="{00000000-0005-0000-0000-00002E000000}"/>
    <cellStyle name="Controlecel" xfId="16" builtinId="23" hidden="1"/>
    <cellStyle name="Explanatory Text" xfId="73" hidden="1" xr:uid="{00000000-0005-0000-0000-000030000000}"/>
    <cellStyle name="Gekoppelde cel" xfId="15" builtinId="24" hidden="1"/>
    <cellStyle name="Gevolgde hyperlink" xfId="56" builtinId="9" hidden="1"/>
    <cellStyle name="Goed" xfId="1" builtinId="26" hidden="1"/>
    <cellStyle name="Heading 1" xfId="69" hidden="1" xr:uid="{00000000-0005-0000-0000-000034000000}"/>
    <cellStyle name="Heading 2" xfId="70" hidden="1" xr:uid="{00000000-0005-0000-0000-000035000000}"/>
    <cellStyle name="Heading 3" xfId="71" hidden="1" xr:uid="{00000000-0005-0000-0000-000036000000}"/>
    <cellStyle name="Heading 4" xfId="72" hidden="1" xr:uid="{00000000-0005-0000-0000-000037000000}"/>
    <cellStyle name="Hyperlink" xfId="18" builtinId="8" hidden="1"/>
    <cellStyle name="Hyperlink" xfId="57" builtinId="8" customBuiltin="1"/>
    <cellStyle name="Input" xfId="65" hidden="1" xr:uid="{00000000-0005-0000-0000-00003A000000}"/>
    <cellStyle name="Invoer" xfId="12" builtinId="20" hidden="1"/>
    <cellStyle name="Komma" xfId="19" builtinId="3" hidden="1"/>
    <cellStyle name="Komma" xfId="59" builtinId="3"/>
    <cellStyle name="Komma [0]" xfId="20" builtinId="6" hidden="1"/>
    <cellStyle name="Komma 14" xfId="74" xr:uid="{00000000-0005-0000-0000-00003F000000}"/>
    <cellStyle name="Komma 2 5" xfId="79" xr:uid="{00000000-0005-0000-0000-000040000000}"/>
    <cellStyle name="Kop 1" xfId="25" builtinId="16" hidden="1"/>
    <cellStyle name="Kop 2" xfId="26" builtinId="17" hidden="1"/>
    <cellStyle name="Kop 3" xfId="27" builtinId="18" hidden="1"/>
    <cellStyle name="Kop 4" xfId="28" builtinId="19" hidden="1"/>
    <cellStyle name="Neutraal" xfId="3" builtinId="28" hidden="1"/>
    <cellStyle name="Note" xfId="68" hidden="1" xr:uid="{00000000-0005-0000-0000-000046000000}"/>
    <cellStyle name="Notitie" xfId="17" builtinId="10" hidden="1"/>
    <cellStyle name="Ongeldig" xfId="2" builtinId="27" hidden="1"/>
    <cellStyle name="Opm. INTERN" xfId="10" xr:uid="{00000000-0005-0000-0000-000049000000}"/>
    <cellStyle name="Output" xfId="66" hidden="1" xr:uid="{00000000-0005-0000-0000-00004A000000}"/>
    <cellStyle name="Procent" xfId="23" builtinId="5" hidden="1"/>
    <cellStyle name="Procent" xfId="60" builtinId="5"/>
    <cellStyle name="Standaard" xfId="0" builtinId="0" customBuiltin="1"/>
    <cellStyle name="Standaard 32" xfId="76" xr:uid="{00000000-0005-0000-0000-00004E000000}"/>
    <cellStyle name="Standaard ACM-DE" xfId="4" xr:uid="{00000000-0005-0000-0000-00004F000000}"/>
    <cellStyle name="Titel" xfId="24" builtinId="15" hidden="1"/>
    <cellStyle name="Toelichting" xfId="11" xr:uid="{00000000-0005-0000-0000-000051000000}"/>
    <cellStyle name="Totaal" xfId="31" builtinId="25" hidden="1"/>
    <cellStyle name="Uitvoer" xfId="13" builtinId="21" hidden="1"/>
    <cellStyle name="Valuta" xfId="21" builtinId="4" hidden="1"/>
    <cellStyle name="Valuta [0]" xfId="22" builtinId="7" hidden="1"/>
    <cellStyle name="Verklarende tekst" xfId="30" builtinId="53" hidden="1"/>
    <cellStyle name="Waarschuwingstekst" xfId="29" builtinId="11" hidden="1"/>
  </cellStyles>
  <dxfs count="0"/>
  <tableStyles count="0" defaultTableStyle="TableStyleMedium2" defaultPivotStyle="PivotStyleLight16"/>
  <colors>
    <mruColors>
      <color rgb="FFCCC8D9"/>
      <color rgb="FFFFFFCC"/>
      <color rgb="FFFFCC99"/>
      <color rgb="FFE1FFE1"/>
      <color rgb="FFFF66FF"/>
      <color rgb="FF99FF9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6070</xdr:colOff>
      <xdr:row>22</xdr:row>
      <xdr:rowOff>92447</xdr:rowOff>
    </xdr:from>
    <xdr:to>
      <xdr:col>5</xdr:col>
      <xdr:colOff>1374070</xdr:colOff>
      <xdr:row>22</xdr:row>
      <xdr:rowOff>92448</xdr:rowOff>
    </xdr:to>
    <xdr:cxnSp macro="">
      <xdr:nvCxnSpPr>
        <xdr:cNvPr id="2" name="Straight Arrow Connector 4">
          <a:extLst>
            <a:ext uri="{FF2B5EF4-FFF2-40B4-BE49-F238E27FC236}">
              <a16:creationId xmlns:a16="http://schemas.microsoft.com/office/drawing/2014/main" id="{00000000-0008-0000-0400-000002000000}"/>
            </a:ext>
          </a:extLst>
        </xdr:cNvPr>
        <xdr:cNvCxnSpPr/>
      </xdr:nvCxnSpPr>
      <xdr:spPr>
        <a:xfrm>
          <a:off x="4667717" y="4608418"/>
          <a:ext cx="136800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9338</xdr:colOff>
      <xdr:row>32</xdr:row>
      <xdr:rowOff>127934</xdr:rowOff>
    </xdr:from>
    <xdr:to>
      <xdr:col>5</xdr:col>
      <xdr:colOff>1377338</xdr:colOff>
      <xdr:row>32</xdr:row>
      <xdr:rowOff>127935</xdr:rowOff>
    </xdr:to>
    <xdr:cxnSp macro="">
      <xdr:nvCxnSpPr>
        <xdr:cNvPr id="3" name="Straight Arrow Connector 14">
          <a:extLst>
            <a:ext uri="{FF2B5EF4-FFF2-40B4-BE49-F238E27FC236}">
              <a16:creationId xmlns:a16="http://schemas.microsoft.com/office/drawing/2014/main" id="{00000000-0008-0000-0400-000003000000}"/>
            </a:ext>
          </a:extLst>
        </xdr:cNvPr>
        <xdr:cNvCxnSpPr/>
      </xdr:nvCxnSpPr>
      <xdr:spPr>
        <a:xfrm>
          <a:off x="4670985" y="6212728"/>
          <a:ext cx="136800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174158</xdr:colOff>
      <xdr:row>44</xdr:row>
      <xdr:rowOff>52294</xdr:rowOff>
    </xdr:from>
    <xdr:to>
      <xdr:col>5</xdr:col>
      <xdr:colOff>1362864</xdr:colOff>
      <xdr:row>44</xdr:row>
      <xdr:rowOff>52295</xdr:rowOff>
    </xdr:to>
    <xdr:cxnSp macro="">
      <xdr:nvCxnSpPr>
        <xdr:cNvPr id="4" name="Straight Arrow Connector 16">
          <a:extLst>
            <a:ext uri="{FF2B5EF4-FFF2-40B4-BE49-F238E27FC236}">
              <a16:creationId xmlns:a16="http://schemas.microsoft.com/office/drawing/2014/main" id="{00000000-0008-0000-0400-000004000000}"/>
            </a:ext>
          </a:extLst>
        </xdr:cNvPr>
        <xdr:cNvCxnSpPr/>
      </xdr:nvCxnSpPr>
      <xdr:spPr>
        <a:xfrm>
          <a:off x="4656511" y="8019676"/>
          <a:ext cx="136800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1341437</xdr:colOff>
      <xdr:row>25</xdr:row>
      <xdr:rowOff>7938</xdr:rowOff>
    </xdr:from>
    <xdr:to>
      <xdr:col>7</xdr:col>
      <xdr:colOff>1341437</xdr:colOff>
      <xdr:row>26</xdr:row>
      <xdr:rowOff>142875</xdr:rowOff>
    </xdr:to>
    <xdr:cxnSp macro="">
      <xdr:nvCxnSpPr>
        <xdr:cNvPr id="5" name="Straight Arrow Connector 12">
          <a:extLst>
            <a:ext uri="{FF2B5EF4-FFF2-40B4-BE49-F238E27FC236}">
              <a16:creationId xmlns:a16="http://schemas.microsoft.com/office/drawing/2014/main" id="{00000000-0008-0000-0400-000005000000}"/>
            </a:ext>
          </a:extLst>
        </xdr:cNvPr>
        <xdr:cNvCxnSpPr/>
      </xdr:nvCxnSpPr>
      <xdr:spPr>
        <a:xfrm>
          <a:off x="7437437" y="4446588"/>
          <a:ext cx="0" cy="2968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2801</xdr:colOff>
      <xdr:row>33</xdr:row>
      <xdr:rowOff>91549</xdr:rowOff>
    </xdr:from>
    <xdr:to>
      <xdr:col>5</xdr:col>
      <xdr:colOff>1370801</xdr:colOff>
      <xdr:row>38</xdr:row>
      <xdr:rowOff>99137</xdr:rowOff>
    </xdr:to>
    <xdr:cxnSp macro="">
      <xdr:nvCxnSpPr>
        <xdr:cNvPr id="6" name="Elbow Connector 18">
          <a:extLst>
            <a:ext uri="{FF2B5EF4-FFF2-40B4-BE49-F238E27FC236}">
              <a16:creationId xmlns:a16="http://schemas.microsoft.com/office/drawing/2014/main" id="{00000000-0008-0000-0400-000006000000}"/>
            </a:ext>
          </a:extLst>
        </xdr:cNvPr>
        <xdr:cNvCxnSpPr/>
      </xdr:nvCxnSpPr>
      <xdr:spPr>
        <a:xfrm>
          <a:off x="4664448" y="6333225"/>
          <a:ext cx="1368000" cy="792000"/>
        </a:xfrm>
        <a:prstGeom prst="bentConnector3">
          <a:avLst>
            <a:gd name="adj1" fmla="val 54658"/>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31750</xdr:colOff>
      <xdr:row>38</xdr:row>
      <xdr:rowOff>63500</xdr:rowOff>
    </xdr:from>
    <xdr:to>
      <xdr:col>9</xdr:col>
      <xdr:colOff>1333500</xdr:colOff>
      <xdr:row>38</xdr:row>
      <xdr:rowOff>63501</xdr:rowOff>
    </xdr:to>
    <xdr:cxnSp macro="">
      <xdr:nvCxnSpPr>
        <xdr:cNvPr id="7" name="Straight Arrow Connector 19">
          <a:extLst>
            <a:ext uri="{FF2B5EF4-FFF2-40B4-BE49-F238E27FC236}">
              <a16:creationId xmlns:a16="http://schemas.microsoft.com/office/drawing/2014/main" id="{00000000-0008-0000-0400-000007000000}"/>
            </a:ext>
          </a:extLst>
        </xdr:cNvPr>
        <xdr:cNvCxnSpPr/>
      </xdr:nvCxnSpPr>
      <xdr:spPr>
        <a:xfrm>
          <a:off x="9023350" y="6607175"/>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25977</xdr:colOff>
      <xdr:row>38</xdr:row>
      <xdr:rowOff>51954</xdr:rowOff>
    </xdr:from>
    <xdr:to>
      <xdr:col>13</xdr:col>
      <xdr:colOff>1327727</xdr:colOff>
      <xdr:row>38</xdr:row>
      <xdr:rowOff>51955</xdr:rowOff>
    </xdr:to>
    <xdr:cxnSp macro="">
      <xdr:nvCxnSpPr>
        <xdr:cNvPr id="8" name="Straight Arrow Connector 21">
          <a:extLst>
            <a:ext uri="{FF2B5EF4-FFF2-40B4-BE49-F238E27FC236}">
              <a16:creationId xmlns:a16="http://schemas.microsoft.com/office/drawing/2014/main" id="{00000000-0008-0000-0400-000008000000}"/>
            </a:ext>
          </a:extLst>
        </xdr:cNvPr>
        <xdr:cNvCxnSpPr/>
      </xdr:nvCxnSpPr>
      <xdr:spPr>
        <a:xfrm>
          <a:off x="13741977" y="6595629"/>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11204</xdr:colOff>
      <xdr:row>23</xdr:row>
      <xdr:rowOff>78441</xdr:rowOff>
    </xdr:from>
    <xdr:to>
      <xdr:col>6</xdr:col>
      <xdr:colOff>880</xdr:colOff>
      <xdr:row>28</xdr:row>
      <xdr:rowOff>86029</xdr:rowOff>
    </xdr:to>
    <xdr:cxnSp macro="">
      <xdr:nvCxnSpPr>
        <xdr:cNvPr id="9" name="Elbow Connector 22">
          <a:extLst>
            <a:ext uri="{FF2B5EF4-FFF2-40B4-BE49-F238E27FC236}">
              <a16:creationId xmlns:a16="http://schemas.microsoft.com/office/drawing/2014/main" id="{00000000-0008-0000-0400-000009000000}"/>
            </a:ext>
          </a:extLst>
        </xdr:cNvPr>
        <xdr:cNvCxnSpPr/>
      </xdr:nvCxnSpPr>
      <xdr:spPr>
        <a:xfrm>
          <a:off x="4672851" y="4751294"/>
          <a:ext cx="1368000" cy="792000"/>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31750</xdr:colOff>
      <xdr:row>33</xdr:row>
      <xdr:rowOff>158750</xdr:rowOff>
    </xdr:from>
    <xdr:to>
      <xdr:col>9</xdr:col>
      <xdr:colOff>1333500</xdr:colOff>
      <xdr:row>37</xdr:row>
      <xdr:rowOff>95250</xdr:rowOff>
    </xdr:to>
    <xdr:cxnSp macro="">
      <xdr:nvCxnSpPr>
        <xdr:cNvPr id="10" name="Elbow Connector 24">
          <a:extLst>
            <a:ext uri="{FF2B5EF4-FFF2-40B4-BE49-F238E27FC236}">
              <a16:creationId xmlns:a16="http://schemas.microsoft.com/office/drawing/2014/main" id="{00000000-0008-0000-0400-00000A000000}"/>
            </a:ext>
          </a:extLst>
        </xdr:cNvPr>
        <xdr:cNvCxnSpPr/>
      </xdr:nvCxnSpPr>
      <xdr:spPr>
        <a:xfrm>
          <a:off x="9023350" y="5892800"/>
          <a:ext cx="1301750" cy="584200"/>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31750</xdr:colOff>
      <xdr:row>39</xdr:row>
      <xdr:rowOff>50800</xdr:rowOff>
    </xdr:from>
    <xdr:to>
      <xdr:col>9</xdr:col>
      <xdr:colOff>1327150</xdr:colOff>
      <xdr:row>43</xdr:row>
      <xdr:rowOff>6350</xdr:rowOff>
    </xdr:to>
    <xdr:cxnSp macro="">
      <xdr:nvCxnSpPr>
        <xdr:cNvPr id="11" name="Elbow Connector 25">
          <a:extLst>
            <a:ext uri="{FF2B5EF4-FFF2-40B4-BE49-F238E27FC236}">
              <a16:creationId xmlns:a16="http://schemas.microsoft.com/office/drawing/2014/main" id="{00000000-0008-0000-0400-00000B000000}"/>
            </a:ext>
          </a:extLst>
        </xdr:cNvPr>
        <xdr:cNvCxnSpPr/>
      </xdr:nvCxnSpPr>
      <xdr:spPr>
        <a:xfrm flipV="1">
          <a:off x="9023350" y="6756400"/>
          <a:ext cx="1295400" cy="603250"/>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10404</xdr:colOff>
      <xdr:row>34</xdr:row>
      <xdr:rowOff>64034</xdr:rowOff>
    </xdr:from>
    <xdr:to>
      <xdr:col>6</xdr:col>
      <xdr:colOff>80</xdr:colOff>
      <xdr:row>43</xdr:row>
      <xdr:rowOff>92093</xdr:rowOff>
    </xdr:to>
    <xdr:cxnSp macro="">
      <xdr:nvCxnSpPr>
        <xdr:cNvPr id="12" name="Elbow Connector 13">
          <a:extLst>
            <a:ext uri="{FF2B5EF4-FFF2-40B4-BE49-F238E27FC236}">
              <a16:creationId xmlns:a16="http://schemas.microsoft.com/office/drawing/2014/main" id="{00000000-0008-0000-0400-00000C000000}"/>
            </a:ext>
          </a:extLst>
        </xdr:cNvPr>
        <xdr:cNvCxnSpPr/>
      </xdr:nvCxnSpPr>
      <xdr:spPr>
        <a:xfrm>
          <a:off x="4672051" y="6462593"/>
          <a:ext cx="1368000" cy="1440000"/>
        </a:xfrm>
        <a:prstGeom prst="bentConnector3">
          <a:avLst>
            <a:gd name="adj1" fmla="val 30886"/>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39688</xdr:colOff>
      <xdr:row>13</xdr:row>
      <xdr:rowOff>63500</xdr:rowOff>
    </xdr:from>
    <xdr:to>
      <xdr:col>9</xdr:col>
      <xdr:colOff>1341438</xdr:colOff>
      <xdr:row>13</xdr:row>
      <xdr:rowOff>63501</xdr:rowOff>
    </xdr:to>
    <xdr:cxnSp macro="">
      <xdr:nvCxnSpPr>
        <xdr:cNvPr id="13" name="Straight Arrow Connector 17">
          <a:extLst>
            <a:ext uri="{FF2B5EF4-FFF2-40B4-BE49-F238E27FC236}">
              <a16:creationId xmlns:a16="http://schemas.microsoft.com/office/drawing/2014/main" id="{00000000-0008-0000-0400-00000D000000}"/>
            </a:ext>
          </a:extLst>
        </xdr:cNvPr>
        <xdr:cNvCxnSpPr/>
      </xdr:nvCxnSpPr>
      <xdr:spPr>
        <a:xfrm>
          <a:off x="9031288" y="2559050"/>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27214</xdr:colOff>
      <xdr:row>13</xdr:row>
      <xdr:rowOff>54428</xdr:rowOff>
    </xdr:from>
    <xdr:to>
      <xdr:col>5</xdr:col>
      <xdr:colOff>1328964</xdr:colOff>
      <xdr:row>13</xdr:row>
      <xdr:rowOff>54429</xdr:rowOff>
    </xdr:to>
    <xdr:cxnSp macro="">
      <xdr:nvCxnSpPr>
        <xdr:cNvPr id="14" name="Straight Arrow Connector 20">
          <a:extLst>
            <a:ext uri="{FF2B5EF4-FFF2-40B4-BE49-F238E27FC236}">
              <a16:creationId xmlns:a16="http://schemas.microsoft.com/office/drawing/2014/main" id="{00000000-0008-0000-0400-00000E000000}"/>
            </a:ext>
          </a:extLst>
        </xdr:cNvPr>
        <xdr:cNvCxnSpPr/>
      </xdr:nvCxnSpPr>
      <xdr:spPr>
        <a:xfrm>
          <a:off x="4561114" y="2549978"/>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1369219</xdr:colOff>
      <xdr:row>10</xdr:row>
      <xdr:rowOff>83344</xdr:rowOff>
    </xdr:from>
    <xdr:to>
      <xdr:col>11</xdr:col>
      <xdr:colOff>1375172</xdr:colOff>
      <xdr:row>10</xdr:row>
      <xdr:rowOff>83344</xdr:rowOff>
    </xdr:to>
    <xdr:cxnSp macro="">
      <xdr:nvCxnSpPr>
        <xdr:cNvPr id="15" name="Straight Connector 23">
          <a:extLst>
            <a:ext uri="{FF2B5EF4-FFF2-40B4-BE49-F238E27FC236}">
              <a16:creationId xmlns:a16="http://schemas.microsoft.com/office/drawing/2014/main" id="{00000000-0008-0000-0400-00000F000000}"/>
            </a:ext>
          </a:extLst>
        </xdr:cNvPr>
        <xdr:cNvCxnSpPr/>
      </xdr:nvCxnSpPr>
      <xdr:spPr>
        <a:xfrm flipH="1">
          <a:off x="3007519" y="2093119"/>
          <a:ext cx="905470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1369219</xdr:colOff>
      <xdr:row>10</xdr:row>
      <xdr:rowOff>95251</xdr:rowOff>
    </xdr:from>
    <xdr:to>
      <xdr:col>3</xdr:col>
      <xdr:colOff>1369219</xdr:colOff>
      <xdr:row>11</xdr:row>
      <xdr:rowOff>158751</xdr:rowOff>
    </xdr:to>
    <xdr:cxnSp macro="">
      <xdr:nvCxnSpPr>
        <xdr:cNvPr id="16" name="Straight Connector 26">
          <a:extLst>
            <a:ext uri="{FF2B5EF4-FFF2-40B4-BE49-F238E27FC236}">
              <a16:creationId xmlns:a16="http://schemas.microsoft.com/office/drawing/2014/main" id="{00000000-0008-0000-0400-000010000000}"/>
            </a:ext>
          </a:extLst>
        </xdr:cNvPr>
        <xdr:cNvCxnSpPr/>
      </xdr:nvCxnSpPr>
      <xdr:spPr>
        <a:xfrm flipV="1">
          <a:off x="3007519" y="2105026"/>
          <a:ext cx="0" cy="2254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1381126</xdr:colOff>
      <xdr:row>10</xdr:row>
      <xdr:rowOff>95250</xdr:rowOff>
    </xdr:from>
    <xdr:to>
      <xdr:col>11</xdr:col>
      <xdr:colOff>1381126</xdr:colOff>
      <xdr:row>12</xdr:row>
      <xdr:rowOff>11907</xdr:rowOff>
    </xdr:to>
    <xdr:cxnSp macro="">
      <xdr:nvCxnSpPr>
        <xdr:cNvPr id="17" name="Straight Arrow Connector 27">
          <a:extLst>
            <a:ext uri="{FF2B5EF4-FFF2-40B4-BE49-F238E27FC236}">
              <a16:creationId xmlns:a16="http://schemas.microsoft.com/office/drawing/2014/main" id="{00000000-0008-0000-0400-000011000000}"/>
            </a:ext>
          </a:extLst>
        </xdr:cNvPr>
        <xdr:cNvCxnSpPr/>
      </xdr:nvCxnSpPr>
      <xdr:spPr>
        <a:xfrm>
          <a:off x="12068176" y="2105025"/>
          <a:ext cx="0" cy="2405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11204</xdr:colOff>
      <xdr:row>24</xdr:row>
      <xdr:rowOff>56030</xdr:rowOff>
    </xdr:from>
    <xdr:to>
      <xdr:col>6</xdr:col>
      <xdr:colOff>880</xdr:colOff>
      <xdr:row>42</xdr:row>
      <xdr:rowOff>112147</xdr:rowOff>
    </xdr:to>
    <xdr:cxnSp macro="">
      <xdr:nvCxnSpPr>
        <xdr:cNvPr id="35" name="Elbow Connector 13">
          <a:extLst>
            <a:ext uri="{FF2B5EF4-FFF2-40B4-BE49-F238E27FC236}">
              <a16:creationId xmlns:a16="http://schemas.microsoft.com/office/drawing/2014/main" id="{458F0A72-27A6-434D-88C3-4D43B13F0FB6}"/>
            </a:ext>
          </a:extLst>
        </xdr:cNvPr>
        <xdr:cNvCxnSpPr/>
      </xdr:nvCxnSpPr>
      <xdr:spPr>
        <a:xfrm>
          <a:off x="4672851" y="4885765"/>
          <a:ext cx="1368000" cy="2880000"/>
        </a:xfrm>
        <a:prstGeom prst="bentConnector3">
          <a:avLst>
            <a:gd name="adj1" fmla="val 40859"/>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 val="Resultaat"/>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gewijzigd-methodebesluit-tennet-systeemtaken-2017-2021" TargetMode="External"/><Relationship Id="rId2" Type="http://schemas.openxmlformats.org/officeDocument/2006/relationships/hyperlink" Target="https://opendata.cbs.nl/statline/" TargetMode="External"/><Relationship Id="rId1" Type="http://schemas.openxmlformats.org/officeDocument/2006/relationships/hyperlink" Target="https://support.office.com/nl-nl/article/de-invoegtoepassing-oplosser-laden-in-excel-612926fc-d53b-46b4-872c-e24772f078ca" TargetMode="External"/><Relationship Id="rId5" Type="http://schemas.openxmlformats.org/officeDocument/2006/relationships/printerSettings" Target="../printerSettings/printerSettings3.bin"/><Relationship Id="rId4" Type="http://schemas.openxmlformats.org/officeDocument/2006/relationships/hyperlink" Target="https://uitspraken.rechtspraak.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rgb="FFCCC8D9"/>
  </sheetPr>
  <dimension ref="B2:D37"/>
  <sheetViews>
    <sheetView showGridLines="0" tabSelected="1" zoomScale="85" zoomScaleNormal="85" workbookViewId="0"/>
  </sheetViews>
  <sheetFormatPr defaultRowHeight="12.75"/>
  <cols>
    <col min="1" max="1" width="4.7109375" style="10" customWidth="1"/>
    <col min="2" max="2" width="39.85546875" style="10" customWidth="1"/>
    <col min="3" max="3" width="91.85546875" style="10" customWidth="1"/>
    <col min="4" max="16384" width="9.140625" style="10"/>
  </cols>
  <sheetData>
    <row r="2" spans="2:3" s="64" customFormat="1" ht="18">
      <c r="B2" s="64" t="s">
        <v>0</v>
      </c>
    </row>
    <row r="6" spans="2:3">
      <c r="B6" s="11"/>
    </row>
    <row r="13" spans="2:3" s="14" customFormat="1">
      <c r="B13" s="14" t="s">
        <v>1</v>
      </c>
    </row>
    <row r="15" spans="2:3">
      <c r="B15" s="15" t="s">
        <v>2</v>
      </c>
      <c r="C15" s="16" t="s">
        <v>319</v>
      </c>
    </row>
    <row r="16" spans="2:3">
      <c r="B16" s="15" t="s">
        <v>3</v>
      </c>
      <c r="C16" s="16" t="s">
        <v>335</v>
      </c>
    </row>
    <row r="17" spans="2:3">
      <c r="B17" s="15" t="s">
        <v>4</v>
      </c>
      <c r="C17" s="16" t="s">
        <v>317</v>
      </c>
    </row>
    <row r="18" spans="2:3">
      <c r="B18" s="15" t="s">
        <v>5</v>
      </c>
      <c r="C18" s="16" t="s">
        <v>320</v>
      </c>
    </row>
    <row r="19" spans="2:3">
      <c r="B19" s="15" t="s">
        <v>6</v>
      </c>
      <c r="C19" s="16" t="s">
        <v>317</v>
      </c>
    </row>
    <row r="20" spans="2:3">
      <c r="B20" s="15" t="s">
        <v>7</v>
      </c>
      <c r="C20" s="16" t="s">
        <v>321</v>
      </c>
    </row>
    <row r="21" spans="2:3">
      <c r="B21" s="15" t="s">
        <v>8</v>
      </c>
      <c r="C21" s="16" t="s">
        <v>234</v>
      </c>
    </row>
    <row r="22" spans="2:3">
      <c r="B22" s="15" t="s">
        <v>9</v>
      </c>
      <c r="C22" s="16" t="s">
        <v>317</v>
      </c>
    </row>
    <row r="25" spans="2:3" s="14" customFormat="1">
      <c r="B25" s="14" t="s">
        <v>10</v>
      </c>
    </row>
    <row r="27" spans="2:3">
      <c r="B27" s="15" t="s">
        <v>11</v>
      </c>
      <c r="C27" s="16" t="s">
        <v>163</v>
      </c>
    </row>
    <row r="28" spans="2:3">
      <c r="B28" s="16" t="s">
        <v>67</v>
      </c>
      <c r="C28" s="16" t="s">
        <v>163</v>
      </c>
    </row>
    <row r="29" spans="2:3" ht="25.5">
      <c r="B29" s="15" t="s">
        <v>12</v>
      </c>
      <c r="C29" s="16" t="s">
        <v>162</v>
      </c>
    </row>
    <row r="30" spans="2:3">
      <c r="B30" s="16" t="s">
        <v>66</v>
      </c>
      <c r="C30" s="16" t="s">
        <v>162</v>
      </c>
    </row>
    <row r="31" spans="2:3">
      <c r="B31" s="15" t="s">
        <v>13</v>
      </c>
      <c r="C31" s="16" t="s">
        <v>317</v>
      </c>
    </row>
    <row r="32" spans="2:3">
      <c r="B32" s="15" t="s">
        <v>9</v>
      </c>
      <c r="C32" s="16" t="s">
        <v>317</v>
      </c>
    </row>
    <row r="34" spans="2:4">
      <c r="B34" s="25"/>
      <c r="C34" s="25"/>
      <c r="D34" s="12"/>
    </row>
    <row r="35" spans="2:4" s="14" customFormat="1">
      <c r="B35" s="14" t="s">
        <v>14</v>
      </c>
    </row>
    <row r="37" spans="2:4">
      <c r="B37" s="103" t="s">
        <v>318</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tabColor rgb="FFFFFFCC"/>
  </sheetPr>
  <dimension ref="B2:R59"/>
  <sheetViews>
    <sheetView showGridLines="0" zoomScale="85" zoomScaleNormal="85" workbookViewId="0">
      <pane xSplit="4" ySplit="8" topLeftCell="E9" activePane="bottomRight" state="frozen"/>
      <selection activeCell="R6" sqref="R6"/>
      <selection pane="topRight" activeCell="R6" sqref="R6"/>
      <selection pane="bottomLeft" activeCell="R6" sqref="R6"/>
      <selection pane="bottomRight" activeCell="E9" sqref="E9"/>
    </sheetView>
  </sheetViews>
  <sheetFormatPr defaultRowHeight="12.75"/>
  <cols>
    <col min="1" max="1" width="4.7109375" style="10" customWidth="1"/>
    <col min="2" max="2" width="65.7109375" style="10" customWidth="1"/>
    <col min="3" max="3" width="2.7109375" style="10" customWidth="1"/>
    <col min="4" max="4" width="13.7109375" style="10" customWidth="1"/>
    <col min="5" max="5" width="2.7109375" style="10" customWidth="1"/>
    <col min="6" max="6" width="13.7109375" style="10" customWidth="1"/>
    <col min="7" max="7" width="2.7109375" style="10" customWidth="1"/>
    <col min="8" max="9" width="13.7109375" style="10" customWidth="1"/>
    <col min="10" max="16" width="12.5703125" style="10" customWidth="1"/>
    <col min="17" max="17" width="2.7109375" style="10" customWidth="1"/>
    <col min="18" max="18" width="13.7109375" style="10" customWidth="1"/>
    <col min="19" max="19" width="2.7109375" style="10" customWidth="1"/>
    <col min="20" max="34" width="13.7109375" style="10" customWidth="1"/>
    <col min="35" max="16384" width="9.140625" style="10"/>
  </cols>
  <sheetData>
    <row r="2" spans="2:18" s="64" customFormat="1" ht="18">
      <c r="B2" s="64" t="s">
        <v>100</v>
      </c>
    </row>
    <row r="4" spans="2:18">
      <c r="B4" s="26" t="s">
        <v>56</v>
      </c>
      <c r="J4"/>
    </row>
    <row r="5" spans="2:18" ht="77.25" customHeight="1">
      <c r="B5" s="110" t="s">
        <v>205</v>
      </c>
      <c r="C5" s="110"/>
      <c r="D5" s="36"/>
      <c r="E5" s="36"/>
      <c r="F5" s="36"/>
      <c r="G5" s="36"/>
      <c r="H5" s="36"/>
    </row>
    <row r="6" spans="2:18">
      <c r="B6" s="36"/>
      <c r="C6" s="36"/>
      <c r="D6" s="36"/>
      <c r="E6" s="36"/>
      <c r="F6" s="36"/>
      <c r="G6" s="36"/>
      <c r="H6" s="36"/>
    </row>
    <row r="7" spans="2:18" s="3" customFormat="1">
      <c r="B7" s="3" t="s">
        <v>45</v>
      </c>
      <c r="D7" s="3" t="s">
        <v>27</v>
      </c>
      <c r="F7" s="3" t="s">
        <v>28</v>
      </c>
      <c r="H7" s="3">
        <v>2018</v>
      </c>
      <c r="I7" s="3">
        <v>2019</v>
      </c>
      <c r="J7" s="3">
        <v>2020</v>
      </c>
      <c r="K7" s="3">
        <v>2021</v>
      </c>
      <c r="L7" s="3">
        <v>2022</v>
      </c>
      <c r="M7" s="3">
        <v>2023</v>
      </c>
      <c r="N7" s="3">
        <v>2024</v>
      </c>
      <c r="O7" s="3">
        <v>2025</v>
      </c>
      <c r="P7" s="3">
        <v>2026</v>
      </c>
      <c r="R7" s="3" t="s">
        <v>47</v>
      </c>
    </row>
    <row r="10" spans="2:18" s="14" customFormat="1">
      <c r="B10" s="14" t="s">
        <v>48</v>
      </c>
    </row>
    <row r="12" spans="2:18">
      <c r="B12" s="9" t="s">
        <v>75</v>
      </c>
    </row>
    <row r="13" spans="2:18">
      <c r="B13" s="10" t="s">
        <v>91</v>
      </c>
      <c r="D13" s="10" t="s">
        <v>74</v>
      </c>
      <c r="F13" s="32"/>
      <c r="H13" s="97">
        <f>'2. Reguleringsparameters'!H21</f>
        <v>1.4E-2</v>
      </c>
      <c r="I13" s="97">
        <f>'2. Reguleringsparameters'!I21</f>
        <v>2.1000000000000001E-2</v>
      </c>
      <c r="J13" s="97">
        <f>'2. Reguleringsparameters'!J21</f>
        <v>2.8000000000000001E-2</v>
      </c>
      <c r="K13" s="97">
        <f>'2. Reguleringsparameters'!K21</f>
        <v>7.0000000000000001E-3</v>
      </c>
      <c r="L13" s="97">
        <f>'2. Reguleringsparameters'!L21</f>
        <v>1.7999999999999999E-2</v>
      </c>
      <c r="M13" s="97">
        <f>'2. Reguleringsparameters'!M21</f>
        <v>1.7999999999999999E-2</v>
      </c>
      <c r="N13" s="97">
        <f>'2. Reguleringsparameters'!N21</f>
        <v>1.7999999999999999E-2</v>
      </c>
      <c r="O13" s="97">
        <f>'2. Reguleringsparameters'!O21</f>
        <v>1.7999999999999999E-2</v>
      </c>
      <c r="P13" s="97">
        <f>'2. Reguleringsparameters'!P21</f>
        <v>1.7999999999999999E-2</v>
      </c>
    </row>
    <row r="15" spans="2:18">
      <c r="B15" s="9" t="s">
        <v>85</v>
      </c>
    </row>
    <row r="16" spans="2:18">
      <c r="B16" s="10" t="s">
        <v>85</v>
      </c>
      <c r="D16" s="10" t="s">
        <v>74</v>
      </c>
      <c r="F16" s="32"/>
      <c r="H16" s="97">
        <f>'2. Reguleringsparameters'!H25</f>
        <v>0</v>
      </c>
      <c r="I16" s="97">
        <f>'2. Reguleringsparameters'!I25</f>
        <v>0</v>
      </c>
      <c r="J16" s="97">
        <f>'2. Reguleringsparameters'!J25</f>
        <v>0</v>
      </c>
      <c r="K16" s="97">
        <f>'2. Reguleringsparameters'!K25</f>
        <v>0</v>
      </c>
      <c r="L16" s="97">
        <f>'2. Reguleringsparameters'!L25</f>
        <v>5.0000000000000001E-3</v>
      </c>
      <c r="M16" s="97">
        <f>'2. Reguleringsparameters'!M25</f>
        <v>5.0000000000000001E-3</v>
      </c>
      <c r="N16" s="97">
        <f>'2. Reguleringsparameters'!N25</f>
        <v>5.0000000000000001E-3</v>
      </c>
      <c r="O16" s="97">
        <f>'2. Reguleringsparameters'!O25</f>
        <v>5.0000000000000001E-3</v>
      </c>
      <c r="P16" s="97">
        <f>'2. Reguleringsparameters'!P25</f>
        <v>5.0000000000000001E-3</v>
      </c>
    </row>
    <row r="17" spans="2:16" s="41" customFormat="1">
      <c r="F17" s="54"/>
      <c r="H17" s="54"/>
      <c r="I17" s="54"/>
      <c r="J17" s="54"/>
      <c r="K17" s="54"/>
      <c r="L17" s="54"/>
      <c r="M17" s="54"/>
      <c r="N17" s="54"/>
      <c r="O17" s="54"/>
      <c r="P17" s="54"/>
    </row>
    <row r="18" spans="2:16">
      <c r="B18" s="9" t="s">
        <v>159</v>
      </c>
    </row>
    <row r="19" spans="2:16">
      <c r="B19" s="10" t="s">
        <v>133</v>
      </c>
      <c r="D19" s="10" t="s">
        <v>74</v>
      </c>
      <c r="H19" s="101"/>
      <c r="I19" s="101"/>
      <c r="J19" s="101"/>
      <c r="K19" s="101"/>
      <c r="L19" s="97">
        <f>'2. Reguleringsparameters'!L17</f>
        <v>3.3000000000000002E-2</v>
      </c>
      <c r="M19" s="97">
        <f>'2. Reguleringsparameters'!M17</f>
        <v>3.2000000000000001E-2</v>
      </c>
      <c r="N19" s="97">
        <f>'2. Reguleringsparameters'!N17</f>
        <v>3.6999999999999998E-2</v>
      </c>
      <c r="O19" s="97">
        <f>'2. Reguleringsparameters'!O17</f>
        <v>3.6999999999999998E-2</v>
      </c>
      <c r="P19" s="97">
        <f>'2. Reguleringsparameters'!P17</f>
        <v>3.6999999999999998E-2</v>
      </c>
    </row>
    <row r="20" spans="2:16">
      <c r="B20" s="9"/>
    </row>
    <row r="21" spans="2:16" s="14" customFormat="1">
      <c r="B21" s="14" t="s">
        <v>87</v>
      </c>
    </row>
    <row r="23" spans="2:16">
      <c r="B23" s="9" t="s">
        <v>156</v>
      </c>
    </row>
    <row r="24" spans="2:16">
      <c r="B24" s="33"/>
      <c r="F24" s="10" t="s">
        <v>76</v>
      </c>
      <c r="H24" s="10">
        <v>2018</v>
      </c>
      <c r="I24" s="10">
        <v>2019</v>
      </c>
      <c r="J24" s="10">
        <v>2020</v>
      </c>
      <c r="K24" s="10">
        <v>2021</v>
      </c>
      <c r="L24" s="10">
        <v>2022</v>
      </c>
      <c r="M24" s="10">
        <v>2023</v>
      </c>
      <c r="N24" s="10">
        <v>2024</v>
      </c>
      <c r="O24" s="10">
        <v>2025</v>
      </c>
      <c r="P24" s="10">
        <v>2026</v>
      </c>
    </row>
    <row r="25" spans="2:16">
      <c r="B25" s="10">
        <v>2018</v>
      </c>
      <c r="D25" s="10" t="s">
        <v>109</v>
      </c>
      <c r="F25" s="34">
        <f>1+H13</f>
        <v>1.014</v>
      </c>
      <c r="H25" s="10">
        <v>1</v>
      </c>
      <c r="I25" s="34">
        <f>I26*$F26</f>
        <v>1.0209999999999999</v>
      </c>
      <c r="J25" s="34">
        <f t="shared" ref="J25:P31" si="0">J26*$F26</f>
        <v>1.049588</v>
      </c>
      <c r="K25" s="34">
        <f t="shared" si="0"/>
        <v>1.056935116</v>
      </c>
      <c r="L25" s="34">
        <f t="shared" si="0"/>
        <v>1.075959948088</v>
      </c>
      <c r="M25" s="34">
        <f t="shared" si="0"/>
        <v>1.0953272271535839</v>
      </c>
      <c r="N25" s="34">
        <f t="shared" si="0"/>
        <v>1.1150431172423485</v>
      </c>
      <c r="O25" s="34">
        <f t="shared" si="0"/>
        <v>1.1351138933527105</v>
      </c>
      <c r="P25" s="34">
        <f t="shared" si="0"/>
        <v>1.1555459434330595</v>
      </c>
    </row>
    <row r="26" spans="2:16">
      <c r="B26" s="10">
        <v>2019</v>
      </c>
      <c r="D26" s="10" t="s">
        <v>109</v>
      </c>
      <c r="F26" s="34">
        <f>1+I13</f>
        <v>1.0209999999999999</v>
      </c>
      <c r="H26" s="101"/>
      <c r="I26" s="10">
        <v>1</v>
      </c>
      <c r="J26" s="34">
        <f>J27*$F27</f>
        <v>1.028</v>
      </c>
      <c r="K26" s="34">
        <f t="shared" si="0"/>
        <v>1.035196</v>
      </c>
      <c r="L26" s="34">
        <f t="shared" si="0"/>
        <v>1.0538295280000001</v>
      </c>
      <c r="M26" s="34">
        <f t="shared" si="0"/>
        <v>1.0727984595039999</v>
      </c>
      <c r="N26" s="34">
        <f t="shared" si="0"/>
        <v>1.092108831775072</v>
      </c>
      <c r="O26" s="34">
        <f t="shared" si="0"/>
        <v>1.1117667907470232</v>
      </c>
      <c r="P26" s="34">
        <f t="shared" si="0"/>
        <v>1.1317785929804698</v>
      </c>
    </row>
    <row r="27" spans="2:16">
      <c r="B27" s="10">
        <v>2020</v>
      </c>
      <c r="D27" s="10" t="s">
        <v>109</v>
      </c>
      <c r="F27" s="34">
        <f>1+J13</f>
        <v>1.028</v>
      </c>
      <c r="H27" s="101"/>
      <c r="I27" s="101"/>
      <c r="J27" s="10">
        <v>1</v>
      </c>
      <c r="K27" s="34">
        <f t="shared" ref="K27:P27" si="1">K28*$F28</f>
        <v>1.0069999999999999</v>
      </c>
      <c r="L27" s="34">
        <f t="shared" si="1"/>
        <v>1.025126</v>
      </c>
      <c r="M27" s="34">
        <f t="shared" si="1"/>
        <v>1.0435782679999999</v>
      </c>
      <c r="N27" s="34">
        <f t="shared" si="1"/>
        <v>1.062362676824</v>
      </c>
      <c r="O27" s="34">
        <f t="shared" si="1"/>
        <v>1.081485205006832</v>
      </c>
      <c r="P27" s="34">
        <f t="shared" si="1"/>
        <v>1.1009519386969551</v>
      </c>
    </row>
    <row r="28" spans="2:16">
      <c r="B28" s="10">
        <v>2021</v>
      </c>
      <c r="D28" s="10" t="s">
        <v>109</v>
      </c>
      <c r="F28" s="34">
        <f>1+K13</f>
        <v>1.0069999999999999</v>
      </c>
      <c r="H28" s="101"/>
      <c r="I28" s="101"/>
      <c r="J28" s="101"/>
      <c r="K28" s="10">
        <v>1</v>
      </c>
      <c r="L28" s="34">
        <f>L29*$F29</f>
        <v>1.018</v>
      </c>
      <c r="M28" s="34">
        <f t="shared" si="0"/>
        <v>1.036324</v>
      </c>
      <c r="N28" s="34">
        <f t="shared" si="0"/>
        <v>1.0549778320000001</v>
      </c>
      <c r="O28" s="34">
        <f t="shared" si="0"/>
        <v>1.0739674329760001</v>
      </c>
      <c r="P28" s="34">
        <f t="shared" si="0"/>
        <v>1.0932988467695681</v>
      </c>
    </row>
    <row r="29" spans="2:16">
      <c r="B29" s="10">
        <v>2022</v>
      </c>
      <c r="D29" s="10" t="s">
        <v>109</v>
      </c>
      <c r="F29" s="34">
        <f>1+L13</f>
        <v>1.018</v>
      </c>
      <c r="H29" s="101"/>
      <c r="I29" s="101"/>
      <c r="J29" s="101"/>
      <c r="K29" s="101"/>
      <c r="L29" s="10">
        <v>1</v>
      </c>
      <c r="M29" s="34">
        <f>M30*$F30</f>
        <v>1.018</v>
      </c>
      <c r="N29" s="34">
        <f t="shared" si="0"/>
        <v>1.036324</v>
      </c>
      <c r="O29" s="34">
        <f t="shared" si="0"/>
        <v>1.0549778320000001</v>
      </c>
      <c r="P29" s="34">
        <f t="shared" si="0"/>
        <v>1.0739674329760001</v>
      </c>
    </row>
    <row r="30" spans="2:16">
      <c r="B30" s="10">
        <v>2023</v>
      </c>
      <c r="D30" s="10" t="s">
        <v>109</v>
      </c>
      <c r="F30" s="34">
        <f>1+M13</f>
        <v>1.018</v>
      </c>
      <c r="H30" s="101"/>
      <c r="I30" s="101"/>
      <c r="J30" s="101"/>
      <c r="K30" s="101"/>
      <c r="L30" s="101"/>
      <c r="M30" s="10">
        <v>1</v>
      </c>
      <c r="N30" s="34">
        <f>N31*$F31</f>
        <v>1.018</v>
      </c>
      <c r="O30" s="34">
        <f t="shared" si="0"/>
        <v>1.036324</v>
      </c>
      <c r="P30" s="34">
        <f t="shared" si="0"/>
        <v>1.0549778320000001</v>
      </c>
    </row>
    <row r="31" spans="2:16">
      <c r="B31" s="10">
        <v>2024</v>
      </c>
      <c r="D31" s="10" t="s">
        <v>109</v>
      </c>
      <c r="F31" s="34">
        <f>1+N13</f>
        <v>1.018</v>
      </c>
      <c r="H31" s="101"/>
      <c r="I31" s="101"/>
      <c r="J31" s="101"/>
      <c r="K31" s="101"/>
      <c r="L31" s="101"/>
      <c r="M31" s="101"/>
      <c r="N31" s="10">
        <v>1</v>
      </c>
      <c r="O31" s="34">
        <f>O32*$F32</f>
        <v>1.018</v>
      </c>
      <c r="P31" s="34">
        <f t="shared" si="0"/>
        <v>1.036324</v>
      </c>
    </row>
    <row r="32" spans="2:16">
      <c r="B32" s="10">
        <v>2025</v>
      </c>
      <c r="D32" s="10" t="s">
        <v>109</v>
      </c>
      <c r="F32" s="34">
        <f>1+O13</f>
        <v>1.018</v>
      </c>
      <c r="H32" s="101"/>
      <c r="I32" s="101"/>
      <c r="J32" s="101"/>
      <c r="K32" s="101"/>
      <c r="L32" s="101"/>
      <c r="M32" s="101"/>
      <c r="N32" s="101"/>
      <c r="O32" s="10">
        <v>1</v>
      </c>
      <c r="P32" s="34">
        <f>P33*$F33</f>
        <v>1.018</v>
      </c>
    </row>
    <row r="33" spans="2:16">
      <c r="B33" s="10">
        <v>2026</v>
      </c>
      <c r="D33" s="10" t="s">
        <v>109</v>
      </c>
      <c r="F33" s="34">
        <f>1+P13</f>
        <v>1.018</v>
      </c>
      <c r="H33" s="101"/>
      <c r="I33" s="101"/>
      <c r="J33" s="101"/>
      <c r="K33" s="101"/>
      <c r="L33" s="101"/>
      <c r="M33" s="101"/>
      <c r="N33" s="101"/>
      <c r="O33" s="101"/>
      <c r="P33" s="10">
        <v>1</v>
      </c>
    </row>
    <row r="36" spans="2:16" s="14" customFormat="1">
      <c r="B36" s="14" t="s">
        <v>88</v>
      </c>
    </row>
    <row r="38" spans="2:16">
      <c r="B38" s="9" t="s">
        <v>155</v>
      </c>
    </row>
    <row r="39" spans="2:16">
      <c r="B39" s="33"/>
      <c r="F39" s="10" t="s">
        <v>92</v>
      </c>
      <c r="H39" s="10">
        <v>218</v>
      </c>
      <c r="I39" s="10">
        <v>2019</v>
      </c>
      <c r="J39" s="10">
        <v>2020</v>
      </c>
      <c r="K39" s="10">
        <v>2021</v>
      </c>
      <c r="L39" s="10">
        <v>2022</v>
      </c>
      <c r="M39" s="10">
        <v>2023</v>
      </c>
      <c r="N39" s="10">
        <v>2024</v>
      </c>
      <c r="O39" s="10">
        <v>2025</v>
      </c>
      <c r="P39" s="10">
        <v>2026</v>
      </c>
    </row>
    <row r="40" spans="2:16">
      <c r="B40" s="10">
        <v>2018</v>
      </c>
      <c r="D40" s="10" t="s">
        <v>154</v>
      </c>
      <c r="F40" s="34">
        <f>1-H16</f>
        <v>1</v>
      </c>
      <c r="H40" s="10">
        <v>1</v>
      </c>
      <c r="I40" s="34">
        <f>I41*$F41</f>
        <v>1</v>
      </c>
      <c r="J40" s="34">
        <f t="shared" ref="J40:P46" si="2">J41*$F41</f>
        <v>1</v>
      </c>
      <c r="K40" s="34">
        <f t="shared" si="2"/>
        <v>1</v>
      </c>
      <c r="L40" s="34">
        <f t="shared" si="2"/>
        <v>0.995</v>
      </c>
      <c r="M40" s="34">
        <f t="shared" si="2"/>
        <v>0.99002500000000004</v>
      </c>
      <c r="N40" s="34">
        <f t="shared" si="2"/>
        <v>0.98507487500000002</v>
      </c>
      <c r="O40" s="34">
        <f t="shared" si="2"/>
        <v>0.98014950062500006</v>
      </c>
      <c r="P40" s="34">
        <f t="shared" si="2"/>
        <v>0.97524875312187509</v>
      </c>
    </row>
    <row r="41" spans="2:16">
      <c r="B41" s="10">
        <v>2019</v>
      </c>
      <c r="D41" s="10" t="s">
        <v>154</v>
      </c>
      <c r="F41" s="34">
        <f>1-I16</f>
        <v>1</v>
      </c>
      <c r="H41" s="101"/>
      <c r="I41" s="10">
        <v>1</v>
      </c>
      <c r="J41" s="34">
        <f t="shared" si="2"/>
        <v>1</v>
      </c>
      <c r="K41" s="34">
        <f t="shared" si="2"/>
        <v>1</v>
      </c>
      <c r="L41" s="34">
        <f t="shared" si="2"/>
        <v>0.995</v>
      </c>
      <c r="M41" s="34">
        <f t="shared" si="2"/>
        <v>0.99002500000000004</v>
      </c>
      <c r="N41" s="34">
        <f t="shared" si="2"/>
        <v>0.98507487500000002</v>
      </c>
      <c r="O41" s="34">
        <f t="shared" si="2"/>
        <v>0.98014950062500006</v>
      </c>
      <c r="P41" s="34">
        <f t="shared" si="2"/>
        <v>0.97524875312187509</v>
      </c>
    </row>
    <row r="42" spans="2:16">
      <c r="B42" s="10">
        <v>2020</v>
      </c>
      <c r="D42" s="10" t="s">
        <v>154</v>
      </c>
      <c r="F42" s="34">
        <f>1-J16</f>
        <v>1</v>
      </c>
      <c r="H42" s="101"/>
      <c r="I42" s="101"/>
      <c r="J42" s="10">
        <v>1</v>
      </c>
      <c r="K42" s="34">
        <f>K43*$F43</f>
        <v>1</v>
      </c>
      <c r="L42" s="34">
        <f t="shared" si="2"/>
        <v>0.995</v>
      </c>
      <c r="M42" s="34">
        <f t="shared" si="2"/>
        <v>0.99002500000000004</v>
      </c>
      <c r="N42" s="34">
        <f t="shared" si="2"/>
        <v>0.98507487500000002</v>
      </c>
      <c r="O42" s="34">
        <f t="shared" si="2"/>
        <v>0.98014950062500006</v>
      </c>
      <c r="P42" s="34">
        <f t="shared" si="2"/>
        <v>0.97524875312187509</v>
      </c>
    </row>
    <row r="43" spans="2:16">
      <c r="B43" s="10">
        <v>2021</v>
      </c>
      <c r="D43" s="10" t="s">
        <v>154</v>
      </c>
      <c r="F43" s="34">
        <f>1-K16</f>
        <v>1</v>
      </c>
      <c r="H43" s="101"/>
      <c r="I43" s="101"/>
      <c r="J43" s="101"/>
      <c r="K43" s="10">
        <v>1</v>
      </c>
      <c r="L43" s="34">
        <f>L44*$F44</f>
        <v>0.995</v>
      </c>
      <c r="M43" s="34">
        <f t="shared" si="2"/>
        <v>0.99002500000000004</v>
      </c>
      <c r="N43" s="34">
        <f t="shared" si="2"/>
        <v>0.98507487500000002</v>
      </c>
      <c r="O43" s="34">
        <f t="shared" si="2"/>
        <v>0.98014950062500006</v>
      </c>
      <c r="P43" s="34">
        <f t="shared" si="2"/>
        <v>0.97524875312187509</v>
      </c>
    </row>
    <row r="44" spans="2:16">
      <c r="B44" s="10">
        <v>2022</v>
      </c>
      <c r="D44" s="10" t="s">
        <v>154</v>
      </c>
      <c r="F44" s="34">
        <f>1-L16</f>
        <v>0.995</v>
      </c>
      <c r="H44" s="101"/>
      <c r="I44" s="101"/>
      <c r="J44" s="101"/>
      <c r="K44" s="101"/>
      <c r="L44" s="10">
        <v>1</v>
      </c>
      <c r="M44" s="34">
        <f>M45*$F45</f>
        <v>0.995</v>
      </c>
      <c r="N44" s="34">
        <f t="shared" si="2"/>
        <v>0.99002500000000004</v>
      </c>
      <c r="O44" s="34">
        <f t="shared" si="2"/>
        <v>0.98507487500000002</v>
      </c>
      <c r="P44" s="34">
        <f t="shared" si="2"/>
        <v>0.98014950062500006</v>
      </c>
    </row>
    <row r="45" spans="2:16">
      <c r="B45" s="10">
        <v>2023</v>
      </c>
      <c r="D45" s="10" t="s">
        <v>154</v>
      </c>
      <c r="F45" s="34">
        <f>1-M16</f>
        <v>0.995</v>
      </c>
      <c r="H45" s="101"/>
      <c r="I45" s="101"/>
      <c r="J45" s="101"/>
      <c r="K45" s="101"/>
      <c r="L45" s="101"/>
      <c r="M45" s="10">
        <v>1</v>
      </c>
      <c r="N45" s="34">
        <f>N46*$F46</f>
        <v>0.995</v>
      </c>
      <c r="O45" s="34">
        <f t="shared" si="2"/>
        <v>0.99002500000000004</v>
      </c>
      <c r="P45" s="34">
        <f t="shared" si="2"/>
        <v>0.98507487500000002</v>
      </c>
    </row>
    <row r="46" spans="2:16">
      <c r="B46" s="10">
        <v>2024</v>
      </c>
      <c r="D46" s="10" t="s">
        <v>154</v>
      </c>
      <c r="F46" s="34">
        <f>1-N16</f>
        <v>0.995</v>
      </c>
      <c r="H46" s="101"/>
      <c r="I46" s="101"/>
      <c r="J46" s="101"/>
      <c r="K46" s="101"/>
      <c r="L46" s="101"/>
      <c r="M46" s="101"/>
      <c r="N46" s="10">
        <v>1</v>
      </c>
      <c r="O46" s="34">
        <f>O47*$F47</f>
        <v>0.995</v>
      </c>
      <c r="P46" s="34">
        <f t="shared" si="2"/>
        <v>0.99002500000000004</v>
      </c>
    </row>
    <row r="47" spans="2:16">
      <c r="B47" s="10">
        <v>2025</v>
      </c>
      <c r="D47" s="10" t="s">
        <v>154</v>
      </c>
      <c r="F47" s="34">
        <f>1-O16</f>
        <v>0.995</v>
      </c>
      <c r="H47" s="101"/>
      <c r="I47" s="101"/>
      <c r="J47" s="101"/>
      <c r="K47" s="101"/>
      <c r="L47" s="101"/>
      <c r="M47" s="101"/>
      <c r="N47" s="101"/>
      <c r="O47" s="10">
        <v>1</v>
      </c>
      <c r="P47" s="34">
        <f>P48*$F48</f>
        <v>0.995</v>
      </c>
    </row>
    <row r="48" spans="2:16">
      <c r="B48" s="10">
        <v>2026</v>
      </c>
      <c r="D48" s="10" t="s">
        <v>154</v>
      </c>
      <c r="F48" s="34">
        <f>1-P16</f>
        <v>0.995</v>
      </c>
      <c r="H48" s="101"/>
      <c r="I48" s="101"/>
      <c r="J48" s="101"/>
      <c r="K48" s="101"/>
      <c r="L48" s="101"/>
      <c r="M48" s="101"/>
      <c r="N48" s="101"/>
      <c r="O48" s="101"/>
      <c r="P48" s="10">
        <v>1</v>
      </c>
    </row>
    <row r="51" spans="2:16" s="3" customFormat="1">
      <c r="B51" s="3" t="s">
        <v>157</v>
      </c>
    </row>
    <row r="53" spans="2:16">
      <c r="B53" s="88" t="s">
        <v>160</v>
      </c>
    </row>
    <row r="54" spans="2:16">
      <c r="B54" s="33"/>
      <c r="F54" s="10" t="s">
        <v>158</v>
      </c>
      <c r="J54" s="33"/>
      <c r="L54" s="10">
        <v>2022</v>
      </c>
      <c r="M54" s="10">
        <v>2023</v>
      </c>
      <c r="N54" s="10">
        <v>2024</v>
      </c>
      <c r="O54" s="10">
        <v>2025</v>
      </c>
      <c r="P54" s="10">
        <v>2026</v>
      </c>
    </row>
    <row r="55" spans="2:16">
      <c r="B55" s="10">
        <v>2022</v>
      </c>
      <c r="D55" s="10" t="s">
        <v>109</v>
      </c>
      <c r="F55" s="34">
        <f>1+L19</f>
        <v>1.0329999999999999</v>
      </c>
      <c r="L55" s="10">
        <f>1</f>
        <v>1</v>
      </c>
      <c r="M55" s="34">
        <f>M56*$F56</f>
        <v>1.032</v>
      </c>
      <c r="N55" s="34">
        <f>N56*$F56</f>
        <v>1.070184</v>
      </c>
      <c r="O55" s="34">
        <f>O56*$F56</f>
        <v>1.1097808079999998</v>
      </c>
      <c r="P55" s="34">
        <f>P56*$F56</f>
        <v>1.1508426978959998</v>
      </c>
    </row>
    <row r="56" spans="2:16">
      <c r="B56" s="10">
        <v>2023</v>
      </c>
      <c r="D56" s="10" t="s">
        <v>109</v>
      </c>
      <c r="F56" s="34">
        <f>1+M19</f>
        <v>1.032</v>
      </c>
      <c r="L56" s="101"/>
      <c r="M56" s="10">
        <f>1</f>
        <v>1</v>
      </c>
      <c r="N56" s="34">
        <f>N57*$F57</f>
        <v>1.0369999999999999</v>
      </c>
      <c r="O56" s="34">
        <f>O57*$F57</f>
        <v>1.0753689999999998</v>
      </c>
      <c r="P56" s="34">
        <f>P57*$F57</f>
        <v>1.1151576529999998</v>
      </c>
    </row>
    <row r="57" spans="2:16">
      <c r="B57" s="10">
        <v>2024</v>
      </c>
      <c r="D57" s="10" t="s">
        <v>109</v>
      </c>
      <c r="F57" s="34">
        <f>1+N19</f>
        <v>1.0369999999999999</v>
      </c>
      <c r="L57" s="101"/>
      <c r="M57" s="101"/>
      <c r="N57" s="10">
        <f>1</f>
        <v>1</v>
      </c>
      <c r="O57" s="34">
        <f>O58*$F58</f>
        <v>1.0369999999999999</v>
      </c>
      <c r="P57" s="34">
        <f>P58*$F58</f>
        <v>1.0753689999999998</v>
      </c>
    </row>
    <row r="58" spans="2:16">
      <c r="B58" s="10">
        <v>2025</v>
      </c>
      <c r="D58" s="10" t="s">
        <v>109</v>
      </c>
      <c r="F58" s="34">
        <f>1+O19</f>
        <v>1.0369999999999999</v>
      </c>
      <c r="L58" s="101"/>
      <c r="M58" s="101"/>
      <c r="N58" s="101"/>
      <c r="O58" s="10">
        <f>1</f>
        <v>1</v>
      </c>
      <c r="P58" s="34">
        <f>P59*$F59</f>
        <v>1.0369999999999999</v>
      </c>
    </row>
    <row r="59" spans="2:16">
      <c r="B59" s="10">
        <v>2026</v>
      </c>
      <c r="D59" s="10" t="s">
        <v>109</v>
      </c>
      <c r="F59" s="34">
        <f>1+P19</f>
        <v>1.0369999999999999</v>
      </c>
      <c r="L59" s="101"/>
      <c r="M59" s="101"/>
      <c r="N59" s="101"/>
      <c r="O59" s="101"/>
      <c r="P59" s="10">
        <f>1</f>
        <v>1</v>
      </c>
    </row>
  </sheetData>
  <mergeCells count="1">
    <mergeCell ref="B5:C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tabColor rgb="FFFFFFCC"/>
  </sheetPr>
  <dimension ref="B2:R27"/>
  <sheetViews>
    <sheetView showGridLines="0" zoomScale="85" zoomScaleNormal="85" workbookViewId="0">
      <pane xSplit="4" ySplit="8" topLeftCell="E9" activePane="bottomRight" state="frozen"/>
      <selection activeCell="R6" sqref="R6"/>
      <selection pane="topRight" activeCell="R6" sqref="R6"/>
      <selection pane="bottomLeft" activeCell="R6" sqref="R6"/>
      <selection pane="bottomRight" activeCell="E9" sqref="E9"/>
    </sheetView>
  </sheetViews>
  <sheetFormatPr defaultRowHeight="12.75"/>
  <cols>
    <col min="1" max="1" width="4.7109375" style="10" customWidth="1"/>
    <col min="2" max="2" width="75.7109375" style="10" customWidth="1"/>
    <col min="3" max="3" width="2.7109375" style="10" customWidth="1"/>
    <col min="4" max="4" width="13.7109375" style="10" customWidth="1"/>
    <col min="5" max="5" width="2.7109375" style="10" customWidth="1"/>
    <col min="6" max="6" width="16.7109375" style="10" customWidth="1"/>
    <col min="7" max="7" width="3" style="10" bestFit="1" customWidth="1"/>
    <col min="8" max="11" width="3" style="10" customWidth="1"/>
    <col min="12" max="16" width="16.7109375" style="10" customWidth="1"/>
    <col min="17" max="17" width="2.7109375" style="10" customWidth="1"/>
    <col min="18" max="18" width="16.7109375" style="22" customWidth="1"/>
    <col min="19" max="19" width="4.7109375" style="10" customWidth="1"/>
    <col min="20" max="16384" width="9.140625" style="10"/>
  </cols>
  <sheetData>
    <row r="2" spans="2:18" s="48" customFormat="1" ht="18">
      <c r="B2" s="48" t="s">
        <v>115</v>
      </c>
      <c r="R2" s="49"/>
    </row>
    <row r="4" spans="2:18">
      <c r="B4" s="26" t="s">
        <v>56</v>
      </c>
    </row>
    <row r="5" spans="2:18" ht="102" customHeight="1">
      <c r="B5" s="110" t="s">
        <v>191</v>
      </c>
      <c r="C5" s="110"/>
      <c r="D5" s="36"/>
    </row>
    <row r="6" spans="2:18" ht="12.75" customHeight="1">
      <c r="B6" s="36"/>
      <c r="C6" s="36"/>
      <c r="D6" s="36"/>
    </row>
    <row r="7" spans="2:18" s="3" customFormat="1">
      <c r="B7" s="3" t="s">
        <v>45</v>
      </c>
      <c r="D7" s="3" t="s">
        <v>27</v>
      </c>
      <c r="F7" s="3" t="s">
        <v>28</v>
      </c>
      <c r="L7" s="3">
        <v>2022</v>
      </c>
      <c r="M7" s="3">
        <v>2023</v>
      </c>
      <c r="N7" s="3">
        <v>2024</v>
      </c>
      <c r="O7" s="3">
        <v>2025</v>
      </c>
      <c r="P7" s="3">
        <v>2026</v>
      </c>
      <c r="R7" s="3" t="s">
        <v>114</v>
      </c>
    </row>
    <row r="10" spans="2:18" s="3" customFormat="1">
      <c r="B10" s="3" t="s">
        <v>48</v>
      </c>
    </row>
    <row r="12" spans="2:18">
      <c r="B12" s="26" t="s">
        <v>93</v>
      </c>
    </row>
    <row r="13" spans="2:18">
      <c r="B13" s="10" t="s">
        <v>307</v>
      </c>
      <c r="D13" s="10" t="s">
        <v>74</v>
      </c>
      <c r="L13" s="97">
        <f>'2. Reguleringsparameters'!L15</f>
        <v>2.4E-2</v>
      </c>
      <c r="M13" s="97">
        <f>'2. Reguleringsparameters'!M15</f>
        <v>2.3E-2</v>
      </c>
      <c r="N13" s="97">
        <f>'2. Reguleringsparameters'!N15</f>
        <v>2.8000000000000001E-2</v>
      </c>
      <c r="O13" s="97">
        <f>'2. Reguleringsparameters'!O15</f>
        <v>2.8000000000000001E-2</v>
      </c>
      <c r="P13" s="97">
        <f>'2. Reguleringsparameters'!P15</f>
        <v>2.8000000000000001E-2</v>
      </c>
    </row>
    <row r="14" spans="2:18">
      <c r="L14" s="47"/>
      <c r="M14" s="47"/>
      <c r="N14" s="47"/>
      <c r="O14" s="47"/>
      <c r="P14" s="47"/>
    </row>
    <row r="15" spans="2:18">
      <c r="B15" s="9" t="s">
        <v>172</v>
      </c>
      <c r="F15" s="41"/>
      <c r="G15" s="41"/>
      <c r="H15" s="41"/>
      <c r="I15" s="41"/>
      <c r="J15" s="41"/>
      <c r="K15" s="41"/>
      <c r="L15" s="41"/>
      <c r="M15" s="41"/>
      <c r="N15" s="41"/>
      <c r="O15" s="42"/>
      <c r="P15" s="42"/>
    </row>
    <row r="16" spans="2:18">
      <c r="B16" s="10" t="s">
        <v>171</v>
      </c>
      <c r="D16" s="10" t="s">
        <v>86</v>
      </c>
      <c r="F16" s="41"/>
      <c r="G16" s="41"/>
      <c r="H16" s="41"/>
      <c r="I16" s="41"/>
      <c r="J16" s="41"/>
      <c r="K16" s="41"/>
      <c r="L16" s="79">
        <f>'3. GAW model'!L12</f>
        <v>15457761.135682108</v>
      </c>
      <c r="M16" s="79">
        <f>'3. GAW model'!M12</f>
        <v>13237666.097591013</v>
      </c>
      <c r="N16" s="79">
        <f>'3. GAW model'!N12</f>
        <v>6890947.9298159787</v>
      </c>
      <c r="O16" s="79">
        <f>'3. GAW model'!O12</f>
        <v>4205803.4396826979</v>
      </c>
      <c r="P16" s="79">
        <f>'3. GAW model'!P12</f>
        <v>899820.38218787278</v>
      </c>
    </row>
    <row r="17" spans="2:18">
      <c r="B17" s="10" t="s">
        <v>183</v>
      </c>
      <c r="D17" s="10" t="s">
        <v>86</v>
      </c>
      <c r="F17" s="41"/>
      <c r="G17" s="41"/>
      <c r="H17" s="41"/>
      <c r="I17" s="41"/>
      <c r="J17" s="41"/>
      <c r="K17" s="41"/>
      <c r="L17" s="79">
        <f>'3. GAW model'!L13</f>
        <v>47468052.641260438</v>
      </c>
      <c r="M17" s="79">
        <f>'3. GAW model'!M13</f>
        <v>34657599.017440781</v>
      </c>
      <c r="N17" s="79">
        <f>'3. GAW model'!N13</f>
        <v>28078569.478781763</v>
      </c>
      <c r="O17" s="79">
        <f>'3. GAW model'!O13</f>
        <v>24125473.164408103</v>
      </c>
      <c r="P17" s="79">
        <f>'3. GAW model'!P13</f>
        <v>23442782.040699907</v>
      </c>
    </row>
    <row r="18" spans="2:18">
      <c r="F18" s="41"/>
      <c r="G18" s="41"/>
      <c r="H18" s="41"/>
      <c r="I18" s="41"/>
      <c r="J18" s="41"/>
      <c r="K18" s="41"/>
      <c r="L18" s="41"/>
      <c r="M18" s="41"/>
      <c r="N18" s="41"/>
      <c r="O18" s="41"/>
      <c r="P18" s="41"/>
    </row>
    <row r="19" spans="2:18" s="3" customFormat="1">
      <c r="B19" s="3" t="s">
        <v>182</v>
      </c>
    </row>
    <row r="20" spans="2:18">
      <c r="F20" s="41"/>
      <c r="G20" s="41"/>
      <c r="H20" s="41"/>
      <c r="I20" s="41"/>
      <c r="J20" s="41"/>
      <c r="K20" s="41"/>
      <c r="L20" s="41"/>
      <c r="M20" s="41"/>
      <c r="N20" s="41"/>
      <c r="O20" s="41"/>
      <c r="P20" s="41"/>
    </row>
    <row r="21" spans="2:18">
      <c r="B21" s="9" t="s">
        <v>113</v>
      </c>
      <c r="F21" s="41"/>
      <c r="G21" s="41"/>
      <c r="H21" s="41"/>
      <c r="I21" s="41"/>
      <c r="J21" s="41"/>
      <c r="K21" s="41"/>
      <c r="L21" s="41"/>
      <c r="M21" s="41"/>
      <c r="N21" s="41"/>
      <c r="O21" s="41"/>
      <c r="P21" s="41"/>
    </row>
    <row r="22" spans="2:18">
      <c r="B22" s="10" t="s">
        <v>173</v>
      </c>
      <c r="D22" s="10" t="s">
        <v>86</v>
      </c>
      <c r="F22" s="41"/>
      <c r="G22" s="41"/>
      <c r="H22" s="41"/>
      <c r="I22" s="41"/>
      <c r="J22" s="41"/>
      <c r="K22" s="41"/>
      <c r="L22" s="30">
        <f>L$13*L17</f>
        <v>1139233.2633902505</v>
      </c>
      <c r="M22" s="30">
        <f>M$13*M17</f>
        <v>797124.77740113798</v>
      </c>
      <c r="N22" s="30">
        <f>N$13*N17</f>
        <v>786199.94540588942</v>
      </c>
      <c r="O22" s="30">
        <f>O$13*O17</f>
        <v>675513.24860342685</v>
      </c>
      <c r="P22" s="30">
        <f>P$13*P17</f>
        <v>656397.89713959745</v>
      </c>
      <c r="R22" s="22">
        <v>3</v>
      </c>
    </row>
    <row r="23" spans="2:18">
      <c r="F23" s="41"/>
      <c r="G23" s="41"/>
      <c r="H23" s="41"/>
      <c r="I23" s="41"/>
      <c r="J23" s="41"/>
      <c r="K23" s="41"/>
      <c r="L23" s="41"/>
      <c r="M23" s="41"/>
      <c r="N23" s="41"/>
      <c r="O23" s="41"/>
      <c r="P23" s="41"/>
    </row>
    <row r="24" spans="2:18">
      <c r="B24" s="9" t="s">
        <v>112</v>
      </c>
      <c r="F24" s="41"/>
      <c r="G24" s="41"/>
      <c r="H24" s="41"/>
      <c r="I24" s="41"/>
      <c r="J24" s="41"/>
      <c r="K24" s="41"/>
      <c r="L24" s="41"/>
      <c r="M24" s="41"/>
      <c r="N24" s="41"/>
      <c r="O24" s="41"/>
      <c r="P24" s="41"/>
    </row>
    <row r="25" spans="2:18">
      <c r="B25" s="10" t="s">
        <v>174</v>
      </c>
      <c r="D25" s="10" t="s">
        <v>86</v>
      </c>
      <c r="F25" s="41"/>
      <c r="G25" s="41"/>
      <c r="H25" s="41"/>
      <c r="I25" s="41"/>
      <c r="J25" s="41"/>
      <c r="K25" s="41"/>
      <c r="L25" s="80">
        <f>L16+L22</f>
        <v>16596994.399072358</v>
      </c>
      <c r="M25" s="80">
        <f>M16+M22</f>
        <v>14034790.874992151</v>
      </c>
      <c r="N25" s="80">
        <f>N16+N22</f>
        <v>7677147.875221868</v>
      </c>
      <c r="O25" s="80">
        <f>O16+O22</f>
        <v>4881316.6882861247</v>
      </c>
      <c r="P25" s="80">
        <f>P16+P22</f>
        <v>1556218.2793274703</v>
      </c>
      <c r="R25" s="22">
        <v>3</v>
      </c>
    </row>
    <row r="26" spans="2:18">
      <c r="F26" s="41"/>
      <c r="G26" s="41"/>
      <c r="H26" s="41"/>
      <c r="I26" s="41"/>
      <c r="J26" s="41"/>
      <c r="K26" s="41"/>
      <c r="L26" s="41"/>
      <c r="M26" s="41"/>
      <c r="N26" s="41"/>
      <c r="O26" s="41"/>
      <c r="P26" s="41"/>
      <c r="R26" s="87"/>
    </row>
    <row r="27" spans="2:18">
      <c r="F27" s="41"/>
      <c r="G27" s="41"/>
      <c r="H27" s="41"/>
      <c r="I27" s="41"/>
      <c r="J27" s="41"/>
      <c r="K27" s="41"/>
      <c r="L27" s="41"/>
      <c r="M27" s="41"/>
      <c r="N27" s="41"/>
      <c r="O27" s="41"/>
      <c r="P27" s="41"/>
    </row>
  </sheetData>
  <mergeCells count="1">
    <mergeCell ref="B5:C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tabColor rgb="FFFFFFCC"/>
  </sheetPr>
  <dimension ref="B2:R55"/>
  <sheetViews>
    <sheetView showGridLines="0" zoomScale="85" zoomScaleNormal="85" workbookViewId="0">
      <pane xSplit="4" ySplit="11" topLeftCell="E12" activePane="bottomRight" state="frozen"/>
      <selection activeCell="R6" sqref="R6"/>
      <selection pane="topRight" activeCell="R6" sqref="R6"/>
      <selection pane="bottomLeft" activeCell="R6" sqref="R6"/>
      <selection pane="bottomRight" activeCell="E12" sqref="E12"/>
    </sheetView>
  </sheetViews>
  <sheetFormatPr defaultRowHeight="12.75"/>
  <cols>
    <col min="1" max="1" width="4.7109375" style="10" customWidth="1"/>
    <col min="2" max="2" width="75.7109375" style="10" customWidth="1"/>
    <col min="3" max="3" width="2.7109375" style="10" customWidth="1"/>
    <col min="4" max="4" width="13.7109375" style="10" customWidth="1"/>
    <col min="5" max="5" width="2.7109375" style="10" customWidth="1"/>
    <col min="6" max="6" width="16.7109375" style="10" customWidth="1"/>
    <col min="7" max="7" width="2.7109375" style="10" customWidth="1"/>
    <col min="8" max="16" width="16.7109375" style="10" customWidth="1"/>
    <col min="17" max="17" width="2.7109375" style="10" customWidth="1"/>
    <col min="18" max="18" width="16.7109375" style="22" customWidth="1"/>
    <col min="19" max="19" width="4.7109375" style="10" customWidth="1"/>
    <col min="20" max="16384" width="9.140625" style="10"/>
  </cols>
  <sheetData>
    <row r="2" spans="2:18" s="48" customFormat="1" ht="18">
      <c r="B2" s="48" t="s">
        <v>212</v>
      </c>
      <c r="R2" s="49"/>
    </row>
    <row r="4" spans="2:18">
      <c r="B4" s="26" t="s">
        <v>56</v>
      </c>
    </row>
    <row r="5" spans="2:18" ht="81" customHeight="1">
      <c r="B5" s="110" t="s">
        <v>164</v>
      </c>
      <c r="C5" s="110"/>
    </row>
    <row r="6" spans="2:18">
      <c r="B6" s="37"/>
      <c r="C6" s="37"/>
    </row>
    <row r="7" spans="2:18">
      <c r="B7" s="53" t="s">
        <v>30</v>
      </c>
      <c r="C7" s="37"/>
    </row>
    <row r="8" spans="2:18" ht="27" customHeight="1">
      <c r="B8" s="110" t="s">
        <v>177</v>
      </c>
      <c r="C8" s="110"/>
    </row>
    <row r="9" spans="2:18" ht="12.75" customHeight="1"/>
    <row r="10" spans="2:18" s="3" customFormat="1">
      <c r="B10" s="3" t="s">
        <v>45</v>
      </c>
      <c r="D10" s="3" t="s">
        <v>27</v>
      </c>
      <c r="F10" s="3" t="s">
        <v>28</v>
      </c>
      <c r="H10" s="3">
        <v>2018</v>
      </c>
      <c r="I10" s="3">
        <v>2019</v>
      </c>
      <c r="J10" s="3">
        <v>2020</v>
      </c>
      <c r="K10" s="3">
        <v>2021</v>
      </c>
      <c r="L10" s="3">
        <v>2022</v>
      </c>
      <c r="M10" s="3">
        <v>2023</v>
      </c>
      <c r="N10" s="3">
        <v>2024</v>
      </c>
      <c r="O10" s="3">
        <v>2025</v>
      </c>
      <c r="P10" s="3">
        <v>2026</v>
      </c>
      <c r="R10" s="3" t="s">
        <v>114</v>
      </c>
    </row>
    <row r="13" spans="2:18" s="3" customFormat="1">
      <c r="B13" s="3" t="s">
        <v>48</v>
      </c>
    </row>
    <row r="15" spans="2:18">
      <c r="B15" s="26" t="s">
        <v>93</v>
      </c>
    </row>
    <row r="16" spans="2:18">
      <c r="B16" s="10" t="s">
        <v>307</v>
      </c>
      <c r="D16" s="10" t="s">
        <v>74</v>
      </c>
      <c r="H16" s="50"/>
      <c r="I16" s="50"/>
      <c r="J16" s="50"/>
      <c r="K16" s="50"/>
      <c r="L16" s="97">
        <f>'2. Reguleringsparameters'!L15</f>
        <v>2.4E-2</v>
      </c>
      <c r="M16" s="97">
        <f>'2. Reguleringsparameters'!M15</f>
        <v>2.3E-2</v>
      </c>
      <c r="N16" s="97">
        <f>'2. Reguleringsparameters'!N15</f>
        <v>2.8000000000000001E-2</v>
      </c>
      <c r="O16" s="97">
        <f>'2. Reguleringsparameters'!O15</f>
        <v>2.8000000000000001E-2</v>
      </c>
      <c r="P16" s="97">
        <f>'2. Reguleringsparameters'!P15</f>
        <v>2.8000000000000001E-2</v>
      </c>
    </row>
    <row r="17" spans="2:18">
      <c r="B17" s="10" t="s">
        <v>308</v>
      </c>
      <c r="D17" s="10" t="s">
        <v>74</v>
      </c>
      <c r="H17" s="50"/>
      <c r="I17" s="50"/>
      <c r="J17" s="50"/>
      <c r="K17" s="50"/>
      <c r="L17" s="97">
        <f>'2. Reguleringsparameters'!L16</f>
        <v>2.1999999999999999E-2</v>
      </c>
      <c r="M17" s="97">
        <f>'2. Reguleringsparameters'!M16</f>
        <v>2.1999999999999999E-2</v>
      </c>
      <c r="N17" s="97">
        <f>'2. Reguleringsparameters'!N16</f>
        <v>2.7E-2</v>
      </c>
      <c r="O17" s="97">
        <f>'2. Reguleringsparameters'!O16</f>
        <v>2.7E-2</v>
      </c>
      <c r="P17" s="97">
        <f>'2. Reguleringsparameters'!P16</f>
        <v>2.7E-2</v>
      </c>
    </row>
    <row r="19" spans="2:18">
      <c r="B19" s="9" t="s">
        <v>192</v>
      </c>
      <c r="F19" s="41"/>
      <c r="H19" s="41"/>
      <c r="I19" s="41"/>
      <c r="J19" s="41"/>
      <c r="K19" s="41"/>
      <c r="L19" s="41"/>
      <c r="M19" s="41"/>
      <c r="N19" s="41"/>
      <c r="O19" s="41"/>
      <c r="P19" s="41"/>
    </row>
    <row r="20" spans="2:18">
      <c r="B20" s="10" t="s">
        <v>196</v>
      </c>
      <c r="D20" s="10" t="s">
        <v>86</v>
      </c>
      <c r="F20" s="41"/>
      <c r="H20" s="50"/>
      <c r="I20" s="50"/>
      <c r="J20" s="50"/>
      <c r="K20" s="50"/>
      <c r="L20" s="79">
        <f>'3. GAW model'!L17</f>
        <v>6246557.0999169471</v>
      </c>
      <c r="M20" s="79">
        <f>'3. GAW model'!M17</f>
        <v>10523630.332346527</v>
      </c>
      <c r="N20" s="79">
        <f>'3. GAW model'!N17</f>
        <v>14893688.451829199</v>
      </c>
      <c r="O20" s="79">
        <f>'3. GAW model'!O17</f>
        <v>19358271.804101411</v>
      </c>
      <c r="P20" s="79">
        <f>'3. GAW model'!P17</f>
        <v>21773707.765174415</v>
      </c>
    </row>
    <row r="21" spans="2:18">
      <c r="B21" s="10" t="s">
        <v>197</v>
      </c>
      <c r="D21" s="10" t="s">
        <v>86</v>
      </c>
      <c r="F21" s="41"/>
      <c r="H21" s="50"/>
      <c r="I21" s="50"/>
      <c r="J21" s="50"/>
      <c r="K21" s="50"/>
      <c r="L21" s="79">
        <f>'3. GAW model'!L18</f>
        <v>33565955.940972187</v>
      </c>
      <c r="M21" s="79">
        <f>'3. GAW model'!M18</f>
        <v>44601867.101989739</v>
      </c>
      <c r="N21" s="79">
        <f>'3. GAW model'!N18</f>
        <v>51641476.996232338</v>
      </c>
      <c r="O21" s="79">
        <f>'3. GAW model'!O18</f>
        <v>54557836.617960103</v>
      </c>
      <c r="P21" s="79">
        <f>'3. GAW model'!P18</f>
        <v>55366572.783705682</v>
      </c>
    </row>
    <row r="22" spans="2:18" s="41" customFormat="1">
      <c r="L22" s="43"/>
      <c r="M22" s="43"/>
      <c r="N22" s="43"/>
      <c r="O22" s="43"/>
      <c r="P22" s="43"/>
      <c r="R22" s="52"/>
    </row>
    <row r="23" spans="2:18">
      <c r="B23" s="10" t="s">
        <v>175</v>
      </c>
      <c r="D23" s="10" t="s">
        <v>86</v>
      </c>
      <c r="H23" s="50"/>
      <c r="J23" s="79">
        <f>'3. GAW model'!J22</f>
        <v>79191013.178890973</v>
      </c>
      <c r="K23" s="50"/>
      <c r="L23" s="50"/>
      <c r="M23" s="50"/>
      <c r="N23" s="50"/>
      <c r="O23" s="50"/>
      <c r="P23" s="50"/>
    </row>
    <row r="24" spans="2:18">
      <c r="H24" s="41"/>
    </row>
    <row r="25" spans="2:18" s="45" customFormat="1">
      <c r="B25" s="45" t="s">
        <v>176</v>
      </c>
      <c r="D25" s="10" t="s">
        <v>86</v>
      </c>
      <c r="H25" s="50"/>
      <c r="J25" s="50"/>
      <c r="K25" s="50"/>
      <c r="L25" s="79">
        <f>'3. GAW model'!L13</f>
        <v>47468052.641260438</v>
      </c>
      <c r="M25" s="79">
        <f>'3. GAW model'!M13</f>
        <v>34657599.017440781</v>
      </c>
      <c r="N25" s="79">
        <f>'3. GAW model'!N13</f>
        <v>28078569.478781763</v>
      </c>
      <c r="O25" s="79">
        <f>'3. GAW model'!O13</f>
        <v>24125473.164408103</v>
      </c>
      <c r="P25" s="79">
        <f>'3. GAW model'!P13</f>
        <v>23442782.040699907</v>
      </c>
      <c r="R25" s="51"/>
    </row>
    <row r="26" spans="2:18">
      <c r="F26" s="41"/>
      <c r="H26" s="41"/>
      <c r="I26" s="41"/>
      <c r="J26" s="41"/>
      <c r="K26" s="41"/>
      <c r="L26" s="41"/>
      <c r="M26" s="41"/>
      <c r="N26" s="41"/>
      <c r="O26" s="42"/>
      <c r="P26" s="42"/>
      <c r="Q26" s="21"/>
      <c r="R26" s="87"/>
    </row>
    <row r="27" spans="2:18" s="3" customFormat="1">
      <c r="B27" s="3" t="s">
        <v>119</v>
      </c>
    </row>
    <row r="28" spans="2:18">
      <c r="F28" s="41"/>
      <c r="H28" s="41"/>
      <c r="I28" s="41"/>
      <c r="J28" s="41"/>
      <c r="K28" s="41"/>
      <c r="L28" s="41"/>
      <c r="M28" s="41"/>
      <c r="N28" s="41"/>
      <c r="O28" s="42"/>
      <c r="P28" s="42"/>
      <c r="Q28" s="21"/>
      <c r="R28" s="87"/>
    </row>
    <row r="29" spans="2:18">
      <c r="B29" s="10" t="s">
        <v>118</v>
      </c>
      <c r="D29" s="10" t="s">
        <v>86</v>
      </c>
      <c r="F29" s="41"/>
      <c r="H29" s="50"/>
      <c r="I29" s="50"/>
      <c r="J29" s="50"/>
      <c r="K29" s="50"/>
      <c r="L29" s="30">
        <f>MAX(0,L21+L25-$J23)</f>
        <v>1842995.403341651</v>
      </c>
      <c r="M29" s="30">
        <f>MAX(0,M21+M25-$J23)</f>
        <v>68452.94053953886</v>
      </c>
      <c r="N29" s="30">
        <f>MAX(0,N21+N25-$J23)</f>
        <v>529033.29612313211</v>
      </c>
      <c r="O29" s="30">
        <f>MAX(0,O21+O25-$J23)</f>
        <v>0</v>
      </c>
      <c r="P29" s="30">
        <f>MAX(0,P21+P25-$J23)</f>
        <v>0</v>
      </c>
      <c r="Q29" s="21"/>
      <c r="R29" s="22">
        <v>5</v>
      </c>
    </row>
    <row r="30" spans="2:18">
      <c r="B30" s="10" t="s">
        <v>117</v>
      </c>
      <c r="D30" s="10" t="s">
        <v>74</v>
      </c>
      <c r="F30" s="41"/>
      <c r="H30" s="50"/>
      <c r="I30" s="50"/>
      <c r="J30" s="50"/>
      <c r="K30" s="50"/>
      <c r="L30" s="6">
        <f>L29/L21</f>
        <v>5.4906686005983939E-2</v>
      </c>
      <c r="M30" s="6">
        <f>M29/M21</f>
        <v>1.534755044738589E-3</v>
      </c>
      <c r="N30" s="6">
        <f>N29/N21</f>
        <v>1.0244348668837054E-2</v>
      </c>
      <c r="O30" s="6">
        <f>O29/O21</f>
        <v>0</v>
      </c>
      <c r="P30" s="6">
        <f>P29/P21</f>
        <v>0</v>
      </c>
      <c r="Q30" s="21"/>
      <c r="R30" s="22">
        <v>5</v>
      </c>
    </row>
    <row r="31" spans="2:18">
      <c r="B31" s="10" t="s">
        <v>116</v>
      </c>
      <c r="D31" s="10" t="s">
        <v>74</v>
      </c>
      <c r="F31" s="41"/>
      <c r="H31" s="50"/>
      <c r="I31" s="50"/>
      <c r="J31" s="50"/>
      <c r="K31" s="50"/>
      <c r="L31" s="6">
        <f>1-L30</f>
        <v>0.94509331399401608</v>
      </c>
      <c r="M31" s="6">
        <f>1-M30</f>
        <v>0.99846524495526146</v>
      </c>
      <c r="N31" s="6">
        <f>1-N30</f>
        <v>0.98975565133116294</v>
      </c>
      <c r="O31" s="6">
        <f>1-O30</f>
        <v>1</v>
      </c>
      <c r="P31" s="6">
        <f>1-P30</f>
        <v>1</v>
      </c>
      <c r="Q31" s="21"/>
      <c r="R31" s="22">
        <v>6</v>
      </c>
    </row>
    <row r="32" spans="2:18">
      <c r="F32" s="41"/>
      <c r="H32" s="41"/>
      <c r="I32" s="41"/>
      <c r="J32" s="41"/>
      <c r="K32" s="41"/>
      <c r="L32" s="41"/>
      <c r="M32" s="41"/>
      <c r="N32" s="41"/>
      <c r="O32" s="42"/>
      <c r="P32" s="42"/>
      <c r="Q32" s="21"/>
    </row>
    <row r="33" spans="2:18" s="3" customFormat="1">
      <c r="B33" s="3" t="s">
        <v>213</v>
      </c>
    </row>
    <row r="34" spans="2:18">
      <c r="F34" s="41"/>
      <c r="H34" s="41"/>
      <c r="I34" s="41"/>
      <c r="J34" s="41"/>
      <c r="K34" s="41"/>
      <c r="L34" s="41"/>
      <c r="M34" s="41"/>
      <c r="N34" s="41"/>
      <c r="O34" s="41"/>
      <c r="P34" s="41"/>
      <c r="Q34" s="21"/>
    </row>
    <row r="35" spans="2:18">
      <c r="B35" s="9" t="s">
        <v>215</v>
      </c>
      <c r="F35" s="41"/>
      <c r="H35" s="41"/>
      <c r="I35" s="41"/>
      <c r="J35" s="41"/>
      <c r="K35" s="41"/>
      <c r="L35" s="41"/>
      <c r="M35" s="41"/>
      <c r="N35" s="41"/>
      <c r="O35" s="41"/>
      <c r="P35" s="41"/>
      <c r="Q35" s="21"/>
    </row>
    <row r="36" spans="2:18">
      <c r="B36" s="10" t="s">
        <v>214</v>
      </c>
      <c r="D36" s="10" t="s">
        <v>86</v>
      </c>
      <c r="F36" s="41"/>
      <c r="H36" s="50"/>
      <c r="I36" s="50"/>
      <c r="J36" s="50"/>
      <c r="K36" s="50"/>
      <c r="L36" s="30">
        <f>L21*L30*L17+L21*L31*L16</f>
        <v>801896.95177664922</v>
      </c>
      <c r="M36" s="30">
        <f>M21*M30*M17+M21*M31*M16</f>
        <v>1025774.4904052244</v>
      </c>
      <c r="N36" s="30">
        <f>N21*N30*N17+N21*N31*N16</f>
        <v>1445432.3225983824</v>
      </c>
      <c r="O36" s="30">
        <f>O21*O30*O17+O21*O31*O16</f>
        <v>1527619.4253028829</v>
      </c>
      <c r="P36" s="30">
        <f>P21*P30*P17+P21*P31*P16</f>
        <v>1550264.037943759</v>
      </c>
      <c r="Q36" s="21"/>
      <c r="R36" s="22">
        <v>4</v>
      </c>
    </row>
    <row r="37" spans="2:18">
      <c r="F37" s="41"/>
      <c r="H37" s="41"/>
      <c r="I37" s="41"/>
      <c r="J37" s="41"/>
      <c r="K37" s="41"/>
      <c r="L37" s="41"/>
      <c r="M37" s="41"/>
      <c r="N37" s="41"/>
      <c r="O37" s="41"/>
      <c r="P37" s="41"/>
      <c r="Q37" s="21"/>
    </row>
    <row r="38" spans="2:18">
      <c r="B38" s="9" t="s">
        <v>216</v>
      </c>
      <c r="Q38" s="21"/>
    </row>
    <row r="39" spans="2:18">
      <c r="B39" s="10" t="s">
        <v>181</v>
      </c>
      <c r="D39" s="10" t="s">
        <v>86</v>
      </c>
      <c r="H39" s="50"/>
      <c r="I39" s="50"/>
      <c r="J39" s="50"/>
      <c r="K39" s="50"/>
      <c r="L39" s="80">
        <f>L20+L36</f>
        <v>7048454.0516935959</v>
      </c>
      <c r="M39" s="80">
        <f>M20+M36</f>
        <v>11549404.822751751</v>
      </c>
      <c r="N39" s="80">
        <f>N20+N36</f>
        <v>16339120.774427582</v>
      </c>
      <c r="O39" s="80">
        <f>O20+O36</f>
        <v>20885891.229404293</v>
      </c>
      <c r="P39" s="80">
        <f>P20+P36</f>
        <v>23323971.803118173</v>
      </c>
      <c r="Q39" s="21"/>
      <c r="R39" s="22">
        <v>4</v>
      </c>
    </row>
    <row r="40" spans="2:18" ht="12.75" customHeight="1">
      <c r="Q40" s="21"/>
      <c r="R40" s="87"/>
    </row>
    <row r="41" spans="2:18" ht="12.75" customHeight="1">
      <c r="H41" s="50"/>
      <c r="I41" s="50"/>
      <c r="J41" s="50"/>
      <c r="K41" s="50"/>
      <c r="Q41" s="21"/>
      <c r="R41" s="87"/>
    </row>
    <row r="42" spans="2:18" ht="12.75" customHeight="1">
      <c r="Q42" s="21"/>
      <c r="R42" s="87"/>
    </row>
    <row r="43" spans="2:18" ht="12.75" customHeight="1">
      <c r="Q43" s="21"/>
      <c r="R43" s="87"/>
    </row>
    <row r="44" spans="2:18" ht="12.75" customHeight="1"/>
    <row r="45" spans="2:18" ht="12.75" customHeight="1"/>
    <row r="46" spans="2:18" ht="12.75" customHeight="1"/>
    <row r="47" spans="2:18" ht="12.75" customHeight="1"/>
    <row r="48" spans="2:18" ht="12.75" customHeight="1"/>
    <row r="49" ht="12.75" customHeight="1"/>
    <row r="50" ht="12.75" customHeight="1"/>
    <row r="51" ht="12.75" customHeight="1"/>
    <row r="52" ht="12.75" customHeight="1"/>
    <row r="53" ht="12.75" customHeight="1"/>
    <row r="54" ht="12.75" customHeight="1"/>
    <row r="55" ht="12.75" customHeight="1"/>
  </sheetData>
  <mergeCells count="2">
    <mergeCell ref="B5:C5"/>
    <mergeCell ref="B8:C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tabColor rgb="FFFFFFCC"/>
  </sheetPr>
  <dimension ref="A2:R89"/>
  <sheetViews>
    <sheetView showGridLines="0" zoomScale="85" zoomScaleNormal="85" workbookViewId="0">
      <pane xSplit="4" ySplit="8" topLeftCell="E9" activePane="bottomRight" state="frozen"/>
      <selection activeCell="R6" sqref="R6"/>
      <selection pane="topRight" activeCell="R6" sqref="R6"/>
      <selection pane="bottomLeft" activeCell="R6" sqref="R6"/>
      <selection pane="bottomRight" activeCell="E9" sqref="E9"/>
    </sheetView>
  </sheetViews>
  <sheetFormatPr defaultRowHeight="12.75"/>
  <cols>
    <col min="1" max="1" width="4.7109375" style="10" customWidth="1"/>
    <col min="2" max="2" width="93.7109375" style="10" customWidth="1"/>
    <col min="3" max="3" width="2.7109375" style="10" customWidth="1"/>
    <col min="4" max="4" width="13.7109375" style="10" customWidth="1"/>
    <col min="5" max="5" width="2.7109375" style="10" customWidth="1"/>
    <col min="6" max="6" width="13.7109375" style="10" customWidth="1"/>
    <col min="7" max="7" width="2.7109375" style="10" customWidth="1"/>
    <col min="8" max="16" width="16.7109375" style="10" customWidth="1"/>
    <col min="17" max="17" width="2.7109375" style="10" customWidth="1"/>
    <col min="18" max="32" width="13.7109375" style="10" customWidth="1"/>
    <col min="33" max="16384" width="9.140625" style="10"/>
  </cols>
  <sheetData>
    <row r="2" spans="1:18" s="64" customFormat="1" ht="18">
      <c r="B2" s="64" t="s">
        <v>110</v>
      </c>
    </row>
    <row r="4" spans="1:18">
      <c r="B4" s="26" t="s">
        <v>56</v>
      </c>
    </row>
    <row r="5" spans="1:18" ht="63.75" customHeight="1">
      <c r="A5" s="36"/>
      <c r="B5" s="110" t="s">
        <v>253</v>
      </c>
      <c r="C5" s="110"/>
      <c r="D5" s="36"/>
      <c r="E5" s="36"/>
      <c r="F5" s="36"/>
    </row>
    <row r="6" spans="1:18">
      <c r="A6" s="36"/>
      <c r="B6" s="36"/>
      <c r="C6" s="36"/>
      <c r="D6" s="36"/>
      <c r="E6" s="36"/>
      <c r="F6" s="36"/>
    </row>
    <row r="7" spans="1:18" s="3" customFormat="1">
      <c r="B7" s="3" t="s">
        <v>45</v>
      </c>
      <c r="D7" s="3" t="s">
        <v>27</v>
      </c>
      <c r="F7" s="3" t="s">
        <v>28</v>
      </c>
      <c r="H7" s="3">
        <v>2018</v>
      </c>
      <c r="I7" s="3">
        <v>2019</v>
      </c>
      <c r="J7" s="3">
        <v>2020</v>
      </c>
      <c r="K7" s="3">
        <v>2021</v>
      </c>
      <c r="L7" s="3">
        <v>2022</v>
      </c>
      <c r="M7" s="3">
        <v>2023</v>
      </c>
      <c r="N7" s="3">
        <v>2024</v>
      </c>
      <c r="O7" s="3">
        <v>2025</v>
      </c>
      <c r="P7" s="3">
        <v>2026</v>
      </c>
      <c r="R7" s="3" t="s">
        <v>114</v>
      </c>
    </row>
    <row r="10" spans="1:18" s="14" customFormat="1">
      <c r="B10" s="14" t="s">
        <v>48</v>
      </c>
    </row>
    <row r="12" spans="1:18">
      <c r="B12" s="9" t="s">
        <v>104</v>
      </c>
    </row>
    <row r="13" spans="1:18">
      <c r="B13" s="10" t="s">
        <v>101</v>
      </c>
      <c r="D13" s="10" t="s">
        <v>109</v>
      </c>
      <c r="L13" s="8">
        <f>'5. Berekening op parameters'!L25</f>
        <v>1.075959948088</v>
      </c>
      <c r="M13" s="8">
        <f>'5. Berekening op parameters'!M25</f>
        <v>1.0953272271535839</v>
      </c>
      <c r="N13" s="8">
        <f>'5. Berekening op parameters'!N25</f>
        <v>1.1150431172423485</v>
      </c>
      <c r="O13" s="8">
        <f>'5. Berekening op parameters'!O25</f>
        <v>1.1351138933527105</v>
      </c>
      <c r="P13" s="8">
        <f>'5. Berekening op parameters'!P25</f>
        <v>1.1555459434330595</v>
      </c>
    </row>
    <row r="14" spans="1:18">
      <c r="B14" s="10" t="s">
        <v>102</v>
      </c>
      <c r="D14" s="10" t="s">
        <v>109</v>
      </c>
      <c r="L14" s="8">
        <f>'5. Berekening op parameters'!L26</f>
        <v>1.0538295280000001</v>
      </c>
      <c r="M14" s="8">
        <f>'5. Berekening op parameters'!M26</f>
        <v>1.0727984595039999</v>
      </c>
      <c r="N14" s="8">
        <f>'5. Berekening op parameters'!N26</f>
        <v>1.092108831775072</v>
      </c>
      <c r="O14" s="8">
        <f>'5. Berekening op parameters'!O26</f>
        <v>1.1117667907470232</v>
      </c>
      <c r="P14" s="8">
        <f>'5. Berekening op parameters'!P26</f>
        <v>1.1317785929804698</v>
      </c>
    </row>
    <row r="15" spans="1:18">
      <c r="B15" s="10" t="s">
        <v>103</v>
      </c>
      <c r="D15" s="10" t="s">
        <v>109</v>
      </c>
      <c r="L15" s="8">
        <f>'5. Berekening op parameters'!L27</f>
        <v>1.025126</v>
      </c>
      <c r="M15" s="8">
        <f>'5. Berekening op parameters'!M27</f>
        <v>1.0435782679999999</v>
      </c>
      <c r="N15" s="8">
        <f>'5. Berekening op parameters'!N27</f>
        <v>1.062362676824</v>
      </c>
      <c r="O15" s="8">
        <f>'5. Berekening op parameters'!O27</f>
        <v>1.081485205006832</v>
      </c>
      <c r="P15" s="8">
        <f>'5. Berekening op parameters'!P27</f>
        <v>1.1009519386969551</v>
      </c>
    </row>
    <row r="16" spans="1:18">
      <c r="B16" s="10" t="s">
        <v>290</v>
      </c>
      <c r="D16" s="10" t="s">
        <v>109</v>
      </c>
      <c r="L16" s="8">
        <f>'5. Berekening op parameters'!L28</f>
        <v>1.018</v>
      </c>
      <c r="M16" s="8">
        <f>'5. Berekening op parameters'!M28</f>
        <v>1.036324</v>
      </c>
      <c r="N16" s="8">
        <f>'5. Berekening op parameters'!N28</f>
        <v>1.0549778320000001</v>
      </c>
      <c r="O16" s="8">
        <f>'5. Berekening op parameters'!O28</f>
        <v>1.0739674329760001</v>
      </c>
      <c r="P16" s="8">
        <f>'5. Berekening op parameters'!P28</f>
        <v>1.0932988467695681</v>
      </c>
    </row>
    <row r="17" spans="2:16">
      <c r="B17" s="10" t="s">
        <v>291</v>
      </c>
      <c r="D17" s="10" t="s">
        <v>109</v>
      </c>
      <c r="L17" s="8">
        <f>'5. Berekening op parameters'!L29</f>
        <v>1</v>
      </c>
      <c r="M17" s="8">
        <f>'5. Berekening op parameters'!M29</f>
        <v>1.018</v>
      </c>
      <c r="N17" s="8">
        <f>'5. Berekening op parameters'!N29</f>
        <v>1.036324</v>
      </c>
      <c r="O17" s="8">
        <f>'5. Berekening op parameters'!O29</f>
        <v>1.0549778320000001</v>
      </c>
      <c r="P17" s="8">
        <f>'5. Berekening op parameters'!P29</f>
        <v>1.0739674329760001</v>
      </c>
    </row>
    <row r="18" spans="2:16">
      <c r="B18" s="10" t="s">
        <v>292</v>
      </c>
      <c r="D18" s="10" t="s">
        <v>109</v>
      </c>
      <c r="L18" s="102"/>
      <c r="M18" s="8">
        <f>'5. Berekening op parameters'!M30</f>
        <v>1</v>
      </c>
      <c r="N18" s="8">
        <f>'5. Berekening op parameters'!N30</f>
        <v>1.018</v>
      </c>
      <c r="O18" s="8">
        <f>'5. Berekening op parameters'!O30</f>
        <v>1.036324</v>
      </c>
      <c r="P18" s="8">
        <f>'5. Berekening op parameters'!P30</f>
        <v>1.0549778320000001</v>
      </c>
    </row>
    <row r="19" spans="2:16">
      <c r="B19" s="10" t="s">
        <v>293</v>
      </c>
      <c r="D19" s="10" t="s">
        <v>109</v>
      </c>
      <c r="L19" s="102"/>
      <c r="M19" s="102"/>
      <c r="N19" s="8">
        <f>'5. Berekening op parameters'!N31</f>
        <v>1</v>
      </c>
      <c r="O19" s="8">
        <f>'5. Berekening op parameters'!O31</f>
        <v>1.018</v>
      </c>
      <c r="P19" s="8">
        <f>'5. Berekening op parameters'!P31</f>
        <v>1.036324</v>
      </c>
    </row>
    <row r="20" spans="2:16">
      <c r="B20" s="10" t="s">
        <v>294</v>
      </c>
      <c r="D20" s="10" t="s">
        <v>109</v>
      </c>
      <c r="L20" s="102"/>
      <c r="M20" s="102"/>
      <c r="N20" s="102"/>
      <c r="O20" s="8">
        <f>'5. Berekening op parameters'!O32</f>
        <v>1</v>
      </c>
      <c r="P20" s="8">
        <f>'5. Berekening op parameters'!P32</f>
        <v>1.018</v>
      </c>
    </row>
    <row r="21" spans="2:16">
      <c r="B21" s="10" t="s">
        <v>295</v>
      </c>
      <c r="D21" s="10" t="s">
        <v>109</v>
      </c>
      <c r="L21" s="102"/>
      <c r="M21" s="102"/>
      <c r="N21" s="102"/>
      <c r="O21" s="102"/>
      <c r="P21" s="8">
        <f>'5. Berekening op parameters'!P33</f>
        <v>1</v>
      </c>
    </row>
    <row r="23" spans="2:16">
      <c r="B23" s="9" t="s">
        <v>105</v>
      </c>
    </row>
    <row r="24" spans="2:16">
      <c r="B24" s="10" t="s">
        <v>106</v>
      </c>
      <c r="D24" s="10" t="s">
        <v>154</v>
      </c>
      <c r="L24" s="8">
        <f>'5. Berekening op parameters'!L40</f>
        <v>0.995</v>
      </c>
      <c r="M24" s="8">
        <f>'5. Berekening op parameters'!M40</f>
        <v>0.99002500000000004</v>
      </c>
      <c r="N24" s="8">
        <f>'5. Berekening op parameters'!N40</f>
        <v>0.98507487500000002</v>
      </c>
      <c r="O24" s="8">
        <f>'5. Berekening op parameters'!O40</f>
        <v>0.98014950062500006</v>
      </c>
      <c r="P24" s="8">
        <f>'5. Berekening op parameters'!P40</f>
        <v>0.97524875312187509</v>
      </c>
    </row>
    <row r="25" spans="2:16">
      <c r="B25" s="10" t="s">
        <v>107</v>
      </c>
      <c r="D25" s="10" t="s">
        <v>154</v>
      </c>
      <c r="L25" s="8">
        <f>'5. Berekening op parameters'!L41</f>
        <v>0.995</v>
      </c>
      <c r="M25" s="8">
        <f>'5. Berekening op parameters'!M41</f>
        <v>0.99002500000000004</v>
      </c>
      <c r="N25" s="8">
        <f>'5. Berekening op parameters'!N41</f>
        <v>0.98507487500000002</v>
      </c>
      <c r="O25" s="8">
        <f>'5. Berekening op parameters'!O41</f>
        <v>0.98014950062500006</v>
      </c>
      <c r="P25" s="8">
        <f>'5. Berekening op parameters'!P41</f>
        <v>0.97524875312187509</v>
      </c>
    </row>
    <row r="26" spans="2:16">
      <c r="B26" s="10" t="s">
        <v>108</v>
      </c>
      <c r="D26" s="10" t="s">
        <v>154</v>
      </c>
      <c r="L26" s="8">
        <f>'5. Berekening op parameters'!L42</f>
        <v>0.995</v>
      </c>
      <c r="M26" s="8">
        <f>'5. Berekening op parameters'!M42</f>
        <v>0.99002500000000004</v>
      </c>
      <c r="N26" s="8">
        <f>'5. Berekening op parameters'!N42</f>
        <v>0.98507487500000002</v>
      </c>
      <c r="O26" s="8">
        <f>'5. Berekening op parameters'!O42</f>
        <v>0.98014950062500006</v>
      </c>
      <c r="P26" s="8">
        <f>'5. Berekening op parameters'!P42</f>
        <v>0.97524875312187509</v>
      </c>
    </row>
    <row r="27" spans="2:16">
      <c r="B27" s="10" t="s">
        <v>296</v>
      </c>
      <c r="D27" s="10" t="s">
        <v>154</v>
      </c>
      <c r="L27" s="8">
        <f>'5. Berekening op parameters'!L43</f>
        <v>0.995</v>
      </c>
      <c r="M27" s="8">
        <f>'5. Berekening op parameters'!M43</f>
        <v>0.99002500000000004</v>
      </c>
      <c r="N27" s="8">
        <f>'5. Berekening op parameters'!N43</f>
        <v>0.98507487500000002</v>
      </c>
      <c r="O27" s="8">
        <f>'5. Berekening op parameters'!O43</f>
        <v>0.98014950062500006</v>
      </c>
      <c r="P27" s="8">
        <f>'5. Berekening op parameters'!P43</f>
        <v>0.97524875312187509</v>
      </c>
    </row>
    <row r="28" spans="2:16">
      <c r="B28" s="10" t="s">
        <v>297</v>
      </c>
      <c r="D28" s="10" t="s">
        <v>154</v>
      </c>
      <c r="L28" s="8">
        <f>'5. Berekening op parameters'!L44</f>
        <v>1</v>
      </c>
      <c r="M28" s="8">
        <f>'5. Berekening op parameters'!M44</f>
        <v>0.995</v>
      </c>
      <c r="N28" s="8">
        <f>'5. Berekening op parameters'!N44</f>
        <v>0.99002500000000004</v>
      </c>
      <c r="O28" s="8">
        <f>'5. Berekening op parameters'!O44</f>
        <v>0.98507487500000002</v>
      </c>
      <c r="P28" s="8">
        <f>'5. Berekening op parameters'!P44</f>
        <v>0.98014950062500006</v>
      </c>
    </row>
    <row r="29" spans="2:16">
      <c r="B29" s="10" t="s">
        <v>298</v>
      </c>
      <c r="D29" s="10" t="s">
        <v>154</v>
      </c>
      <c r="L29" s="102"/>
      <c r="M29" s="8">
        <f>'5. Berekening op parameters'!M45</f>
        <v>1</v>
      </c>
      <c r="N29" s="8">
        <f>'5. Berekening op parameters'!N45</f>
        <v>0.995</v>
      </c>
      <c r="O29" s="8">
        <f>'5. Berekening op parameters'!O45</f>
        <v>0.99002500000000004</v>
      </c>
      <c r="P29" s="8">
        <f>'5. Berekening op parameters'!P45</f>
        <v>0.98507487500000002</v>
      </c>
    </row>
    <row r="30" spans="2:16">
      <c r="B30" s="10" t="s">
        <v>299</v>
      </c>
      <c r="D30" s="10" t="s">
        <v>154</v>
      </c>
      <c r="L30" s="102"/>
      <c r="M30" s="102"/>
      <c r="N30" s="8">
        <f>'5. Berekening op parameters'!N46</f>
        <v>1</v>
      </c>
      <c r="O30" s="8">
        <f>'5. Berekening op parameters'!O46</f>
        <v>0.995</v>
      </c>
      <c r="P30" s="8">
        <f>'5. Berekening op parameters'!P46</f>
        <v>0.99002500000000004</v>
      </c>
    </row>
    <row r="31" spans="2:16">
      <c r="B31" s="10" t="s">
        <v>300</v>
      </c>
      <c r="D31" s="10" t="s">
        <v>154</v>
      </c>
      <c r="L31" s="102"/>
      <c r="M31" s="102"/>
      <c r="N31" s="102"/>
      <c r="O31" s="8">
        <f>'5. Berekening op parameters'!O47</f>
        <v>1</v>
      </c>
      <c r="P31" s="8">
        <f>'5. Berekening op parameters'!P47</f>
        <v>0.995</v>
      </c>
    </row>
    <row r="32" spans="2:16">
      <c r="B32" s="10" t="s">
        <v>301</v>
      </c>
      <c r="D32" s="10" t="s">
        <v>154</v>
      </c>
      <c r="L32" s="102"/>
      <c r="M32" s="102"/>
      <c r="N32" s="102"/>
      <c r="O32" s="102"/>
      <c r="P32" s="8">
        <f>'5. Berekening op parameters'!P48</f>
        <v>1</v>
      </c>
    </row>
    <row r="35" spans="2:10">
      <c r="B35" s="9" t="s">
        <v>208</v>
      </c>
    </row>
    <row r="36" spans="2:10">
      <c r="B36" s="10" t="s">
        <v>207</v>
      </c>
      <c r="D36" s="10" t="s">
        <v>74</v>
      </c>
      <c r="F36" s="97">
        <f>'2. Reguleringsparameters'!F29</f>
        <v>0.01</v>
      </c>
    </row>
    <row r="38" spans="2:10">
      <c r="B38" s="9" t="s">
        <v>262</v>
      </c>
    </row>
    <row r="39" spans="2:10">
      <c r="B39" s="10" t="s">
        <v>264</v>
      </c>
      <c r="D39" s="10" t="s">
        <v>74</v>
      </c>
      <c r="F39" s="97">
        <f>'2. Reguleringsparameters'!F33</f>
        <v>0.11799999999999999</v>
      </c>
    </row>
    <row r="40" spans="2:10">
      <c r="B40" s="10" t="s">
        <v>265</v>
      </c>
      <c r="D40" s="10" t="s">
        <v>74</v>
      </c>
      <c r="F40" s="97">
        <f>'2. Reguleringsparameters'!F34</f>
        <v>0.11799999999999999</v>
      </c>
    </row>
    <row r="41" spans="2:10" s="41" customFormat="1">
      <c r="F41" s="95"/>
    </row>
    <row r="42" spans="2:10">
      <c r="B42" s="9" t="s">
        <v>193</v>
      </c>
    </row>
    <row r="43" spans="2:10">
      <c r="B43" s="10" t="s">
        <v>193</v>
      </c>
      <c r="D43" s="10" t="s">
        <v>86</v>
      </c>
      <c r="H43" s="79">
        <f>'4. Operationele kosten'!H16</f>
        <v>3056121.0199999996</v>
      </c>
      <c r="I43" s="79">
        <f>'4. Operationele kosten'!I16</f>
        <v>2384113.52</v>
      </c>
      <c r="J43" s="79">
        <f>'4. Operationele kosten'!J16</f>
        <v>4947869.3899999997</v>
      </c>
    </row>
    <row r="44" spans="2:10">
      <c r="H44" s="91"/>
      <c r="I44" s="91"/>
      <c r="J44" s="91"/>
    </row>
    <row r="45" spans="2:10">
      <c r="B45" s="9" t="s">
        <v>170</v>
      </c>
      <c r="H45" s="91"/>
      <c r="I45" s="91"/>
      <c r="J45" s="91"/>
    </row>
    <row r="46" spans="2:10">
      <c r="B46" s="10" t="s">
        <v>165</v>
      </c>
      <c r="D46" s="10" t="s">
        <v>86</v>
      </c>
      <c r="H46" s="105" t="s">
        <v>358</v>
      </c>
      <c r="I46" s="105" t="s">
        <v>362</v>
      </c>
      <c r="J46" s="105" t="s">
        <v>366</v>
      </c>
    </row>
    <row r="47" spans="2:10">
      <c r="B47" s="10" t="s">
        <v>166</v>
      </c>
      <c r="D47" s="10" t="s">
        <v>86</v>
      </c>
      <c r="H47" s="105" t="s">
        <v>359</v>
      </c>
      <c r="I47" s="105" t="s">
        <v>363</v>
      </c>
      <c r="J47" s="105" t="s">
        <v>367</v>
      </c>
    </row>
    <row r="48" spans="2:10">
      <c r="B48" s="10" t="s">
        <v>167</v>
      </c>
      <c r="D48" s="10" t="s">
        <v>86</v>
      </c>
      <c r="H48" s="105" t="s">
        <v>360</v>
      </c>
      <c r="I48" s="105" t="s">
        <v>364</v>
      </c>
      <c r="J48" s="105" t="s">
        <v>368</v>
      </c>
    </row>
    <row r="49" spans="2:16">
      <c r="B49" s="10" t="s">
        <v>168</v>
      </c>
      <c r="D49" s="10" t="s">
        <v>86</v>
      </c>
      <c r="H49" s="105" t="s">
        <v>361</v>
      </c>
      <c r="I49" s="105" t="s">
        <v>365</v>
      </c>
      <c r="J49" s="105" t="s">
        <v>369</v>
      </c>
    </row>
    <row r="51" spans="2:16">
      <c r="B51" s="9" t="s">
        <v>203</v>
      </c>
    </row>
    <row r="52" spans="2:16">
      <c r="B52" s="10" t="s">
        <v>244</v>
      </c>
      <c r="D52" s="10" t="s">
        <v>86</v>
      </c>
      <c r="H52" s="79">
        <f>'4. Operationele kosten'!H27</f>
        <v>95973462.635111362</v>
      </c>
      <c r="I52" s="79">
        <f>'4. Operationele kosten'!I27</f>
        <v>94619920.99212943</v>
      </c>
      <c r="J52" s="79">
        <f>'4. Operationele kosten'!J27</f>
        <v>114764840.91223219</v>
      </c>
    </row>
    <row r="53" spans="2:16">
      <c r="B53" s="10" t="s">
        <v>245</v>
      </c>
      <c r="D53" s="10" t="s">
        <v>86</v>
      </c>
      <c r="H53" s="79">
        <f>'4. Operationele kosten'!H28</f>
        <v>52186641.654888637</v>
      </c>
      <c r="I53" s="79">
        <f>'4. Operationele kosten'!I28</f>
        <v>58966676.657870598</v>
      </c>
      <c r="J53" s="79">
        <f>'4. Operationele kosten'!J28</f>
        <v>57727032.277767785</v>
      </c>
    </row>
    <row r="55" spans="2:16">
      <c r="B55" s="9" t="s">
        <v>210</v>
      </c>
    </row>
    <row r="56" spans="2:16">
      <c r="B56" s="10" t="s">
        <v>276</v>
      </c>
      <c r="D56" s="10" t="s">
        <v>86</v>
      </c>
      <c r="H56" s="79">
        <f>'3. GAW model'!H26</f>
        <v>118971736.89588796</v>
      </c>
      <c r="I56" s="79">
        <f>'3. GAW model'!I26</f>
        <v>134748258.14699957</v>
      </c>
      <c r="J56" s="79">
        <f>'3. GAW model'!J26</f>
        <v>127707205.31166191</v>
      </c>
      <c r="K56" s="79">
        <f>'3. GAW model'!K26</f>
        <v>132295161.71914513</v>
      </c>
      <c r="L56" s="79">
        <f>'3. GAW model'!L26</f>
        <v>134676474.63008985</v>
      </c>
      <c r="M56" s="79">
        <f>'3. GAW model'!M26</f>
        <v>137100651.17343146</v>
      </c>
      <c r="N56" s="79">
        <f>'3. GAW model'!N26</f>
        <v>139568462.89455318</v>
      </c>
      <c r="O56" s="79">
        <f>'3. GAW model'!O26</f>
        <v>142080695.22665513</v>
      </c>
      <c r="P56" s="79">
        <f>'3. GAW model'!P26</f>
        <v>144638147.74073491</v>
      </c>
    </row>
    <row r="57" spans="2:16">
      <c r="B57" s="10" t="s">
        <v>270</v>
      </c>
      <c r="D57" s="10" t="s">
        <v>86</v>
      </c>
      <c r="H57" s="102"/>
      <c r="I57" s="102"/>
      <c r="J57" s="102"/>
      <c r="K57" s="79">
        <f>'3. GAW model'!K27</f>
        <v>10359514.675400946</v>
      </c>
      <c r="L57" s="79">
        <f>'3. GAW model'!L27</f>
        <v>21091971.879116327</v>
      </c>
      <c r="M57" s="79">
        <f>'3. GAW model'!M27</f>
        <v>21471627.372940421</v>
      </c>
      <c r="N57" s="79">
        <f>'3. GAW model'!N27</f>
        <v>21858116.665653348</v>
      </c>
      <c r="O57" s="79">
        <f>'3. GAW model'!O27</f>
        <v>22251562.765635107</v>
      </c>
      <c r="P57" s="79">
        <f>'3. GAW model'!P27</f>
        <v>22652090.895416535</v>
      </c>
    </row>
    <row r="58" spans="2:16">
      <c r="B58" s="10" t="s">
        <v>271</v>
      </c>
      <c r="D58" s="10" t="s">
        <v>86</v>
      </c>
      <c r="H58" s="102"/>
      <c r="I58" s="102"/>
      <c r="J58" s="102"/>
      <c r="K58" s="102"/>
      <c r="L58" s="79">
        <f>'3. GAW model'!L28</f>
        <v>10493256.009860372</v>
      </c>
      <c r="M58" s="79">
        <f>'3. GAW model'!M28</f>
        <v>21364269.236075718</v>
      </c>
      <c r="N58" s="79">
        <f>'3. GAW model'!N28</f>
        <v>21748826.082325079</v>
      </c>
      <c r="O58" s="79">
        <f>'3. GAW model'!O28</f>
        <v>22140304.951806933</v>
      </c>
      <c r="P58" s="79">
        <f>'3. GAW model'!P28</f>
        <v>22538830.440939456</v>
      </c>
    </row>
    <row r="59" spans="2:16">
      <c r="B59" s="10" t="s">
        <v>272</v>
      </c>
      <c r="D59" s="10" t="s">
        <v>86</v>
      </c>
      <c r="H59" s="102"/>
      <c r="I59" s="102"/>
      <c r="J59" s="102"/>
      <c r="K59" s="102"/>
      <c r="L59" s="102"/>
      <c r="M59" s="79">
        <f>'3. GAW model'!M29</f>
        <v>10628723.944947671</v>
      </c>
      <c r="N59" s="79">
        <f>'3. GAW model'!N29</f>
        <v>21640081.951913457</v>
      </c>
      <c r="O59" s="79">
        <f>'3. GAW model'!O29</f>
        <v>22029603.427047901</v>
      </c>
      <c r="P59" s="79">
        <f>'3. GAW model'!P29</f>
        <v>22426136.288734764</v>
      </c>
    </row>
    <row r="60" spans="2:16">
      <c r="B60" s="10" t="s">
        <v>273</v>
      </c>
      <c r="D60" s="10" t="s">
        <v>86</v>
      </c>
      <c r="H60" s="102"/>
      <c r="I60" s="102"/>
      <c r="J60" s="102"/>
      <c r="K60" s="102"/>
      <c r="L60" s="102"/>
      <c r="M60" s="102"/>
      <c r="N60" s="79">
        <f>'3. GAW model'!N30</f>
        <v>10765940.771076946</v>
      </c>
      <c r="O60" s="79">
        <f>'3. GAW model'!O30</f>
        <v>21919455.409912657</v>
      </c>
      <c r="P60" s="79">
        <f>'3. GAW model'!P30</f>
        <v>22314005.607291091</v>
      </c>
    </row>
    <row r="61" spans="2:16">
      <c r="B61" s="10" t="s">
        <v>274</v>
      </c>
      <c r="D61" s="10" t="s">
        <v>86</v>
      </c>
      <c r="H61" s="102"/>
      <c r="I61" s="102"/>
      <c r="J61" s="102"/>
      <c r="K61" s="102"/>
      <c r="L61" s="102"/>
      <c r="M61" s="102"/>
      <c r="N61" s="102"/>
      <c r="O61" s="79">
        <f>'3. GAW model'!O31</f>
        <v>10904929.066431547</v>
      </c>
      <c r="P61" s="79">
        <f>'3. GAW model'!P31</f>
        <v>22202435.579254627</v>
      </c>
    </row>
    <row r="62" spans="2:16">
      <c r="B62" s="10" t="s">
        <v>275</v>
      </c>
      <c r="D62" s="10" t="s">
        <v>86</v>
      </c>
      <c r="H62" s="102"/>
      <c r="I62" s="102"/>
      <c r="J62" s="102"/>
      <c r="K62" s="102"/>
      <c r="L62" s="102"/>
      <c r="M62" s="102"/>
      <c r="N62" s="102"/>
      <c r="O62" s="102"/>
      <c r="P62" s="79">
        <f>'3. GAW model'!P32</f>
        <v>11045711.700679179</v>
      </c>
    </row>
    <row r="63" spans="2:16">
      <c r="H63" s="91"/>
      <c r="I63" s="91"/>
      <c r="J63" s="91"/>
      <c r="K63" s="91"/>
      <c r="L63" s="91"/>
      <c r="M63" s="91"/>
      <c r="N63" s="91"/>
      <c r="O63" s="91"/>
      <c r="P63" s="91"/>
    </row>
    <row r="64" spans="2:16" s="14" customFormat="1">
      <c r="B64" s="14" t="s">
        <v>178</v>
      </c>
    </row>
    <row r="65" spans="2:18">
      <c r="L65" s="91"/>
    </row>
    <row r="66" spans="2:18">
      <c r="B66" s="9" t="s">
        <v>218</v>
      </c>
    </row>
    <row r="67" spans="2:18">
      <c r="B67" s="10" t="s">
        <v>248</v>
      </c>
      <c r="D67" s="10" t="s">
        <v>86</v>
      </c>
      <c r="H67" s="94"/>
      <c r="L67" s="30">
        <f>AVERAGE($H43*L$13*L$24,$I43*L$14*L$25,$J43* L$15*L$26)</f>
        <v>3606179.3609413295</v>
      </c>
      <c r="M67" s="30">
        <f>AVERAGE($H43*M$13*M$24,$I43*M$14*M$25,$J43* M$15*M$26)</f>
        <v>3652735.1364910812</v>
      </c>
      <c r="N67" s="30">
        <f>AVERAGE($H43*N$13*N$24,$I43*N$14*N$25,$J43* N$15*N$26)</f>
        <v>3699891.9471031819</v>
      </c>
      <c r="O67" s="30">
        <f>AVERAGE($H43*O$13*O$24,$I43*O$14*O$25,$J43* O$15*O$26)</f>
        <v>3747657.5521402839</v>
      </c>
      <c r="P67" s="30">
        <f>AVERAGE($H43*P$13*P$24,$I43*P$14*P$25,$J43* P$15*P$26)</f>
        <v>3796039.8111384152</v>
      </c>
      <c r="R67" s="22">
        <v>8</v>
      </c>
    </row>
    <row r="68" spans="2:18">
      <c r="B68" s="10" t="s">
        <v>204</v>
      </c>
      <c r="D68" s="10" t="s">
        <v>86</v>
      </c>
      <c r="H68" s="94"/>
      <c r="L68" s="30">
        <f>AVERAGE(($F$39*$H$52+$F$40*$H$53)*L13*L24,($F$39*$I$52+$F$40*$I$53)*L14*L25,($F$39*$J$52+$F$40*$J$53)*L15*L26)</f>
        <v>19493751.911463574</v>
      </c>
      <c r="M68" s="30">
        <f t="shared" ref="M68:P68" si="0">AVERAGE(($F$39*$H$52+$F$40*$H$53)*M13*M24,($F$39*$I$52+$F$40*$I$53)*M14*M25,($F$39*$J$52+$F$40*$J$53)*M15*M26)</f>
        <v>19745416.248640563</v>
      </c>
      <c r="N68" s="30">
        <f t="shared" si="0"/>
        <v>20000329.57241052</v>
      </c>
      <c r="O68" s="30">
        <f t="shared" si="0"/>
        <v>20258533.827190336</v>
      </c>
      <c r="P68" s="30">
        <f t="shared" si="0"/>
        <v>20520071.498899363</v>
      </c>
      <c r="R68" s="22">
        <v>8</v>
      </c>
    </row>
    <row r="69" spans="2:18">
      <c r="B69" s="10" t="s">
        <v>249</v>
      </c>
      <c r="D69" s="10" t="s">
        <v>86</v>
      </c>
      <c r="L69" s="104" t="s">
        <v>338</v>
      </c>
      <c r="M69" s="104" t="s">
        <v>342</v>
      </c>
      <c r="N69" s="104" t="s">
        <v>346</v>
      </c>
      <c r="O69" s="104" t="s">
        <v>350</v>
      </c>
      <c r="P69" s="104" t="s">
        <v>354</v>
      </c>
      <c r="R69" s="22">
        <v>9</v>
      </c>
    </row>
    <row r="70" spans="2:18">
      <c r="B70" s="10" t="s">
        <v>250</v>
      </c>
      <c r="D70" s="10" t="s">
        <v>86</v>
      </c>
      <c r="L70" s="104" t="s">
        <v>339</v>
      </c>
      <c r="M70" s="104" t="s">
        <v>343</v>
      </c>
      <c r="N70" s="104" t="s">
        <v>347</v>
      </c>
      <c r="O70" s="104" t="s">
        <v>351</v>
      </c>
      <c r="P70" s="104" t="s">
        <v>355</v>
      </c>
      <c r="R70" s="22">
        <v>9</v>
      </c>
    </row>
    <row r="71" spans="2:18">
      <c r="B71" s="10" t="s">
        <v>251</v>
      </c>
      <c r="D71" s="10" t="s">
        <v>86</v>
      </c>
      <c r="L71" s="104" t="s">
        <v>340</v>
      </c>
      <c r="M71" s="104" t="s">
        <v>344</v>
      </c>
      <c r="N71" s="104" t="s">
        <v>348</v>
      </c>
      <c r="O71" s="104" t="s">
        <v>352</v>
      </c>
      <c r="P71" s="104" t="s">
        <v>356</v>
      </c>
      <c r="R71" s="22">
        <v>9</v>
      </c>
    </row>
    <row r="72" spans="2:18">
      <c r="B72" s="10" t="s">
        <v>252</v>
      </c>
      <c r="D72" s="10" t="s">
        <v>86</v>
      </c>
      <c r="L72" s="104" t="s">
        <v>341</v>
      </c>
      <c r="M72" s="104" t="s">
        <v>345</v>
      </c>
      <c r="N72" s="104" t="s">
        <v>349</v>
      </c>
      <c r="O72" s="104" t="s">
        <v>353</v>
      </c>
      <c r="P72" s="104" t="s">
        <v>357</v>
      </c>
      <c r="R72" s="22">
        <v>9</v>
      </c>
    </row>
    <row r="74" spans="2:18">
      <c r="B74" s="9" t="s">
        <v>217</v>
      </c>
    </row>
    <row r="75" spans="2:18">
      <c r="B75" s="10" t="s">
        <v>289</v>
      </c>
      <c r="D75" s="10" t="s">
        <v>86</v>
      </c>
      <c r="L75" s="30">
        <f>$F$36*L26*(L56-AVERAGE(L13*$H$56,L14*$I$56,L15*$J$56))</f>
        <v>10291.38516875051</v>
      </c>
      <c r="M75" s="30">
        <f>$F$36*M26*(M56-AVERAGE(M13*$H$56,M14*$I$56,M15*$J$56))</f>
        <v>10424.246951279018</v>
      </c>
      <c r="N75" s="30">
        <f>$F$36*N26*(N56-AVERAGE(N13*$H$56,N14*$I$56,N15*$J$56))</f>
        <v>10558.8239794196</v>
      </c>
      <c r="O75" s="30">
        <f>$F$36*O26*(O56-AVERAGE(O13*$H$56,O14*$I$56,O15*$J$56))</f>
        <v>10695.1383969937</v>
      </c>
      <c r="P75" s="30">
        <f>$F$36*P26*(P56-AVERAGE(P13*$H$56,P14*$I$56,P15*$J$56))</f>
        <v>10833.212633698406</v>
      </c>
      <c r="R75" s="22" t="s">
        <v>316</v>
      </c>
    </row>
    <row r="76" spans="2:18">
      <c r="B76" s="10" t="s">
        <v>283</v>
      </c>
      <c r="D76" s="10" t="s">
        <v>86</v>
      </c>
      <c r="L76" s="30">
        <f>$F$36*L27*L57</f>
        <v>209865.12019720746</v>
      </c>
      <c r="M76" s="30">
        <f>$F$36*M27*M57</f>
        <v>212574.47889895341</v>
      </c>
      <c r="N76" s="30">
        <f>$F$36*N27*N57</f>
        <v>215318.81542153889</v>
      </c>
      <c r="O76" s="30">
        <f>$F$36*O27*O57</f>
        <v>218098.58132863097</v>
      </c>
      <c r="P76" s="30">
        <f>$F$36*P27*P57</f>
        <v>220914.23401358357</v>
      </c>
      <c r="R76" s="22" t="s">
        <v>316</v>
      </c>
    </row>
    <row r="77" spans="2:18">
      <c r="B77" s="10" t="s">
        <v>284</v>
      </c>
      <c r="D77" s="10" t="s">
        <v>86</v>
      </c>
      <c r="L77" s="30">
        <f>$F$36*L28*L58</f>
        <v>104932.56009860372</v>
      </c>
      <c r="M77" s="30">
        <f t="shared" ref="M77:P77" si="1">$F$36*M28*M58</f>
        <v>212574.47889895341</v>
      </c>
      <c r="N77" s="30">
        <f t="shared" si="1"/>
        <v>215318.81542153889</v>
      </c>
      <c r="O77" s="30">
        <f t="shared" si="1"/>
        <v>218098.58132863097</v>
      </c>
      <c r="P77" s="30">
        <f t="shared" si="1"/>
        <v>220914.2340135836</v>
      </c>
      <c r="R77" s="22" t="s">
        <v>316</v>
      </c>
    </row>
    <row r="78" spans="2:18">
      <c r="B78" s="10" t="s">
        <v>285</v>
      </c>
      <c r="D78" s="10" t="s">
        <v>86</v>
      </c>
      <c r="L78" s="102"/>
      <c r="M78" s="30">
        <f>$F$36*M29*M59</f>
        <v>106287.23944947671</v>
      </c>
      <c r="N78" s="30">
        <f>$F$36*N29*N59</f>
        <v>215318.81542153892</v>
      </c>
      <c r="O78" s="30">
        <f>$F$36*O29*O59</f>
        <v>218098.581328631</v>
      </c>
      <c r="P78" s="30">
        <f>$F$36*P29*P59</f>
        <v>220914.23401358363</v>
      </c>
      <c r="R78" s="22" t="s">
        <v>316</v>
      </c>
    </row>
    <row r="79" spans="2:18">
      <c r="B79" s="10" t="s">
        <v>286</v>
      </c>
      <c r="D79" s="10" t="s">
        <v>86</v>
      </c>
      <c r="L79" s="102"/>
      <c r="M79" s="102"/>
      <c r="N79" s="30">
        <f>$F$36*N30*N60</f>
        <v>107659.40771076946</v>
      </c>
      <c r="O79" s="30">
        <f>$F$36*O30*O60</f>
        <v>218098.58132863094</v>
      </c>
      <c r="P79" s="30">
        <f>$F$36*P30*P60</f>
        <v>220914.23401358366</v>
      </c>
      <c r="R79" s="22" t="s">
        <v>316</v>
      </c>
    </row>
    <row r="80" spans="2:18">
      <c r="B80" s="10" t="s">
        <v>287</v>
      </c>
      <c r="D80" s="10" t="s">
        <v>86</v>
      </c>
      <c r="L80" s="102"/>
      <c r="M80" s="102"/>
      <c r="N80" s="102"/>
      <c r="O80" s="30">
        <f>$F$36*O31*O61</f>
        <v>109049.29066431547</v>
      </c>
      <c r="P80" s="30">
        <f>$F$36*P31*P61</f>
        <v>220914.23401358354</v>
      </c>
      <c r="R80" s="22" t="s">
        <v>316</v>
      </c>
    </row>
    <row r="81" spans="2:18">
      <c r="B81" s="10" t="s">
        <v>288</v>
      </c>
      <c r="D81" s="10" t="s">
        <v>86</v>
      </c>
      <c r="L81" s="102"/>
      <c r="M81" s="102"/>
      <c r="N81" s="102"/>
      <c r="O81" s="102"/>
      <c r="P81" s="30">
        <f>$F$36*P32*P62</f>
        <v>110457.1170067918</v>
      </c>
      <c r="R81" s="22" t="s">
        <v>316</v>
      </c>
    </row>
    <row r="83" spans="2:18">
      <c r="B83" s="9" t="s">
        <v>179</v>
      </c>
    </row>
    <row r="84" spans="2:18">
      <c r="B84" s="10" t="s">
        <v>179</v>
      </c>
      <c r="D84" s="10" t="s">
        <v>86</v>
      </c>
      <c r="L84" s="80">
        <v>154737584.669586</v>
      </c>
      <c r="M84" s="80">
        <v>156947821.36656925</v>
      </c>
      <c r="N84" s="80">
        <v>159189336.55583328</v>
      </c>
      <c r="O84" s="80">
        <v>161462569.47209769</v>
      </c>
      <c r="P84" s="80">
        <v>163767965.47799608</v>
      </c>
      <c r="R84" s="22">
        <v>7</v>
      </c>
    </row>
    <row r="88" spans="2:18">
      <c r="P88" s="91"/>
    </row>
    <row r="89" spans="2:18">
      <c r="P89" s="91"/>
    </row>
  </sheetData>
  <mergeCells count="1">
    <mergeCell ref="B5:C5"/>
  </mergeCells>
  <phoneticPr fontId="33" type="noConversion"/>
  <pageMargins left="0.7" right="0.7" top="0.75" bottom="0.75" header="0.3" footer="0.3"/>
  <pageSetup paperSize="9" orientation="portrait" r:id="rId1"/>
  <ignoredErrors>
    <ignoredError sqref="R75:R81"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rgb="FFFFFFCC"/>
  </sheetPr>
  <dimension ref="A2:AB50"/>
  <sheetViews>
    <sheetView showGridLines="0" zoomScale="85" zoomScaleNormal="85" workbookViewId="0">
      <pane xSplit="4" ySplit="11" topLeftCell="E12" activePane="bottomRight" state="frozen"/>
      <selection pane="topRight" activeCell="E1" sqref="E1"/>
      <selection pane="bottomLeft" activeCell="A12" sqref="A12"/>
      <selection pane="bottomRight" activeCell="E12" sqref="E12"/>
    </sheetView>
  </sheetViews>
  <sheetFormatPr defaultRowHeight="12.75"/>
  <cols>
    <col min="1" max="1" width="4.7109375" style="10" customWidth="1"/>
    <col min="2" max="2" width="75.7109375" style="10" customWidth="1"/>
    <col min="3" max="3" width="2.7109375" style="10" customWidth="1"/>
    <col min="4" max="4" width="26.42578125" style="10" bestFit="1" customWidth="1"/>
    <col min="5" max="5" width="2.7109375" style="10" customWidth="1"/>
    <col min="6" max="6" width="18.28515625" style="10" customWidth="1"/>
    <col min="7" max="11" width="2.7109375" style="10" customWidth="1"/>
    <col min="12" max="16" width="16.7109375" style="10" customWidth="1"/>
    <col min="17" max="17" width="2.7109375" style="10" customWidth="1"/>
    <col min="18" max="18" width="16.7109375" style="22" customWidth="1"/>
    <col min="19" max="19" width="2.7109375" style="10" customWidth="1"/>
    <col min="20" max="21" width="16.7109375" style="10" customWidth="1"/>
    <col min="22" max="24" width="2.7109375" style="10" customWidth="1"/>
    <col min="25" max="39" width="13.7109375" style="10" customWidth="1"/>
    <col min="40" max="16384" width="9.140625" style="10"/>
  </cols>
  <sheetData>
    <row r="2" spans="2:28" s="48" customFormat="1" ht="18">
      <c r="B2" s="48" t="s">
        <v>219</v>
      </c>
      <c r="R2" s="49"/>
    </row>
    <row r="4" spans="2:28">
      <c r="B4" s="26" t="s">
        <v>56</v>
      </c>
      <c r="D4" s="9"/>
      <c r="L4" s="9"/>
    </row>
    <row r="5" spans="2:28" ht="78" customHeight="1">
      <c r="B5" s="110" t="s">
        <v>220</v>
      </c>
      <c r="C5" s="110"/>
      <c r="D5" s="36"/>
      <c r="E5" s="36"/>
      <c r="F5" s="36"/>
      <c r="G5" s="36"/>
      <c r="H5" s="36"/>
      <c r="I5" s="36"/>
      <c r="J5" s="36"/>
      <c r="K5" s="36"/>
      <c r="L5" s="36"/>
      <c r="M5" s="36"/>
      <c r="N5" s="58"/>
      <c r="O5" s="58"/>
      <c r="P5" s="58"/>
      <c r="Q5" s="36"/>
      <c r="R5" s="61"/>
      <c r="S5" s="36"/>
      <c r="T5" s="58"/>
      <c r="U5" s="58"/>
      <c r="V5" s="58"/>
      <c r="W5" s="58"/>
      <c r="X5" s="58"/>
      <c r="Y5" s="58"/>
      <c r="Z5" s="58"/>
      <c r="AA5" s="58"/>
      <c r="AB5" s="58"/>
    </row>
    <row r="6" spans="2:28" ht="12.75" customHeight="1">
      <c r="B6" s="37"/>
      <c r="C6" s="37"/>
      <c r="D6" s="37"/>
      <c r="L6" s="58"/>
      <c r="M6" s="58"/>
      <c r="N6" s="58"/>
      <c r="O6" s="58"/>
      <c r="P6" s="58"/>
      <c r="R6" s="61"/>
      <c r="T6" s="58"/>
      <c r="U6" s="58"/>
      <c r="V6" s="58"/>
      <c r="W6" s="58"/>
      <c r="X6" s="58"/>
      <c r="Y6" s="58"/>
      <c r="Z6" s="58"/>
      <c r="AA6" s="58"/>
      <c r="AB6" s="58"/>
    </row>
    <row r="7" spans="2:28" ht="12.75" customHeight="1">
      <c r="B7" s="27" t="s">
        <v>30</v>
      </c>
      <c r="C7" s="37"/>
      <c r="D7" s="37"/>
      <c r="L7" s="58"/>
      <c r="M7" s="58"/>
      <c r="N7" s="58"/>
      <c r="O7" s="58"/>
      <c r="P7" s="58"/>
      <c r="R7" s="61"/>
      <c r="T7" s="58"/>
      <c r="U7" s="58"/>
      <c r="V7" s="58"/>
      <c r="W7" s="58"/>
      <c r="X7" s="58"/>
      <c r="Y7" s="58"/>
      <c r="Z7" s="58"/>
      <c r="AA7" s="58"/>
      <c r="AB7" s="58"/>
    </row>
    <row r="8" spans="2:28" ht="39.75" customHeight="1">
      <c r="B8" s="110" t="s">
        <v>221</v>
      </c>
      <c r="C8" s="110"/>
      <c r="D8" s="36"/>
      <c r="E8" s="36"/>
      <c r="F8" s="36"/>
      <c r="G8" s="36"/>
      <c r="H8" s="36"/>
      <c r="I8" s="36"/>
      <c r="J8" s="36"/>
      <c r="K8" s="36"/>
      <c r="L8" s="36"/>
      <c r="M8" s="36"/>
      <c r="N8" s="58"/>
      <c r="O8" s="58"/>
      <c r="P8" s="58"/>
      <c r="Q8" s="36"/>
      <c r="R8" s="61"/>
      <c r="S8" s="36"/>
      <c r="T8" s="58"/>
      <c r="U8" s="58"/>
      <c r="V8" s="58"/>
      <c r="W8" s="58"/>
      <c r="X8" s="58"/>
      <c r="Y8" s="58"/>
      <c r="Z8" s="58"/>
      <c r="AA8" s="58"/>
      <c r="AB8" s="58"/>
    </row>
    <row r="9" spans="2:28" ht="12.75" customHeight="1">
      <c r="B9" s="37"/>
      <c r="C9" s="37"/>
      <c r="D9" s="37"/>
      <c r="L9" s="60"/>
      <c r="M9" s="60"/>
      <c r="N9" s="60"/>
      <c r="O9" s="60"/>
      <c r="P9" s="60"/>
      <c r="R9" s="59"/>
      <c r="T9" s="58"/>
      <c r="U9" s="58"/>
      <c r="V9" s="58"/>
      <c r="W9" s="58"/>
      <c r="X9" s="58"/>
      <c r="Y9" s="58"/>
      <c r="Z9" s="58"/>
      <c r="AA9" s="58"/>
      <c r="AB9" s="58"/>
    </row>
    <row r="10" spans="2:28" s="3" customFormat="1">
      <c r="B10" s="3" t="s">
        <v>45</v>
      </c>
      <c r="D10" s="3" t="s">
        <v>27</v>
      </c>
      <c r="F10" s="3" t="s">
        <v>28</v>
      </c>
      <c r="L10" s="3">
        <v>2022</v>
      </c>
      <c r="M10" s="3">
        <v>2023</v>
      </c>
      <c r="N10" s="3">
        <v>2024</v>
      </c>
      <c r="O10" s="3">
        <v>2025</v>
      </c>
      <c r="P10" s="3">
        <v>2026</v>
      </c>
      <c r="R10" s="3" t="s">
        <v>114</v>
      </c>
      <c r="T10" s="3" t="s">
        <v>47</v>
      </c>
    </row>
    <row r="13" spans="2:28" s="3" customFormat="1">
      <c r="B13" s="3" t="s">
        <v>48</v>
      </c>
    </row>
    <row r="14" spans="2:28">
      <c r="N14" s="41"/>
      <c r="O14" s="41"/>
      <c r="P14" s="41"/>
      <c r="R14" s="52"/>
    </row>
    <row r="15" spans="2:28">
      <c r="B15" s="26" t="s">
        <v>132</v>
      </c>
      <c r="N15" s="41"/>
      <c r="O15" s="41"/>
      <c r="P15" s="41"/>
      <c r="R15" s="52"/>
    </row>
    <row r="16" spans="2:28">
      <c r="B16" s="39" t="s">
        <v>198</v>
      </c>
      <c r="D16" s="10" t="s">
        <v>109</v>
      </c>
      <c r="L16" s="98">
        <f>'5. Berekening op parameters'!L55</f>
        <v>1</v>
      </c>
      <c r="M16" s="98">
        <f>'5. Berekening op parameters'!M55</f>
        <v>1.032</v>
      </c>
      <c r="N16" s="98">
        <f>'5. Berekening op parameters'!N55</f>
        <v>1.070184</v>
      </c>
      <c r="O16" s="98">
        <f>'5. Berekening op parameters'!O55</f>
        <v>1.1097808079999998</v>
      </c>
      <c r="P16" s="98">
        <f>'5. Berekening op parameters'!P55</f>
        <v>1.1508426978959998</v>
      </c>
      <c r="R16" s="52"/>
    </row>
    <row r="17" spans="2:18">
      <c r="B17" s="26"/>
      <c r="R17" s="10"/>
    </row>
    <row r="18" spans="2:18">
      <c r="B18" s="26" t="s">
        <v>84</v>
      </c>
      <c r="N18" s="41"/>
      <c r="O18" s="41"/>
      <c r="P18" s="41"/>
      <c r="R18" s="52"/>
    </row>
    <row r="19" spans="2:18">
      <c r="B19" s="39" t="s">
        <v>131</v>
      </c>
      <c r="D19" s="10" t="s">
        <v>74</v>
      </c>
      <c r="L19" s="5">
        <f>'2. Reguleringsparameters'!L21</f>
        <v>1.7999999999999999E-2</v>
      </c>
      <c r="M19" s="5">
        <f>'2. Reguleringsparameters'!M21</f>
        <v>1.7999999999999999E-2</v>
      </c>
      <c r="N19" s="5">
        <f>'2. Reguleringsparameters'!N21</f>
        <v>1.7999999999999999E-2</v>
      </c>
      <c r="O19" s="5">
        <f>'2. Reguleringsparameters'!O21</f>
        <v>1.7999999999999999E-2</v>
      </c>
      <c r="P19" s="5">
        <f>'2. Reguleringsparameters'!P21</f>
        <v>1.7999999999999999E-2</v>
      </c>
      <c r="R19" s="52"/>
    </row>
    <row r="20" spans="2:18">
      <c r="B20" s="39" t="s">
        <v>130</v>
      </c>
      <c r="D20" s="10" t="s">
        <v>109</v>
      </c>
      <c r="F20" s="98">
        <f>'5. Berekening op parameters'!P28</f>
        <v>1.0932988467695681</v>
      </c>
      <c r="N20" s="41"/>
      <c r="O20" s="41"/>
      <c r="P20" s="41"/>
      <c r="R20" s="52"/>
    </row>
    <row r="21" spans="2:18">
      <c r="B21" s="26"/>
      <c r="N21" s="41"/>
      <c r="O21" s="41"/>
      <c r="P21" s="41"/>
      <c r="R21" s="52"/>
    </row>
    <row r="22" spans="2:18">
      <c r="B22" s="26" t="s">
        <v>180</v>
      </c>
      <c r="N22" s="41"/>
      <c r="O22" s="41"/>
      <c r="P22" s="41"/>
      <c r="R22" s="52"/>
    </row>
    <row r="23" spans="2:18">
      <c r="B23" s="10" t="s">
        <v>174</v>
      </c>
      <c r="D23" s="10" t="s">
        <v>86</v>
      </c>
      <c r="L23" s="79">
        <f>'6. Berekening doorrollen '!L25</f>
        <v>16596994.399072358</v>
      </c>
      <c r="M23" s="79">
        <f>'6. Berekening doorrollen '!M25</f>
        <v>14034790.874992151</v>
      </c>
      <c r="N23" s="79">
        <f>'6. Berekening doorrollen '!N25</f>
        <v>7677147.875221868</v>
      </c>
      <c r="O23" s="79">
        <f>'6. Berekening doorrollen '!O25</f>
        <v>4881316.6882861247</v>
      </c>
      <c r="P23" s="79">
        <f>'6. Berekening doorrollen '!P25</f>
        <v>1556218.2793274703</v>
      </c>
      <c r="R23" s="52"/>
    </row>
    <row r="24" spans="2:18">
      <c r="B24" s="39" t="s">
        <v>181</v>
      </c>
      <c r="D24" s="10" t="s">
        <v>86</v>
      </c>
      <c r="L24" s="79">
        <f>'7. Berekening bijschatten '!L39</f>
        <v>7048454.0516935959</v>
      </c>
      <c r="M24" s="79">
        <f>'7. Berekening bijschatten '!M39</f>
        <v>11549404.822751751</v>
      </c>
      <c r="N24" s="79">
        <f>'7. Berekening bijschatten '!N39</f>
        <v>16339120.774427582</v>
      </c>
      <c r="O24" s="79">
        <f>'7. Berekening bijschatten '!O39</f>
        <v>20885891.229404293</v>
      </c>
      <c r="P24" s="79">
        <f>'7. Berekening bijschatten '!P39</f>
        <v>23323971.803118173</v>
      </c>
      <c r="R24" s="52"/>
    </row>
    <row r="25" spans="2:18">
      <c r="B25" s="39" t="s">
        <v>179</v>
      </c>
      <c r="D25" s="10" t="s">
        <v>86</v>
      </c>
      <c r="L25" s="79">
        <f>'8. Berekening oper. kosten'!L84</f>
        <v>154737584.669586</v>
      </c>
      <c r="M25" s="79">
        <f>'8. Berekening oper. kosten'!M84</f>
        <v>156947821.36656925</v>
      </c>
      <c r="N25" s="79">
        <f>'8. Berekening oper. kosten'!N84</f>
        <v>159189336.55583328</v>
      </c>
      <c r="O25" s="79">
        <f>'8. Berekening oper. kosten'!O84</f>
        <v>161462569.47209769</v>
      </c>
      <c r="P25" s="79">
        <f>'8. Berekening oper. kosten'!P84</f>
        <v>163767965.47799608</v>
      </c>
      <c r="R25" s="52"/>
    </row>
    <row r="26" spans="2:18">
      <c r="B26" s="26"/>
      <c r="M26" s="29"/>
      <c r="N26" s="29"/>
      <c r="O26" s="29"/>
      <c r="P26" s="29"/>
      <c r="R26" s="52"/>
    </row>
    <row r="27" spans="2:18" s="3" customFormat="1">
      <c r="B27" s="3" t="s">
        <v>222</v>
      </c>
    </row>
    <row r="28" spans="2:18">
      <c r="B28" s="26"/>
      <c r="N28" s="41"/>
      <c r="O28" s="41"/>
      <c r="P28" s="41"/>
      <c r="R28" s="89"/>
    </row>
    <row r="29" spans="2:18">
      <c r="B29" s="26" t="s">
        <v>223</v>
      </c>
      <c r="N29" s="41"/>
      <c r="O29" s="41"/>
      <c r="P29" s="41"/>
      <c r="R29" s="89"/>
    </row>
    <row r="30" spans="2:18">
      <c r="B30" s="39" t="s">
        <v>223</v>
      </c>
      <c r="D30" s="10" t="s">
        <v>86</v>
      </c>
      <c r="L30" s="30">
        <f>SUM(L23,L24,L25)</f>
        <v>178383033.12035197</v>
      </c>
      <c r="M30" s="30">
        <f t="shared" ref="M30:P30" si="0">SUM(M23,M24,M25)</f>
        <v>182532017.06431314</v>
      </c>
      <c r="N30" s="30">
        <f t="shared" si="0"/>
        <v>183205605.20548272</v>
      </c>
      <c r="O30" s="30">
        <f t="shared" si="0"/>
        <v>187229777.38978812</v>
      </c>
      <c r="P30" s="30">
        <f t="shared" si="0"/>
        <v>188648155.56044173</v>
      </c>
      <c r="R30" s="52">
        <v>1</v>
      </c>
    </row>
    <row r="31" spans="2:18">
      <c r="B31" s="26"/>
      <c r="N31" s="41"/>
      <c r="O31" s="41"/>
      <c r="P31" s="41"/>
      <c r="R31" s="52"/>
    </row>
    <row r="32" spans="2:18">
      <c r="B32" s="56" t="s">
        <v>224</v>
      </c>
    </row>
    <row r="33" spans="1:20">
      <c r="B33" s="55" t="s">
        <v>224</v>
      </c>
      <c r="D33" s="10" t="s">
        <v>124</v>
      </c>
      <c r="F33" s="30">
        <f>L30/L$16+M30/M$16+N30/N$16+O30/O$16+P30/P$16</f>
        <v>859076441.8345412</v>
      </c>
      <c r="L33" s="93"/>
      <c r="R33" s="22">
        <v>14</v>
      </c>
    </row>
    <row r="34" spans="1:20">
      <c r="B34" s="26"/>
      <c r="N34" s="41"/>
      <c r="O34" s="41"/>
      <c r="P34" s="41"/>
      <c r="R34" s="52"/>
    </row>
    <row r="35" spans="1:20" s="3" customFormat="1">
      <c r="B35" s="3" t="s">
        <v>225</v>
      </c>
    </row>
    <row r="37" spans="1:20">
      <c r="B37" s="56" t="s">
        <v>129</v>
      </c>
    </row>
    <row r="38" spans="1:20">
      <c r="B38" s="55" t="s">
        <v>122</v>
      </c>
      <c r="D38" s="10" t="s">
        <v>128</v>
      </c>
      <c r="F38" s="81">
        <v>177136415.51356828</v>
      </c>
      <c r="R38" s="22">
        <v>13</v>
      </c>
      <c r="T38" s="10" t="s">
        <v>127</v>
      </c>
    </row>
    <row r="39" spans="1:20">
      <c r="B39" s="55" t="s">
        <v>126</v>
      </c>
      <c r="D39" s="10" t="s">
        <v>125</v>
      </c>
      <c r="F39" s="79">
        <f>P30</f>
        <v>188648155.56044173</v>
      </c>
      <c r="R39" s="22">
        <v>12</v>
      </c>
    </row>
    <row r="40" spans="1:20">
      <c r="B40" s="55" t="s">
        <v>226</v>
      </c>
      <c r="D40" s="10" t="s">
        <v>74</v>
      </c>
      <c r="F40" s="31">
        <f>$F$20^(1/5)-(F39/F38)^(1/5)</f>
        <v>5.3276731298319557E-3</v>
      </c>
      <c r="R40" s="22">
        <v>11</v>
      </c>
    </row>
    <row r="41" spans="1:20" s="41" customFormat="1">
      <c r="A41" s="10"/>
      <c r="B41" s="55"/>
      <c r="F41" s="54"/>
      <c r="R41" s="52"/>
    </row>
    <row r="42" spans="1:20" s="41" customFormat="1">
      <c r="A42" s="10"/>
      <c r="B42" s="55" t="s">
        <v>227</v>
      </c>
      <c r="D42" s="41" t="s">
        <v>121</v>
      </c>
      <c r="F42" s="54"/>
      <c r="L42" s="30">
        <f>F38*(1+L$19-$F40)</f>
        <v>179381146.07156613</v>
      </c>
      <c r="M42" s="30">
        <f>L42*(1+M$19-$F$40)</f>
        <v>181654322.5889304</v>
      </c>
      <c r="N42" s="30">
        <f>M42*(1+N$19-$F$40)</f>
        <v>183956305.54215628</v>
      </c>
      <c r="O42" s="30">
        <f>N42*(1+O$19-$F$40)</f>
        <v>186287459.975815</v>
      </c>
      <c r="P42" s="30">
        <f>O42*(1+P$19-$F$40)</f>
        <v>188648155.56044188</v>
      </c>
      <c r="R42" s="52">
        <v>15</v>
      </c>
    </row>
    <row r="43" spans="1:20" s="41" customFormat="1">
      <c r="B43" s="55" t="s">
        <v>229</v>
      </c>
      <c r="D43" s="10" t="s">
        <v>124</v>
      </c>
      <c r="F43" s="30">
        <f>L42/L$16+M42/M$16+N42/N$16+O42/O$16+P42/P$16</f>
        <v>859076441.83664382</v>
      </c>
      <c r="L43" s="57"/>
      <c r="M43" s="57"/>
      <c r="N43" s="57"/>
      <c r="O43" s="57"/>
      <c r="P43" s="57"/>
      <c r="R43" s="52">
        <v>15</v>
      </c>
    </row>
    <row r="44" spans="1:20" s="41" customFormat="1">
      <c r="B44" s="55"/>
      <c r="F44" s="54"/>
      <c r="L44" s="57"/>
      <c r="M44" s="57"/>
      <c r="N44" s="57"/>
      <c r="O44" s="57"/>
      <c r="P44" s="57"/>
      <c r="R44" s="52"/>
    </row>
    <row r="45" spans="1:20" s="41" customFormat="1">
      <c r="B45" s="56" t="s">
        <v>123</v>
      </c>
      <c r="F45" s="54"/>
      <c r="R45" s="52"/>
    </row>
    <row r="46" spans="1:20" s="41" customFormat="1">
      <c r="B46" s="55" t="s">
        <v>122</v>
      </c>
      <c r="D46" s="41" t="s">
        <v>121</v>
      </c>
      <c r="F46" s="80">
        <f>IF(ABS(F43-F33)&lt;10,F38,"De berekening komt nog niet uit. Probeer de solver functie uit te voeren (zie uitleg)")</f>
        <v>177136415.51356828</v>
      </c>
      <c r="R46" s="52"/>
    </row>
    <row r="47" spans="1:20" s="41" customFormat="1">
      <c r="B47" s="55" t="s">
        <v>226</v>
      </c>
      <c r="D47" s="41" t="s">
        <v>74</v>
      </c>
      <c r="F47" s="99">
        <f>IF(ABS(F43-F33)&lt;1,F40,"")</f>
        <v>5.3276731298319557E-3</v>
      </c>
      <c r="R47" s="52"/>
    </row>
    <row r="48" spans="1:20" s="41" customFormat="1">
      <c r="B48" s="55" t="s">
        <v>228</v>
      </c>
      <c r="D48" s="41" t="s">
        <v>74</v>
      </c>
      <c r="F48" s="4">
        <f>IF(F47&gt;0,ROUNDDOWN(F47,4),ROUNDUP(F47,4))</f>
        <v>5.3E-3</v>
      </c>
      <c r="R48" s="52">
        <v>11</v>
      </c>
    </row>
    <row r="49" spans="2:19" s="41" customFormat="1">
      <c r="B49" s="55" t="s">
        <v>120</v>
      </c>
      <c r="D49" s="41" t="s">
        <v>86</v>
      </c>
      <c r="F49" s="54"/>
      <c r="L49" s="80">
        <f>F46*(1+L$19-$F$48)</f>
        <v>179386047.9905906</v>
      </c>
      <c r="M49" s="80">
        <f>L49*(1+M$19-$F48)</f>
        <v>181664250.80007109</v>
      </c>
      <c r="N49" s="80">
        <f>M49*(1+N$19-$F48)</f>
        <v>183971386.78523198</v>
      </c>
      <c r="O49" s="80">
        <f>N49*(1+O$19-$F48)</f>
        <v>186307823.3974044</v>
      </c>
      <c r="P49" s="80">
        <f>O49*(1+P$19-$F48)</f>
        <v>188673932.75455144</v>
      </c>
      <c r="R49" s="52" t="s">
        <v>206</v>
      </c>
    </row>
    <row r="50" spans="2:19" s="41" customFormat="1">
      <c r="B50" s="55"/>
      <c r="F50" s="10"/>
      <c r="G50" s="54"/>
      <c r="H50" s="54"/>
      <c r="I50" s="54"/>
      <c r="J50" s="54"/>
      <c r="K50" s="54"/>
      <c r="L50" s="54"/>
      <c r="M50" s="54"/>
      <c r="N50" s="54"/>
      <c r="O50" s="54"/>
      <c r="P50" s="54"/>
      <c r="Q50" s="54"/>
      <c r="R50" s="89"/>
      <c r="S50" s="54"/>
    </row>
  </sheetData>
  <mergeCells count="2">
    <mergeCell ref="B5:C5"/>
    <mergeCell ref="B8:C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rgb="FFCCC8D9"/>
  </sheetPr>
  <dimension ref="B2:Q77"/>
  <sheetViews>
    <sheetView showGridLines="0" zoomScale="85" zoomScaleNormal="85" workbookViewId="0">
      <pane ySplit="3" topLeftCell="A4" activePane="bottomLeft" state="frozen"/>
      <selection pane="bottomLeft" activeCell="A4" sqref="A4"/>
    </sheetView>
  </sheetViews>
  <sheetFormatPr defaultRowHeight="12.75"/>
  <cols>
    <col min="1" max="1" width="4.7109375" style="10" customWidth="1"/>
    <col min="2" max="2" width="19.140625" style="10" customWidth="1"/>
    <col min="3" max="3" width="2.7109375" style="10" customWidth="1"/>
    <col min="4" max="4" width="40.7109375" style="10" customWidth="1"/>
    <col min="5" max="5" width="2.7109375" style="10" customWidth="1"/>
    <col min="6" max="6" width="20.7109375" style="10" customWidth="1"/>
    <col min="7" max="7" width="2.7109375" style="10" customWidth="1"/>
    <col min="8" max="8" width="40.7109375" style="10" customWidth="1"/>
    <col min="9" max="9" width="2.7109375" style="10" customWidth="1"/>
    <col min="10" max="10" width="20.7109375" style="10" customWidth="1"/>
    <col min="11" max="11" width="4.7109375" style="10" customWidth="1"/>
    <col min="12" max="12" width="40.7109375" style="10" customWidth="1"/>
    <col min="13" max="13" width="4.7109375" style="10" customWidth="1"/>
    <col min="14" max="14" width="20.7109375" style="10" customWidth="1"/>
    <col min="15" max="15" width="4.7109375" style="10" customWidth="1"/>
    <col min="16" max="16" width="40.7109375" style="10" customWidth="1"/>
    <col min="17" max="17" width="4.7109375" style="10" customWidth="1"/>
    <col min="18" max="16384" width="9.140625" style="10"/>
  </cols>
  <sheetData>
    <row r="2" spans="2:13" s="64" customFormat="1" ht="18">
      <c r="B2" s="64" t="s">
        <v>52</v>
      </c>
    </row>
    <row r="5" spans="2:13" s="3" customFormat="1">
      <c r="B5" s="3" t="s">
        <v>15</v>
      </c>
    </row>
    <row r="7" spans="2:13" ht="105" customHeight="1">
      <c r="B7" s="110" t="s">
        <v>336</v>
      </c>
      <c r="C7" s="110"/>
      <c r="D7" s="110"/>
      <c r="E7" s="110"/>
      <c r="F7" s="110"/>
      <c r="G7" s="110"/>
      <c r="H7" s="110"/>
      <c r="I7" s="36"/>
      <c r="J7" s="36"/>
    </row>
    <row r="8" spans="2:13" ht="12.75" customHeight="1">
      <c r="B8" s="36"/>
      <c r="C8" s="36"/>
      <c r="D8" s="36"/>
      <c r="E8" s="36"/>
      <c r="F8" s="36"/>
      <c r="G8" s="36"/>
      <c r="H8" s="36"/>
      <c r="I8" s="36"/>
      <c r="J8" s="36"/>
    </row>
    <row r="9" spans="2:13" s="3" customFormat="1">
      <c r="B9" s="3" t="s">
        <v>136</v>
      </c>
    </row>
    <row r="10" spans="2:13">
      <c r="F10" s="65"/>
    </row>
    <row r="11" spans="2:13">
      <c r="F11" s="65"/>
    </row>
    <row r="12" spans="2:13">
      <c r="F12" s="65"/>
    </row>
    <row r="13" spans="2:13">
      <c r="C13" s="66"/>
      <c r="D13" s="67"/>
      <c r="E13" s="68"/>
      <c r="G13" s="66"/>
      <c r="H13" s="67"/>
      <c r="I13" s="68"/>
      <c r="K13" s="66"/>
      <c r="L13" s="67"/>
      <c r="M13" s="68"/>
    </row>
    <row r="14" spans="2:13">
      <c r="C14" s="69"/>
      <c r="D14" s="70" t="s">
        <v>137</v>
      </c>
      <c r="E14" s="71"/>
      <c r="G14" s="69"/>
      <c r="H14" s="72" t="s">
        <v>138</v>
      </c>
      <c r="I14" s="71"/>
      <c r="K14" s="69"/>
      <c r="L14" s="73" t="s">
        <v>237</v>
      </c>
      <c r="M14" s="71"/>
    </row>
    <row r="15" spans="2:13">
      <c r="C15" s="74"/>
      <c r="D15" s="75"/>
      <c r="E15" s="76"/>
      <c r="G15" s="74"/>
      <c r="H15" s="75"/>
      <c r="I15" s="76"/>
      <c r="K15" s="74"/>
      <c r="L15" s="75"/>
      <c r="M15" s="76"/>
    </row>
    <row r="17" spans="2:16" customFormat="1"/>
    <row r="19" spans="2:16" s="3" customFormat="1">
      <c r="B19" s="3" t="s">
        <v>139</v>
      </c>
    </row>
    <row r="21" spans="2:16">
      <c r="D21" s="77" t="s">
        <v>201</v>
      </c>
      <c r="H21" s="77" t="s">
        <v>140</v>
      </c>
      <c r="P21" s="77" t="s">
        <v>33</v>
      </c>
    </row>
    <row r="22" spans="2:16">
      <c r="D22" s="77"/>
    </row>
    <row r="23" spans="2:16">
      <c r="C23" s="66"/>
      <c r="D23" s="67"/>
      <c r="E23" s="68"/>
      <c r="G23" s="66"/>
      <c r="H23" s="67"/>
      <c r="I23" s="68"/>
    </row>
    <row r="24" spans="2:16">
      <c r="C24" s="69"/>
      <c r="D24" s="70" t="s">
        <v>141</v>
      </c>
      <c r="E24" s="71"/>
      <c r="G24" s="69"/>
      <c r="H24" s="72" t="s">
        <v>142</v>
      </c>
      <c r="I24" s="71"/>
    </row>
    <row r="25" spans="2:16">
      <c r="C25" s="74"/>
      <c r="D25" s="75"/>
      <c r="E25" s="76"/>
      <c r="G25" s="74"/>
      <c r="H25" s="75"/>
      <c r="I25" s="76"/>
    </row>
    <row r="28" spans="2:16">
      <c r="G28" s="66"/>
      <c r="H28" s="67"/>
      <c r="I28" s="68"/>
    </row>
    <row r="29" spans="2:16">
      <c r="G29" s="69"/>
      <c r="H29" s="78" t="s">
        <v>143</v>
      </c>
      <c r="I29" s="71"/>
    </row>
    <row r="30" spans="2:16">
      <c r="G30" s="74"/>
      <c r="H30" s="75"/>
      <c r="I30" s="76"/>
    </row>
    <row r="33" spans="2:17">
      <c r="C33" s="66"/>
      <c r="D33" s="67"/>
      <c r="E33" s="68"/>
      <c r="G33" s="66"/>
      <c r="H33" s="67"/>
      <c r="I33" s="68"/>
    </row>
    <row r="34" spans="2:17">
      <c r="C34" s="69"/>
      <c r="D34" s="70" t="s">
        <v>144</v>
      </c>
      <c r="E34" s="71"/>
      <c r="G34" s="69"/>
      <c r="H34" s="72" t="s">
        <v>145</v>
      </c>
      <c r="I34" s="71"/>
    </row>
    <row r="35" spans="2:17">
      <c r="C35" s="74"/>
      <c r="D35" s="75"/>
      <c r="E35" s="76"/>
      <c r="G35" s="74"/>
      <c r="H35" s="75"/>
      <c r="I35" s="76"/>
    </row>
    <row r="38" spans="2:17">
      <c r="G38" s="66"/>
      <c r="H38" s="67"/>
      <c r="I38" s="68"/>
      <c r="K38" s="66"/>
      <c r="L38" s="67"/>
      <c r="M38" s="68"/>
      <c r="O38" s="66"/>
      <c r="P38" s="67"/>
      <c r="Q38" s="68"/>
    </row>
    <row r="39" spans="2:17">
      <c r="G39" s="69"/>
      <c r="H39" s="72" t="s">
        <v>146</v>
      </c>
      <c r="I39" s="71"/>
      <c r="K39" s="69"/>
      <c r="L39" s="72" t="s">
        <v>236</v>
      </c>
      <c r="M39" s="71"/>
      <c r="O39" s="69"/>
      <c r="P39" s="73" t="s">
        <v>147</v>
      </c>
      <c r="Q39" s="71"/>
    </row>
    <row r="40" spans="2:17">
      <c r="G40" s="74"/>
      <c r="H40" s="75"/>
      <c r="I40" s="76"/>
      <c r="K40" s="74"/>
      <c r="L40" s="75"/>
      <c r="M40" s="76"/>
      <c r="O40" s="74"/>
      <c r="P40" s="75"/>
      <c r="Q40" s="76"/>
    </row>
    <row r="43" spans="2:17">
      <c r="C43" s="66"/>
      <c r="D43" s="67"/>
      <c r="E43" s="68"/>
      <c r="G43" s="66"/>
      <c r="H43" s="67"/>
      <c r="I43" s="68"/>
    </row>
    <row r="44" spans="2:17">
      <c r="C44" s="69"/>
      <c r="D44" s="70" t="s">
        <v>148</v>
      </c>
      <c r="E44" s="71"/>
      <c r="G44" s="69"/>
      <c r="H44" s="72" t="s">
        <v>149</v>
      </c>
      <c r="I44" s="71"/>
    </row>
    <row r="45" spans="2:17">
      <c r="C45" s="74"/>
      <c r="D45" s="75"/>
      <c r="E45" s="76"/>
      <c r="G45" s="74"/>
      <c r="H45" s="75"/>
      <c r="I45" s="76"/>
    </row>
    <row r="46" spans="2:17" ht="13.5" customHeight="1"/>
    <row r="47" spans="2:17" s="3" customFormat="1">
      <c r="B47" s="3" t="s">
        <v>16</v>
      </c>
    </row>
    <row r="49" spans="2:9">
      <c r="B49" s="26" t="s">
        <v>39</v>
      </c>
      <c r="D49" s="26" t="s">
        <v>17</v>
      </c>
      <c r="F49" s="12"/>
    </row>
    <row r="51" spans="2:9">
      <c r="B51" s="28">
        <v>123</v>
      </c>
      <c r="D51" s="10" t="s">
        <v>68</v>
      </c>
    </row>
    <row r="52" spans="2:9">
      <c r="B52" s="79">
        <f>B51</f>
        <v>123</v>
      </c>
      <c r="D52" s="10" t="s">
        <v>18</v>
      </c>
    </row>
    <row r="53" spans="2:9">
      <c r="B53" s="30">
        <f>B52+B51</f>
        <v>246</v>
      </c>
      <c r="D53" s="10" t="s">
        <v>19</v>
      </c>
    </row>
    <row r="54" spans="2:9">
      <c r="B54" s="80">
        <f>B52+B53</f>
        <v>369</v>
      </c>
      <c r="D54" s="10" t="s">
        <v>69</v>
      </c>
      <c r="E54" s="12"/>
      <c r="F54" s="12"/>
      <c r="G54" s="12"/>
      <c r="I54" s="12"/>
    </row>
    <row r="55" spans="2:9">
      <c r="B55" s="38"/>
      <c r="D55" s="10" t="s">
        <v>20</v>
      </c>
      <c r="E55" s="12"/>
      <c r="G55" s="12"/>
      <c r="I55" s="12"/>
    </row>
    <row r="57" spans="2:9">
      <c r="B57" s="27" t="s">
        <v>21</v>
      </c>
    </row>
    <row r="58" spans="2:9">
      <c r="B58" s="81">
        <f>B54+16</f>
        <v>385</v>
      </c>
      <c r="D58" s="10" t="s">
        <v>70</v>
      </c>
    </row>
    <row r="59" spans="2:9">
      <c r="B59" s="2">
        <f>B52*PI()</f>
        <v>386.41589639154455</v>
      </c>
      <c r="C59" s="18"/>
      <c r="D59" s="10" t="s">
        <v>22</v>
      </c>
    </row>
    <row r="60" spans="2:9">
      <c r="B60" s="18"/>
      <c r="C60" s="18"/>
    </row>
    <row r="61" spans="2:9">
      <c r="B61" s="27" t="s">
        <v>23</v>
      </c>
      <c r="C61" s="19"/>
    </row>
    <row r="62" spans="2:9">
      <c r="B62" s="82">
        <v>123</v>
      </c>
      <c r="C62" s="19"/>
      <c r="D62" s="10" t="s">
        <v>71</v>
      </c>
    </row>
    <row r="63" spans="2:9">
      <c r="B63" s="83">
        <v>124</v>
      </c>
      <c r="C63" s="19"/>
      <c r="D63" s="10" t="s">
        <v>73</v>
      </c>
    </row>
    <row r="64" spans="2:9">
      <c r="B64" s="84">
        <f>B62-B63</f>
        <v>-1</v>
      </c>
      <c r="C64" s="20"/>
      <c r="D64" s="10" t="s">
        <v>58</v>
      </c>
    </row>
    <row r="67" spans="2:4">
      <c r="B67" s="26" t="s">
        <v>34</v>
      </c>
    </row>
    <row r="68" spans="2:4">
      <c r="B68" s="9"/>
    </row>
    <row r="69" spans="2:4">
      <c r="B69" s="27" t="s">
        <v>40</v>
      </c>
    </row>
    <row r="70" spans="2:4">
      <c r="B70" s="85" t="s">
        <v>33</v>
      </c>
      <c r="D70" s="10" t="s">
        <v>43</v>
      </c>
    </row>
    <row r="71" spans="2:4">
      <c r="B71" s="28" t="s">
        <v>31</v>
      </c>
      <c r="D71" s="10" t="s">
        <v>35</v>
      </c>
    </row>
    <row r="72" spans="2:4">
      <c r="B72" s="86" t="s">
        <v>32</v>
      </c>
      <c r="D72" s="10" t="s">
        <v>36</v>
      </c>
    </row>
    <row r="73" spans="2:4">
      <c r="B73" s="17" t="s">
        <v>32</v>
      </c>
      <c r="D73" s="10" t="s">
        <v>38</v>
      </c>
    </row>
    <row r="75" spans="2:4">
      <c r="B75" s="27" t="s">
        <v>42</v>
      </c>
    </row>
    <row r="76" spans="2:4">
      <c r="B76" s="23" t="s">
        <v>37</v>
      </c>
      <c r="D76" s="10" t="s">
        <v>44</v>
      </c>
    </row>
    <row r="77" spans="2:4">
      <c r="B77" s="1" t="s">
        <v>41</v>
      </c>
      <c r="D77" s="10" t="s">
        <v>72</v>
      </c>
    </row>
  </sheetData>
  <mergeCells count="1">
    <mergeCell ref="B7:H7"/>
  </mergeCells>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rgb="FFCCC8D9"/>
  </sheetPr>
  <dimension ref="B2:F33"/>
  <sheetViews>
    <sheetView showGridLines="0" zoomScale="85" zoomScaleNormal="85" workbookViewId="0">
      <pane ySplit="3" topLeftCell="A4" activePane="bottomLeft" state="frozen"/>
      <selection activeCell="O39" sqref="O39"/>
      <selection pane="bottomLeft" activeCell="A4" sqref="A4"/>
    </sheetView>
  </sheetViews>
  <sheetFormatPr defaultRowHeight="12.75"/>
  <cols>
    <col min="1" max="1" width="4.7109375" style="10" customWidth="1"/>
    <col min="2" max="2" width="7.5703125" style="10" customWidth="1"/>
    <col min="3" max="3" width="42.7109375" style="10" customWidth="1"/>
    <col min="4" max="4" width="78.28515625" style="10" customWidth="1"/>
    <col min="5" max="5" width="36.28515625" style="10" customWidth="1"/>
    <col min="6" max="6" width="40.7109375" style="10" customWidth="1"/>
    <col min="7" max="7" width="4.5703125" style="10" customWidth="1"/>
    <col min="8" max="8" width="43.42578125" style="10" customWidth="1"/>
    <col min="9" max="9" width="28.7109375" style="10" customWidth="1"/>
    <col min="10" max="10" width="18.42578125" style="10" customWidth="1"/>
    <col min="11" max="12" width="58.42578125" style="10" customWidth="1"/>
    <col min="13" max="16384" width="9.140625" style="10"/>
  </cols>
  <sheetData>
    <row r="2" spans="2:6" s="64" customFormat="1" ht="18">
      <c r="B2" s="64" t="s">
        <v>24</v>
      </c>
    </row>
    <row r="5" spans="2:6" s="14" customFormat="1">
      <c r="B5" s="14" t="s">
        <v>25</v>
      </c>
    </row>
    <row r="7" spans="2:6">
      <c r="B7" s="27" t="s">
        <v>63</v>
      </c>
    </row>
    <row r="8" spans="2:6">
      <c r="B8" s="27" t="s">
        <v>64</v>
      </c>
    </row>
    <row r="10" spans="2:6">
      <c r="B10" s="107" t="s">
        <v>53</v>
      </c>
      <c r="C10" s="107" t="s">
        <v>54</v>
      </c>
      <c r="D10" s="107" t="s">
        <v>55</v>
      </c>
      <c r="E10" s="107" t="s">
        <v>62</v>
      </c>
      <c r="F10" s="107" t="s">
        <v>59</v>
      </c>
    </row>
    <row r="11" spans="2:6">
      <c r="B11" s="24"/>
      <c r="C11" s="24" t="s">
        <v>61</v>
      </c>
      <c r="D11" s="24" t="s">
        <v>26</v>
      </c>
      <c r="E11" s="24" t="s">
        <v>65</v>
      </c>
      <c r="F11" s="24" t="s">
        <v>60</v>
      </c>
    </row>
    <row r="12" spans="2:6">
      <c r="B12" s="13">
        <v>1</v>
      </c>
      <c r="C12" s="13" t="s">
        <v>96</v>
      </c>
      <c r="D12" s="13" t="s">
        <v>94</v>
      </c>
      <c r="E12" s="13"/>
      <c r="F12" s="13"/>
    </row>
    <row r="13" spans="2:6">
      <c r="B13" s="13">
        <v>2</v>
      </c>
      <c r="C13" s="13" t="s">
        <v>97</v>
      </c>
      <c r="D13" s="10" t="s">
        <v>95</v>
      </c>
      <c r="E13" s="13"/>
      <c r="F13" s="13"/>
    </row>
    <row r="14" spans="2:6">
      <c r="B14" s="13">
        <v>3</v>
      </c>
      <c r="C14" s="13" t="s">
        <v>258</v>
      </c>
      <c r="D14" s="13" t="s">
        <v>259</v>
      </c>
      <c r="E14" s="13"/>
      <c r="F14" s="13"/>
    </row>
    <row r="15" spans="2:6">
      <c r="B15" s="13">
        <v>4</v>
      </c>
      <c r="C15" s="13" t="s">
        <v>256</v>
      </c>
      <c r="D15" s="13" t="s">
        <v>257</v>
      </c>
      <c r="E15" s="13"/>
      <c r="F15" s="13"/>
    </row>
    <row r="16" spans="2:6">
      <c r="B16" s="13">
        <v>5</v>
      </c>
      <c r="C16" s="13" t="s">
        <v>260</v>
      </c>
      <c r="D16" s="13" t="s">
        <v>261</v>
      </c>
      <c r="E16" s="13"/>
      <c r="F16" s="13"/>
    </row>
    <row r="17" spans="2:6">
      <c r="B17" s="13">
        <v>6</v>
      </c>
      <c r="C17" s="13" t="s">
        <v>199</v>
      </c>
      <c r="D17" s="83" t="s">
        <v>200</v>
      </c>
      <c r="E17" s="13"/>
      <c r="F17" s="90" t="s">
        <v>161</v>
      </c>
    </row>
    <row r="18" spans="2:6">
      <c r="B18" s="13">
        <v>7</v>
      </c>
      <c r="C18" s="13" t="s">
        <v>233</v>
      </c>
      <c r="D18" s="13" t="s">
        <v>370</v>
      </c>
      <c r="E18" s="13" t="s">
        <v>235</v>
      </c>
      <c r="F18" s="90" t="s">
        <v>161</v>
      </c>
    </row>
    <row r="19" spans="2:6">
      <c r="B19" s="13">
        <v>8</v>
      </c>
      <c r="C19" s="13" t="s">
        <v>322</v>
      </c>
      <c r="D19" s="13" t="s">
        <v>320</v>
      </c>
      <c r="E19" s="13" t="s">
        <v>321</v>
      </c>
      <c r="F19" s="90"/>
    </row>
    <row r="20" spans="2:6">
      <c r="B20" s="13">
        <v>9</v>
      </c>
      <c r="C20" s="13" t="s">
        <v>189</v>
      </c>
      <c r="D20" s="13" t="s">
        <v>234</v>
      </c>
      <c r="E20" s="13"/>
      <c r="F20" s="90"/>
    </row>
    <row r="21" spans="2:6">
      <c r="B21" s="13">
        <v>10</v>
      </c>
      <c r="C21" s="13" t="s">
        <v>323</v>
      </c>
      <c r="D21" s="13" t="s">
        <v>324</v>
      </c>
      <c r="E21" s="13"/>
      <c r="F21" s="90" t="s">
        <v>161</v>
      </c>
    </row>
    <row r="23" spans="2:6" s="3" customFormat="1">
      <c r="B23" s="3" t="s">
        <v>51</v>
      </c>
    </row>
    <row r="25" spans="2:6">
      <c r="B25" s="27" t="s">
        <v>49</v>
      </c>
    </row>
    <row r="26" spans="2:6">
      <c r="B26" s="27" t="s">
        <v>50</v>
      </c>
    </row>
    <row r="28" spans="2:6">
      <c r="B28" s="9" t="s">
        <v>150</v>
      </c>
    </row>
    <row r="29" spans="2:6" ht="194.25" customHeight="1">
      <c r="B29" s="110" t="s">
        <v>238</v>
      </c>
      <c r="C29" s="110"/>
      <c r="D29" s="110"/>
      <c r="E29" s="110"/>
      <c r="F29" s="110"/>
    </row>
    <row r="30" spans="2:6">
      <c r="B30" s="9" t="s">
        <v>151</v>
      </c>
    </row>
    <row r="31" spans="2:6" ht="114.75" customHeight="1">
      <c r="B31" s="110" t="s">
        <v>239</v>
      </c>
      <c r="C31" s="110"/>
      <c r="D31" s="110"/>
      <c r="E31" s="110"/>
      <c r="F31" s="110"/>
    </row>
    <row r="32" spans="2:6" ht="28.5" customHeight="1">
      <c r="B32" s="111" t="s">
        <v>152</v>
      </c>
      <c r="C32" s="111"/>
      <c r="D32" s="111"/>
      <c r="E32" s="111"/>
      <c r="F32" s="111"/>
    </row>
    <row r="33" spans="2:6" s="44" customFormat="1" ht="95.25" customHeight="1">
      <c r="B33" s="110" t="s">
        <v>153</v>
      </c>
      <c r="C33" s="110"/>
      <c r="D33" s="110"/>
      <c r="E33" s="110"/>
      <c r="F33" s="110"/>
    </row>
  </sheetData>
  <mergeCells count="4">
    <mergeCell ref="B29:F29"/>
    <mergeCell ref="B31:F31"/>
    <mergeCell ref="B32:F32"/>
    <mergeCell ref="B33:F33"/>
  </mergeCells>
  <hyperlinks>
    <hyperlink ref="B32" r:id="rId1" xr:uid="{00000000-0004-0000-0500-000000000000}"/>
    <hyperlink ref="F17" r:id="rId2" location="/CBS/nl/dataset/70936NED/table?fromstatweb" xr:uid="{F90894A6-262B-4141-9E4C-B9FB37A12967}"/>
    <hyperlink ref="F18" r:id="rId3" xr:uid="{68D424CD-D7DD-4A2F-B232-B16B31BAE5FD}"/>
    <hyperlink ref="F21" r:id="rId4" location="!/details?id=ECLI:NL:CBB:2023:317" xr:uid="{6E1804D1-48D2-410F-98FF-F80D85B676EA}"/>
  </hyperlinks>
  <pageMargins left="0.75" right="0.75" top="1" bottom="1" header="0.5" footer="0.5"/>
  <pageSetup paperSize="9"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rgb="FFCCFFFF"/>
  </sheetPr>
  <dimension ref="B2:L24"/>
  <sheetViews>
    <sheetView showGridLines="0" zoomScale="85" zoomScaleNormal="85" workbookViewId="0">
      <pane xSplit="4" ySplit="8" topLeftCell="E9" activePane="bottomRight" state="frozen"/>
      <selection pane="topRight" activeCell="E1" sqref="E1"/>
      <selection pane="bottomLeft" activeCell="A9" sqref="A9"/>
      <selection pane="bottomRight" activeCell="E9" sqref="E9"/>
    </sheetView>
  </sheetViews>
  <sheetFormatPr defaultRowHeight="12.75"/>
  <cols>
    <col min="1" max="1" width="4.7109375" style="10" customWidth="1"/>
    <col min="2" max="2" width="75.7109375" style="10" customWidth="1"/>
    <col min="3" max="3" width="2.7109375" style="10" customWidth="1"/>
    <col min="4" max="4" width="13.7109375" style="10" customWidth="1"/>
    <col min="5" max="5" width="2.7109375" style="10" customWidth="1"/>
    <col min="6" max="6" width="16.7109375" style="10" customWidth="1"/>
    <col min="7" max="7" width="2.7109375" style="10" customWidth="1"/>
    <col min="8" max="12" width="16.7109375" style="10" customWidth="1"/>
    <col min="13" max="13" width="13.7109375" style="10" customWidth="1"/>
    <col min="14" max="16384" width="9.140625" style="10"/>
  </cols>
  <sheetData>
    <row r="2" spans="2:12" s="48" customFormat="1" ht="18">
      <c r="B2" s="48" t="s">
        <v>98</v>
      </c>
    </row>
    <row r="4" spans="2:12">
      <c r="B4" s="26" t="s">
        <v>57</v>
      </c>
      <c r="D4" s="9"/>
      <c r="G4" s="9"/>
    </row>
    <row r="5" spans="2:12" ht="87.75" customHeight="1">
      <c r="B5" s="110" t="s">
        <v>230</v>
      </c>
      <c r="C5" s="110"/>
      <c r="D5" s="36"/>
    </row>
    <row r="6" spans="2:12" ht="12.75" customHeight="1">
      <c r="B6" s="36"/>
      <c r="C6" s="36"/>
      <c r="D6" s="36"/>
    </row>
    <row r="7" spans="2:12" s="3" customFormat="1">
      <c r="B7" s="3" t="s">
        <v>45</v>
      </c>
      <c r="D7" s="3" t="s">
        <v>27</v>
      </c>
      <c r="F7" s="3" t="s">
        <v>28</v>
      </c>
      <c r="H7" s="3">
        <v>2022</v>
      </c>
      <c r="I7" s="3">
        <v>2023</v>
      </c>
      <c r="J7" s="3">
        <v>2024</v>
      </c>
      <c r="K7" s="3">
        <v>2025</v>
      </c>
      <c r="L7" s="3">
        <v>2026</v>
      </c>
    </row>
    <row r="8" spans="2:12" s="100" customFormat="1"/>
    <row r="9" spans="2:12" s="100" customFormat="1"/>
    <row r="10" spans="2:12" s="3" customFormat="1">
      <c r="B10" s="3" t="s">
        <v>231</v>
      </c>
    </row>
    <row r="12" spans="2:12">
      <c r="B12" s="10" t="s">
        <v>134</v>
      </c>
      <c r="D12" s="62" t="s">
        <v>121</v>
      </c>
      <c r="E12" s="63"/>
      <c r="F12" s="80">
        <f>'9. Berekening doelm.factor'!F46</f>
        <v>177136415.51356828</v>
      </c>
    </row>
    <row r="13" spans="2:12">
      <c r="B13" s="63"/>
    </row>
    <row r="14" spans="2:12">
      <c r="B14" s="10" t="s">
        <v>232</v>
      </c>
      <c r="D14" s="10" t="s">
        <v>74</v>
      </c>
      <c r="F14" s="4">
        <f>'9. Berekening doelm.factor'!F48</f>
        <v>5.3E-3</v>
      </c>
    </row>
    <row r="16" spans="2:12" s="3" customFormat="1">
      <c r="B16" s="3" t="s">
        <v>135</v>
      </c>
    </row>
    <row r="18" spans="2:12">
      <c r="B18" s="62" t="s">
        <v>84</v>
      </c>
      <c r="D18" s="10" t="s">
        <v>74</v>
      </c>
      <c r="H18" s="5">
        <f>'2. Reguleringsparameters'!L21</f>
        <v>1.7999999999999999E-2</v>
      </c>
      <c r="I18" s="5">
        <f>'2. Reguleringsparameters'!M21</f>
        <v>1.7999999999999999E-2</v>
      </c>
      <c r="J18" s="5">
        <f>'2. Reguleringsparameters'!N21</f>
        <v>1.7999999999999999E-2</v>
      </c>
      <c r="K18" s="5">
        <f>'2. Reguleringsparameters'!O21</f>
        <v>1.7999999999999999E-2</v>
      </c>
      <c r="L18" s="5">
        <f>'2. Reguleringsparameters'!P21</f>
        <v>1.7999999999999999E-2</v>
      </c>
    </row>
    <row r="20" spans="2:12" s="3" customFormat="1">
      <c r="B20" s="3" t="s">
        <v>120</v>
      </c>
    </row>
    <row r="22" spans="2:12">
      <c r="B22" s="10" t="s">
        <v>120</v>
      </c>
      <c r="D22" s="10" t="s">
        <v>86</v>
      </c>
      <c r="H22" s="80">
        <f>'9. Berekening doelm.factor'!L49</f>
        <v>179386047.9905906</v>
      </c>
      <c r="I22" s="80">
        <f>'9. Berekening doelm.factor'!M49</f>
        <v>181664250.80007109</v>
      </c>
      <c r="J22" s="80">
        <f>'9. Berekening doelm.factor'!N49</f>
        <v>183971386.78523198</v>
      </c>
      <c r="K22" s="80">
        <f>'9. Berekening doelm.factor'!O49</f>
        <v>186307823.3974044</v>
      </c>
      <c r="L22" s="80">
        <f>'9. Berekening doelm.factor'!P49</f>
        <v>188673932.75455144</v>
      </c>
    </row>
    <row r="23" spans="2:12">
      <c r="H23" s="46"/>
      <c r="I23" s="46"/>
      <c r="J23" s="46"/>
      <c r="K23" s="46"/>
      <c r="L23" s="46"/>
    </row>
    <row r="24" spans="2:12">
      <c r="H24" s="40"/>
      <c r="I24" s="40"/>
      <c r="J24" s="40"/>
      <c r="K24" s="40"/>
      <c r="L24" s="40"/>
    </row>
  </sheetData>
  <mergeCells count="1">
    <mergeCell ref="B5:C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tabColor theme="0" tint="-4.9989318521683403E-2"/>
  </sheetPr>
  <dimension ref="A1"/>
  <sheetViews>
    <sheetView showGridLines="0" zoomScale="85" zoomScaleNormal="85" workbookViewId="0"/>
  </sheetViews>
  <sheetFormatPr defaultRowHeight="12.75"/>
  <cols>
    <col min="1" max="16384" width="9.140625" style="23"/>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rgb="FFE1FFE1"/>
  </sheetPr>
  <dimension ref="B2:T34"/>
  <sheetViews>
    <sheetView showGridLines="0" zoomScale="85" zoomScaleNormal="85" workbookViewId="0">
      <pane xSplit="4" ySplit="11" topLeftCell="E12" activePane="bottomRight" state="frozen"/>
      <selection activeCell="R6" sqref="R6"/>
      <selection pane="topRight" activeCell="R6" sqref="R6"/>
      <selection pane="bottomLeft" activeCell="R6" sqref="R6"/>
      <selection pane="bottomRight" activeCell="E12" sqref="E12"/>
    </sheetView>
  </sheetViews>
  <sheetFormatPr defaultRowHeight="12.75"/>
  <cols>
    <col min="1" max="1" width="4.7109375" style="10" customWidth="1"/>
    <col min="2" max="2" width="95.5703125" style="10" customWidth="1"/>
    <col min="3" max="3" width="2.7109375" style="10" customWidth="1"/>
    <col min="4" max="4" width="13.7109375" style="10" customWidth="1"/>
    <col min="5" max="5" width="2.7109375" style="10" customWidth="1"/>
    <col min="6" max="6" width="13.7109375" style="10" customWidth="1"/>
    <col min="7" max="7" width="2.7109375" style="10" customWidth="1"/>
    <col min="8" max="9" width="13.7109375" style="10" customWidth="1"/>
    <col min="10" max="16" width="12.5703125" style="10" customWidth="1"/>
    <col min="17" max="17" width="2.7109375" style="10" customWidth="1"/>
    <col min="18" max="18" width="81.28515625" style="10" bestFit="1" customWidth="1"/>
    <col min="19" max="19" width="2.7109375" style="10" customWidth="1"/>
    <col min="20" max="20" width="13.7109375" style="10" customWidth="1"/>
    <col min="21" max="21" width="2.7109375" style="10" customWidth="1"/>
    <col min="22" max="36" width="13.7109375" style="10" customWidth="1"/>
    <col min="37" max="16384" width="9.140625" style="10"/>
  </cols>
  <sheetData>
    <row r="2" spans="2:20" s="64" customFormat="1" ht="18">
      <c r="B2" s="64" t="s">
        <v>202</v>
      </c>
    </row>
    <row r="4" spans="2:20">
      <c r="B4" s="26" t="s">
        <v>29</v>
      </c>
      <c r="J4"/>
    </row>
    <row r="5" spans="2:20" ht="65.25" customHeight="1">
      <c r="B5" s="110" t="s">
        <v>263</v>
      </c>
      <c r="C5" s="110"/>
      <c r="D5" s="36"/>
      <c r="E5" s="36"/>
      <c r="F5" s="36"/>
    </row>
    <row r="6" spans="2:20" ht="12.75" customHeight="1">
      <c r="B6" s="106"/>
      <c r="C6" s="106"/>
      <c r="D6" s="36"/>
      <c r="E6" s="36"/>
      <c r="F6" s="36"/>
    </row>
    <row r="7" spans="2:20" ht="12.75" customHeight="1">
      <c r="B7" s="53" t="s">
        <v>30</v>
      </c>
      <c r="C7" s="106"/>
      <c r="D7" s="36"/>
      <c r="E7" s="36"/>
      <c r="F7" s="36"/>
    </row>
    <row r="8" spans="2:20" ht="28.5" customHeight="1">
      <c r="B8" s="106" t="s">
        <v>330</v>
      </c>
      <c r="C8" s="106"/>
      <c r="D8" s="36"/>
      <c r="E8" s="36"/>
      <c r="F8" s="36"/>
    </row>
    <row r="10" spans="2:20" s="3" customFormat="1">
      <c r="B10" s="3" t="s">
        <v>45</v>
      </c>
      <c r="D10" s="3" t="s">
        <v>27</v>
      </c>
      <c r="F10" s="3" t="s">
        <v>28</v>
      </c>
      <c r="H10" s="3" t="s">
        <v>89</v>
      </c>
      <c r="I10" s="3" t="s">
        <v>90</v>
      </c>
      <c r="J10" s="3" t="s">
        <v>77</v>
      </c>
      <c r="K10" s="3" t="s">
        <v>78</v>
      </c>
      <c r="L10" s="3" t="s">
        <v>79</v>
      </c>
      <c r="M10" s="3" t="s">
        <v>80</v>
      </c>
      <c r="N10" s="3" t="s">
        <v>81</v>
      </c>
      <c r="O10" s="3" t="s">
        <v>82</v>
      </c>
      <c r="P10" s="3" t="s">
        <v>83</v>
      </c>
      <c r="R10" s="3" t="s">
        <v>46</v>
      </c>
      <c r="T10" s="3" t="s">
        <v>47</v>
      </c>
    </row>
    <row r="13" spans="2:20" s="14" customFormat="1">
      <c r="B13" s="14" t="s">
        <v>93</v>
      </c>
    </row>
    <row r="15" spans="2:20">
      <c r="B15" s="10" t="s">
        <v>307</v>
      </c>
      <c r="D15" s="10" t="s">
        <v>74</v>
      </c>
      <c r="H15" s="38"/>
      <c r="I15" s="38"/>
      <c r="J15" s="38"/>
      <c r="K15" s="38"/>
      <c r="L15" s="108">
        <v>2.4E-2</v>
      </c>
      <c r="M15" s="108">
        <v>2.3E-2</v>
      </c>
      <c r="N15" s="108">
        <v>2.8000000000000001E-2</v>
      </c>
      <c r="O15" s="108">
        <v>2.8000000000000001E-2</v>
      </c>
      <c r="P15" s="108">
        <v>2.8000000000000001E-2</v>
      </c>
      <c r="R15" s="10" t="s">
        <v>325</v>
      </c>
      <c r="T15" s="10" t="s">
        <v>326</v>
      </c>
    </row>
    <row r="16" spans="2:20">
      <c r="B16" s="10" t="s">
        <v>308</v>
      </c>
      <c r="D16" s="10" t="s">
        <v>74</v>
      </c>
      <c r="H16" s="38"/>
      <c r="I16" s="38"/>
      <c r="J16" s="38"/>
      <c r="K16" s="38"/>
      <c r="L16" s="108">
        <v>2.1999999999999999E-2</v>
      </c>
      <c r="M16" s="108">
        <v>2.1999999999999999E-2</v>
      </c>
      <c r="N16" s="108">
        <v>2.7E-2</v>
      </c>
      <c r="O16" s="108">
        <v>2.7E-2</v>
      </c>
      <c r="P16" s="108">
        <v>2.7E-2</v>
      </c>
      <c r="R16" s="10" t="s">
        <v>325</v>
      </c>
      <c r="T16" s="10" t="s">
        <v>326</v>
      </c>
    </row>
    <row r="17" spans="2:20">
      <c r="B17" s="10" t="s">
        <v>133</v>
      </c>
      <c r="D17" s="10" t="s">
        <v>74</v>
      </c>
      <c r="H17" s="38"/>
      <c r="I17" s="38"/>
      <c r="J17" s="38"/>
      <c r="K17" s="38"/>
      <c r="L17" s="108">
        <v>3.3000000000000002E-2</v>
      </c>
      <c r="M17" s="108">
        <v>3.2000000000000001E-2</v>
      </c>
      <c r="N17" s="108">
        <v>3.6999999999999998E-2</v>
      </c>
      <c r="O17" s="108">
        <v>3.6999999999999998E-2</v>
      </c>
      <c r="P17" s="108">
        <v>3.6999999999999998E-2</v>
      </c>
      <c r="R17" s="10" t="s">
        <v>325</v>
      </c>
      <c r="T17" s="10" t="s">
        <v>326</v>
      </c>
    </row>
    <row r="19" spans="2:20" s="14" customFormat="1">
      <c r="B19" s="14" t="s">
        <v>84</v>
      </c>
    </row>
    <row r="21" spans="2:20">
      <c r="B21" s="10" t="s">
        <v>91</v>
      </c>
      <c r="D21" s="10" t="s">
        <v>74</v>
      </c>
      <c r="F21" s="32"/>
      <c r="H21" s="7">
        <v>1.4E-2</v>
      </c>
      <c r="I21" s="7">
        <v>2.1000000000000001E-2</v>
      </c>
      <c r="J21" s="7">
        <v>2.8000000000000001E-2</v>
      </c>
      <c r="K21" s="7">
        <v>7.0000000000000001E-3</v>
      </c>
      <c r="L21" s="7">
        <v>1.7999999999999999E-2</v>
      </c>
      <c r="M21" s="7">
        <v>1.7999999999999999E-2</v>
      </c>
      <c r="N21" s="7">
        <v>1.7999999999999999E-2</v>
      </c>
      <c r="O21" s="7">
        <v>1.7999999999999999E-2</v>
      </c>
      <c r="P21" s="7">
        <v>1.7999999999999999E-2</v>
      </c>
      <c r="R21" s="10" t="s">
        <v>327</v>
      </c>
    </row>
    <row r="23" spans="2:20" s="14" customFormat="1">
      <c r="B23" s="14" t="s">
        <v>85</v>
      </c>
    </row>
    <row r="25" spans="2:20">
      <c r="B25" s="10" t="s">
        <v>85</v>
      </c>
      <c r="D25" s="10" t="s">
        <v>74</v>
      </c>
      <c r="F25" s="32"/>
      <c r="H25" s="7">
        <v>0</v>
      </c>
      <c r="I25" s="7">
        <v>0</v>
      </c>
      <c r="J25" s="7">
        <v>0</v>
      </c>
      <c r="K25" s="7">
        <v>0</v>
      </c>
      <c r="L25" s="7">
        <v>5.0000000000000001E-3</v>
      </c>
      <c r="M25" s="7">
        <v>5.0000000000000001E-3</v>
      </c>
      <c r="N25" s="7">
        <v>5.0000000000000001E-3</v>
      </c>
      <c r="O25" s="7">
        <v>5.0000000000000001E-3</v>
      </c>
      <c r="P25" s="7">
        <v>5.0000000000000001E-3</v>
      </c>
      <c r="R25" s="10" t="s">
        <v>328</v>
      </c>
    </row>
    <row r="27" spans="2:20" s="3" customFormat="1">
      <c r="B27" s="3" t="s">
        <v>208</v>
      </c>
    </row>
    <row r="29" spans="2:20">
      <c r="B29" s="10" t="s">
        <v>207</v>
      </c>
      <c r="D29" s="10" t="s">
        <v>74</v>
      </c>
      <c r="F29" s="7">
        <v>0.01</v>
      </c>
      <c r="R29" s="10" t="s">
        <v>329</v>
      </c>
    </row>
    <row r="31" spans="2:20" s="3" customFormat="1">
      <c r="B31" s="3" t="s">
        <v>262</v>
      </c>
    </row>
    <row r="33" spans="2:18">
      <c r="B33" s="10" t="s">
        <v>266</v>
      </c>
      <c r="D33" s="10" t="s">
        <v>74</v>
      </c>
      <c r="F33" s="7">
        <v>0.11799999999999999</v>
      </c>
      <c r="R33" s="10" t="s">
        <v>240</v>
      </c>
    </row>
    <row r="34" spans="2:18">
      <c r="B34" s="10" t="s">
        <v>267</v>
      </c>
      <c r="D34" s="10" t="s">
        <v>74</v>
      </c>
      <c r="F34" s="7">
        <v>0.11799999999999999</v>
      </c>
      <c r="R34" s="10" t="s">
        <v>241</v>
      </c>
    </row>
  </sheetData>
  <mergeCells count="1">
    <mergeCell ref="B5:C5"/>
  </mergeCells>
  <pageMargins left="0.7" right="0.7" top="0.75" bottom="0.75" header="0.3" footer="0.3"/>
  <pageSetup paperSize="9" orientation="portrait" r:id="rId1"/>
  <ignoredErrors>
    <ignoredError sqref="H10:P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rgb="FFE1FFE1"/>
  </sheetPr>
  <dimension ref="A1:T40"/>
  <sheetViews>
    <sheetView showGridLines="0" zoomScale="85" zoomScaleNormal="85" workbookViewId="0">
      <pane xSplit="4" ySplit="8" topLeftCell="E9" activePane="bottomRight" state="frozen"/>
      <selection pane="topRight" activeCell="E1" sqref="E1"/>
      <selection pane="bottomLeft" activeCell="A9" sqref="A9"/>
      <selection pane="bottomRight" activeCell="E9" sqref="E9"/>
    </sheetView>
  </sheetViews>
  <sheetFormatPr defaultRowHeight="12.75"/>
  <cols>
    <col min="1" max="1" width="4.7109375" style="10" customWidth="1"/>
    <col min="2" max="2" width="70.7109375" style="10" customWidth="1"/>
    <col min="3" max="3" width="2.7109375" style="10" customWidth="1"/>
    <col min="4" max="4" width="11.5703125" style="10" bestFit="1" customWidth="1"/>
    <col min="5" max="5" width="2.7109375" style="10" customWidth="1"/>
    <col min="6" max="6" width="13.7109375" style="10" customWidth="1"/>
    <col min="7" max="7" width="2.7109375" style="10" customWidth="1"/>
    <col min="8" max="16" width="14.7109375" style="10" customWidth="1"/>
    <col min="17" max="17" width="2.7109375" style="10" customWidth="1"/>
    <col min="18" max="18" width="43.5703125" style="10" bestFit="1" customWidth="1"/>
    <col min="19" max="19" width="2.7109375" style="10" customWidth="1"/>
    <col min="20" max="16384" width="9.140625" style="10"/>
  </cols>
  <sheetData>
    <row r="1" spans="1:20">
      <c r="B1"/>
      <c r="D1"/>
      <c r="F1"/>
      <c r="H1"/>
      <c r="I1"/>
      <c r="J1"/>
      <c r="K1"/>
      <c r="L1"/>
      <c r="M1"/>
      <c r="N1"/>
      <c r="O1"/>
      <c r="P1"/>
      <c r="R1"/>
      <c r="T1"/>
    </row>
    <row r="2" spans="1:20" s="64" customFormat="1" ht="18">
      <c r="B2" s="64" t="s">
        <v>111</v>
      </c>
    </row>
    <row r="4" spans="1:20">
      <c r="A4"/>
      <c r="B4" s="26" t="s">
        <v>29</v>
      </c>
      <c r="C4"/>
      <c r="D4"/>
      <c r="E4"/>
      <c r="F4"/>
      <c r="G4"/>
      <c r="H4"/>
      <c r="I4"/>
      <c r="J4"/>
      <c r="K4"/>
      <c r="L4"/>
      <c r="M4"/>
      <c r="N4"/>
      <c r="O4"/>
      <c r="P4"/>
      <c r="Q4"/>
      <c r="R4"/>
      <c r="S4"/>
      <c r="T4"/>
    </row>
    <row r="5" spans="1:20" ht="117.75" customHeight="1">
      <c r="A5" s="44"/>
      <c r="B5" s="110" t="s">
        <v>209</v>
      </c>
      <c r="C5" s="110"/>
      <c r="D5" s="36"/>
      <c r="E5" s="44"/>
      <c r="F5" s="44"/>
      <c r="G5" s="44"/>
      <c r="H5" s="44"/>
      <c r="I5" s="44"/>
      <c r="J5" s="44"/>
      <c r="K5" s="44"/>
      <c r="L5" s="44"/>
      <c r="M5" s="44"/>
      <c r="N5" s="44"/>
      <c r="O5" s="44"/>
      <c r="P5" s="44"/>
      <c r="Q5" s="44"/>
      <c r="R5" s="44"/>
      <c r="S5" s="44"/>
      <c r="T5" s="44"/>
    </row>
    <row r="6" spans="1:20" ht="12.75" customHeight="1"/>
    <row r="7" spans="1:20" s="3" customFormat="1">
      <c r="B7" s="3" t="s">
        <v>45</v>
      </c>
      <c r="D7" s="3" t="s">
        <v>27</v>
      </c>
      <c r="F7" s="3" t="s">
        <v>28</v>
      </c>
      <c r="H7" s="3">
        <v>2018</v>
      </c>
      <c r="I7" s="3" t="s">
        <v>90</v>
      </c>
      <c r="J7" s="3">
        <v>2020</v>
      </c>
      <c r="K7" s="3">
        <v>2021</v>
      </c>
      <c r="L7" s="3">
        <v>2022</v>
      </c>
      <c r="M7" s="3">
        <v>2023</v>
      </c>
      <c r="N7" s="3">
        <v>2024</v>
      </c>
      <c r="O7" s="3">
        <v>2025</v>
      </c>
      <c r="P7" s="3">
        <v>2026</v>
      </c>
      <c r="R7" s="3" t="s">
        <v>46</v>
      </c>
      <c r="T7" s="3" t="s">
        <v>47</v>
      </c>
    </row>
    <row r="10" spans="1:20" s="3" customFormat="1">
      <c r="B10" s="3" t="s">
        <v>184</v>
      </c>
    </row>
    <row r="12" spans="1:20">
      <c r="B12" s="10" t="s">
        <v>185</v>
      </c>
      <c r="C12"/>
      <c r="D12" s="10" t="s">
        <v>86</v>
      </c>
      <c r="E12"/>
      <c r="F12"/>
      <c r="G12"/>
      <c r="H12" s="38"/>
      <c r="I12" s="38"/>
      <c r="J12" s="38"/>
      <c r="K12" s="38"/>
      <c r="L12" s="28">
        <v>15457761.135682108</v>
      </c>
      <c r="M12" s="28">
        <v>13237666.097591013</v>
      </c>
      <c r="N12" s="28">
        <v>6890947.9298159787</v>
      </c>
      <c r="O12" s="28">
        <v>4205803.4396826979</v>
      </c>
      <c r="P12" s="28">
        <v>899820.38218787278</v>
      </c>
      <c r="Q12"/>
      <c r="R12" s="10" t="s">
        <v>309</v>
      </c>
      <c r="S12"/>
      <c r="T12"/>
    </row>
    <row r="13" spans="1:20">
      <c r="B13" s="10" t="s">
        <v>188</v>
      </c>
      <c r="C13"/>
      <c r="D13" s="10" t="s">
        <v>86</v>
      </c>
      <c r="E13"/>
      <c r="F13"/>
      <c r="G13"/>
      <c r="H13" s="38"/>
      <c r="I13" s="38"/>
      <c r="J13" s="38"/>
      <c r="K13" s="38"/>
      <c r="L13" s="28">
        <v>47468052.641260438</v>
      </c>
      <c r="M13" s="28">
        <v>34657599.017440781</v>
      </c>
      <c r="N13" s="28">
        <v>28078569.478781763</v>
      </c>
      <c r="O13" s="28">
        <v>24125473.164408103</v>
      </c>
      <c r="P13" s="28">
        <v>23442782.040699907</v>
      </c>
      <c r="Q13"/>
      <c r="R13" s="10" t="s">
        <v>310</v>
      </c>
      <c r="S13"/>
      <c r="T13"/>
    </row>
    <row r="14" spans="1:20">
      <c r="A14" s="41"/>
      <c r="C14" s="41"/>
      <c r="E14" s="41"/>
      <c r="F14" s="41"/>
      <c r="G14" s="41"/>
      <c r="H14"/>
      <c r="I14"/>
      <c r="J14"/>
      <c r="K14"/>
      <c r="L14"/>
      <c r="M14"/>
      <c r="N14"/>
      <c r="O14"/>
      <c r="P14"/>
    </row>
    <row r="15" spans="1:20" s="3" customFormat="1">
      <c r="B15" s="3" t="s">
        <v>186</v>
      </c>
    </row>
    <row r="16" spans="1:20">
      <c r="A16"/>
      <c r="B16" s="9"/>
      <c r="C16"/>
      <c r="D16"/>
      <c r="E16"/>
      <c r="F16"/>
      <c r="G16"/>
      <c r="H16"/>
      <c r="I16"/>
      <c r="J16"/>
      <c r="K16"/>
      <c r="L16"/>
      <c r="M16"/>
      <c r="N16"/>
      <c r="O16"/>
      <c r="P16"/>
      <c r="Q16"/>
      <c r="R16"/>
      <c r="S16"/>
    </row>
    <row r="17" spans="1:19">
      <c r="A17"/>
      <c r="B17" s="10" t="s">
        <v>195</v>
      </c>
      <c r="C17"/>
      <c r="D17" s="10" t="s">
        <v>86</v>
      </c>
      <c r="E17"/>
      <c r="F17"/>
      <c r="G17"/>
      <c r="H17" s="38"/>
      <c r="I17" s="38"/>
      <c r="J17" s="38"/>
      <c r="K17" s="38"/>
      <c r="L17" s="28">
        <v>6246557.0999169471</v>
      </c>
      <c r="M17" s="28">
        <v>10523630.332346527</v>
      </c>
      <c r="N17" s="28">
        <v>14893688.451829199</v>
      </c>
      <c r="O17" s="28">
        <v>19358271.804101411</v>
      </c>
      <c r="P17" s="28">
        <v>21773707.765174415</v>
      </c>
      <c r="Q17"/>
      <c r="R17" s="10" t="s">
        <v>311</v>
      </c>
      <c r="S17"/>
    </row>
    <row r="18" spans="1:19">
      <c r="A18"/>
      <c r="B18" s="10" t="s">
        <v>194</v>
      </c>
      <c r="C18"/>
      <c r="D18" s="10" t="s">
        <v>86</v>
      </c>
      <c r="E18"/>
      <c r="F18"/>
      <c r="G18"/>
      <c r="H18" s="38"/>
      <c r="I18" s="38"/>
      <c r="J18" s="38"/>
      <c r="K18" s="38"/>
      <c r="L18" s="28">
        <v>33565955.940972187</v>
      </c>
      <c r="M18" s="28">
        <v>44601867.101989739</v>
      </c>
      <c r="N18" s="28">
        <v>51641476.996232338</v>
      </c>
      <c r="O18" s="28">
        <v>54557836.617960103</v>
      </c>
      <c r="P18" s="28">
        <v>55366572.783705682</v>
      </c>
      <c r="Q18"/>
      <c r="R18" s="10" t="s">
        <v>312</v>
      </c>
      <c r="S18"/>
    </row>
    <row r="19" spans="1:19">
      <c r="A19" s="41"/>
      <c r="C19" s="41"/>
      <c r="E19" s="41"/>
      <c r="F19" s="41"/>
      <c r="G19" s="41"/>
      <c r="H19" s="41"/>
      <c r="I19" s="43"/>
      <c r="J19" s="41"/>
      <c r="K19" s="41"/>
      <c r="L19" s="41"/>
      <c r="M19" s="41"/>
      <c r="N19" s="41"/>
      <c r="O19" s="41"/>
      <c r="P19" s="41"/>
      <c r="Q19" s="45"/>
      <c r="R19"/>
      <c r="S19" s="45"/>
    </row>
    <row r="20" spans="1:19" s="3" customFormat="1">
      <c r="B20" s="3" t="s">
        <v>190</v>
      </c>
    </row>
    <row r="21" spans="1:19">
      <c r="A21"/>
      <c r="B21"/>
      <c r="C21"/>
      <c r="D21"/>
      <c r="E21"/>
      <c r="F21"/>
      <c r="G21"/>
      <c r="H21" s="40"/>
      <c r="I21" s="40"/>
      <c r="J21"/>
      <c r="K21"/>
      <c r="L21"/>
      <c r="M21"/>
      <c r="N21"/>
      <c r="O21"/>
      <c r="P21"/>
      <c r="Q21"/>
      <c r="R21"/>
      <c r="S21"/>
    </row>
    <row r="22" spans="1:19">
      <c r="A22"/>
      <c r="B22" s="10" t="s">
        <v>187</v>
      </c>
      <c r="C22" s="41"/>
      <c r="D22" s="10" t="s">
        <v>86</v>
      </c>
      <c r="E22" s="41"/>
      <c r="F22" s="41"/>
      <c r="G22" s="41"/>
      <c r="H22" s="38"/>
      <c r="I22" s="38"/>
      <c r="J22" s="28">
        <v>79191013.178890973</v>
      </c>
      <c r="K22" s="38"/>
      <c r="L22" s="38"/>
      <c r="M22" s="38"/>
      <c r="N22" s="38"/>
      <c r="O22" s="38"/>
      <c r="P22" s="38"/>
      <c r="Q22" s="41"/>
      <c r="R22" s="10" t="s">
        <v>313</v>
      </c>
      <c r="S22" s="41"/>
    </row>
    <row r="23" spans="1:19">
      <c r="A23" s="41"/>
      <c r="B23" s="41"/>
      <c r="C23" s="41"/>
      <c r="D23" s="41"/>
      <c r="E23" s="41"/>
      <c r="F23" s="41"/>
      <c r="G23" s="41"/>
      <c r="H23" s="41"/>
      <c r="I23" s="43"/>
      <c r="J23" s="41"/>
      <c r="K23" s="41"/>
      <c r="L23" s="41"/>
      <c r="M23" s="41"/>
      <c r="N23" s="41"/>
      <c r="O23" s="41"/>
      <c r="P23" s="41"/>
      <c r="Q23" s="41"/>
      <c r="R23" s="41"/>
      <c r="S23" s="41"/>
    </row>
    <row r="24" spans="1:19" s="3" customFormat="1">
      <c r="B24" s="3" t="s">
        <v>210</v>
      </c>
    </row>
    <row r="25" spans="1:19">
      <c r="B25" s="39"/>
      <c r="D25"/>
      <c r="F25"/>
      <c r="H25"/>
      <c r="I25"/>
      <c r="J25"/>
      <c r="K25" s="46"/>
      <c r="L25" s="46"/>
      <c r="M25"/>
      <c r="N25"/>
      <c r="O25"/>
      <c r="P25"/>
      <c r="R25"/>
    </row>
    <row r="26" spans="1:19">
      <c r="B26" s="10" t="s">
        <v>277</v>
      </c>
      <c r="D26" s="10" t="s">
        <v>86</v>
      </c>
      <c r="H26" s="28">
        <v>118971736.89588796</v>
      </c>
      <c r="I26" s="28">
        <v>134748258.14699957</v>
      </c>
      <c r="J26" s="28">
        <v>127707205.31166191</v>
      </c>
      <c r="K26" s="28">
        <v>132295161.71914513</v>
      </c>
      <c r="L26" s="28">
        <v>134676474.63008985</v>
      </c>
      <c r="M26" s="28">
        <v>137100651.17343146</v>
      </c>
      <c r="N26" s="28">
        <v>139568462.89455318</v>
      </c>
      <c r="O26" s="28">
        <v>142080695.22665513</v>
      </c>
      <c r="P26" s="28">
        <v>144638147.74073491</v>
      </c>
      <c r="R26" s="10" t="s">
        <v>302</v>
      </c>
    </row>
    <row r="27" spans="1:19">
      <c r="B27" s="10" t="s">
        <v>269</v>
      </c>
      <c r="D27" s="10" t="s">
        <v>86</v>
      </c>
      <c r="H27" s="38"/>
      <c r="I27" s="38"/>
      <c r="J27" s="38"/>
      <c r="K27" s="28">
        <v>10359514.675400946</v>
      </c>
      <c r="L27" s="28">
        <v>21091971.879116327</v>
      </c>
      <c r="M27" s="28">
        <v>21471627.372940421</v>
      </c>
      <c r="N27" s="28">
        <v>21858116.665653348</v>
      </c>
      <c r="O27" s="28">
        <v>22251562.765635107</v>
      </c>
      <c r="P27" s="28">
        <v>22652090.895416535</v>
      </c>
      <c r="R27" s="10" t="s">
        <v>303</v>
      </c>
    </row>
    <row r="28" spans="1:19">
      <c r="B28" s="10" t="s">
        <v>278</v>
      </c>
      <c r="D28" s="10" t="s">
        <v>86</v>
      </c>
      <c r="H28" s="38"/>
      <c r="I28" s="38"/>
      <c r="J28" s="38"/>
      <c r="K28" s="38"/>
      <c r="L28" s="28">
        <v>10493256.009860372</v>
      </c>
      <c r="M28" s="28">
        <v>21364269.236075718</v>
      </c>
      <c r="N28" s="28">
        <v>21748826.082325079</v>
      </c>
      <c r="O28" s="28">
        <v>22140304.951806933</v>
      </c>
      <c r="P28" s="28">
        <v>22538830.440939456</v>
      </c>
      <c r="R28" s="10" t="s">
        <v>304</v>
      </c>
    </row>
    <row r="29" spans="1:19">
      <c r="B29" s="10" t="s">
        <v>279</v>
      </c>
      <c r="D29" s="10" t="s">
        <v>86</v>
      </c>
      <c r="H29" s="38"/>
      <c r="I29" s="38"/>
      <c r="J29" s="38"/>
      <c r="K29" s="38"/>
      <c r="L29" s="38"/>
      <c r="M29" s="28">
        <v>10628723.944947671</v>
      </c>
      <c r="N29" s="28">
        <v>21640081.951913457</v>
      </c>
      <c r="O29" s="28">
        <v>22029603.427047901</v>
      </c>
      <c r="P29" s="28">
        <v>22426136.288734764</v>
      </c>
      <c r="R29" s="10" t="s">
        <v>305</v>
      </c>
    </row>
    <row r="30" spans="1:19">
      <c r="B30" s="10" t="s">
        <v>280</v>
      </c>
      <c r="D30" s="10" t="s">
        <v>86</v>
      </c>
      <c r="H30" s="38"/>
      <c r="I30" s="38"/>
      <c r="J30" s="38"/>
      <c r="K30" s="38"/>
      <c r="L30" s="38"/>
      <c r="M30" s="38"/>
      <c r="N30" s="28">
        <v>10765940.771076946</v>
      </c>
      <c r="O30" s="28">
        <v>21919455.409912657</v>
      </c>
      <c r="P30" s="28">
        <v>22314005.607291091</v>
      </c>
      <c r="R30" s="10" t="s">
        <v>306</v>
      </c>
    </row>
    <row r="31" spans="1:19">
      <c r="B31" s="10" t="s">
        <v>281</v>
      </c>
      <c r="D31" s="10" t="s">
        <v>86</v>
      </c>
      <c r="H31" s="38"/>
      <c r="I31" s="38"/>
      <c r="J31" s="38"/>
      <c r="K31" s="38"/>
      <c r="L31" s="38"/>
      <c r="M31" s="38"/>
      <c r="N31" s="38"/>
      <c r="O31" s="28">
        <v>10904929.066431547</v>
      </c>
      <c r="P31" s="28">
        <v>22202435.579254627</v>
      </c>
      <c r="R31" s="10" t="s">
        <v>314</v>
      </c>
    </row>
    <row r="32" spans="1:19">
      <c r="B32" s="10" t="s">
        <v>282</v>
      </c>
      <c r="D32" s="10" t="s">
        <v>86</v>
      </c>
      <c r="H32" s="38"/>
      <c r="I32" s="38"/>
      <c r="J32" s="38"/>
      <c r="K32" s="38"/>
      <c r="L32" s="38"/>
      <c r="M32" s="38"/>
      <c r="N32" s="38"/>
      <c r="O32" s="38"/>
      <c r="P32" s="28">
        <v>11045711.700679179</v>
      </c>
      <c r="R32" s="10" t="s">
        <v>315</v>
      </c>
    </row>
    <row r="34" spans="8:18">
      <c r="H34" s="91"/>
      <c r="I34" s="91"/>
      <c r="J34" s="91"/>
      <c r="K34" s="91"/>
      <c r="L34" s="91"/>
      <c r="M34" s="91"/>
      <c r="N34" s="91"/>
      <c r="O34" s="91"/>
      <c r="P34" s="91"/>
    </row>
    <row r="40" spans="8:18">
      <c r="H40" s="41"/>
      <c r="I40" s="41"/>
      <c r="J40" s="41"/>
      <c r="K40" s="41"/>
      <c r="L40" s="41"/>
      <c r="M40" s="41"/>
      <c r="N40" s="41"/>
      <c r="O40" s="41"/>
      <c r="P40"/>
      <c r="R40" s="42"/>
    </row>
  </sheetData>
  <mergeCells count="1">
    <mergeCell ref="B5:C5"/>
  </mergeCells>
  <phoneticPr fontId="33" type="noConversion"/>
  <pageMargins left="0.7" right="0.7" top="0.75" bottom="0.75" header="0.3" footer="0.3"/>
  <pageSetup paperSize="9" orientation="portrait" r:id="rId1"/>
  <ignoredErrors>
    <ignoredError sqref="I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rgb="FFE1FFE1"/>
  </sheetPr>
  <dimension ref="A2:T28"/>
  <sheetViews>
    <sheetView showGridLines="0" zoomScale="85" zoomScaleNormal="85" workbookViewId="0">
      <pane xSplit="4" ySplit="11" topLeftCell="E12" activePane="bottomRight" state="frozen"/>
      <selection activeCell="R6" sqref="R6"/>
      <selection pane="topRight" activeCell="R6" sqref="R6"/>
      <selection pane="bottomLeft" activeCell="R6" sqref="R6"/>
      <selection pane="bottomRight" activeCell="E12" sqref="E12"/>
    </sheetView>
  </sheetViews>
  <sheetFormatPr defaultRowHeight="12.75"/>
  <cols>
    <col min="1" max="1" width="4.7109375" style="10" customWidth="1"/>
    <col min="2" max="2" width="79.7109375" style="10" customWidth="1"/>
    <col min="3" max="3" width="2.7109375" style="10" customWidth="1"/>
    <col min="4" max="4" width="13.7109375" style="10" customWidth="1"/>
    <col min="5" max="5" width="2.7109375" style="10" customWidth="1"/>
    <col min="6" max="6" width="13.7109375" style="10" customWidth="1"/>
    <col min="7" max="7" width="2.7109375" style="10" customWidth="1"/>
    <col min="8" max="16" width="12.5703125" style="10" customWidth="1"/>
    <col min="17" max="17" width="2.7109375" style="10" customWidth="1"/>
    <col min="18" max="18" width="64.42578125" style="10" customWidth="1"/>
    <col min="19" max="19" width="2.7109375" style="10" customWidth="1"/>
    <col min="20" max="20" width="13.7109375" style="10" customWidth="1"/>
    <col min="21" max="21" width="2.7109375" style="10" customWidth="1"/>
    <col min="22" max="36" width="13.7109375" style="10" customWidth="1"/>
    <col min="37" max="16384" width="9.140625" style="10"/>
  </cols>
  <sheetData>
    <row r="2" spans="1:20" s="64" customFormat="1" ht="18">
      <c r="B2" s="64" t="s">
        <v>99</v>
      </c>
    </row>
    <row r="4" spans="1:20">
      <c r="B4" s="26" t="s">
        <v>29</v>
      </c>
      <c r="H4"/>
    </row>
    <row r="5" spans="1:20" ht="78.75" customHeight="1">
      <c r="A5" s="36"/>
      <c r="B5" s="110" t="s">
        <v>211</v>
      </c>
      <c r="C5" s="110"/>
      <c r="D5" s="36"/>
      <c r="E5" s="36"/>
      <c r="F5" s="36"/>
    </row>
    <row r="6" spans="1:20">
      <c r="A6" s="36"/>
      <c r="B6" s="36"/>
      <c r="C6" s="36"/>
      <c r="D6" s="36"/>
      <c r="E6" s="36"/>
      <c r="F6" s="36"/>
    </row>
    <row r="7" spans="1:20">
      <c r="A7" s="36"/>
      <c r="B7" s="96" t="s">
        <v>30</v>
      </c>
      <c r="C7" s="36"/>
      <c r="D7" s="36"/>
      <c r="E7" s="36"/>
      <c r="F7" s="36"/>
    </row>
    <row r="8" spans="1:20" ht="75" customHeight="1">
      <c r="A8" s="36"/>
      <c r="B8" s="110" t="s">
        <v>268</v>
      </c>
      <c r="C8" s="110"/>
      <c r="D8" s="36"/>
      <c r="E8" s="36"/>
      <c r="F8" s="36"/>
    </row>
    <row r="9" spans="1:20">
      <c r="A9" s="36"/>
      <c r="B9" s="36"/>
      <c r="C9" s="36"/>
      <c r="D9" s="36"/>
      <c r="E9" s="36"/>
      <c r="F9" s="36"/>
    </row>
    <row r="10" spans="1:20" s="3" customFormat="1">
      <c r="B10" s="3" t="s">
        <v>45</v>
      </c>
      <c r="D10" s="3" t="s">
        <v>27</v>
      </c>
      <c r="F10" s="3" t="s">
        <v>28</v>
      </c>
      <c r="H10" s="3">
        <v>2018</v>
      </c>
      <c r="I10" s="3">
        <v>2019</v>
      </c>
      <c r="J10" s="3">
        <v>2020</v>
      </c>
      <c r="K10" s="3">
        <v>2021</v>
      </c>
      <c r="L10" s="3">
        <v>2022</v>
      </c>
      <c r="M10" s="3">
        <v>2023</v>
      </c>
      <c r="N10" s="3">
        <v>2024</v>
      </c>
      <c r="O10" s="3">
        <v>2025</v>
      </c>
      <c r="P10" s="3">
        <v>2026</v>
      </c>
      <c r="R10" s="3" t="s">
        <v>46</v>
      </c>
      <c r="T10" s="3" t="s">
        <v>47</v>
      </c>
    </row>
    <row r="13" spans="1:20" s="14" customFormat="1">
      <c r="B13" s="14" t="s">
        <v>169</v>
      </c>
    </row>
    <row r="14" spans="1:20">
      <c r="J14" s="91"/>
    </row>
    <row r="15" spans="1:20">
      <c r="B15" s="9" t="s">
        <v>193</v>
      </c>
    </row>
    <row r="16" spans="1:20">
      <c r="B16" s="10" t="s">
        <v>193</v>
      </c>
      <c r="D16" s="10" t="s">
        <v>86</v>
      </c>
      <c r="H16" s="28">
        <v>3056121.0199999996</v>
      </c>
      <c r="I16" s="28">
        <v>2384113.52</v>
      </c>
      <c r="J16" s="28">
        <v>4947869.3899999997</v>
      </c>
      <c r="K16" s="35"/>
      <c r="L16" s="35"/>
      <c r="M16" s="35"/>
      <c r="N16" s="35"/>
      <c r="O16" s="35"/>
      <c r="P16" s="35"/>
      <c r="R16" s="10" t="s">
        <v>242</v>
      </c>
    </row>
    <row r="18" spans="2:20">
      <c r="B18" s="9" t="s">
        <v>170</v>
      </c>
    </row>
    <row r="19" spans="2:20">
      <c r="B19" s="10" t="s">
        <v>165</v>
      </c>
      <c r="D19" s="10" t="s">
        <v>86</v>
      </c>
      <c r="H19" s="109"/>
      <c r="I19" s="109"/>
      <c r="J19" s="109"/>
      <c r="K19" s="92"/>
      <c r="L19" s="35"/>
      <c r="M19" s="35"/>
      <c r="N19" s="35"/>
      <c r="O19" s="35"/>
      <c r="P19" s="35"/>
      <c r="R19" s="10" t="s">
        <v>331</v>
      </c>
      <c r="T19" s="10" t="s">
        <v>337</v>
      </c>
    </row>
    <row r="20" spans="2:20">
      <c r="B20" s="10" t="s">
        <v>166</v>
      </c>
      <c r="D20" s="10" t="s">
        <v>86</v>
      </c>
      <c r="H20" s="109"/>
      <c r="I20" s="109"/>
      <c r="J20" s="109"/>
      <c r="K20" s="35"/>
      <c r="L20" s="35"/>
      <c r="M20" s="35"/>
      <c r="N20" s="35"/>
      <c r="O20" s="35"/>
      <c r="P20" s="35"/>
      <c r="R20" s="10" t="s">
        <v>332</v>
      </c>
      <c r="T20" s="10" t="s">
        <v>337</v>
      </c>
    </row>
    <row r="21" spans="2:20">
      <c r="B21" s="10" t="s">
        <v>167</v>
      </c>
      <c r="D21" s="10" t="s">
        <v>86</v>
      </c>
      <c r="H21" s="109"/>
      <c r="I21" s="109"/>
      <c r="J21" s="109"/>
      <c r="K21" s="92"/>
      <c r="L21" s="35"/>
      <c r="M21" s="35"/>
      <c r="N21" s="35"/>
      <c r="O21" s="35"/>
      <c r="P21" s="35"/>
      <c r="R21" s="10" t="s">
        <v>333</v>
      </c>
      <c r="T21" s="10" t="s">
        <v>337</v>
      </c>
    </row>
    <row r="22" spans="2:20">
      <c r="B22" s="10" t="s">
        <v>168</v>
      </c>
      <c r="D22" s="10" t="s">
        <v>86</v>
      </c>
      <c r="H22" s="109"/>
      <c r="I22" s="109"/>
      <c r="J22" s="109"/>
      <c r="K22" s="35"/>
      <c r="L22" s="35"/>
      <c r="M22" s="35"/>
      <c r="N22" s="35"/>
      <c r="O22" s="35"/>
      <c r="P22" s="35"/>
      <c r="R22" s="10" t="s">
        <v>334</v>
      </c>
      <c r="T22" s="10" t="s">
        <v>337</v>
      </c>
    </row>
    <row r="24" spans="2:20" s="3" customFormat="1">
      <c r="B24" s="3" t="s">
        <v>243</v>
      </c>
    </row>
    <row r="26" spans="2:20">
      <c r="B26" s="9" t="s">
        <v>243</v>
      </c>
    </row>
    <row r="27" spans="2:20">
      <c r="B27" s="10" t="s">
        <v>254</v>
      </c>
      <c r="D27" s="10" t="s">
        <v>86</v>
      </c>
      <c r="H27" s="28">
        <v>95973462.635111362</v>
      </c>
      <c r="I27" s="28">
        <v>94619920.99212943</v>
      </c>
      <c r="J27" s="28">
        <v>114764840.91223219</v>
      </c>
      <c r="K27" s="35"/>
      <c r="L27" s="35"/>
      <c r="M27" s="35"/>
      <c r="N27" s="35"/>
      <c r="O27" s="35"/>
      <c r="P27" s="35"/>
      <c r="R27" s="10" t="s">
        <v>246</v>
      </c>
    </row>
    <row r="28" spans="2:20">
      <c r="B28" s="10" t="s">
        <v>255</v>
      </c>
      <c r="D28" s="10" t="s">
        <v>86</v>
      </c>
      <c r="H28" s="28">
        <v>52186641.654888637</v>
      </c>
      <c r="I28" s="28">
        <v>58966676.657870598</v>
      </c>
      <c r="J28" s="28">
        <v>57727032.277767785</v>
      </c>
      <c r="K28" s="35"/>
      <c r="L28" s="35"/>
      <c r="M28" s="35"/>
      <c r="N28" s="35"/>
      <c r="O28" s="35"/>
      <c r="P28" s="35"/>
      <c r="R28" s="10" t="s">
        <v>247</v>
      </c>
    </row>
  </sheetData>
  <mergeCells count="2">
    <mergeCell ref="B5:C5"/>
    <mergeCell ref="B8:C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tabColor theme="0" tint="-4.9989318521683403E-2"/>
  </sheetPr>
  <dimension ref="A1"/>
  <sheetViews>
    <sheetView showGridLines="0" zoomScale="85" zoomScaleNormal="85" workbookViewId="0"/>
  </sheetViews>
  <sheetFormatPr defaultRowHeight="12.75"/>
  <cols>
    <col min="1" max="16384" width="9.140625" style="23"/>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9CDAB9D1-B815-4B0E-93E7-4496A7FE99F6}">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Titelblad</vt:lpstr>
      <vt:lpstr>Toelichting</vt:lpstr>
      <vt:lpstr>Bronnen en toepassingen</vt:lpstr>
      <vt:lpstr>1. Resultaat</vt:lpstr>
      <vt:lpstr>Input --&gt;</vt:lpstr>
      <vt:lpstr>2. Reguleringsparameters</vt:lpstr>
      <vt:lpstr>3. GAW model</vt:lpstr>
      <vt:lpstr>4. Operationele kosten</vt:lpstr>
      <vt:lpstr>Berekeningen --&gt;</vt:lpstr>
      <vt:lpstr>5. Berekening op parameters</vt:lpstr>
      <vt:lpstr>6. Berekening doorrollen </vt:lpstr>
      <vt:lpstr>7. Berekening bijschatten </vt:lpstr>
      <vt:lpstr>8. Berekening oper. kosten</vt:lpstr>
      <vt:lpstr>9. Berekening doelm.factor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2023-12-20T09:16:51Z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