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P:\Documents\"/>
    </mc:Choice>
  </mc:AlternateContent>
  <xr:revisionPtr revIDLastSave="0" documentId="8_{B649244F-2AFD-4CD3-BB56-053CA9F581E6}" xr6:coauthVersionLast="47" xr6:coauthVersionMax="47" xr10:uidLastSave="{00000000-0000-0000-0000-000000000000}"/>
  <bookViews>
    <workbookView xWindow="3075" yWindow="3075" windowWidth="21600" windowHeight="11385" tabRatio="938" xr2:uid="{00000000-000D-0000-FFFF-FFFF00000000}"/>
  </bookViews>
  <sheets>
    <sheet name="1. Titelblad" sheetId="9" r:id="rId1"/>
    <sheet name="2. Toelichting" sheetId="10" r:id="rId2"/>
    <sheet name="3. Bronnen en toepassingen" sheetId="52" r:id="rId3"/>
    <sheet name="4. Totale inkomsten 2025" sheetId="25" r:id="rId4"/>
    <sheet name="Input (Dataverzoek TenneT) --&gt;" sheetId="13" r:id="rId5"/>
    <sheet name="5. Projectprocedure investering" sheetId="33" r:id="rId6"/>
    <sheet name="Input (Data door ACM) --&gt;" sheetId="45" r:id="rId7"/>
    <sheet name="6. Parameters" sheetId="18" r:id="rId8"/>
    <sheet name="7. Brondata" sheetId="40" r:id="rId9"/>
    <sheet name="Input (Database) --&gt;" sheetId="57" r:id="rId10"/>
    <sheet name="8. Inkoopkosten netverliezen" sheetId="59" r:id="rId11"/>
    <sheet name="Berekeningen --&gt;" sheetId="15" r:id="rId12"/>
    <sheet name="9. Berekening parameters" sheetId="47" r:id="rId13"/>
    <sheet name="10. Wettelijke formule" sheetId="41" r:id="rId14"/>
    <sheet name="11. Correctie bijschatten" sheetId="53" r:id="rId15"/>
    <sheet name="12. Correctie afloopinv. WUI" sheetId="60" r:id="rId16"/>
    <sheet name="13. Correctie netverliezen" sheetId="56" r:id="rId17"/>
    <sheet name="14. Correctie WACC" sheetId="55" r:id="rId18"/>
  </sheets>
  <definedNames>
    <definedName name="_xlnm.Print_Area" localSheetId="12">'9. Berekening parameters'!$A$1:$S$47</definedName>
    <definedName name="ExternalData_1" localSheetId="10" hidden="1">'8. Inkoopkosten netverliezen'!#REF!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47" i="56" l="1"/>
  <c r="Q46" i="56" l="1"/>
  <c r="I33" i="25"/>
  <c r="H49" i="25"/>
  <c r="I48" i="25"/>
  <c r="H48" i="25"/>
  <c r="I47" i="25"/>
  <c r="H47" i="25"/>
  <c r="Q128" i="40"/>
  <c r="Q136" i="40" l="1"/>
  <c r="Q123" i="40"/>
  <c r="H31" i="25" l="1"/>
  <c r="I31" i="25"/>
  <c r="H52" i="25" l="1"/>
  <c r="H51" i="25"/>
  <c r="I51" i="25"/>
  <c r="H32" i="25" l="1"/>
  <c r="N86" i="55"/>
  <c r="N85" i="55"/>
  <c r="O43" i="55"/>
  <c r="O71" i="55" s="1"/>
  <c r="O110" i="40"/>
  <c r="O41" i="55" s="1"/>
  <c r="O67" i="55" s="1"/>
  <c r="O36" i="55"/>
  <c r="O55" i="55" s="1"/>
  <c r="O38" i="55"/>
  <c r="O59" i="55" s="1"/>
  <c r="O35" i="55"/>
  <c r="O54" i="55" s="1"/>
  <c r="O48" i="55"/>
  <c r="O49" i="55"/>
  <c r="N49" i="55"/>
  <c r="O37" i="55"/>
  <c r="O56" i="55" s="1"/>
  <c r="O42" i="55"/>
  <c r="O68" i="55" s="1"/>
  <c r="O31" i="55"/>
  <c r="O32" i="55"/>
  <c r="O27" i="55"/>
  <c r="O28" i="55"/>
  <c r="O23" i="55"/>
  <c r="O24" i="55"/>
  <c r="O19" i="56"/>
  <c r="O16" i="56"/>
  <c r="O30" i="60"/>
  <c r="O53" i="60" s="1"/>
  <c r="P30" i="60"/>
  <c r="P53" i="60" s="1"/>
  <c r="N30" i="60"/>
  <c r="N53" i="60" s="1"/>
  <c r="N27" i="60"/>
  <c r="O27" i="60"/>
  <c r="O62" i="55" l="1"/>
  <c r="O74" i="55"/>
  <c r="P27" i="60"/>
  <c r="Q24" i="60" l="1"/>
  <c r="Q21" i="60"/>
  <c r="O62" i="53"/>
  <c r="P57" i="53"/>
  <c r="N56" i="53"/>
  <c r="N57" i="53"/>
  <c r="N61" i="53"/>
  <c r="N60" i="53"/>
  <c r="N55" i="53"/>
  <c r="N62" i="53"/>
  <c r="O57" i="53"/>
  <c r="O60" i="53"/>
  <c r="P60" i="53"/>
  <c r="O55" i="53"/>
  <c r="P55" i="53"/>
  <c r="P42" i="53"/>
  <c r="Q42" i="53"/>
  <c r="P36" i="53"/>
  <c r="Q36" i="53"/>
  <c r="O30" i="53"/>
  <c r="P30" i="53"/>
  <c r="Q30" i="53"/>
  <c r="O24" i="53"/>
  <c r="P24" i="53"/>
  <c r="Q24" i="53"/>
  <c r="N46" i="53"/>
  <c r="O46" i="53"/>
  <c r="P46" i="53"/>
  <c r="N47" i="53"/>
  <c r="O47" i="53"/>
  <c r="P47" i="53"/>
  <c r="N50" i="53"/>
  <c r="O50" i="53"/>
  <c r="P50" i="53"/>
  <c r="N51" i="53"/>
  <c r="O51" i="53"/>
  <c r="P51" i="53"/>
  <c r="N52" i="53"/>
  <c r="O52" i="53"/>
  <c r="P52" i="53"/>
  <c r="O45" i="53"/>
  <c r="P45" i="53"/>
  <c r="N45" i="53"/>
  <c r="N94" i="53" s="1"/>
  <c r="N40" i="53"/>
  <c r="N34" i="53"/>
  <c r="Q21" i="53"/>
  <c r="Q22" i="53"/>
  <c r="Q23" i="53"/>
  <c r="Q27" i="53"/>
  <c r="Q28" i="53"/>
  <c r="Q29" i="53"/>
  <c r="Q44" i="60" l="1"/>
  <c r="Q54" i="60"/>
  <c r="Q55" i="60" s="1"/>
  <c r="Q47" i="60"/>
  <c r="O130" i="53"/>
  <c r="P94" i="53"/>
  <c r="N130" i="53"/>
  <c r="P130" i="53"/>
  <c r="P85" i="53"/>
  <c r="Q121" i="53"/>
  <c r="P121" i="53"/>
  <c r="O94" i="53"/>
  <c r="Q85" i="53"/>
  <c r="Q35" i="53" l="1"/>
  <c r="Q84" i="53" s="1"/>
  <c r="O36" i="53"/>
  <c r="O85" i="53" s="1"/>
  <c r="Q33" i="53"/>
  <c r="Q39" i="53"/>
  <c r="O42" i="53"/>
  <c r="O121" i="53" s="1"/>
  <c r="P62" i="53"/>
  <c r="O61" i="53"/>
  <c r="O56" i="53" l="1"/>
  <c r="Q118" i="53"/>
  <c r="Q82" i="53"/>
  <c r="Q41" i="53"/>
  <c r="Q120" i="53" s="1"/>
  <c r="P61" i="53"/>
  <c r="O40" i="53"/>
  <c r="O34" i="53"/>
  <c r="Q40" i="53" l="1"/>
  <c r="Q34" i="53"/>
  <c r="P56" i="53"/>
  <c r="Q119" i="53" l="1"/>
  <c r="Q124" i="53" s="1"/>
  <c r="Q131" i="53"/>
  <c r="Q132" i="53" s="1"/>
  <c r="Q83" i="53"/>
  <c r="Q88" i="53" s="1"/>
  <c r="Q95" i="53"/>
  <c r="Q96" i="53" s="1"/>
  <c r="N31" i="41" l="1"/>
  <c r="O31" i="41"/>
  <c r="P31" i="41"/>
  <c r="O30" i="41"/>
  <c r="P30" i="41"/>
  <c r="N30" i="41"/>
  <c r="Q16" i="41" l="1"/>
  <c r="Q16" i="47"/>
  <c r="H40" i="47" s="1"/>
  <c r="Q39" i="47" s="1"/>
  <c r="Q38" i="47" s="1"/>
  <c r="Q37" i="47" s="1"/>
  <c r="Q36" i="47" s="1"/>
  <c r="Q13" i="47"/>
  <c r="H31" i="47" s="1"/>
  <c r="Q30" i="47" s="1"/>
  <c r="Q29" i="47" s="1"/>
  <c r="Q28" i="47" s="1"/>
  <c r="Q27" i="47" s="1"/>
  <c r="Q19" i="47"/>
  <c r="Q20" i="47"/>
  <c r="P21" i="47"/>
  <c r="P22" i="47"/>
  <c r="H20" i="25"/>
  <c r="Q45" i="47" l="1"/>
  <c r="H52" i="47" s="1"/>
  <c r="Q51" i="47" s="1"/>
  <c r="H18" i="53" s="1"/>
  <c r="I18" i="25"/>
  <c r="H18" i="60" l="1"/>
  <c r="Q50" i="47"/>
  <c r="H22" i="56" s="1"/>
  <c r="P19" i="41"/>
  <c r="H20" i="55"/>
  <c r="O19" i="41" l="1"/>
  <c r="H17" i="53"/>
  <c r="Q49" i="47"/>
  <c r="H16" i="53" s="1"/>
  <c r="H17" i="60"/>
  <c r="H17" i="55"/>
  <c r="O24" i="60"/>
  <c r="P24" i="60"/>
  <c r="P44" i="60" s="1"/>
  <c r="P47" i="60" s="1"/>
  <c r="N24" i="60"/>
  <c r="N44" i="60" s="1"/>
  <c r="N47" i="60" s="1"/>
  <c r="O21" i="60"/>
  <c r="O35" i="60" s="1"/>
  <c r="P21" i="60"/>
  <c r="P35" i="60" s="1"/>
  <c r="N21" i="60"/>
  <c r="N35" i="60" s="1"/>
  <c r="N38" i="60" s="1"/>
  <c r="O44" i="60" l="1"/>
  <c r="O47" i="60" s="1"/>
  <c r="Q79" i="55"/>
  <c r="H30" i="25" s="1"/>
  <c r="Q80" i="55"/>
  <c r="I30" i="25" s="1"/>
  <c r="H16" i="60"/>
  <c r="Q50" i="60" s="1"/>
  <c r="H16" i="55"/>
  <c r="Q48" i="47"/>
  <c r="N19" i="41"/>
  <c r="P38" i="60"/>
  <c r="O38" i="60"/>
  <c r="P54" i="60"/>
  <c r="P55" i="60" s="1"/>
  <c r="N54" i="60"/>
  <c r="N55" i="60" s="1"/>
  <c r="O54" i="60"/>
  <c r="O55" i="60" s="1"/>
  <c r="Q41" i="60" l="1"/>
  <c r="H54" i="25" s="1"/>
  <c r="H33" i="25"/>
  <c r="Q57" i="60"/>
  <c r="N39" i="53"/>
  <c r="O39" i="53"/>
  <c r="P39" i="53"/>
  <c r="P40" i="53"/>
  <c r="N41" i="53"/>
  <c r="O41" i="53"/>
  <c r="P41" i="53"/>
  <c r="N33" i="53"/>
  <c r="O33" i="53"/>
  <c r="P33" i="53"/>
  <c r="P34" i="53"/>
  <c r="N35" i="53"/>
  <c r="O35" i="53"/>
  <c r="P35" i="53"/>
  <c r="N28" i="53"/>
  <c r="N104" i="53" s="1"/>
  <c r="N109" i="53" s="1"/>
  <c r="O28" i="53"/>
  <c r="O104" i="53" s="1"/>
  <c r="O109" i="53" s="1"/>
  <c r="P28" i="53"/>
  <c r="P104" i="53" s="1"/>
  <c r="P109" i="53" s="1"/>
  <c r="N29" i="53"/>
  <c r="N105" i="53" s="1"/>
  <c r="N110" i="53" s="1"/>
  <c r="O29" i="53"/>
  <c r="O105" i="53" s="1"/>
  <c r="O110" i="53" s="1"/>
  <c r="P29" i="53"/>
  <c r="P105" i="53" s="1"/>
  <c r="P110" i="53" s="1"/>
  <c r="P22" i="53"/>
  <c r="P23" i="53"/>
  <c r="P69" i="53" s="1"/>
  <c r="P74" i="53" s="1"/>
  <c r="N22" i="53"/>
  <c r="N68" i="53" s="1"/>
  <c r="N73" i="53" s="1"/>
  <c r="N23" i="53"/>
  <c r="N69" i="53" s="1"/>
  <c r="N74" i="53" s="1"/>
  <c r="O22" i="53"/>
  <c r="O68" i="53" s="1"/>
  <c r="O73" i="53" s="1"/>
  <c r="O23" i="53"/>
  <c r="O69" i="53" s="1"/>
  <c r="O74" i="53" s="1"/>
  <c r="N43" i="55"/>
  <c r="N42" i="55"/>
  <c r="N41" i="55"/>
  <c r="N36" i="55"/>
  <c r="N37" i="55"/>
  <c r="N38" i="55"/>
  <c r="N35" i="55"/>
  <c r="N32" i="55"/>
  <c r="N31" i="55"/>
  <c r="N28" i="55"/>
  <c r="N27" i="55"/>
  <c r="N24" i="55"/>
  <c r="N23" i="55"/>
  <c r="P68" i="53" l="1"/>
  <c r="P73" i="53" s="1"/>
  <c r="H57" i="60"/>
  <c r="N68" i="55"/>
  <c r="N48" i="55"/>
  <c r="N59" i="55" s="1"/>
  <c r="N54" i="55"/>
  <c r="N71" i="55" l="1"/>
  <c r="N67" i="55"/>
  <c r="N55" i="55"/>
  <c r="N56" i="55"/>
  <c r="N16" i="47"/>
  <c r="H37" i="47" s="1"/>
  <c r="N36" i="47" s="1"/>
  <c r="O16" i="47"/>
  <c r="H38" i="47" s="1"/>
  <c r="O37" i="47" s="1"/>
  <c r="P16" i="47"/>
  <c r="H39" i="47" s="1"/>
  <c r="P38" i="47" s="1"/>
  <c r="M13" i="47"/>
  <c r="N13" i="47"/>
  <c r="H28" i="47" s="1"/>
  <c r="N27" i="47" s="1"/>
  <c r="O13" i="47"/>
  <c r="H29" i="47" s="1"/>
  <c r="O28" i="47" s="1"/>
  <c r="P13" i="47"/>
  <c r="H30" i="47" s="1"/>
  <c r="P29" i="47" s="1"/>
  <c r="O22" i="47"/>
  <c r="O21" i="47"/>
  <c r="P20" i="47"/>
  <c r="P19" i="47"/>
  <c r="N62" i="55" l="1"/>
  <c r="N74" i="55"/>
  <c r="N90" i="55" s="1"/>
  <c r="Q94" i="55" s="1"/>
  <c r="I50" i="25" s="1"/>
  <c r="N89" i="55"/>
  <c r="Q93" i="55" s="1"/>
  <c r="H50" i="25" s="1"/>
  <c r="P37" i="47"/>
  <c r="P36" i="47" s="1"/>
  <c r="P45" i="47"/>
  <c r="O36" i="47"/>
  <c r="O27" i="47"/>
  <c r="P28" i="47"/>
  <c r="P27" i="47" l="1"/>
  <c r="P16" i="41"/>
  <c r="P27" i="53"/>
  <c r="P21" i="53"/>
  <c r="H51" i="47"/>
  <c r="P50" i="47" s="1"/>
  <c r="P95" i="53" l="1"/>
  <c r="P96" i="53" s="1"/>
  <c r="P67" i="53"/>
  <c r="P72" i="53" s="1"/>
  <c r="P76" i="53" s="1"/>
  <c r="P103" i="53"/>
  <c r="P124" i="53" s="1"/>
  <c r="P131" i="53"/>
  <c r="P132" i="53" s="1"/>
  <c r="P118" i="53"/>
  <c r="P82" i="53"/>
  <c r="L20" i="47"/>
  <c r="L21" i="47"/>
  <c r="L22" i="47"/>
  <c r="L19" i="47"/>
  <c r="P88" i="53" l="1"/>
  <c r="P108" i="53"/>
  <c r="P112" i="53" s="1"/>
  <c r="H18" i="25"/>
  <c r="M27" i="41"/>
  <c r="M26" i="41"/>
  <c r="M25" i="41"/>
  <c r="O16" i="41" l="1"/>
  <c r="O21" i="53" l="1"/>
  <c r="O27" i="53"/>
  <c r="N27" i="53"/>
  <c r="N103" i="53" s="1"/>
  <c r="N21" i="53"/>
  <c r="O19" i="47"/>
  <c r="O20" i="47"/>
  <c r="N21" i="47"/>
  <c r="N22" i="47"/>
  <c r="O95" i="53" l="1"/>
  <c r="O96" i="53" s="1"/>
  <c r="O67" i="53"/>
  <c r="N67" i="53"/>
  <c r="N72" i="53" s="1"/>
  <c r="N76" i="53" s="1"/>
  <c r="N95" i="53"/>
  <c r="N96" i="53" s="1"/>
  <c r="Q98" i="53" s="1"/>
  <c r="N82" i="53"/>
  <c r="N131" i="53"/>
  <c r="N132" i="53" s="1"/>
  <c r="N118" i="53"/>
  <c r="N124" i="53" s="1"/>
  <c r="O103" i="53"/>
  <c r="O131" i="53"/>
  <c r="O132" i="53" s="1"/>
  <c r="O118" i="53"/>
  <c r="O72" i="53"/>
  <c r="O76" i="53" s="1"/>
  <c r="O82" i="53"/>
  <c r="O45" i="47"/>
  <c r="H50" i="47" s="1"/>
  <c r="P49" i="47" s="1"/>
  <c r="Q79" i="53" l="1"/>
  <c r="O124" i="53"/>
  <c r="Q127" i="53" s="1"/>
  <c r="H53" i="25"/>
  <c r="N88" i="53"/>
  <c r="Q134" i="53"/>
  <c r="O108" i="53"/>
  <c r="O112" i="53" s="1"/>
  <c r="N108" i="53"/>
  <c r="N112" i="53" s="1"/>
  <c r="O88" i="53"/>
  <c r="H35" i="25"/>
  <c r="O49" i="47"/>
  <c r="I19" i="25"/>
  <c r="H19" i="25"/>
  <c r="Q91" i="53" l="1"/>
  <c r="H98" i="53" s="1"/>
  <c r="Q115" i="53"/>
  <c r="H134" i="53" s="1"/>
  <c r="I34" i="25"/>
  <c r="H22" i="41"/>
  <c r="I53" i="25" l="1"/>
  <c r="H34" i="25"/>
  <c r="N16" i="41"/>
  <c r="N19" i="47"/>
  <c r="N20" i="47"/>
  <c r="M20" i="47"/>
  <c r="M21" i="47"/>
  <c r="M22" i="47"/>
  <c r="N36" i="41" l="1"/>
  <c r="N43" i="41" s="1"/>
  <c r="N38" i="41"/>
  <c r="O38" i="41" s="1"/>
  <c r="P38" i="41" s="1"/>
  <c r="Q38" i="41" s="1"/>
  <c r="N37" i="41"/>
  <c r="N45" i="47"/>
  <c r="H49" i="47" s="1"/>
  <c r="M19" i="47"/>
  <c r="M45" i="47" s="1"/>
  <c r="H48" i="47" s="1"/>
  <c r="O36" i="41" l="1"/>
  <c r="O37" i="41"/>
  <c r="N44" i="41"/>
  <c r="O48" i="47"/>
  <c r="P48" i="47"/>
  <c r="N48" i="47"/>
  <c r="P37" i="41" l="1"/>
  <c r="O44" i="41"/>
  <c r="P36" i="41"/>
  <c r="O43" i="41"/>
  <c r="Q36" i="41" l="1"/>
  <c r="H17" i="25" s="1"/>
  <c r="H22" i="25" s="1"/>
  <c r="P43" i="41"/>
  <c r="Q47" i="41" s="1"/>
  <c r="H46" i="25" s="1"/>
  <c r="Q37" i="41"/>
  <c r="I17" i="25" s="1"/>
  <c r="I22" i="25" s="1"/>
  <c r="P44" i="41"/>
  <c r="Q48" i="41" s="1"/>
  <c r="I46" i="25" s="1"/>
  <c r="B69" i="10"/>
  <c r="B56" i="10"/>
  <c r="B57" i="10" s="1"/>
  <c r="B58" i="10" s="1"/>
  <c r="B63" i="10" s="1"/>
  <c r="I56" i="25" l="1"/>
  <c r="I27" i="25" s="1"/>
  <c r="I38" i="25" s="1"/>
  <c r="H56" i="25"/>
  <c r="H27" i="25" s="1"/>
  <c r="H38" i="25" s="1"/>
  <c r="B64" i="10"/>
  <c r="M16" i="41" l="1"/>
  <c r="H42" i="25" l="1"/>
  <c r="I42"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B63" authorId="0" shapeId="0" xr:uid="{00000000-0006-0000-0100-000001000000}">
      <text>
        <r>
          <rPr>
            <sz val="8"/>
            <color indexed="81"/>
            <rFont val="Tahoma"/>
            <family val="2"/>
          </rPr>
          <t xml:space="preserve">In alle gevallen wordt een (groep van) roze cel(len) voorzien van een opmerking die uitlegt wat er bijzonder is aan de betreffende gegevens of berekening
</t>
        </r>
      </text>
    </comment>
  </commentList>
</comments>
</file>

<file path=xl/sharedStrings.xml><?xml version="1.0" encoding="utf-8"?>
<sst xmlns="http://schemas.openxmlformats.org/spreadsheetml/2006/main" count="1063" uniqueCount="574">
  <si>
    <t>Over dit bestand</t>
  </si>
  <si>
    <t>Zaaknummer</t>
  </si>
  <si>
    <t>Titel</t>
  </si>
  <si>
    <t>Ondertitel</t>
  </si>
  <si>
    <t>Hoort bij besluit(en):</t>
  </si>
  <si>
    <t>Hoort bij onderzoek/publicatie ACM:</t>
  </si>
  <si>
    <t>Kenmerk besluit(en)</t>
  </si>
  <si>
    <t>Samenhang met andere rekenbestanden</t>
  </si>
  <si>
    <t>Overig opmerkingen</t>
  </si>
  <si>
    <t>Over de status van dit bestand</t>
  </si>
  <si>
    <t>Contactgegevens ACM</t>
  </si>
  <si>
    <t>Toelichting bij de werking van dit model</t>
  </si>
  <si>
    <t>Legenda voor gebruik van celkleuren en tabkleuren</t>
  </si>
  <si>
    <t>Beschrijving</t>
  </si>
  <si>
    <t>Waarde die zonder berekening wordt overgenomen uit een andere cel</t>
  </si>
  <si>
    <t>Berekende waarde</t>
  </si>
  <si>
    <t>Cel is niet van toepassing (dus leeg, niet nul), maar er wordt door een formule wel naar verwezen</t>
  </si>
  <si>
    <t>Bijzonderheden:</t>
  </si>
  <si>
    <t>Ingevoerde waarde of berekening die nog niet juist is (indien van toepassing)</t>
  </si>
  <si>
    <t>Eventueel te gebruiken:</t>
  </si>
  <si>
    <t>Bronnenoverzicht</t>
  </si>
  <si>
    <t>Exacte bestandsnaam</t>
  </si>
  <si>
    <t>Eenheid</t>
  </si>
  <si>
    <t>Constante</t>
  </si>
  <si>
    <t>Data</t>
  </si>
  <si>
    <t>Berekening</t>
  </si>
  <si>
    <t>Resultaat</t>
  </si>
  <si>
    <t>Tabkleur</t>
  </si>
  <si>
    <t>Tabblad met input</t>
  </si>
  <si>
    <t>Tabblad met berekeningen</t>
  </si>
  <si>
    <t>Input --&gt;</t>
  </si>
  <si>
    <t>Celkleur getallen</t>
  </si>
  <si>
    <t>Tabbladen die het model vormen</t>
  </si>
  <si>
    <t>Toelichting</t>
  </si>
  <si>
    <t>Tabbladen ten behoeve van begrip</t>
  </si>
  <si>
    <t>Tabblad met resultaten/output</t>
  </si>
  <si>
    <t>Leeg tabblad dat wordt gebruikt als index/markering voor een serie tabbladen (kleur: licht grijs)</t>
  </si>
  <si>
    <t>Omschrijving</t>
  </si>
  <si>
    <t>Bronverwijzing</t>
  </si>
  <si>
    <t>Opmerking</t>
  </si>
  <si>
    <t>Ophalen gegevens voor berekening</t>
  </si>
  <si>
    <t>Rijtotaal</t>
  </si>
  <si>
    <t>In rekenmodellen probeert ACM zoveel mogelijk eenvoudige navolgbare berekeningen te maken en geen ingewikkelde functies of toepassingen te gebruiken.</t>
  </si>
  <si>
    <t>Wanneer toch gebruik wordt gemaakt van cel- en rangenamen, macro's of andere bijzondere functies in Excel wordt de werking ervan hier toegelicht</t>
  </si>
  <si>
    <t>Duiding van specifieke Excel-toepassingen en overige bijzonderheden</t>
  </si>
  <si>
    <t>Nr.</t>
  </si>
  <si>
    <t xml:space="preserve">Verkorte naam </t>
  </si>
  <si>
    <t>Grijze cijfers geven de uitkomt van een check berekening; dit is geen resultaat waarmee verder wordt gerekend</t>
  </si>
  <si>
    <t>Schematische weergave en/of inhoudsopgave van de werking van dit model</t>
  </si>
  <si>
    <t>%</t>
  </si>
  <si>
    <t>Berekening inkomsten op basis van wettelijke formule</t>
  </si>
  <si>
    <t>Toelichting vaststelling jaarlijks CPI-percentage</t>
  </si>
  <si>
    <t xml:space="preserve">Berekening totale inkomsten </t>
  </si>
  <si>
    <t xml:space="preserve">Stap 3: Totale inkomsten </t>
  </si>
  <si>
    <t>Data ten behoeve van wettelijke formule</t>
  </si>
  <si>
    <t>Consumenten Prijs Index</t>
  </si>
  <si>
    <t>CPI als jaarlijks percentage</t>
  </si>
  <si>
    <t>N.v.t.</t>
  </si>
  <si>
    <t>CBS Statline</t>
  </si>
  <si>
    <t>Postbus 16326</t>
  </si>
  <si>
    <t>2500 BH DEN HAAG</t>
  </si>
  <si>
    <t>Tabblad 1 - Titelblad</t>
  </si>
  <si>
    <t>Tabblad 2 - Toelichting bij dit bestand</t>
  </si>
  <si>
    <t>Tabblad 3 - Bronnenoverzicht en specifieke toepassingen</t>
  </si>
  <si>
    <t xml:space="preserve">Tabblad 6 - Parameters </t>
  </si>
  <si>
    <t>Tabblad 7 - Brondata</t>
  </si>
  <si>
    <t>Inputs</t>
  </si>
  <si>
    <t>Berekeningen</t>
  </si>
  <si>
    <t>Resultaten</t>
  </si>
  <si>
    <t>Stap 1: Totale inkomsten exclusief correcties</t>
  </si>
  <si>
    <t>Stap 2: Correcties</t>
  </si>
  <si>
    <t>Overige opmerkingen</t>
  </si>
  <si>
    <t>De relatieve wijziging van de consumentenprijsindex wordt berekend uit het quotiënt van deze index, gepubliceerd in de vierde maand voorafgaande aan het jaar t, en van deze index, gepubliceerd</t>
  </si>
  <si>
    <t>De gegevens zijn afkomstig uit StatLine, zie voor recente CPI-cijfers: https://opendata.cbs.nl/statline/#/CBS/nl/dataset/70936ned/table?ts=1532343719053.</t>
  </si>
  <si>
    <t>Disclaimer</t>
  </si>
  <si>
    <t>Dit bestand is bedoeld ter verduidelijking van de berekeningen door ACM. Aan dit bestand kunnen geen rechten worden ontleend.</t>
  </si>
  <si>
    <t>Data en input (bron wordt vermeld)</t>
  </si>
  <si>
    <t>Berekende waarde die wordt opgehaald op een ander tabblad, incl. (eind)resultaat van berekening</t>
  </si>
  <si>
    <t>Waarde of berekening die speciale aandacht vraagt (zie toelichting in opmerking)</t>
  </si>
  <si>
    <t>Deze kleur wordt uitsluitend gebruikt bij een informatieverzoek: cellen die door de ontvanger van het dataverzoek moeten worden ingevuld</t>
  </si>
  <si>
    <t>Een kader kan worden gebruikt om aan te geven dat een bepaald veld input bevat, maar deze input automatisch wordt ingeladen, bijvoorbeeld door middel van een macro (dus niet handmatig in te vullen)</t>
  </si>
  <si>
    <t>Gestandaardiseerde tabbladen, omvat tenminste: 'Titelblad', 'Toelichting' en 'Bronnen en toepassingen' (kleur: ACM-lichtpaars)</t>
  </si>
  <si>
    <t>Rentepercentage tariefcorrecties</t>
  </si>
  <si>
    <t>Eerste kwartaal</t>
  </si>
  <si>
    <t>Tweede kwartaal</t>
  </si>
  <si>
    <t>Derde kwartaal</t>
  </si>
  <si>
    <t>Vierde kwartaal</t>
  </si>
  <si>
    <t>Berekening mutatie rentepercentage tariefcorrecties over meerdere jaren</t>
  </si>
  <si>
    <t>Berekening rentepercentage tariefcorrecties op jaarbasis</t>
  </si>
  <si>
    <t>Samengesteld percentage op basis van juli - juli mutatie:</t>
  </si>
  <si>
    <t>Beschrijving berekening</t>
  </si>
  <si>
    <t>Toelichting gegevens rentepercentage tariefcorrecties</t>
  </si>
  <si>
    <t xml:space="preserve">De nacalculaties waarop het rentepercentage tariefcorrecties wordt toegepast kunnen zowel positief als negatief zijn; ACM past het rentepercentage tariefcorrecties symmetrisch toe. </t>
  </si>
  <si>
    <t>CPI</t>
  </si>
  <si>
    <t>Rentepercentage</t>
  </si>
  <si>
    <t>EUR, pp jaar</t>
  </si>
  <si>
    <t>Fase I</t>
  </si>
  <si>
    <t>Fase II</t>
  </si>
  <si>
    <t>Hulpberekeningen</t>
  </si>
  <si>
    <t xml:space="preserve">1 + rentepercentage van … naar … </t>
  </si>
  <si>
    <t>1+%</t>
  </si>
  <si>
    <t>1+rentepercentage</t>
  </si>
  <si>
    <t xml:space="preserve">CPI </t>
  </si>
  <si>
    <t>X-factor periode 2022-2026</t>
  </si>
  <si>
    <t>Begininkomsten</t>
  </si>
  <si>
    <t>Inkomsten op basis van wettelijke formule</t>
  </si>
  <si>
    <t>De ACM gebruikt het rentepercentage tariefcorrecties voor de vergoeding van de tijdwaarde van geld in het geval van het toekennen van correcties in de tarieven die volgen uit nacalculaties over eerdere jaren.</t>
  </si>
  <si>
    <t>X-factor netbeheerder van het net op zee</t>
  </si>
  <si>
    <t>X-factor</t>
  </si>
  <si>
    <t>DNB</t>
  </si>
  <si>
    <t>De ACM heeft besloten om voor alle nacalculaties vanaf 2022 de wettelijke rente als rentepercentage tariefcorrecties te hanteren. Dit percentage wordt halfjaarlijks door De Nederlandsche Bank gepubliceerd.</t>
  </si>
  <si>
    <t>Rentepercentage tariefcorrecties (wettelijke rente)</t>
  </si>
  <si>
    <t>- Fase I</t>
  </si>
  <si>
    <t>- Fase II</t>
  </si>
  <si>
    <t xml:space="preserve">Efficiënte begininkomsten </t>
  </si>
  <si>
    <t>Nee</t>
  </si>
  <si>
    <t>Opmerkingen</t>
  </si>
  <si>
    <t>Definitief? (ja/nee)</t>
  </si>
  <si>
    <t>Indien definitief, wordt bestand openbaar en/of gepubliceerd? (ja/nee)</t>
  </si>
  <si>
    <t>Indien publicatie, datum van dit bestand:</t>
  </si>
  <si>
    <t>Juridisch integraal onderdeel van bovenstaande besluit(en) (ja/nee)?</t>
  </si>
  <si>
    <t>Indien publicatie, bevat bedrijfsvertrouwelijke gegevens? (ja/nee)</t>
  </si>
  <si>
    <t>Mogelijkheden van bezwaar en beroep staan open tegen het besluit waarbij dit bestand hoort (zie kenmerken hierboven)</t>
  </si>
  <si>
    <t>Toelichting samenhang tabbladen:</t>
  </si>
  <si>
    <t>6. Parameters</t>
  </si>
  <si>
    <t>7. Brondata</t>
  </si>
  <si>
    <t>In onderstaand overzicht houdt ACM bij welke bronnen gebruikt zijn voor de data en berekeningen in dit bestand.</t>
  </si>
  <si>
    <t>Ieder inputblad heeft een kolom 'bronverwijzing', waarin gebruikte bronnen met een verkorte naam worden aangeduid. Deze bronnen worden verder toegelicht in deze tabel.</t>
  </si>
  <si>
    <t>Naam bestand</t>
  </si>
  <si>
    <t>Zaaknummer en/of kenmerk ACM</t>
  </si>
  <si>
    <t>Aanvullende gegevens bestand</t>
  </si>
  <si>
    <t>Zoals gebruikt in dit bestand</t>
  </si>
  <si>
    <t>Indien van toepassing</t>
  </si>
  <si>
    <t>Datum/wijze ontvangst, versie nr., URL, etc.</t>
  </si>
  <si>
    <t xml:space="preserve">Beschrijving resultaat </t>
  </si>
  <si>
    <t>Bedragen zijn inclusief het rentepercentage voor correcties.</t>
  </si>
  <si>
    <t xml:space="preserve">Beschrijving gegevens </t>
  </si>
  <si>
    <t>Beschrijving gegevens</t>
  </si>
  <si>
    <t xml:space="preserve">Beschrijving berekening </t>
  </si>
  <si>
    <t xml:space="preserve">Op dit tabblad berekent de ACM de toegestane inkomsten van de netbeheerder van het net op zee op basis van de wettelijke formule. Dit is de formule in artikel 42d, eerste lid, onderdeel a, van de E-wet waarmee ACM de x-factor toepast op de totale inkomsten.
</t>
  </si>
  <si>
    <t>Data ten behoeve van nacalculatie bijgeschatte investeringen afschrijvingstermijn &gt; 10 jaar</t>
  </si>
  <si>
    <t>Verwachte kapitaalkosten bijschatten fase I</t>
  </si>
  <si>
    <t>Verandering operationele kosten door bijgeschatte investeringen in 2021 net op zee fase I</t>
  </si>
  <si>
    <t>Verwachte kapitaalkosten bijschatten fase II</t>
  </si>
  <si>
    <t>Verandering operationele kosten door bijgeschatte investeringen in 2021 net op zee fase II</t>
  </si>
  <si>
    <t>Verandering operationele kosten door gerealiseerde investeringen in 2021 net op zee fase II</t>
  </si>
  <si>
    <t>Verandering operationele kosten door gerealiseerde investeringen in 2021 net op zee fase I</t>
  </si>
  <si>
    <t xml:space="preserve">Verschil operationele kosten bijschatten fase I a.g.v. gerealiseerde investeringen 2021 </t>
  </si>
  <si>
    <t xml:space="preserve">Verschil operationele kosten bijschatten fase II a.g.v. gerealiseerde investeringen 2021 </t>
  </si>
  <si>
    <t>[berekeningstabbladen]</t>
  </si>
  <si>
    <t>Hyperlink</t>
  </si>
  <si>
    <t>Uitspraak CBb d.d. 28-11-2019</t>
  </si>
  <si>
    <t>Niet openbaar</t>
  </si>
  <si>
    <t>X-factorberekening Netbeheerder van het Net op Zee TenneT 2022-2026</t>
  </si>
  <si>
    <t>Data ten behoeve van correcties van de inkoopkosten voor netverliezen</t>
  </si>
  <si>
    <t>Rekenmodule inkomstenbesluit TenneT 2024</t>
  </si>
  <si>
    <t>Verandering operationele kosten door bijgeschatte investeringen in 2022 net op zee fase I</t>
  </si>
  <si>
    <t>Verandering operationele kosten door bijgeschatte investeringen in 2022 net op zee fase II</t>
  </si>
  <si>
    <t>Verandering operationele kosten door gerealiseerde investeringen in 2022 net op zee fase I</t>
  </si>
  <si>
    <t>Verandering operationele kosten door gerealiseerde investeringen in 2022 net op zee fase II</t>
  </si>
  <si>
    <t>Frontier shift</t>
  </si>
  <si>
    <t>Jaarlijkse CPI</t>
  </si>
  <si>
    <t>Berekening CPI-mutatie</t>
  </si>
  <si>
    <t>1+CPI</t>
  </si>
  <si>
    <t>Berekening frontier shift</t>
  </si>
  <si>
    <t>1 - frontier shift van … naar …</t>
  </si>
  <si>
    <t>1 + CPI van … naar …</t>
  </si>
  <si>
    <t>1 - FS</t>
  </si>
  <si>
    <t>1-%</t>
  </si>
  <si>
    <t>Schatting inkoopkosten netverliezen Borssele netverbindingen</t>
  </si>
  <si>
    <t>1+CPI van 2021 naar ….</t>
  </si>
  <si>
    <t>1-FS van 2021 naar …</t>
  </si>
  <si>
    <t xml:space="preserve">Berekening prognose inkoopkosten voor netverliezen </t>
  </si>
  <si>
    <t>Prognose inkoopkosten voor netverliezen</t>
  </si>
  <si>
    <t>Verschil tussen realisatie en prognose</t>
  </si>
  <si>
    <t>Verwachte kapitaalkosten bijschatten fase II o.b.v. gerealiseerde inv. 2021-2022 en bijgeschatte inv. 2023-2026</t>
  </si>
  <si>
    <t>Verwachte kapitaalkosten bijschatten fase I o.b.v. gerealiseerde inv. 2021-2022 en bijgeschatte inv. 2023-2026</t>
  </si>
  <si>
    <t>WACC</t>
  </si>
  <si>
    <t>Reëel-plus WACC uit het methodebesluit</t>
  </si>
  <si>
    <t>Reeël-plus WACC nieuw vermogen uit MB (voor belasting)</t>
  </si>
  <si>
    <t>Reeël-plus WACC bestaand vermogen uit MB (voor belasting)</t>
  </si>
  <si>
    <t>Percentages nieuw en bestaand vermogen</t>
  </si>
  <si>
    <t>Percentage bijschatten nieuw vermogen</t>
  </si>
  <si>
    <t>Percentage bijschatten bestaand vermogen</t>
  </si>
  <si>
    <t>GAW WUI's excl. ARO geactiveerd t/m 2020 net op zee fase I</t>
  </si>
  <si>
    <t>GAW WUI's ARO geactiveerd t/m 2020 net op zee fase I</t>
  </si>
  <si>
    <t>GAW niet-WUI's geactiveerd t/m 2020 net op zee fase I</t>
  </si>
  <si>
    <t>GAW niet-WUI's bijschatten vanaf 2021 net op zee fase I</t>
  </si>
  <si>
    <t>GAW WUI's geactiveerd t/m 2020 net op zee fase II</t>
  </si>
  <si>
    <t>GAW niet-WUI's geactiveerd t/m 2020 net op zee fase II</t>
  </si>
  <si>
    <t>GAW niet-WUI's bijschatten vanaf 2021 net op zee fase II</t>
  </si>
  <si>
    <t>Berekening parameters</t>
  </si>
  <si>
    <t>%-punt</t>
  </si>
  <si>
    <t>Berekening verandering vermogenskosten net op zee fase I door nagecalculeerde rente</t>
  </si>
  <si>
    <t>Verandering vermogenskosten doorrollen door nacalculatie rente</t>
  </si>
  <si>
    <t>Verandering vermogenskosten bijschatten door nacalculatie rente</t>
  </si>
  <si>
    <t xml:space="preserve">Totale verandering vermogenskosten door nacalculatie rente </t>
  </si>
  <si>
    <t>Totale verandering vermogenskosten net op zee fase I door nacalculatie rente</t>
  </si>
  <si>
    <t>Berekening verandering vermogenskosten net op zee fase II door nagecalculeerde rente</t>
  </si>
  <si>
    <t>Vermogenskosten bijschatten fase II</t>
  </si>
  <si>
    <t>Totale verandering vermogenskosten net op zee fase II door nacalculatie rente</t>
  </si>
  <si>
    <t xml:space="preserve">Frontier shift </t>
  </si>
  <si>
    <t xml:space="preserve">Op dit tabblad berekent de ACM de CPI-mutaties, de frontier shift en het rentepercentage tariefcorrecties. Bij de toepassing van samengestelde percentages wordt niet tussentijds afgerond. </t>
  </si>
  <si>
    <t>Jaar</t>
  </si>
  <si>
    <t>Segment</t>
  </si>
  <si>
    <t>Categorie</t>
  </si>
  <si>
    <t>Netverliezen Borssele Alpha</t>
  </si>
  <si>
    <t>Netverliezen Borssele Beta</t>
  </si>
  <si>
    <t>Tabblad 8 - Inkoopkosten netverliezen</t>
  </si>
  <si>
    <t>Op dit blad worden de gerealiseerde inkoopkosten netverliezen uit de database opgehaald.
Deze inputgegevens worden gebruikt bij de correctie netverliezen.</t>
  </si>
  <si>
    <t>Bron</t>
  </si>
  <si>
    <t>Datum inladen</t>
  </si>
  <si>
    <t>Bewerkingen</t>
  </si>
  <si>
    <t>Verschil operationele kosten bijschatten fase I a.g.v. gerealiseerde investeringen 2022</t>
  </si>
  <si>
    <t>Verschil operationele kosten bijschatten fase II a.g.v. gerealiseerde investeringen 2022</t>
  </si>
  <si>
    <t>Tabblad 9 - Berekening op basis van parameters</t>
  </si>
  <si>
    <t>Toelichting bij bijzonderheden</t>
  </si>
  <si>
    <t>Schatting inkoopkosten netverliezen Borssele Alpha</t>
  </si>
  <si>
    <t>Schatting inkoopkosten netverliezen Borssele Beta</t>
  </si>
  <si>
    <t>Totaal verschil kapitaalkosten bijschatten fase I a.g.v. gerealiseerde investeringen 2021-2022</t>
  </si>
  <si>
    <t>Totaal verschil kapitaalkosten bijschatten fase II a.g.v. gerealiseerde investeringen 2021-2022</t>
  </si>
  <si>
    <t>Rekenmodule inkomstenbesluit TenneT 2023</t>
  </si>
  <si>
    <t>Gerealiseerde inkoopkosten netverliezen Borssele netverbindingen</t>
  </si>
  <si>
    <t>8. Inkoopkosten netverliezen</t>
  </si>
  <si>
    <t xml:space="preserve">Verandering reëel-plus WACC door nacalculatie rente </t>
  </si>
  <si>
    <t>Verandering reeël-plus WACC nieuw vermogen</t>
  </si>
  <si>
    <t>Verandering reeël-plus WACC bestaand vermogen</t>
  </si>
  <si>
    <t>Verandering vermogenskosten doorrollen WUI's excl. ARO fase I</t>
  </si>
  <si>
    <t>Verandering vermogenskosten doorrollen WUI's ARO fase I</t>
  </si>
  <si>
    <t>Verandering vermogenskosten doorrollen niet-WUI's fase I</t>
  </si>
  <si>
    <t>Verandering vermogenskosten bijschatten fase I</t>
  </si>
  <si>
    <t>Verandering vermogenskosten doorrollen WUI's fase II</t>
  </si>
  <si>
    <t>Verandering vermogenskosten doorrollen niet-WUI's fase II</t>
  </si>
  <si>
    <t>Waarde die uit de ACM-database wordt ingelezen in de cel.</t>
  </si>
  <si>
    <t>Database</t>
  </si>
  <si>
    <t>Tabblad met input uit een database</t>
  </si>
  <si>
    <t>Reguleringsdata TenneT 2022</t>
  </si>
  <si>
    <t>Methodebesluit</t>
  </si>
  <si>
    <t>Waarde</t>
  </si>
  <si>
    <t>Net op zee</t>
  </si>
  <si>
    <t>Bedragen in de berekening in de blauw gekleurde cellen zijn inclusief het rentepercentage voor tariefcorrecties.</t>
  </si>
  <si>
    <t>Verwachte kosten fase I o.b.v. geschatte afloopinvesteringen WUI's</t>
  </si>
  <si>
    <t>Data ten behoeve van nacalculatie afloopinvesteringen WUI's</t>
  </si>
  <si>
    <t>Tabblad 13 - Correctie netverliezen</t>
  </si>
  <si>
    <t>Tabblad 14 - Correctie WACC</t>
  </si>
  <si>
    <t>Berekening verschil kosten fase I a.g.v. gerealiseerde afloopinvesteringen WUI's</t>
  </si>
  <si>
    <t>Verwachte efficiënte kapitaalkosten doorollen WUI's excl. ARO fase I</t>
  </si>
  <si>
    <t>13. Correctie netverliezen</t>
  </si>
  <si>
    <t>14. Correctie WACC</t>
  </si>
  <si>
    <t>Verwachte efficiënte kapitaalkosten doorollen WUI's excl. ARO fase I o.b.v. gerealiseerde afloopinv. WUI's in RD 2022</t>
  </si>
  <si>
    <t>Uitkomst projectspecifieke doelmatigheidstoets</t>
  </si>
  <si>
    <t>Uitkomst projectspecifieke doelmatigheidstoets Borssele</t>
  </si>
  <si>
    <t>Correctie inkoopkosten netverliezen</t>
  </si>
  <si>
    <r>
      <t>De gegevens die de ACM ophaalt uit de database staan in deze rekenmodule als tabel met tabelnaam. Dit is de tabel "</t>
    </r>
    <r>
      <rPr>
        <i/>
        <sz val="10"/>
        <rFont val="Arial"/>
        <family val="2"/>
      </rPr>
      <t>Realisatie_netverliezen</t>
    </r>
    <r>
      <rPr>
        <sz val="10"/>
        <rFont val="Arial"/>
        <family val="2"/>
      </rPr>
      <t>". De ACM haalt op de relevante berekeningstabbladen gegevens uit deze tabel op door gebruik te maken van de SOM-functie. In de SOM-functie neemt de ACM voorwaarden op, om specifieke gegevens uit de tabel met input uit de database te selecteren.</t>
    </r>
  </si>
  <si>
    <t>Correctie vermogenskosten</t>
  </si>
  <si>
    <t>Totale inkomsten op basis van de wettelijke formule</t>
  </si>
  <si>
    <t>Tabblad 12 - Correctie afloopinvesteringen WUI's</t>
  </si>
  <si>
    <t>Tabblad 11 - Correctie bijgeschatte investeringen afschrijvingstermijn langer dan tien jaar</t>
  </si>
  <si>
    <t>Tabblad 10 - Inkomsten op basis van de wettelijke formule</t>
  </si>
  <si>
    <t>11. Correctie bijschatten</t>
  </si>
  <si>
    <t>12. Correctie afloopinv. WUI</t>
  </si>
  <si>
    <t>Correctie investeringen afschrijvingstermijn langer dan tien jaar fase I</t>
  </si>
  <si>
    <t>Correctie investeringen afschrijvingstermijn langer dan tien jaar fase II</t>
  </si>
  <si>
    <t>Ja</t>
  </si>
  <si>
    <t>Op dit tabblad berekent de ACM de correctie op de inkoopkosten voor de netverliezen voor het net op zee. Het gaat hierbij om een volledige nacalculatie van het verschil tussen schatting en realisatie van de inkoopkosten voor de netverliezen van de Borssele netverbindingen.</t>
  </si>
  <si>
    <t>Verschil inkoopkosten voor netverliezen</t>
  </si>
  <si>
    <t>Berekening correctie fase I</t>
  </si>
  <si>
    <r>
      <t xml:space="preserve">Correctie efficiënte kosten gerealiseerde afloopinvesteringen WUI's fase </t>
    </r>
    <r>
      <rPr>
        <strike/>
        <sz val="10"/>
        <rFont val="Arial"/>
        <family val="2"/>
      </rPr>
      <t>I</t>
    </r>
  </si>
  <si>
    <t>Berekening correctie fase II</t>
  </si>
  <si>
    <t>in de zestiende maand voorafgaande aan het jaar t, zoals deze maandelijks wordt vastgesteld door het CBS. Dit komt neer op de jaarmutatie van de CPI in augustus voorafgaande aan jaar t.</t>
  </si>
  <si>
    <t>Nacalculatiemodel WACC GTS, TenneT en RNB's elektriciteit en gas</t>
  </si>
  <si>
    <t>EUR, pp 2025</t>
  </si>
  <si>
    <t>Tabblad 4 - Totale inkomsten netbeheerder van het net op zee 2025</t>
  </si>
  <si>
    <t>Totale inkomsten exclusief correcties 2025</t>
  </si>
  <si>
    <t>Correctie vermogenskosten door de herrekende WACC 2023</t>
  </si>
  <si>
    <t>Correctie inkoopkosten netverliezen 2023</t>
  </si>
  <si>
    <t xml:space="preserve">Dit tabblad is een overzicht van de totale inkomsten 2025 van de netbeheerder van het net op zee, TenneT TSO B.V. De ACM bepaalt de totale inkomsten inclusief correcties in drie stappen:
1: de ACM berekent de totale inkomsten exclusief correcties;
2: de ACM bepaalt de correcties;
3: de ACM berekent de totale inkomsten inclusief correcties.
Hierbij wordt onderscheid gemaakt tussen de berekening van de totale inkomsten voor fase I en fase II van het net op zee. </t>
  </si>
  <si>
    <t>Totaal correcties 2025</t>
  </si>
  <si>
    <t>Totale inkomsten 2025</t>
  </si>
  <si>
    <t>Gewijzigd methodebesluit Netbeheerder van het Net op Zee 2022-2026</t>
  </si>
  <si>
    <t>Correctie gewijzigde methodebesluiten</t>
  </si>
  <si>
    <t>Inkomsten op basis van de wettelijke formule inkomstenbesluiten 2022-2024</t>
  </si>
  <si>
    <t>1+rentepercentage van … naar 2025</t>
  </si>
  <si>
    <t>Tariefcorrecties inkomsten op basis van de wettelijke formule a.g.v. gewijzigd methodebesluit in 2025</t>
  </si>
  <si>
    <t>Verandering operationele kosten door bijgeschatte investeringen in 2023 net op zee fase I</t>
  </si>
  <si>
    <t>Verandering operationele kosten door bijgeschatte investeringen in 2023 net op zee fase II</t>
  </si>
  <si>
    <t>Totaal verschil kapitaalkosten fase I a.g.v. gerealiseerde investeringen 2021-2022</t>
  </si>
  <si>
    <t>Verschil operationele kosten fase I a.g.v. gerealiseerde investeringen 2021</t>
  </si>
  <si>
    <t>Verschil operationele kosten fase I a.g.v. gerealiseerde investeringen 2022</t>
  </si>
  <si>
    <t>Totaal verschil kapitaalkosten fase II a.g.v. gerealiseerde investeringen 2021-2022</t>
  </si>
  <si>
    <t>Verschil operationele kosten fase II a.g.v. gerealiseerde investeringen 2021</t>
  </si>
  <si>
    <t>Verschil operationele kosten fase II a.g.v. gerealiseerde investeringen 2022</t>
  </si>
  <si>
    <t>Rekenmodule inkomstenbesluit 2024, tab 11, rij 46</t>
  </si>
  <si>
    <t>Rekenmodule Inkomstenbesluit 2023, tab 11, rij 35, Rekenmodule inkomstenbesluit 2024, tab 11, cel P47</t>
  </si>
  <si>
    <t>Rekenmodule inkomstenbesluit 2024, tab 11, rij 48</t>
  </si>
  <si>
    <t>Rekenmodule inkomstenbesluit 2024, tab 11, rij 59</t>
  </si>
  <si>
    <t>Rekenmodule inkomstenbesluit 2024, tab 11, rij 61</t>
  </si>
  <si>
    <t>Rekenmodule Inkomstenbesluit 2023, tab 11, rij 44, Rekenmodule inkomstenbesluit 2024, tab 11, cel P60</t>
  </si>
  <si>
    <t>Verwachte efficiënte kapitaalkosten doorollen WUI's excl. ARO fase I o.b.v. gerealiseerde afloopinv. WUI's in RD 2022 en 2023</t>
  </si>
  <si>
    <t>Verwachte kosten fase I o.b.v gerealiseerde afloopinvesteringen WUI's 2022 en 2023</t>
  </si>
  <si>
    <t xml:space="preserve">Verwachte kosten fase I o.b.v gerealiseerde afloopinvesteringen WUI's 2022 </t>
  </si>
  <si>
    <t>1 + rentepercentage van 2024 naar 2025</t>
  </si>
  <si>
    <t>1 + rentepercentage van 2022 naar 2025</t>
  </si>
  <si>
    <t>1 + rentepercentage van 2023 naar 2025</t>
  </si>
  <si>
    <t>Berekening verschil kosten fase I bijschatten a.g.v. gerealiseerde investeringen 2021-2022 a.g.v. gewijzigd methodebesluit</t>
  </si>
  <si>
    <t>Verschil operationele kosten bijschatten fase I a.g.v. gerealiseerde investeringen 2021</t>
  </si>
  <si>
    <t>Nog te vergoeden kapitaalkosten bijschatten fase I a.g.v. gerealiseerde investeringen 2021-2022</t>
  </si>
  <si>
    <t>Nog te vergoeden operationele kosten bijschatten fase I a.g.v. gerealiseerde investeringen 2021</t>
  </si>
  <si>
    <t>Nog te vergoeden operationele kosten bijschatten fase I a.g.v. gerealiseerde investeringen 2022</t>
  </si>
  <si>
    <t>Totaal verschil kapitaalkosten bijschatten fase I a.g.v. gerealiseerde investeringen 2021-2023</t>
  </si>
  <si>
    <t>Verschil operationele kosten bijschatten fase I a.g.v. gerealiseerde investeringen 2023</t>
  </si>
  <si>
    <t>Nog te vergoeden verschil kosten fase I bijschatten a.g.v. gerealiseerde investeringen 2021-2023</t>
  </si>
  <si>
    <t>Controle</t>
  </si>
  <si>
    <t>Totaal al verrekende kosten bijschatten fase I a.g.v. gerealiseerde investeringen 2021-2022</t>
  </si>
  <si>
    <t>Totaal te vergoeden kosten bijschatten fase I a.g.v. gerealiseerde investeringen 2021-2023</t>
  </si>
  <si>
    <t>Totaal nog te vergoeden kosten bijschatten fase I a.g.v. gerealiseerde investeringen 2021-2023</t>
  </si>
  <si>
    <t>Berekening integrale tariefcorrectie bijschatten fase I a.g.v. gerealiseerde investeringen 2021-2023 en controle</t>
  </si>
  <si>
    <t>Berekening verschil kosten fase II bijschatten a.g.v. gerealiseerde investeringen 2021-2022 a.g.v. gewijzigd methodebesluit</t>
  </si>
  <si>
    <t>Verschil operationele kosten bijschatten fase II a.g.v. gerealiseerde investeringen 2021</t>
  </si>
  <si>
    <t>Nog te vergoeden kapitaalkosten bijschatten fase II a.g.v. gerealiseerde investeringen 2021-2022</t>
  </si>
  <si>
    <t>Nog te vergoeden operationele kosten bijschatten fase II a.g.v. gerealiseerde investeringen 2021</t>
  </si>
  <si>
    <t>Nog te vergoeden operationele kosten bijschatten fase II a.g.v. gerealiseerde investeringen 2022</t>
  </si>
  <si>
    <t>Totaal verschil kapitaalkosten bijschatten fase II a.g.v. gerealiseerde investeringen 2021-2023</t>
  </si>
  <si>
    <t>Verschil operationele kosten bijschatten fase II a.g.v. gerealiseerde investeringen 2023</t>
  </si>
  <si>
    <t>Nog te vergoeden verschil kosten fase II bijschatten a.g.v. gerealiseerde investeringen 2021-2023</t>
  </si>
  <si>
    <t>Totaal al verrekende kosten bijschatten fase II a.g.v. gerealiseerde investeringen 2021-2022</t>
  </si>
  <si>
    <t>Totaal te vergoeden kosten bijschatten fase II a.g.v. gerealiseerde investeringen 2021-2023</t>
  </si>
  <si>
    <t>Totaal nog te vergoeden kosten bijschatten fase II a.g.v. gerealiseerde investeringen 2021-2023</t>
  </si>
  <si>
    <t>Berekening integrale tariefcorrectie bijschatten fase II a.g.v. gerealiseerde investeringen 2021-2023 en controle</t>
  </si>
  <si>
    <t>Verschil efficiënte kapitaalkosten doorrollen a.g.v. geraliseerde afloopinv. WUI's in RD 2022 en 2023</t>
  </si>
  <si>
    <t>Berekening verschil kosten fase I a.g.v. gerealiseerde afloopinvesteringen WUI's a.g.v. gewijzigd methodebesluit</t>
  </si>
  <si>
    <t>Totaal verschil kapitaalkosten fase I a.g.v. gerealiseerde afloopinvesteringen WUI"s in RD 2022</t>
  </si>
  <si>
    <t>Correctie kapitaalkosten a.g.v. gerealiseerde afloopinvesteringen WUI"s a.g.v. gewijzigd methodebesluit in 2025</t>
  </si>
  <si>
    <t>1+rentepercentage van 2023 naar 2025</t>
  </si>
  <si>
    <t>Al verrekende verandering efficiënte vermogenskosten fase I a.g.v. herrekende WACC 2022 in 2024</t>
  </si>
  <si>
    <t>Al verrekende verandering efficiënte vermogenskosten a.g.v. herrekende WACC 2022 in 2024</t>
  </si>
  <si>
    <t>Rekenmodule Inkomstenbesluit 2024, tab 14, cel N73</t>
  </si>
  <si>
    <t>Rekenmodule Inkomstenbesluit 2024, tab 14, cel N61</t>
  </si>
  <si>
    <t>Al verrekende verandering efficiënte vermogenskosten fase II a.g.v. herrekende WACC 2022 in 2024</t>
  </si>
  <si>
    <t>Nog te vergoeden verandering efficiënte vermogenskosten fase I a.g.v. herrekende WACC 2022</t>
  </si>
  <si>
    <t>Nog te vergoeden verandering efficiënte vermogenskosten fase II a.g.v. herrekende WACC 2022</t>
  </si>
  <si>
    <t xml:space="preserve">Correctie efficiënte vermogenskosten fase I a.g.v. herrekende WACC 2022 in 2025 a.g.v. gewijzigd methodebesluit </t>
  </si>
  <si>
    <t xml:space="preserve">Correctie efficiënte vermogenskosten fase II a.g.v. herrekende WACC 2022 in 2025 a.g.v. gewijzigd methodebesluit </t>
  </si>
  <si>
    <t>Correcties op grond van de algemene bevoegdheid</t>
  </si>
  <si>
    <t>Tariefcorrectie efficiënte kosten gerealiseerde investeringen met afschr. &gt; 10 jaar n.a.v. het gewijzigde methodebesluit</t>
  </si>
  <si>
    <t>Rekenmodule inkomstenbesluit TenneT 2025</t>
  </si>
  <si>
    <t>Rekenmodule netbeheerder van het net op zee 2025</t>
  </si>
  <si>
    <t>Inkomstenbesluit TenneT 2025</t>
  </si>
  <si>
    <t>ACM/24/188680</t>
  </si>
  <si>
    <t>Rekenmodule Inkomstenbesluit 2024, tab 12, rij 28</t>
  </si>
  <si>
    <t>Rekenmodule Inkomstenbesluit 2024, tab 10, rij 26</t>
  </si>
  <si>
    <t>Rekenmodule Inkomstenbesluit 2024, tab 10, rij 27</t>
  </si>
  <si>
    <t>Reguleringsdata TenneT 2023</t>
  </si>
  <si>
    <t>Op dit tabblad verzamelt de ACM de parameters die nodig zijn voor de berekening van de totale inkomsten verderop in deze module. Deze parameters betreffen achtereenvolgens: CPI, rentepercentage tariefcorrecties, x-factor en de frontier shift, de WACC, de percentages nieuw- en bestaand vermogen en de uitkomst projectispecifieke doelmatigheidstoets Borssele.</t>
  </si>
  <si>
    <t>Op dit tabblad staan per jaar de gegevens die de ACM gebruikt voor de berekening van de toegestane inkomsten van de netbeheerder van het net op zee in 2025. Bij elk gegeven is een bron aangegeven.</t>
  </si>
  <si>
    <t>Nog te vergoeden inkomsten op basis van de wettelijke formule</t>
  </si>
  <si>
    <t>Nog te vergoeden verandering efficiënte vermogenskosten a.g.v. herrekende WACC 2022 in 2024</t>
  </si>
  <si>
    <t>Correctie efficiënte vermogenskosten a.g.v. herrekende WACC 2022 in 2025 a.g.v. gewijzigd methodebesluit</t>
  </si>
  <si>
    <t>Herrekende reeël-plus WACC nieuw vermogen (voor belasting)</t>
  </si>
  <si>
    <t>Herrekende reëel-plus WACC bestaand vermogen (voor belasting)</t>
  </si>
  <si>
    <t>Herrekende reëel-plus WACC</t>
  </si>
  <si>
    <t>Herrekende reeël-plus WACC bestaand vermogen (voor belasting)</t>
  </si>
  <si>
    <t>Correctie vermogenskosten projectprocedure investeringen in aanbouw 2023</t>
  </si>
  <si>
    <t>Geschatte vermogenskosten voor projectprocedure investeringen in aanbouw</t>
  </si>
  <si>
    <t>Geschatte kosten voor projectprocedure investeringen in gebruik</t>
  </si>
  <si>
    <t xml:space="preserve">Toevoeging vermogenskosten projectprocedure investeringen in aanbouw </t>
  </si>
  <si>
    <t>Toevoeging totale kosten projectprocedure investeringen in gebruik</t>
  </si>
  <si>
    <t xml:space="preserve">Op dit tabblad vult TenneT voor de projectprocedure investeringen de geschatte vermogenskosten (voor investeringen in aanbouw) en de geschatte totale kosten (voor investeringen in gebruik) in 2025 in. De omvang van deze kosten wordt berekend in aparte rekenmodules. </t>
  </si>
  <si>
    <t>Tabblad 5 - Toevoeging geschatte kosten projectprocedure investeringen</t>
  </si>
  <si>
    <t>Correctie toevoeging totale kosten projectprocedure investeringen in gebruik door herrekende WACC</t>
  </si>
  <si>
    <t xml:space="preserve">Correctie toevoeging totale kosten projectprocedure investeringen in gebruik door herrekende WACC fase I 2023 in 2025 </t>
  </si>
  <si>
    <t>Data ten behoeve van correcties en toevoegingen projectprocedure investeringen</t>
  </si>
  <si>
    <t>Correctie vermogenskosten projectprocedure investeringen in aanbouw voor het net op zee fase I 2023 in 2025</t>
  </si>
  <si>
    <t>Rekenmodule projectprocedure investeringen NOZ fase I, tab 4, cel H21</t>
  </si>
  <si>
    <t>Correctie vermogenskosten projectprocedure investeringen in aanbouw voor het net op zee fase II 2023 in 2025</t>
  </si>
  <si>
    <t>Rekenmodule projectprocedure investeringen NOZ fase II, tab 4, cel H20</t>
  </si>
  <si>
    <t>Rekenmodule projectprocedure investeringen NOZ fase I, tab 4, cel H17</t>
  </si>
  <si>
    <t>Rekenmodule projectprocedure investeringen NOZ fase I, tab 4, cel H29</t>
  </si>
  <si>
    <t>Rekenmodule projectprocedure investeringen NOZ fase I</t>
  </si>
  <si>
    <t>Rekenmodule projectprocedure investeringen NOZ fase II</t>
  </si>
  <si>
    <t>Correctie toevoeging totale kosten projectprocedure investeringen in gebruik door de herrekende WACC 2023</t>
  </si>
  <si>
    <t xml:space="preserve">Toevoegingen projectprocedure investeringen </t>
  </si>
  <si>
    <t>Deze rekenmodule wordt gebruikt bij het vaststellen van het Inkomstenbesluit TenneT 2025.</t>
  </si>
  <si>
    <t>Deze rekenmodule bevat alle gegevens die nodig zijn om de inkomsten voor het net op zee te berekenen voor het jaar 2025.</t>
  </si>
  <si>
    <t>ACM/UIT/622876</t>
  </si>
  <si>
    <t>De ACM heeft met een filter de benodigde gegevens voor de gerealiseerde inkoopkosten netverliezen in de reguleringsdata 2022 en 2023 geselecteerd.</t>
  </si>
  <si>
    <t>Reguleringsdata TenneT 2022, Reguleringsdata TenneT 2023</t>
  </si>
  <si>
    <t>4. Totale inkomsten 2025</t>
  </si>
  <si>
    <t xml:space="preserve">De roze cellen betreffen voorlopige cijfers voor de wettelijke rente, gezien de definitieve waarden pas begin 2025 bekend worden. De ACM stelt deze voorlopige cijfers vast aan de hand van de berekeningsmethode van de wettelijke rente zoals gehanteerd bij de meest recente wijziging van de wettelijke rente. </t>
  </si>
  <si>
    <t>Gewijzigde X-factorberekening Net op Zee, tab 1, cel F16</t>
  </si>
  <si>
    <t>Gewzijgd methodebesluit Net op Zee 2022-2026, paragraaf 8.4.3, randnummer 289</t>
  </si>
  <si>
    <t>Gewijzigd methodebesluit 2022-2026 Net op Zee, paragraaf 8.4.1, randnummer 265</t>
  </si>
  <si>
    <t>Nacalculatiemodel WACC 2023, tab 1, rij 85</t>
  </si>
  <si>
    <t>Nacalculatiemodel WACC 2023, tab 1, rij 96</t>
  </si>
  <si>
    <t>Percentages nieuw en bestaand vermogen uit update gewijzigde X-factorberekening Net op Zee</t>
  </si>
  <si>
    <t>Gewijzigd methodebesluit Net op Zee 2022-2026, paragraaf 8.3.1, randnummer 169</t>
  </si>
  <si>
    <t xml:space="preserve">Op dit tabblad berekent de ACM het verschil tussen de geschatte efficiënte kosten (kapitaalkosten en operationele kosten) in het gewijzigde X-factormodel Netbeheerder van het Net op Zee TenneT 2022-2026 en de herberekende geschatte efficiënte kosten (kapitaalkosten en operationele kosten) in de update van het gewijzigde X-factormodel Netbeheerder van het Net op Zee TenneT 2022-2026 a.g.v. gerealiseerde investeringen met afschrijvingstermijn langer dan 10 jaar. In de de update van het X-factormodel is de input overgenomen uit een update van het gewijzigde GAW-model waarbij bijgeschatte investeringen met een afschrijvingstermijn langer dan 10 jaar in 2021 t/m 2023 vervangen zijn door de gerealiseerde investeringen met een afschrijvingstermijn langer dan 10 jaar in 2021 t/m 2023. </t>
  </si>
  <si>
    <t xml:space="preserve">Verwachte kosten net op zee fase I o.b.v. bijgeschatte investeringen </t>
  </si>
  <si>
    <t xml:space="preserve">Verwachte kosten net op zee fase II o.b.v. bijgeschatte investeringen </t>
  </si>
  <si>
    <t>Verwachte kosten net op zee fase I o.b.v. gerealiseerde investeringen met afschrijvingstermijn &gt; 10 jaar</t>
  </si>
  <si>
    <t>Verwachte kosten net op zee fase II o.b.v. gerealiseerde investeringen met afschrijvingstermijn &gt; 10 jaar</t>
  </si>
  <si>
    <t>Al verrekende verschillen kosten net op zee fase I a.g.v. gerealiseerde investeringen 2021-2022</t>
  </si>
  <si>
    <t>Al verrekende verschillen kosten net op zee fase II a.g.v. gerealiseerde investeringen 2021-2022</t>
  </si>
  <si>
    <t>Data ten behoeve van de correcties a.g.v. de herrekende WACC</t>
  </si>
  <si>
    <t>Gestandaardiseerde activa waarde (GAW) fase I uit update gewijzigd GAW-model TenneT</t>
  </si>
  <si>
    <t>Gestandaardiseerde activa waarde (GAW) fase II uit update gewijzigd GAW-model TenneT</t>
  </si>
  <si>
    <t>Data ten behoeve van correctie toegestane inkomsten a.g.v. het gewijzigd methodebesluit</t>
  </si>
  <si>
    <t>Gewijzigde X-factorberekening Net op Zee, tab 1, cel F13</t>
  </si>
  <si>
    <t>Gewijzigde X-factorberekening Net op Zee, tab 1, cel F14</t>
  </si>
  <si>
    <t>Gewijzigde X-factorberekening Net op Zee, tab 1, cel F12</t>
  </si>
  <si>
    <t>Rekenmodule projectprocedure investeringen NOZ fase II, tab 4, cel H25</t>
  </si>
  <si>
    <t>Rekenmodule projectprocedure investeringen NOZ fase II, tab 4, cel H26</t>
  </si>
  <si>
    <t>Correctie kapitaalkosten ARO Borssele a.g.v. gewijzigd methodebesluit in 2025</t>
  </si>
  <si>
    <t>Rekenmodule projectprocedure investeringen NOZ fase I, tab 4, cel H31</t>
  </si>
  <si>
    <t>Rekenmodule projectprocedure investeringen NOZ fase I, tab 4, cel H34</t>
  </si>
  <si>
    <t>Rekenmodule projectprocedure investeringen NOZ fase I, tab 4, cel H35</t>
  </si>
  <si>
    <t>Rekenmodule projectprocedure investeringen NOZ fase I, tab 4, cel H36</t>
  </si>
  <si>
    <t>Rekenmodule projectprocedure investeringen NOZ fase I, tab 4, cel H39</t>
  </si>
  <si>
    <t>Gewijzigde X-factorberekening Net op Zee, tab 4, cel F36</t>
  </si>
  <si>
    <t>Gewijzigde X-factorberekening Net op Zee, tab 4, cel F37</t>
  </si>
  <si>
    <t>Rekenmodule projectprocedure investeringen NOZ fase I TenneT 2025</t>
  </si>
  <si>
    <t>Rekenmodule projectprocedure investeringen NOZ fase II TenneT 2025</t>
  </si>
  <si>
    <t>Gewijzigde X-factorberekening Net op Zee</t>
  </si>
  <si>
    <t>Gewijzigde X-factorberekening Netbeheerder van het Net op Zee 2022-2026</t>
  </si>
  <si>
    <t>Update gewijzigde X-factorberekening Net op Zee t..b.v. Inkomstenbesluit 2025</t>
  </si>
  <si>
    <t>Update gewijzigde X-factorberekening Netbeheerder van het Net op Zee 2022-2026 t.b.v. Inkomstenbesluit 2025</t>
  </si>
  <si>
    <t>Gewijzigde GAW-berekening TenneT</t>
  </si>
  <si>
    <t>Gewijzigde GAW-berekening TenneT voor de reguleringsperiode 2022-2026</t>
  </si>
  <si>
    <t>Update gewijzigde X-factorberekening Netbeheerder van het Net op Zee 2022-2026 t.b.v. correctie gewijzigd methodebesluit</t>
  </si>
  <si>
    <t>Update gewijzigde GAW-berekening TenneT t.b.v. Tarieven- en Inkomstenbesluit 2025</t>
  </si>
  <si>
    <t>Update gewijzigde GAW-berekening TenneT voor de reguleringsperiode 2022-2026 t.b.v. Tarieven- en Inkomstenbesluit 2025</t>
  </si>
  <si>
    <t>Gewijzigd methodebesluit Net op Zee 2022-2026</t>
  </si>
  <si>
    <t>Nacalculatiemodel WACC 2023</t>
  </si>
  <si>
    <t>Gewijzigde X-factorberekening Net op Zee, tab 7, rij 49</t>
  </si>
  <si>
    <t>Gewijzigde X-factorberekening Net op Zee, tab 8, rij 97</t>
  </si>
  <si>
    <t>Gewijzigde X-factorberekening Net op Zee, tab 8, rij 98</t>
  </si>
  <si>
    <t>Gewijzigde X-factorberekening Net op Zee, tab 8, rij 99</t>
  </si>
  <si>
    <t>Gewijzigde X-factorberekening Net op Zee, tab 7, rij 57</t>
  </si>
  <si>
    <t>Gewijzigde X-factorberekening Net op Zee, tab 7, rij 117</t>
  </si>
  <si>
    <t>Gewijzigde X-factorberekening Net op Zee, tab 7, rij 118</t>
  </si>
  <si>
    <t>Gewijzigde X-factorberekening Net op Zee, tab 7, rij 119</t>
  </si>
  <si>
    <t>Update gewijzigde X-factorberekening Net op Zee TenneT t.b.v.correctie gewijzigd methodebesluit</t>
  </si>
  <si>
    <t>Update gewijzigde X-factorberekening Net op Zee t.b.v. Inkomstenbesluit 2025, tab 1, rij 29</t>
  </si>
  <si>
    <t>Update gewijzigde X-factorberekening Net op Zee t.b.v. Inkomstenbesluit 2025, tab 1, rij 30</t>
  </si>
  <si>
    <t>Update gewijzigde X-factorberekening Net op Zee t.b.v. Inkomstenbesluit 2025, tab 1, rij 31</t>
  </si>
  <si>
    <t>Update gewijzigde X-factorberekening Net op Zee t.b.v. Inkomstenbesluit 2025, tab 1, rij 32</t>
  </si>
  <si>
    <t>Update gewijzigde X-factorberekening Net op Zee t.b.v. Inkomstenbesluit 2025, tab 1, rij 35</t>
  </si>
  <si>
    <t>Update gewijzigde X-factorberekening Net op Zee t.b.v. Inkomstenbesluit 2025, tab 1, rij 36</t>
  </si>
  <si>
    <t>Update gewijzigde X-factorberekening Net op Zee t.b.v. gewijzigde methodebesluiten, tab 1, rij 29</t>
  </si>
  <si>
    <t>Update gewijzigde X-factorberekening Net op Zee t.b.v. gewijzigde methodebesluiten, tab 1, rij 30</t>
  </si>
  <si>
    <t>Update gewijzigde X-factorberekening Net op Zee t.b.v. gewijzigde methodebesluiten, tab 1, rij 31</t>
  </si>
  <si>
    <t>Update gewijzigde X-factorberekening Net op Zee t.b.v. gewijzigde methodebesluiten, tab 1, rij 34</t>
  </si>
  <si>
    <t>Update gewijzigde X-factorberekening Net op Zee t.b.v. gewijzigde methodebesluiten, tab 1, rij 35</t>
  </si>
  <si>
    <t>Update gewijzigde X-factorberekening Net op Zee t.b.v. gewijzigde methodebesluiten, tab 1, rij 36</t>
  </si>
  <si>
    <t>Gewijzigde X-factorberekening Net op Zee, tab 6, rij 40</t>
  </si>
  <si>
    <t>Update gewijzigde X-factorberekening Net op Zee t.b.v. gewijzigde methodebesluiten, tab 1, rij 41</t>
  </si>
  <si>
    <t>Verwachte kosten net op zee fase II o.b.v. gerealiseerde investeringen 2021-2022 met afschrijvingstermijn &gt; 10 jaar</t>
  </si>
  <si>
    <t>Verwachte kosten net op zee fase I o.b.v. gerealiseerde investeringen 2021-2022 met afschrijvingstermijn &gt; 10 jaar</t>
  </si>
  <si>
    <t>Berekening nog te vergoeden kosten fase I bijschatten a.g.v. gerealiseerde investeringen 2021-2022 a.g.v. het gewijzigde methodebesluit</t>
  </si>
  <si>
    <t>Totaal nog te vergoeden verschil kosten bijschatten fase I a.g.v. gerealiseerde investeringen 2021-2022</t>
  </si>
  <si>
    <t>Tariefcorrectie efficiënte kosten gerealiseerde investeringen fase I a.g.v. het gewijzigde methodebesluit in 2025</t>
  </si>
  <si>
    <t>Tariefcorrectie efficiënte kosten gerealiseerde investeringen met afschr. &gt; 10 jaar a.g.v. het gewijzigde methodebesluit</t>
  </si>
  <si>
    <t>Berekening verschil kosten fase I bijschatten a.g.v. gerealiseerde investeringen 2021-2023</t>
  </si>
  <si>
    <t>Correctie kosten fase bijgeschatte investeringen met afschr. &gt; 10 jaar</t>
  </si>
  <si>
    <t>Berekening nog te vergoeden verschil kosten fase I bijschatten a.g.v. gerealiseerde investeringen per jaar</t>
  </si>
  <si>
    <t>Tariefcorrectie efficiënte kosten gerealiseerde investeringen fase II a.g.v. het gewijzigde methodebesluit in 2025</t>
  </si>
  <si>
    <t>Berekening nog te vergoeden verschil kosten fase II bijschatten a.g.v. gerealiseerde investeringen per jaar</t>
  </si>
  <si>
    <t>Berekening verschil kosten fase II bijschatten a.g.v. gerealiseerde investeringen 2021-2023</t>
  </si>
  <si>
    <t>Correctie efficiënte kosten fase II bijgeschatte investeringen met afschr. &gt; 10 jaar</t>
  </si>
  <si>
    <t>Op dit tabblad berekent de ACM het verschil tussen de geschatte kapitaalkosten in het Gewijzigde X-factormodel Netbeheerder van het Net op Zee 2022-2026 en de herberekende geschatte kapitaalkosten in de update van het gewijzigde X-factormodel Netbeheerder van het Net op Zee 2022-2026 a.g.v. gerealiseerde afloopinvesteringen van WUI's opgegeven in de reguleringsdata 2022 en 2023. In de update van het Gewijzigde X-factormodel is de input overgenomen uit een update van het GAW-model waarbij de gerealiseerde afloopinvesteringen van enkele WUI's opgenomen zijn in plaats van de geschatte afloopinvesteringen. De afloopinvesteringen hebben geen invloed op de geschatte operationele kosten. Deze worden dan ook buiten beschouwing gelaten bij deze nacalculatie.</t>
  </si>
  <si>
    <t>Verschillen efficiënte kosten a.g.v. gerealiseerde afloopinvesteringen WUI"s in RD 2022</t>
  </si>
  <si>
    <t>Tariefcorrectie kapitaalkosten fase I a.g.v. gerealiseerde afloopinvesteringen WUI's a.g.v. gewijzigd methodebesluit</t>
  </si>
  <si>
    <t>Berekening nog te vergoeden kosten fase II bijschatten a.g.v. gerealiseerde investeringen 2021-2022 a.g.v. het gewijzigde methodebesluit</t>
  </si>
  <si>
    <t>Correctie efficiënte kosten gerealiseerde afloopinvesteringen WUI's fase I</t>
  </si>
  <si>
    <t>Totaal al verrekende kapitaalkosten fase I a.g.v. gerealiseerde afloopinvesteringen WUI's 2021-2022</t>
  </si>
  <si>
    <t>Totaal te vergoeden kapitaalkosten fase I a.g.v. gerealiseerde afloopinvesteringen WUI's 2021-2023</t>
  </si>
  <si>
    <t>Totaal nog te vergoeden kapitaalkosten fase I a.g.v. gerealiseerde afloopinvesteringen WUI's 2021-2023</t>
  </si>
  <si>
    <t>Berekening integrale tariefcorrectie efficiënte kapitaalkosten fase I a.g.v. gerealiseerde afloopinvesteringen WUI's 2021-2023 en controle</t>
  </si>
  <si>
    <t>Al verrekende verschilen efficiënte kosten a.g.v. gerealiseerde afloopinvesteringen WUI"s</t>
  </si>
  <si>
    <t>Te vergoeden verschil kosten fase I a.g.v. gerealiseerde afloopinvesteringen WUI's 2022 en 2023</t>
  </si>
  <si>
    <t>Nog te vergoeden verschil kosten fse I a.g.v. gerealiseerde afloopinvesteringen WUI's 2021-2023</t>
  </si>
  <si>
    <t>Nog te vergoeden kapitaalkosten fase I a.g.v. gerealiseerde afloopinvesteringen WUI"s in RD 2022</t>
  </si>
  <si>
    <t>Berekening tariefcorrecties</t>
  </si>
  <si>
    <t>Tarieforrecties</t>
  </si>
  <si>
    <t xml:space="preserve">Op dit tabblad berekent de ACM het verschil tussen de vermogenskosten zoals geschat in de x-factorberekening o.b.v. de WACC uit het methodebesluit, en de vermogenskosten o.b.v. de herrekende WACC. De ACM gebruikt hiervoor het verschil tussen de WACC uit het methodebesluit en de herrekende WACC in procentpunten, en vermenigvuldigt dit verschil met de gestandaardiseerde activa waarde (GAW).
De ACM houdt hierbij ook rekening met de in 2021 t/m 2023 gerealiseerde investeringen investeringen met een afschrijvingstermijn langer dan 10 jaar. Deze investeringen, die de ACM in de reguleringsperiode 2022-2026 nacalculeert, hebben invloed op de GAW van de bijgeschatte (en deels nagecalculeerde) investeringen vanaf 2021, én op de percentages nieuw- en bestaand vermogen die de ACM gebruikt om de vermogenskosten voor investeringen vanaf 2021 te bepalen. Ook houdt de ACM rekening met de nagecalculeerde afloopinvesteringen van WUI's opgegeven in de reguleringsdata van 2022 en 2023. </t>
  </si>
  <si>
    <t>Percentages nieuw en bestaand vermogen uit update gewijzigde X-factorberekening Net op Zee t.b.v. Inkomstenbesluit 2025</t>
  </si>
  <si>
    <t>Correctie vermogenskosten net op zee fase I a.g.v de herrekende WACC 2023 in 2025</t>
  </si>
  <si>
    <t>Correctie vermogenskosten net op zee fase II a.g.v de herrekende WACC 2023 in 2025</t>
  </si>
  <si>
    <t>Correctie a.g.v. gewijzigd methodebesluit Net op Zee</t>
  </si>
  <si>
    <t>5. Projectprocedure investering</t>
  </si>
  <si>
    <t>Update gewijzigde X-factorberekening Net op Zee t.b.v. Inkomstenbesluit 2025, tab 1, rij 37</t>
  </si>
  <si>
    <t>Update gewijzigde X-factorberekening Net op Zee t.b.v. Inkomstenbesluit 2025, tab 1, rij 38</t>
  </si>
  <si>
    <t>Update gewijzigde X-factorberekening Net op Zee t.b.v. Inkomstenbesluit 2025, tab 1, cellen H48 en I48</t>
  </si>
  <si>
    <t>Update gewijzigde X-factorberekening Net op Zee t.b.v. Inkomstenbesluit 2025, tab 1, cellen H49 en I49</t>
  </si>
  <si>
    <t>Update gewijzigde GAW-berekening TenneT t.b.v. Tarieven- en Inkomstenbesluit 2025, tab 2, rij 139</t>
  </si>
  <si>
    <t>Update gewijzigde GAW-berekening TenneT t.b.v. Tarieven- en Inkomstenbesluit 2025, tab 2, rij 116</t>
  </si>
  <si>
    <t>Update gewijzigde GAW-berekening TenneT t.b.v. Tarieven- en Inkomstenbesluit 2025, tab 2, rij 118</t>
  </si>
  <si>
    <t>Update gewijzigde GAW-berekening TenneT t.b.v. Tarieven- en Inkomstenbesluit 2025, tab 2, rij 130</t>
  </si>
  <si>
    <t>Update gewijzigde GAW-berekening TenneT t.b.v. Tarieven- en Inkomstenbesluit 2025, tab 2, rij 123</t>
  </si>
  <si>
    <t>Update gewijzigde GAW-berekening TenneT t.b.v. Tarieven- en Inkomstenbesluit 2025, tab 2, rij 125</t>
  </si>
  <si>
    <t>Update gewijzigde GAW-berekening TenneT t.b.v. Tarieven- en Inkomstenbesluit 2025, tab 2, rij 114</t>
  </si>
  <si>
    <t>Toevoeging kapitaalkosten vanaf 2022 a.g.v. actualisatie ARO's Borssele in 2025</t>
  </si>
  <si>
    <t>Toevoeging kapitaalkosten ARO's</t>
  </si>
  <si>
    <t>Rekenmodule projectprocedure investeringen NOZ fase I, tab 4, cel H24</t>
  </si>
  <si>
    <t>Verandering operationele kosten door gerealiseerde investeringen in 2023 net op zee fase I</t>
  </si>
  <si>
    <t>Verwachte kapitaalkosten bijschatten fase I o.b.v. gerealiseerde inv. 2021-2023 en bijgeschatte inv. 2024-2026</t>
  </si>
  <si>
    <t>Verwachte kapitaalkosten bijschatten fase II o.b.v. gerealiseerde inv. 2021-2023 en bijgeschatte inv. 2024-2026</t>
  </si>
  <si>
    <t>Verandering operationele kosten door gerealiseerde investeringen in 2023 net op zee fase II</t>
  </si>
  <si>
    <t>Update gewijzigde X-factorberekening Net op Zee t.b.v. Inkomstenbesluit 2025, tab 1, rij 43</t>
  </si>
  <si>
    <t>Verwachte kapitaalkosten doorollen WUI's excl. ARO fase I</t>
  </si>
  <si>
    <t>Verwachte kapitaalkosten doorollen WUI's excl. ARO fase I o.b.v. gerealiseerde afloopinv. WUI's in RD 2022 en 2023</t>
  </si>
  <si>
    <t>Verwachte kapitaalkosten doorollen WUI's excl. ARO fase I o.b.v. gerealiseerde afloopinv. WUI's in RD 2022</t>
  </si>
  <si>
    <t>Al verrekende verschillen kosten a.g.v. gerealiseerde afloopinvesteringen WUI"s</t>
  </si>
  <si>
    <t>Verschillen kosten a.g.v. gerealiseerde afloopinvesteringen WUI"s 2022</t>
  </si>
  <si>
    <t>Al verrekende verandering vermogenskosten a.g.v. herrekende WACC 2022 in 2024</t>
  </si>
  <si>
    <t>Al verrekende verandering vermogenskosten a.g.v. herrekende WACC 2022 in 2024 fase I</t>
  </si>
  <si>
    <t>Al verrekende verandering vermogenskosten a.g.v. herrekende WACC 2022 in 2024 fase II</t>
  </si>
  <si>
    <t>Rekenmodule projectprocedure investeringen NOZ fase I, tab 4, cel H30</t>
  </si>
  <si>
    <t>Data ten behoeve van de correctie a.g.v. het gewijzigde methodebesluit</t>
  </si>
  <si>
    <t>Tariefcorrecties projectprocedure investeringen fase I a.g.v. gewijzigd methodebesluit</t>
  </si>
  <si>
    <t>Tariefcorrecties projectprocedure investeringen fase II a.g.v. gewijzigd methodebesluit</t>
  </si>
  <si>
    <t>Rekenmodule projectprocedure investeringen NOZ fase II, tab 4, cel H27</t>
  </si>
  <si>
    <t>Rekenmodule projectprocedure investeringen NOZ fase II, tab 4, cel H30</t>
  </si>
  <si>
    <t xml:space="preserve">Op dit tabblad berekent de ACM ook de correctie van de inkomsten op basis van de wettelijke formule als gevolg van het gewijzigd methodebesluit 2022-2026.	</t>
  </si>
  <si>
    <t>Netverliezen Hollandse Kust West Beta</t>
  </si>
  <si>
    <t>Inkoopkosten netverliezen van nog niet in gebruik genomen investeringen</t>
  </si>
  <si>
    <t>- In de inkomstenbesluiten 2024 heeft al een nacalculatie plaatsgevonden voor het verschil in de efficiënte kosten in de jaren 2022 t/m 2024 a.g.v. de gerealiseerde afloopinvesteringen WUI's in RD 2022. Deze verschillen worden daarom niet meegenomen in de berekening van de nacalculaties voor de toegestane inkomsten in 2025.
- Op dit tabblad berekent de ACM ook de correctie van de correcties afloopinvesteringen WUI’s in eerdere inkomstenbesluiten als gevolg van het gewijzigde methodebesluit 2022-2026. De ACM berekent de reguliere correctie en de correctie a.g.v. het gewijzigde methodebesluit apart op dit tabblad. Ter controle berekent de ACM op dit tabblad ook het totaal aan beide correcties.</t>
  </si>
  <si>
    <t xml:space="preserve">- In de inkomstenbesluiten 2023 en 2024 hebben al nacalculaties plaatsgevonden voor het verschil in de efficiënte kosten in de jaren 2022 t/m 2024 a.g.v. de gerealiseerde investeringen in 2021 en 2022. Deze verschillen worden daarom niet meegenomen in de berekening van de nacalculaties voor de toegestane inkomsten in 2025.
- Op dit tabblad berekent de ACM ook de correctie van de correcties investeringen met een afschrijvingstermijn &gt; 10 jaar in eerdere inkomstenbesluiten als gevolg van het gewijzigde methodebesluit 2022-2026. De ACM berekent de reguliere correctie en de correctie a.g.v. het gewijzigde methodebesluit apart op dit tabblad. Ter controle berekent de ACM op dit tabblad ook het totaal aan beide correcties. </t>
  </si>
  <si>
    <t xml:space="preserve">Op dit tabblad berekent de ACM ook de correctie van de correcties WACC in eerdere inkomstenbesluiten als gevolg van het gewijzigd methodebesluit 2022-2026.
</t>
  </si>
  <si>
    <t>Rekenmodule projectprocedure investeringen NOZ TenneT 2025 fase I, Rekenmodule projectprocedure investeringen NOZ fase II TenneT 2025</t>
  </si>
  <si>
    <t>Rekenmodule projectprocedure investeringen NOZ fase I, tab 4, cel H13; Rekenmodule projectprocedure investeringen NOZ fase II, tab 4, cel H13</t>
  </si>
  <si>
    <t>Rekenmodule projectprocedure investeringen NOZ fase I, tab 4, cel H16; Rekenmodule projectprocedure investeringen NOZ fase II, tab 4, cel H16</t>
  </si>
  <si>
    <t xml:space="preserve">Deze berekeningsmethode is omschreven in nota van toelichting bij het meest recente wijzigingsbesluit (https://zoek.officielebekendmakingen.nl/stb-2023-484.html). In deze rekenmodule en het inkomstenbesluit 2025 heeft de ACM de voorlopige cijfers gebaseerd op de basisherfinancieringsrente van de ECB van 3,4%. Dit was de stand van deze rente op de in de nota van toelichting beschreven peildatum (eind oktober 2024). </t>
  </si>
  <si>
    <t>Correctie op grond van een specifieke wettelijke bevoegdheid</t>
  </si>
  <si>
    <t>Correctie als gevolg van het gewijzigd methodbesluit</t>
  </si>
  <si>
    <t>Uitsplitsing correcties als gevolg van het gewijzigd methodebesluit</t>
  </si>
  <si>
    <t>Correcties als gevolg van het gewijzigd methodebesluit</t>
  </si>
  <si>
    <t>Geschatte kapitaalkosten vanaf 2022 voor de actualisaties van de ARO's Borssele Alpha en Beta</t>
  </si>
  <si>
    <t>Correctie als bedoeld in artikel 42e, vijfde lid, van de E-wet</t>
  </si>
  <si>
    <t>Correctie vermogenskosten door de herrekende WACC 2022</t>
  </si>
  <si>
    <t>Correctie geschatte vermogenskosten projectprocedure investeringen in aanbouw fase I 2023 in 2025</t>
  </si>
  <si>
    <t>Correctie geschatte vermogenskosten projectprocedure investeringen in aanbouw fase I 2024 in 2025</t>
  </si>
  <si>
    <t>Correctie geschatte vermogenskosten projectprocedure investeringen in aanbouw fase I 2023 en 2024 in 2025</t>
  </si>
  <si>
    <t>Correctie vermogenskosten projectprocedure investeringen in aanbouw fase I 2022 in 2025</t>
  </si>
  <si>
    <t>Correctie geschatte vermogenskosten projectprocedure investeringen in aanbouw fase II 2023 in 2025</t>
  </si>
  <si>
    <t>Correctie geschatte vermogenskosten projectprocedure investeringen in aanbouw fase II 2024 in 2025</t>
  </si>
  <si>
    <t>Correctie geschatte vermogenskosten projectprocedure investeringen in aanbouw fase II 2023 en 2024 in 2025</t>
  </si>
  <si>
    <t>Correctie vermogenskosten projectprocedure investeringen in aanbouw fase II 2022 in 2025</t>
  </si>
  <si>
    <t>Correctie geschatte totale kosten projectprocedure investeringen in gebruik fase I 2023 in 2025</t>
  </si>
  <si>
    <t>Correctie geschatte totale kosten projectprocedure investeringen in gebruik fase I 2024 in 2025</t>
  </si>
  <si>
    <t>Correctie geschatte totale kosten projectprocedure investeringen in gebruik fase I 2023 en 2024 in 2025</t>
  </si>
  <si>
    <t>Correctie toevoeging totale kosten projectprocedure investeringen in gebruik fase I door de herrekende WACC 2022</t>
  </si>
  <si>
    <t>Correctie inkoopkosten netverliezen 2023 in 2025 (fase I)</t>
  </si>
  <si>
    <t>Correctie inkoopkosten netverliezen nog niet in gebruik genomen investeringen 2023 in 2025 (fase II)</t>
  </si>
  <si>
    <t xml:space="preserve">Correctie efficiënte kosten geraliseerde afloopinvesteringen WUI's </t>
  </si>
  <si>
    <t>Correctie investeringen in 2021 tot en met 2023 met een afschrijvingstermijn langer dan tien jaar</t>
  </si>
  <si>
    <t>Correctie totale inkomsten op basis van de wettelijke formule voor de jaren 2022 tot en met 2024</t>
  </si>
  <si>
    <t>Correctie geschatte vermogenskosten voor projectprocedure investeringen in aanbouw voor de jaren 2023 en 2024</t>
  </si>
  <si>
    <t>Correctie geschatte totale kosten voor projectprocedure investeringen in gebruik voor de jaren 2023 en 2024</t>
  </si>
  <si>
    <t>Correctie geschatte kapitaalkosten voor de actualisaties van de ARO voor Borssele Alpha en Beta</t>
  </si>
  <si>
    <t>Correctie vermogenskosten projectprocedure investeringen in aanbouw 2022</t>
  </si>
  <si>
    <t>Correctie toevoeging totale kosten projectprocedure investeringen in gebruik door de herrekende WACC 2022</t>
  </si>
  <si>
    <t>Correctie investeringen in 2021 en 2022 met een afschrijvingstermijn langer dan tien jaar</t>
  </si>
  <si>
    <t>Correctie efficiënte kosten gerealiseerde afloopinvesteringen WUI's in 2022</t>
  </si>
  <si>
    <t>='7. Brondata'!M38</t>
  </si>
  <si>
    <t>='7. Brondata'!M39</t>
  </si>
  <si>
    <t>=SOM((Realisatie_netverliezen[Categorie]'='13. Correctie netverliezen'!B29)*(Realisatie_netverliezen[Jaar]'='13. Correctie netverliezen'!O$10)*Realisatie_netverliezen[Waarde])</t>
  </si>
  <si>
    <t>=SOM((Realisatie_netverliezen[Categorie]'='13. Correctie netverliezen'!B30)*(Realisatie_netverliezen[Jaar]'='13. Correctie netverliezen'!O$10)*Realisatie_netverliezen[Waarde])</t>
  </si>
  <si>
    <t>=($M$25+$M26)*O16*O19</t>
  </si>
  <si>
    <r>
      <rPr>
        <i/>
        <sz val="10"/>
        <rFont val="Arial"/>
        <family val="2"/>
      </rPr>
      <t xml:space="preserve">Opmerking TenneT: </t>
    </r>
    <r>
      <rPr>
        <sz val="10"/>
        <rFont val="Arial"/>
        <family val="2"/>
      </rPr>
      <t>Bedrijfsvertrouwelijk</t>
    </r>
  </si>
  <si>
    <t>E-mail : info@acm.nl</t>
  </si>
  <si>
    <t>ACM/UIT/633744</t>
  </si>
  <si>
    <t>9. Berekening parameters</t>
  </si>
  <si>
    <t>10. Wettelijke formule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</si>
</sst>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 #,##0_ ;_ * \-#,##0_ ;_ * &quot;-&quot;_ ;_ @_ "/>
    <numFmt numFmtId="43" formatCode="_ * #,##0.00_ ;_ * \-#,##0.00_ ;_ * &quot;-&quot;??_ ;_ @_ "/>
    <numFmt numFmtId="164" formatCode="0.0%"/>
    <numFmt numFmtId="165" formatCode="_ * #,##0_ ;_ * \-#,##0_ ;_ * &quot;-&quot;??_ ;_ @_ "/>
    <numFmt numFmtId="166" formatCode="#,##0_ ;\-#,##0\ "/>
    <numFmt numFmtId="167" formatCode="_ * #,##0.000_ ;_ * \-#,##0.000_ ;_ * &quot;-&quot;_ ;_ @_ "/>
    <numFmt numFmtId="168" formatCode="_ * #,##0.000_ ;_ * \-#,##0.000_ ;_ * &quot;-&quot;???_ ;_ @_ "/>
    <numFmt numFmtId="169" formatCode="_ * #,##0.000_ ;_ * \-#,##0.000_ ;_ * &quot;-&quot;??_ ;_ @_ "/>
    <numFmt numFmtId="170" formatCode="0_ ;\-0\ "/>
  </numFmts>
  <fonts count="31" x14ac:knownFonts="1">
    <font>
      <sz val="11"/>
      <color theme="1"/>
      <name val="Calibri"/>
      <family val="2"/>
      <scheme val="minor"/>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sz val="10"/>
      <name val="Arial"/>
      <family val="2"/>
    </font>
    <font>
      <b/>
      <sz val="14"/>
      <name val="Arial"/>
      <family val="2"/>
    </font>
    <font>
      <b/>
      <sz val="14"/>
      <color theme="0"/>
      <name val="Arial"/>
      <family val="2"/>
    </font>
    <font>
      <i/>
      <sz val="10"/>
      <name val="Arial"/>
      <family val="2"/>
    </font>
    <font>
      <b/>
      <sz val="10"/>
      <color rgb="FFFF0000"/>
      <name val="Arial"/>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sz val="10"/>
      <color indexed="8"/>
      <name val="Arial"/>
      <family val="2"/>
    </font>
    <font>
      <sz val="8"/>
      <color indexed="81"/>
      <name val="Tahoma"/>
      <family val="2"/>
    </font>
    <font>
      <b/>
      <sz val="15"/>
      <color theme="3"/>
      <name val="Arial"/>
      <family val="2"/>
    </font>
    <font>
      <b/>
      <sz val="13"/>
      <color theme="3"/>
      <name val="Arial"/>
      <family val="2"/>
    </font>
    <font>
      <b/>
      <sz val="11"/>
      <color theme="3"/>
      <name val="Arial"/>
      <family val="2"/>
    </font>
    <font>
      <i/>
      <sz val="10"/>
      <color rgb="FF7F7F7F"/>
      <name val="Arial"/>
      <family val="2"/>
    </font>
    <font>
      <sz val="8"/>
      <name val="Calibri"/>
      <family val="2"/>
      <scheme val="minor"/>
    </font>
    <font>
      <u/>
      <sz val="11"/>
      <color theme="10"/>
      <name val="Calibri"/>
      <family val="2"/>
      <scheme val="minor"/>
    </font>
    <font>
      <u/>
      <sz val="10"/>
      <color theme="10"/>
      <name val="Arial"/>
      <family val="2"/>
    </font>
    <font>
      <sz val="9.5"/>
      <color theme="1"/>
      <name val="Arial"/>
      <family val="2"/>
    </font>
    <font>
      <strike/>
      <sz val="10"/>
      <name val="Arial"/>
      <family val="2"/>
    </font>
  </fonts>
  <fills count="2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theme="0" tint="-0.14999847407452621"/>
        <bgColor indexed="64"/>
      </patternFill>
    </fill>
    <fill>
      <patternFill patternType="solid">
        <fgColor rgb="FFFF00FF"/>
        <bgColor indexed="64"/>
      </patternFill>
    </fill>
    <fill>
      <patternFill patternType="solid">
        <fgColor rgb="FFFFCCFF"/>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0"/>
        <bgColor indexed="64"/>
      </patternFill>
    </fill>
    <fill>
      <patternFill patternType="solid">
        <fgColor rgb="FF99FF99"/>
        <bgColor indexed="64"/>
      </patternFill>
    </fill>
    <fill>
      <patternFill patternType="solid">
        <fgColor rgb="FFE1FFE1"/>
        <bgColor indexed="64"/>
      </patternFill>
    </fill>
    <fill>
      <patternFill patternType="solid">
        <fgColor theme="0" tint="-0.14996795556505021"/>
        <bgColor indexed="64"/>
      </patternFill>
    </fill>
    <fill>
      <patternFill patternType="solid">
        <fgColor rgb="FFCCCCFF"/>
        <bgColor indexed="64"/>
      </patternFill>
    </fill>
    <fill>
      <patternFill patternType="solid">
        <fgColor theme="1"/>
        <bgColor indexed="64"/>
      </patternFill>
    </fill>
  </fills>
  <borders count="19">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s>
  <cellStyleXfs count="38">
    <xf numFmtId="0" fontId="0" fillId="0" borderId="0"/>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5" fillId="0" borderId="0">
      <alignment vertical="top"/>
    </xf>
    <xf numFmtId="49" fontId="9" fillId="5" borderId="1">
      <alignment vertical="top"/>
    </xf>
    <xf numFmtId="49" fontId="6" fillId="17" borderId="1">
      <alignment vertical="top"/>
    </xf>
    <xf numFmtId="49" fontId="6" fillId="0" borderId="0">
      <alignment vertical="top"/>
    </xf>
    <xf numFmtId="49" fontId="11" fillId="0" borderId="0">
      <alignment vertical="top"/>
    </xf>
    <xf numFmtId="49" fontId="10" fillId="0" borderId="0">
      <alignment vertical="top"/>
    </xf>
    <xf numFmtId="0" fontId="16" fillId="13" borderId="3" applyNumberFormat="0" applyAlignment="0" applyProtection="0"/>
    <xf numFmtId="0" fontId="17" fillId="14" borderId="4" applyNumberFormat="0" applyAlignment="0" applyProtection="0"/>
    <xf numFmtId="0" fontId="18" fillId="14" borderId="3" applyNumberFormat="0" applyAlignment="0" applyProtection="0"/>
    <xf numFmtId="0" fontId="19" fillId="0" borderId="5" applyNumberFormat="0" applyFill="0" applyAlignment="0" applyProtection="0"/>
    <xf numFmtId="0" fontId="13" fillId="15" borderId="6" applyNumberFormat="0" applyAlignment="0" applyProtection="0"/>
    <xf numFmtId="0" fontId="15" fillId="16" borderId="7" applyNumberFormat="0" applyFont="0" applyAlignment="0" applyProtection="0"/>
    <xf numFmtId="9" fontId="15" fillId="0" borderId="0" applyFont="0" applyFill="0" applyBorder="0" applyAlignment="0" applyProtection="0"/>
    <xf numFmtId="43" fontId="15" fillId="0" borderId="0" applyFont="0" applyFill="0" applyBorder="0" applyAlignment="0" applyProtection="0"/>
    <xf numFmtId="0" fontId="3" fillId="3" borderId="0" applyNumberFormat="0" applyBorder="0" applyAlignment="0" applyProtection="0"/>
    <xf numFmtId="0" fontId="16" fillId="13" borderId="3" applyNumberFormat="0" applyAlignment="0" applyProtection="0"/>
    <xf numFmtId="0" fontId="17" fillId="14" borderId="4" applyNumberFormat="0" applyAlignment="0" applyProtection="0"/>
    <xf numFmtId="0" fontId="13" fillId="15" borderId="6" applyNumberFormat="0" applyAlignment="0" applyProtection="0"/>
    <xf numFmtId="0" fontId="15" fillId="16" borderId="7" applyNumberFormat="0" applyFont="0" applyAlignment="0" applyProtection="0"/>
    <xf numFmtId="0" fontId="22" fillId="0" borderId="16" applyNumberFormat="0" applyFill="0" applyAlignment="0" applyProtection="0"/>
    <xf numFmtId="0" fontId="23" fillId="0" borderId="17" applyNumberFormat="0" applyFill="0" applyAlignment="0" applyProtection="0"/>
    <xf numFmtId="0" fontId="24" fillId="0" borderId="18" applyNumberFormat="0" applyFill="0" applyAlignment="0" applyProtection="0"/>
    <xf numFmtId="0" fontId="24" fillId="0" borderId="0" applyNumberFormat="0" applyFill="0" applyBorder="0" applyAlignment="0" applyProtection="0"/>
    <xf numFmtId="0" fontId="25" fillId="0" borderId="0" applyNumberFormat="0" applyFill="0" applyBorder="0" applyAlignment="0" applyProtection="0"/>
    <xf numFmtId="41" fontId="5" fillId="20" borderId="0">
      <alignment vertical="top"/>
    </xf>
    <xf numFmtId="41" fontId="5" fillId="11" borderId="0">
      <alignment vertical="top"/>
    </xf>
    <xf numFmtId="41" fontId="5" fillId="9" borderId="0">
      <alignment vertical="top"/>
    </xf>
    <xf numFmtId="41" fontId="5" fillId="10" borderId="0">
      <alignment vertical="top"/>
    </xf>
    <xf numFmtId="43" fontId="5" fillId="21" borderId="0" applyNumberFormat="0">
      <alignment vertical="top"/>
    </xf>
    <xf numFmtId="41" fontId="5" fillId="8" borderId="0">
      <alignment vertical="top"/>
    </xf>
    <xf numFmtId="41" fontId="5" fillId="7" borderId="0">
      <alignment vertical="top"/>
    </xf>
    <xf numFmtId="41" fontId="5" fillId="19" borderId="0">
      <alignment vertical="top"/>
    </xf>
    <xf numFmtId="0" fontId="27" fillId="0" borderId="0" applyNumberFormat="0" applyFill="0" applyBorder="0" applyAlignment="0" applyProtection="0"/>
    <xf numFmtId="41" fontId="5" fillId="22" borderId="0">
      <alignment vertical="top"/>
    </xf>
  </cellStyleXfs>
  <cellXfs count="120">
    <xf numFmtId="0" fontId="0" fillId="0" borderId="0" xfId="0"/>
    <xf numFmtId="0" fontId="0" fillId="0" borderId="8" xfId="0" applyBorder="1"/>
    <xf numFmtId="0" fontId="0" fillId="0" borderId="10" xfId="0" applyBorder="1"/>
    <xf numFmtId="0" fontId="0" fillId="0" borderId="11" xfId="0" applyBorder="1"/>
    <xf numFmtId="0" fontId="0" fillId="0" borderId="14" xfId="0" applyBorder="1"/>
    <xf numFmtId="0" fontId="5" fillId="0" borderId="0" xfId="4" applyAlignment="1">
      <alignment horizontal="left" vertical="top" wrapText="1"/>
    </xf>
    <xf numFmtId="0" fontId="5" fillId="0" borderId="0" xfId="4">
      <alignment vertical="top"/>
    </xf>
    <xf numFmtId="0" fontId="0" fillId="0" borderId="9" xfId="0" applyBorder="1"/>
    <xf numFmtId="0" fontId="6" fillId="0" borderId="0" xfId="4" applyFont="1">
      <alignment vertical="top"/>
    </xf>
    <xf numFmtId="0" fontId="7" fillId="0" borderId="0" xfId="4" applyFont="1">
      <alignment vertical="top"/>
    </xf>
    <xf numFmtId="0" fontId="11" fillId="0" borderId="0" xfId="4" applyFont="1">
      <alignment vertical="top"/>
    </xf>
    <xf numFmtId="0" fontId="5" fillId="0" borderId="2" xfId="4" applyBorder="1">
      <alignment vertical="top"/>
    </xf>
    <xf numFmtId="49" fontId="6" fillId="17" borderId="1" xfId="6">
      <alignment vertical="top"/>
    </xf>
    <xf numFmtId="0" fontId="7" fillId="0" borderId="2" xfId="4" applyFont="1" applyBorder="1" applyAlignment="1">
      <alignment horizontal="left" vertical="top" wrapText="1"/>
    </xf>
    <xf numFmtId="0" fontId="5" fillId="0" borderId="2" xfId="4" applyBorder="1" applyAlignment="1">
      <alignment horizontal="left" vertical="top" wrapText="1"/>
    </xf>
    <xf numFmtId="0" fontId="9" fillId="5" borderId="1" xfId="4" applyFont="1" applyFill="1" applyBorder="1">
      <alignment vertical="top"/>
    </xf>
    <xf numFmtId="0" fontId="8" fillId="5" borderId="1" xfId="4" applyFont="1" applyFill="1" applyBorder="1">
      <alignment vertical="top"/>
    </xf>
    <xf numFmtId="0" fontId="5" fillId="6" borderId="0" xfId="4" applyFill="1">
      <alignment vertical="top"/>
    </xf>
    <xf numFmtId="1" fontId="5" fillId="0" borderId="0" xfId="4" applyNumberFormat="1">
      <alignment vertical="top"/>
    </xf>
    <xf numFmtId="1" fontId="10" fillId="0" borderId="0" xfId="4" applyNumberFormat="1" applyFont="1">
      <alignment vertical="top"/>
    </xf>
    <xf numFmtId="0" fontId="12" fillId="0" borderId="0" xfId="4" applyFont="1">
      <alignment vertical="top"/>
    </xf>
    <xf numFmtId="0" fontId="9" fillId="5" borderId="1" xfId="5" applyNumberFormat="1">
      <alignment vertical="top"/>
    </xf>
    <xf numFmtId="0" fontId="14" fillId="0" borderId="0" xfId="4" applyFont="1">
      <alignment vertical="top"/>
    </xf>
    <xf numFmtId="0" fontId="5" fillId="12" borderId="0" xfId="4" applyFill="1">
      <alignment vertical="top"/>
    </xf>
    <xf numFmtId="49" fontId="5" fillId="17" borderId="2" xfId="6" applyFont="1" applyBorder="1">
      <alignment vertical="top"/>
    </xf>
    <xf numFmtId="3" fontId="20" fillId="0" borderId="0" xfId="0" applyNumberFormat="1" applyFont="1" applyProtection="1">
      <protection locked="0"/>
    </xf>
    <xf numFmtId="3" fontId="5" fillId="0" borderId="0" xfId="4" applyNumberFormat="1">
      <alignment vertical="top"/>
    </xf>
    <xf numFmtId="0" fontId="5" fillId="0" borderId="0" xfId="0" applyFont="1"/>
    <xf numFmtId="0" fontId="6" fillId="17" borderId="1" xfId="6" applyNumberFormat="1" applyAlignment="1">
      <alignment horizontal="left" vertical="top"/>
    </xf>
    <xf numFmtId="49" fontId="11" fillId="17" borderId="1" xfId="6" applyFont="1">
      <alignment vertical="top"/>
    </xf>
    <xf numFmtId="164" fontId="5" fillId="0" borderId="0" xfId="16" applyNumberFormat="1" applyFont="1" applyFill="1" applyAlignment="1">
      <alignment vertical="top"/>
    </xf>
    <xf numFmtId="166" fontId="0" fillId="0" borderId="0" xfId="0" applyNumberFormat="1"/>
    <xf numFmtId="49" fontId="11" fillId="0" borderId="0" xfId="8">
      <alignment vertical="top"/>
    </xf>
    <xf numFmtId="49" fontId="5" fillId="0" borderId="0" xfId="8" applyFont="1">
      <alignment vertical="top"/>
    </xf>
    <xf numFmtId="49" fontId="6" fillId="0" borderId="0" xfId="7">
      <alignment vertical="top"/>
    </xf>
    <xf numFmtId="49" fontId="10" fillId="0" borderId="0" xfId="9">
      <alignment vertical="top"/>
    </xf>
    <xf numFmtId="49" fontId="5" fillId="17" borderId="0" xfId="6" applyFont="1" applyBorder="1">
      <alignment vertical="top"/>
    </xf>
    <xf numFmtId="165" fontId="0" fillId="0" borderId="0" xfId="0" applyNumberFormat="1"/>
    <xf numFmtId="0" fontId="5" fillId="18" borderId="0" xfId="4" applyFill="1">
      <alignment vertical="top"/>
    </xf>
    <xf numFmtId="0" fontId="14" fillId="0" borderId="0" xfId="4" applyFont="1" applyAlignment="1">
      <alignment horizontal="left" vertical="top" wrapText="1"/>
    </xf>
    <xf numFmtId="10" fontId="5" fillId="0" borderId="0" xfId="4" applyNumberFormat="1">
      <alignment vertical="top"/>
    </xf>
    <xf numFmtId="10" fontId="5" fillId="6" borderId="0" xfId="4" applyNumberFormat="1" applyFill="1">
      <alignment vertical="top"/>
    </xf>
    <xf numFmtId="3" fontId="12" fillId="0" borderId="0" xfId="17" applyNumberFormat="1" applyFont="1" applyFill="1" applyAlignment="1">
      <alignment vertical="top"/>
    </xf>
    <xf numFmtId="41" fontId="5" fillId="0" borderId="0" xfId="4" applyNumberFormat="1">
      <alignment vertical="top"/>
    </xf>
    <xf numFmtId="0" fontId="5" fillId="0" borderId="0" xfId="4" quotePrefix="1">
      <alignment vertical="top"/>
    </xf>
    <xf numFmtId="0" fontId="5" fillId="0" borderId="0" xfId="4" applyAlignment="1">
      <alignment vertical="top" wrapText="1"/>
    </xf>
    <xf numFmtId="49" fontId="9" fillId="5" borderId="1" xfId="5">
      <alignment vertical="top"/>
    </xf>
    <xf numFmtId="49" fontId="6" fillId="0" borderId="0" xfId="7" quotePrefix="1">
      <alignment vertical="top"/>
    </xf>
    <xf numFmtId="41" fontId="5" fillId="20" borderId="0" xfId="28">
      <alignment vertical="top"/>
    </xf>
    <xf numFmtId="49" fontId="13" fillId="5" borderId="2" xfId="5" applyFont="1" applyBorder="1">
      <alignment vertical="top"/>
    </xf>
    <xf numFmtId="41" fontId="5" fillId="20" borderId="2" xfId="28" applyBorder="1">
      <alignment vertical="top"/>
    </xf>
    <xf numFmtId="41" fontId="5" fillId="11" borderId="0" xfId="29">
      <alignment vertical="top"/>
    </xf>
    <xf numFmtId="41" fontId="5" fillId="9" borderId="0" xfId="30">
      <alignment vertical="top"/>
    </xf>
    <xf numFmtId="41" fontId="5" fillId="10" borderId="0" xfId="31">
      <alignment vertical="top"/>
    </xf>
    <xf numFmtId="41" fontId="5" fillId="8" borderId="0" xfId="33">
      <alignment vertical="top"/>
    </xf>
    <xf numFmtId="41" fontId="5" fillId="7" borderId="0" xfId="34">
      <alignment vertical="top"/>
    </xf>
    <xf numFmtId="41" fontId="5" fillId="19" borderId="0" xfId="35">
      <alignment vertical="top"/>
    </xf>
    <xf numFmtId="49" fontId="6" fillId="0" borderId="0" xfId="7" applyAlignment="1">
      <alignment horizontal="center" vertical="top"/>
    </xf>
    <xf numFmtId="0" fontId="0" fillId="0" borderId="12" xfId="0" applyBorder="1"/>
    <xf numFmtId="0" fontId="0" fillId="0" borderId="13" xfId="0" applyBorder="1"/>
    <xf numFmtId="0" fontId="0" fillId="0" borderId="15" xfId="0" applyBorder="1"/>
    <xf numFmtId="164" fontId="5" fillId="20" borderId="0" xfId="28" applyNumberFormat="1">
      <alignment vertical="top"/>
    </xf>
    <xf numFmtId="10" fontId="5" fillId="20" borderId="0" xfId="28" applyNumberFormat="1">
      <alignment vertical="top"/>
    </xf>
    <xf numFmtId="10" fontId="5" fillId="11" borderId="0" xfId="29" applyNumberFormat="1">
      <alignment vertical="top"/>
    </xf>
    <xf numFmtId="168" fontId="5" fillId="9" borderId="0" xfId="30" applyNumberFormat="1">
      <alignment vertical="top"/>
    </xf>
    <xf numFmtId="10" fontId="5" fillId="9" borderId="0" xfId="30" applyNumberFormat="1">
      <alignment vertical="top"/>
    </xf>
    <xf numFmtId="0" fontId="6" fillId="0" borderId="0" xfId="4" applyFont="1" applyAlignment="1">
      <alignment vertical="top" wrapText="1"/>
    </xf>
    <xf numFmtId="164" fontId="5" fillId="11" borderId="0" xfId="29" applyNumberFormat="1">
      <alignment vertical="top"/>
    </xf>
    <xf numFmtId="167" fontId="5" fillId="11" borderId="0" xfId="29" applyNumberFormat="1">
      <alignment vertical="top"/>
    </xf>
    <xf numFmtId="168" fontId="5" fillId="11" borderId="0" xfId="29" applyNumberFormat="1">
      <alignment vertical="top"/>
    </xf>
    <xf numFmtId="0" fontId="5" fillId="0" borderId="8" xfId="4" applyBorder="1">
      <alignment vertical="top"/>
    </xf>
    <xf numFmtId="0" fontId="5" fillId="0" borderId="9" xfId="4" applyBorder="1">
      <alignment vertical="top"/>
    </xf>
    <xf numFmtId="0" fontId="5" fillId="0" borderId="10" xfId="4" applyBorder="1">
      <alignment vertical="top"/>
    </xf>
    <xf numFmtId="0" fontId="5" fillId="0" borderId="11" xfId="4" applyBorder="1">
      <alignment vertical="top"/>
    </xf>
    <xf numFmtId="41" fontId="5" fillId="20" borderId="0" xfId="28" applyAlignment="1">
      <alignment horizontal="center" vertical="top"/>
    </xf>
    <xf numFmtId="0" fontId="5" fillId="0" borderId="12" xfId="4" applyBorder="1">
      <alignment vertical="top"/>
    </xf>
    <xf numFmtId="41" fontId="10" fillId="9" borderId="0" xfId="30" applyFont="1" applyAlignment="1">
      <alignment horizontal="center" vertical="top"/>
    </xf>
    <xf numFmtId="0" fontId="5" fillId="0" borderId="13" xfId="4" applyBorder="1">
      <alignment vertical="top"/>
    </xf>
    <xf numFmtId="0" fontId="5" fillId="0" borderId="14" xfId="4" applyBorder="1">
      <alignment vertical="top"/>
    </xf>
    <xf numFmtId="0" fontId="5" fillId="0" borderId="15" xfId="4" applyBorder="1">
      <alignment vertical="top"/>
    </xf>
    <xf numFmtId="41" fontId="5" fillId="9" borderId="0" xfId="30" applyAlignment="1">
      <alignment horizontal="center" vertical="top"/>
    </xf>
    <xf numFmtId="41" fontId="5" fillId="10" borderId="0" xfId="31" applyAlignment="1">
      <alignment horizontal="center" vertical="top"/>
    </xf>
    <xf numFmtId="0" fontId="28" fillId="0" borderId="2" xfId="36" applyFont="1" applyBorder="1" applyAlignment="1">
      <alignment vertical="top"/>
    </xf>
    <xf numFmtId="0" fontId="29" fillId="0" borderId="2" xfId="0" applyFont="1" applyBorder="1" applyAlignment="1">
      <alignment vertical="center"/>
    </xf>
    <xf numFmtId="10" fontId="5" fillId="20" borderId="0" xfId="16" applyNumberFormat="1" applyFont="1" applyFill="1" applyAlignment="1">
      <alignment vertical="top"/>
    </xf>
    <xf numFmtId="41" fontId="5" fillId="21" borderId="0" xfId="32" applyNumberFormat="1">
      <alignment vertical="top"/>
    </xf>
    <xf numFmtId="164" fontId="5" fillId="11" borderId="0" xfId="16" applyNumberFormat="1" applyFont="1" applyFill="1" applyAlignment="1">
      <alignment vertical="top"/>
    </xf>
    <xf numFmtId="167" fontId="5" fillId="9" borderId="0" xfId="30" applyNumberFormat="1">
      <alignment vertical="top"/>
    </xf>
    <xf numFmtId="169" fontId="5" fillId="11" borderId="0" xfId="17" applyNumberFormat="1" applyFont="1" applyFill="1" applyAlignment="1">
      <alignment vertical="top"/>
    </xf>
    <xf numFmtId="0" fontId="6" fillId="0" borderId="0" xfId="4" quotePrefix="1" applyFont="1">
      <alignment vertical="top"/>
    </xf>
    <xf numFmtId="0" fontId="5" fillId="21" borderId="0" xfId="32" applyNumberFormat="1">
      <alignment vertical="top"/>
    </xf>
    <xf numFmtId="164" fontId="5" fillId="20" borderId="0" xfId="16" applyNumberFormat="1" applyFont="1" applyFill="1" applyAlignment="1">
      <alignment vertical="top"/>
    </xf>
    <xf numFmtId="10" fontId="5" fillId="21" borderId="0" xfId="32" applyNumberFormat="1">
      <alignment vertical="top"/>
    </xf>
    <xf numFmtId="9" fontId="5" fillId="11" borderId="0" xfId="16" applyFont="1" applyFill="1" applyAlignment="1">
      <alignment vertical="top"/>
    </xf>
    <xf numFmtId="10" fontId="5" fillId="9" borderId="0" xfId="16" applyNumberFormat="1" applyFont="1" applyFill="1" applyAlignment="1">
      <alignment vertical="top"/>
    </xf>
    <xf numFmtId="41" fontId="5" fillId="22" borderId="0" xfId="37">
      <alignment vertical="top"/>
    </xf>
    <xf numFmtId="14" fontId="5" fillId="0" borderId="0" xfId="4" applyNumberFormat="1" applyAlignment="1">
      <alignment horizontal="left" vertical="top"/>
    </xf>
    <xf numFmtId="41" fontId="5" fillId="22" borderId="0" xfId="28" applyFill="1" applyAlignment="1">
      <alignment horizontal="center" vertical="top"/>
    </xf>
    <xf numFmtId="41" fontId="5" fillId="22" borderId="0" xfId="28" applyFill="1">
      <alignment vertical="top"/>
    </xf>
    <xf numFmtId="49" fontId="13" fillId="5" borderId="1" xfId="5" applyFont="1">
      <alignment vertical="top"/>
    </xf>
    <xf numFmtId="0" fontId="1" fillId="0" borderId="0" xfId="0" applyFont="1"/>
    <xf numFmtId="170" fontId="5" fillId="22" borderId="0" xfId="37" applyNumberFormat="1">
      <alignment vertical="top"/>
    </xf>
    <xf numFmtId="0" fontId="5" fillId="0" borderId="0" xfId="4" applyFont="1">
      <alignment vertical="top"/>
    </xf>
    <xf numFmtId="0" fontId="5" fillId="0" borderId="2" xfId="4" applyFont="1" applyBorder="1">
      <alignment vertical="top"/>
    </xf>
    <xf numFmtId="49" fontId="6" fillId="0" borderId="0" xfId="7" applyFont="1">
      <alignment vertical="top"/>
    </xf>
    <xf numFmtId="164" fontId="5" fillId="0" borderId="0" xfId="4" applyNumberFormat="1">
      <alignment vertical="top"/>
    </xf>
    <xf numFmtId="0" fontId="5" fillId="0" borderId="0" xfId="4" applyAlignment="1">
      <alignment horizontal="left" vertical="top" wrapText="1"/>
    </xf>
    <xf numFmtId="43" fontId="5" fillId="0" borderId="0" xfId="4" applyNumberFormat="1">
      <alignment vertical="top"/>
    </xf>
    <xf numFmtId="165" fontId="5" fillId="0" borderId="0" xfId="4" applyNumberFormat="1">
      <alignment vertical="top"/>
    </xf>
    <xf numFmtId="0" fontId="5" fillId="22" borderId="0" xfId="37" applyNumberFormat="1">
      <alignment vertical="top"/>
    </xf>
    <xf numFmtId="0" fontId="5" fillId="0" borderId="2" xfId="4" applyFont="1" applyFill="1" applyBorder="1" applyAlignment="1">
      <alignment horizontal="left" vertical="top" wrapText="1"/>
    </xf>
    <xf numFmtId="10" fontId="5" fillId="8" borderId="0" xfId="16" applyNumberFormat="1" applyFont="1" applyFill="1" applyAlignment="1">
      <alignment vertical="top"/>
    </xf>
    <xf numFmtId="41" fontId="5" fillId="11" borderId="0" xfId="29" quotePrefix="1">
      <alignment vertical="top"/>
    </xf>
    <xf numFmtId="41" fontId="5" fillId="9" borderId="0" xfId="30" quotePrefix="1">
      <alignment vertical="top"/>
    </xf>
    <xf numFmtId="41" fontId="5" fillId="23" borderId="0" xfId="37" applyFill="1">
      <alignment vertical="top"/>
    </xf>
    <xf numFmtId="41" fontId="5" fillId="23" borderId="0" xfId="28" applyFill="1">
      <alignment vertical="top"/>
    </xf>
    <xf numFmtId="14" fontId="5" fillId="0" borderId="2" xfId="4" applyNumberFormat="1" applyBorder="1" applyAlignment="1">
      <alignment horizontal="left" vertical="top" wrapText="1"/>
    </xf>
    <xf numFmtId="0" fontId="5" fillId="0" borderId="0" xfId="4" applyAlignment="1">
      <alignment horizontal="left" vertical="top" wrapText="1"/>
    </xf>
    <xf numFmtId="0" fontId="5" fillId="0" borderId="0" xfId="4" applyAlignment="1">
      <alignment vertical="top" wrapText="1"/>
    </xf>
    <xf numFmtId="0" fontId="5" fillId="0" borderId="0" xfId="4" quotePrefix="1" applyAlignment="1">
      <alignment horizontal="left" vertical="top" wrapText="1"/>
    </xf>
  </cellXfs>
  <cellStyles count="38">
    <cellStyle name="_kop1 Bladtitel" xfId="5" xr:uid="{00000000-0005-0000-0000-000001000000}"/>
    <cellStyle name="_kop2 Bloktitel" xfId="6" xr:uid="{00000000-0005-0000-0000-000002000000}"/>
    <cellStyle name="_kop3 Subkop" xfId="7" xr:uid="{00000000-0005-0000-0000-000003000000}"/>
    <cellStyle name="Bad" xfId="18" hidden="1" xr:uid="{00000000-0005-0000-0000-000004000000}"/>
    <cellStyle name="Berekening" xfId="12" builtinId="22" hidden="1"/>
    <cellStyle name="Cel (tussen)resultaat" xfId="31" xr:uid="{345A4045-E60E-4133-9E9E-63578FB86D81}"/>
    <cellStyle name="Cel Berekening" xfId="30" xr:uid="{769DB5F7-FE8A-4298-BE3E-D40C1C998853}"/>
    <cellStyle name="Cel Bijzonderheid" xfId="33" xr:uid="{BF953E95-6A2F-41F1-934E-D2B920A2A381}"/>
    <cellStyle name="Cel Dataverzoek" xfId="35" xr:uid="{36385A59-5128-4031-963C-CA1838E42CC4}"/>
    <cellStyle name="Cel Input" xfId="28" xr:uid="{95300006-1290-491D-907C-5ED4B248E1A3}"/>
    <cellStyle name="Cel input database" xfId="37" xr:uid="{2BB3C96E-A087-493E-9B46-86DEEB59DF9D}"/>
    <cellStyle name="Cel n.v.t. (leeg)" xfId="32" xr:uid="{B5933555-6ED6-4346-AC53-F70DA50C011A}"/>
    <cellStyle name="Cel PM extern" xfId="34" xr:uid="{47B2E52A-414C-4F1A-BAAC-BCA475FB06A9}"/>
    <cellStyle name="Cel Verwijzing" xfId="29" xr:uid="{FE69BC37-1EF9-43E8-AE71-B78A0E65379F}"/>
    <cellStyle name="Check Cell" xfId="21" hidden="1" xr:uid="{00000000-0005-0000-0000-00000D000000}"/>
    <cellStyle name="Controlecel" xfId="14" builtinId="23" hidden="1"/>
    <cellStyle name="Explanatory Text" xfId="27" hidden="1" xr:uid="{00000000-0005-0000-0000-00000F000000}"/>
    <cellStyle name="Gekoppelde cel" xfId="13" builtinId="24" hidden="1"/>
    <cellStyle name="Goed" xfId="1" builtinId="26" hidden="1"/>
    <cellStyle name="Heading 1" xfId="23" hidden="1" xr:uid="{00000000-0005-0000-0000-000012000000}"/>
    <cellStyle name="Heading 2" xfId="24" hidden="1" xr:uid="{00000000-0005-0000-0000-000013000000}"/>
    <cellStyle name="Heading 3" xfId="25" hidden="1" xr:uid="{00000000-0005-0000-0000-000014000000}"/>
    <cellStyle name="Heading 4" xfId="26" hidden="1" xr:uid="{00000000-0005-0000-0000-000015000000}"/>
    <cellStyle name="Hyperlink" xfId="36" builtinId="8"/>
    <cellStyle name="Input" xfId="19" hidden="1" xr:uid="{00000000-0005-0000-0000-000017000000}"/>
    <cellStyle name="Invoer" xfId="10" builtinId="20" hidden="1"/>
    <cellStyle name="Komma" xfId="17" builtinId="3"/>
    <cellStyle name="Neutraal" xfId="3" builtinId="28" hidden="1"/>
    <cellStyle name="Note" xfId="22" hidden="1" xr:uid="{00000000-0005-0000-0000-00001B000000}"/>
    <cellStyle name="Notitie" xfId="15" builtinId="10" hidden="1"/>
    <cellStyle name="Ongeldig" xfId="2" builtinId="27" hidden="1"/>
    <cellStyle name="Opm. INTERN" xfId="8" xr:uid="{00000000-0005-0000-0000-00001E000000}"/>
    <cellStyle name="Output" xfId="20" hidden="1" xr:uid="{00000000-0005-0000-0000-00001F000000}"/>
    <cellStyle name="Procent" xfId="16" builtinId="5"/>
    <cellStyle name="Standaard" xfId="0" builtinId="0"/>
    <cellStyle name="Standaard ACM-DE" xfId="4" xr:uid="{00000000-0005-0000-0000-000023000000}"/>
    <cellStyle name="Toelichting" xfId="9" xr:uid="{00000000-0005-0000-0000-000025000000}"/>
    <cellStyle name="Uitvoer" xfId="11" builtinId="21" hidden="1"/>
  </cellStyles>
  <dxfs count="5">
    <dxf>
      <fill>
        <patternFill patternType="solid">
          <fgColor indexed="64"/>
          <bgColor theme="1"/>
        </patternFill>
      </fill>
    </dxf>
    <dxf>
      <numFmt numFmtId="0" formatCode="General"/>
    </dxf>
    <dxf>
      <numFmt numFmtId="170" formatCode="0_ ;\-0\ "/>
    </dxf>
    <dxf>
      <numFmt numFmtId="0" formatCode="General"/>
    </dxf>
    <dxf>
      <numFmt numFmtId="0" formatCode="General"/>
    </dxf>
  </dxfs>
  <tableStyles count="0" defaultTableStyle="TableStyleMedium2" defaultPivotStyle="PivotStyleLight16"/>
  <colors>
    <mruColors>
      <color rgb="FFCCCCFF"/>
      <color rgb="FF5F1F7A"/>
      <color rgb="FFCCC8D9"/>
      <color rgb="FFE1FFE1"/>
      <color rgb="FFCCFFCC"/>
      <color rgb="FFFFFFCC"/>
      <color rgb="FFFFCC99"/>
      <color rgb="FF66FF66"/>
      <color rgb="FFFF99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16</xdr:row>
      <xdr:rowOff>78442</xdr:rowOff>
    </xdr:from>
    <xdr:to>
      <xdr:col>5</xdr:col>
      <xdr:colOff>360000</xdr:colOff>
      <xdr:row>20</xdr:row>
      <xdr:rowOff>56869</xdr:rowOff>
    </xdr:to>
    <xdr:cxnSp macro="">
      <xdr:nvCxnSpPr>
        <xdr:cNvPr id="2" name="Rechte verbindingslijn met pijl 1">
          <a:extLst>
            <a:ext uri="{FF2B5EF4-FFF2-40B4-BE49-F238E27FC236}">
              <a16:creationId xmlns:a16="http://schemas.microsoft.com/office/drawing/2014/main" id="{EFC75FDC-FBDF-4AF4-AF3A-389B791526FC}"/>
            </a:ext>
          </a:extLst>
        </xdr:cNvPr>
        <xdr:cNvCxnSpPr/>
      </xdr:nvCxnSpPr>
      <xdr:spPr>
        <a:xfrm>
          <a:off x="4171950" y="2821642"/>
          <a:ext cx="360000" cy="740427"/>
        </a:xfrm>
        <a:prstGeom prst="straightConnector1">
          <a:avLst/>
        </a:prstGeom>
        <a:ln cmpd="sng">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16</xdr:row>
      <xdr:rowOff>78441</xdr:rowOff>
    </xdr:from>
    <xdr:to>
      <xdr:col>9</xdr:col>
      <xdr:colOff>341735</xdr:colOff>
      <xdr:row>16</xdr:row>
      <xdr:rowOff>78441</xdr:rowOff>
    </xdr:to>
    <xdr:cxnSp macro="">
      <xdr:nvCxnSpPr>
        <xdr:cNvPr id="8" name="Rechte verbindingslijn met pijl 7">
          <a:extLst>
            <a:ext uri="{FF2B5EF4-FFF2-40B4-BE49-F238E27FC236}">
              <a16:creationId xmlns:a16="http://schemas.microsoft.com/office/drawing/2014/main" id="{56E544E9-993B-40EE-BCAE-CE3F421FB753}"/>
            </a:ext>
          </a:extLst>
        </xdr:cNvPr>
        <xdr:cNvCxnSpPr/>
      </xdr:nvCxnSpPr>
      <xdr:spPr>
        <a:xfrm>
          <a:off x="4171950" y="2821641"/>
          <a:ext cx="3132560"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16</xdr:row>
      <xdr:rowOff>134471</xdr:rowOff>
    </xdr:from>
    <xdr:to>
      <xdr:col>9</xdr:col>
      <xdr:colOff>360000</xdr:colOff>
      <xdr:row>20</xdr:row>
      <xdr:rowOff>112899</xdr:rowOff>
    </xdr:to>
    <xdr:cxnSp macro="">
      <xdr:nvCxnSpPr>
        <xdr:cNvPr id="9" name="Rechte verbindingslijn met pijl 8">
          <a:extLst>
            <a:ext uri="{FF2B5EF4-FFF2-40B4-BE49-F238E27FC236}">
              <a16:creationId xmlns:a16="http://schemas.microsoft.com/office/drawing/2014/main" id="{9B2D7A87-018F-4820-B8E7-3ECA4AB872F2}"/>
            </a:ext>
          </a:extLst>
        </xdr:cNvPr>
        <xdr:cNvCxnSpPr/>
      </xdr:nvCxnSpPr>
      <xdr:spPr>
        <a:xfrm flipV="1">
          <a:off x="6962775" y="2877671"/>
          <a:ext cx="360000" cy="740428"/>
        </a:xfrm>
        <a:prstGeom prst="straightConnector1">
          <a:avLst/>
        </a:prstGeom>
        <a:ln cmpd="sng">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367393</xdr:colOff>
      <xdr:row>32</xdr:row>
      <xdr:rowOff>143276</xdr:rowOff>
    </xdr:from>
    <xdr:to>
      <xdr:col>7</xdr:col>
      <xdr:colOff>1600393</xdr:colOff>
      <xdr:row>32</xdr:row>
      <xdr:rowOff>143276</xdr:rowOff>
    </xdr:to>
    <xdr:cxnSp macro="">
      <xdr:nvCxnSpPr>
        <xdr:cNvPr id="10" name="Rechte verbindingslijn met pijl 9">
          <a:extLst>
            <a:ext uri="{FF2B5EF4-FFF2-40B4-BE49-F238E27FC236}">
              <a16:creationId xmlns:a16="http://schemas.microsoft.com/office/drawing/2014/main" id="{60023387-B8DE-4E81-90B6-0C7B7D5CAE45}"/>
            </a:ext>
          </a:extLst>
        </xdr:cNvPr>
        <xdr:cNvCxnSpPr/>
      </xdr:nvCxnSpPr>
      <xdr:spPr>
        <a:xfrm flipV="1">
          <a:off x="4158343" y="5934476"/>
          <a:ext cx="2376000"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1601390</xdr:colOff>
      <xdr:row>28</xdr:row>
      <xdr:rowOff>87246</xdr:rowOff>
    </xdr:from>
    <xdr:to>
      <xdr:col>9</xdr:col>
      <xdr:colOff>327775</xdr:colOff>
      <xdr:row>32</xdr:row>
      <xdr:rowOff>119063</xdr:rowOff>
    </xdr:to>
    <xdr:cxnSp macro="">
      <xdr:nvCxnSpPr>
        <xdr:cNvPr id="11" name="Rechte verbindingslijn met pijl 10">
          <a:extLst>
            <a:ext uri="{FF2B5EF4-FFF2-40B4-BE49-F238E27FC236}">
              <a16:creationId xmlns:a16="http://schemas.microsoft.com/office/drawing/2014/main" id="{A1BC4132-B408-4864-91AF-8834510DE97B}"/>
            </a:ext>
          </a:extLst>
        </xdr:cNvPr>
        <xdr:cNvCxnSpPr/>
      </xdr:nvCxnSpPr>
      <xdr:spPr>
        <a:xfrm flipV="1">
          <a:off x="6535340" y="5116446"/>
          <a:ext cx="755210" cy="793817"/>
        </a:xfrm>
        <a:prstGeom prst="straightConnector1">
          <a:avLst/>
        </a:prstGeom>
        <a:ln cmpd="sng">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xdr:colOff>
      <xdr:row>22</xdr:row>
      <xdr:rowOff>82826</xdr:rowOff>
    </xdr:from>
    <xdr:to>
      <xdr:col>15</xdr:col>
      <xdr:colOff>1201772</xdr:colOff>
      <xdr:row>44</xdr:row>
      <xdr:rowOff>130827</xdr:rowOff>
    </xdr:to>
    <xdr:grpSp>
      <xdr:nvGrpSpPr>
        <xdr:cNvPr id="12" name="Groep 11">
          <a:extLst>
            <a:ext uri="{FF2B5EF4-FFF2-40B4-BE49-F238E27FC236}">
              <a16:creationId xmlns:a16="http://schemas.microsoft.com/office/drawing/2014/main" id="{1702A1DB-C9C8-4DF7-9FE9-E058176C8EDB}"/>
            </a:ext>
          </a:extLst>
        </xdr:cNvPr>
        <xdr:cNvGrpSpPr/>
      </xdr:nvGrpSpPr>
      <xdr:grpSpPr>
        <a:xfrm>
          <a:off x="4168589" y="3904032"/>
          <a:ext cx="7544301" cy="4239001"/>
          <a:chOff x="4169229" y="3747248"/>
          <a:chExt cx="7550109" cy="3159209"/>
        </a:xfrm>
      </xdr:grpSpPr>
      <xdr:cxnSp macro="">
        <xdr:nvCxnSpPr>
          <xdr:cNvPr id="17" name="Verbindingslijn: gebogen 16">
            <a:extLst>
              <a:ext uri="{FF2B5EF4-FFF2-40B4-BE49-F238E27FC236}">
                <a16:creationId xmlns:a16="http://schemas.microsoft.com/office/drawing/2014/main" id="{EB7F3412-9B8D-EE2F-DDDD-C6A9F15ED395}"/>
              </a:ext>
            </a:extLst>
          </xdr:cNvPr>
          <xdr:cNvCxnSpPr/>
        </xdr:nvCxnSpPr>
        <xdr:spPr>
          <a:xfrm>
            <a:off x="4947876" y="3747249"/>
            <a:ext cx="6771462" cy="3159208"/>
          </a:xfrm>
          <a:prstGeom prst="bentConnector3">
            <a:avLst>
              <a:gd name="adj1" fmla="val 99839"/>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18" name="Verbindingslijn: gebogen 17">
            <a:extLst>
              <a:ext uri="{FF2B5EF4-FFF2-40B4-BE49-F238E27FC236}">
                <a16:creationId xmlns:a16="http://schemas.microsoft.com/office/drawing/2014/main" id="{A1D6FC29-DB1B-B9C9-4745-73C6CAD832E5}"/>
              </a:ext>
            </a:extLst>
          </xdr:cNvPr>
          <xdr:cNvCxnSpPr/>
        </xdr:nvCxnSpPr>
        <xdr:spPr>
          <a:xfrm rot="5400000">
            <a:off x="3863470" y="4053007"/>
            <a:ext cx="1395930" cy="784412"/>
          </a:xfrm>
          <a:prstGeom prst="bentConnector3">
            <a:avLst>
              <a:gd name="adj1" fmla="val 100246"/>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13</xdr:col>
      <xdr:colOff>66260</xdr:colOff>
      <xdr:row>24</xdr:row>
      <xdr:rowOff>24848</xdr:rowOff>
    </xdr:from>
    <xdr:to>
      <xdr:col>13</xdr:col>
      <xdr:colOff>379224</xdr:colOff>
      <xdr:row>42</xdr:row>
      <xdr:rowOff>38100</xdr:rowOff>
    </xdr:to>
    <xdr:sp macro="" textlink="">
      <xdr:nvSpPr>
        <xdr:cNvPr id="19" name="Vierkante haak rechts 18">
          <a:extLst>
            <a:ext uri="{FF2B5EF4-FFF2-40B4-BE49-F238E27FC236}">
              <a16:creationId xmlns:a16="http://schemas.microsoft.com/office/drawing/2014/main" id="{90DC673A-5DAB-4AD0-8AB9-62F9D09F6309}"/>
            </a:ext>
          </a:extLst>
        </xdr:cNvPr>
        <xdr:cNvSpPr/>
      </xdr:nvSpPr>
      <xdr:spPr>
        <a:xfrm>
          <a:off x="9819860" y="4292048"/>
          <a:ext cx="312964" cy="3442252"/>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nl-NL" sz="1100"/>
        </a:p>
      </xdr:txBody>
    </xdr:sp>
    <xdr:clientData/>
  </xdr:twoCellAnchor>
  <xdr:twoCellAnchor>
    <xdr:from>
      <xdr:col>13</xdr:col>
      <xdr:colOff>379224</xdr:colOff>
      <xdr:row>34</xdr:row>
      <xdr:rowOff>126724</xdr:rowOff>
    </xdr:from>
    <xdr:to>
      <xdr:col>15</xdr:col>
      <xdr:colOff>419280</xdr:colOff>
      <xdr:row>44</xdr:row>
      <xdr:rowOff>130516</xdr:rowOff>
    </xdr:to>
    <xdr:cxnSp macro="">
      <xdr:nvCxnSpPr>
        <xdr:cNvPr id="21" name="Verbindingslijn: gebogen 20">
          <a:extLst>
            <a:ext uri="{FF2B5EF4-FFF2-40B4-BE49-F238E27FC236}">
              <a16:creationId xmlns:a16="http://schemas.microsoft.com/office/drawing/2014/main" id="{AA705F1E-9193-48D1-AFCE-CC8C8D27A46C}"/>
            </a:ext>
          </a:extLst>
        </xdr:cNvPr>
        <xdr:cNvCxnSpPr>
          <a:stCxn id="19" idx="2"/>
        </xdr:cNvCxnSpPr>
      </xdr:nvCxnSpPr>
      <xdr:spPr>
        <a:xfrm rot="10800000" flipH="1" flipV="1">
          <a:off x="10132824" y="6298924"/>
          <a:ext cx="802056" cy="1908792"/>
        </a:xfrm>
        <a:prstGeom prst="bentConnector4">
          <a:avLst>
            <a:gd name="adj1" fmla="val 100435"/>
            <a:gd name="adj2" fmla="val 90456"/>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13640</xdr:colOff>
      <xdr:row>46</xdr:row>
      <xdr:rowOff>87212</xdr:rowOff>
    </xdr:from>
    <xdr:to>
      <xdr:col>13</xdr:col>
      <xdr:colOff>335162</xdr:colOff>
      <xdr:row>46</xdr:row>
      <xdr:rowOff>87212</xdr:rowOff>
    </xdr:to>
    <xdr:cxnSp macro="">
      <xdr:nvCxnSpPr>
        <xdr:cNvPr id="22" name="Rechte verbindingslijn met pijl 21">
          <a:extLst>
            <a:ext uri="{FF2B5EF4-FFF2-40B4-BE49-F238E27FC236}">
              <a16:creationId xmlns:a16="http://schemas.microsoft.com/office/drawing/2014/main" id="{8A772167-29B2-4528-8583-2FE82290ECFB}"/>
            </a:ext>
          </a:extLst>
        </xdr:cNvPr>
        <xdr:cNvCxnSpPr/>
      </xdr:nvCxnSpPr>
      <xdr:spPr>
        <a:xfrm flipV="1">
          <a:off x="4185590" y="8545412"/>
          <a:ext cx="5903172"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380999</xdr:colOff>
      <xdr:row>41</xdr:row>
      <xdr:rowOff>163286</xdr:rowOff>
    </xdr:from>
    <xdr:to>
      <xdr:col>9</xdr:col>
      <xdr:colOff>378535</xdr:colOff>
      <xdr:row>41</xdr:row>
      <xdr:rowOff>163286</xdr:rowOff>
    </xdr:to>
    <xdr:cxnSp macro="">
      <xdr:nvCxnSpPr>
        <xdr:cNvPr id="24" name="Rechte verbindingslijn met pijl 23">
          <a:extLst>
            <a:ext uri="{FF2B5EF4-FFF2-40B4-BE49-F238E27FC236}">
              <a16:creationId xmlns:a16="http://schemas.microsoft.com/office/drawing/2014/main" id="{4E480C49-ED5D-489A-8970-43E8F9626E0B}"/>
            </a:ext>
          </a:extLst>
        </xdr:cNvPr>
        <xdr:cNvCxnSpPr/>
      </xdr:nvCxnSpPr>
      <xdr:spPr>
        <a:xfrm>
          <a:off x="4171949" y="7668986"/>
          <a:ext cx="3169361" cy="0"/>
        </a:xfrm>
        <a:prstGeom prst="straightConnector1">
          <a:avLst/>
        </a:prstGeom>
        <a:ln cmpd="sng">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1619250</xdr:colOff>
      <xdr:row>32</xdr:row>
      <xdr:rowOff>148828</xdr:rowOff>
    </xdr:from>
    <xdr:to>
      <xdr:col>9</xdr:col>
      <xdr:colOff>363141</xdr:colOff>
      <xdr:row>32</xdr:row>
      <xdr:rowOff>148828</xdr:rowOff>
    </xdr:to>
    <xdr:cxnSp macro="">
      <xdr:nvCxnSpPr>
        <xdr:cNvPr id="25" name="Rechte verbindingslijn met pijl 24">
          <a:extLst>
            <a:ext uri="{FF2B5EF4-FFF2-40B4-BE49-F238E27FC236}">
              <a16:creationId xmlns:a16="http://schemas.microsoft.com/office/drawing/2014/main" id="{DC3D3D7A-C4A6-4B03-A1F8-DAA44322A39E}"/>
            </a:ext>
          </a:extLst>
        </xdr:cNvPr>
        <xdr:cNvCxnSpPr/>
      </xdr:nvCxnSpPr>
      <xdr:spPr>
        <a:xfrm>
          <a:off x="6553200" y="5940028"/>
          <a:ext cx="772716" cy="0"/>
        </a:xfrm>
        <a:prstGeom prst="straightConnector1">
          <a:avLst/>
        </a:prstGeom>
        <a:ln cmpd="sng">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1607343</xdr:colOff>
      <xdr:row>33</xdr:row>
      <xdr:rowOff>0</xdr:rowOff>
    </xdr:from>
    <xdr:to>
      <xdr:col>9</xdr:col>
      <xdr:colOff>360433</xdr:colOff>
      <xdr:row>36</xdr:row>
      <xdr:rowOff>94082</xdr:rowOff>
    </xdr:to>
    <xdr:cxnSp macro="">
      <xdr:nvCxnSpPr>
        <xdr:cNvPr id="26" name="Rechte verbindingslijn met pijl 25">
          <a:extLst>
            <a:ext uri="{FF2B5EF4-FFF2-40B4-BE49-F238E27FC236}">
              <a16:creationId xmlns:a16="http://schemas.microsoft.com/office/drawing/2014/main" id="{21EAC05D-96A2-4347-92E0-73457A080497}"/>
            </a:ext>
          </a:extLst>
        </xdr:cNvPr>
        <xdr:cNvCxnSpPr/>
      </xdr:nvCxnSpPr>
      <xdr:spPr>
        <a:xfrm>
          <a:off x="6541293" y="5981700"/>
          <a:ext cx="781915" cy="665582"/>
        </a:xfrm>
        <a:prstGeom prst="straightConnector1">
          <a:avLst/>
        </a:prstGeom>
        <a:ln cmpd="sng">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1583531</xdr:colOff>
      <xdr:row>24</xdr:row>
      <xdr:rowOff>62753</xdr:rowOff>
    </xdr:from>
    <xdr:to>
      <xdr:col>9</xdr:col>
      <xdr:colOff>357711</xdr:colOff>
      <xdr:row>32</xdr:row>
      <xdr:rowOff>95250</xdr:rowOff>
    </xdr:to>
    <xdr:cxnSp macro="">
      <xdr:nvCxnSpPr>
        <xdr:cNvPr id="27" name="Rechte verbindingslijn met pijl 26">
          <a:extLst>
            <a:ext uri="{FF2B5EF4-FFF2-40B4-BE49-F238E27FC236}">
              <a16:creationId xmlns:a16="http://schemas.microsoft.com/office/drawing/2014/main" id="{ACD6F248-84D9-4B35-A0B3-16B71C8AAB7E}"/>
            </a:ext>
          </a:extLst>
        </xdr:cNvPr>
        <xdr:cNvCxnSpPr/>
      </xdr:nvCxnSpPr>
      <xdr:spPr>
        <a:xfrm flipV="1">
          <a:off x="6517481" y="4329953"/>
          <a:ext cx="803005" cy="1556497"/>
        </a:xfrm>
        <a:prstGeom prst="straightConnector1">
          <a:avLst/>
        </a:prstGeom>
        <a:ln cmpd="sng">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1577578</xdr:colOff>
      <xdr:row>33</xdr:row>
      <xdr:rowOff>0</xdr:rowOff>
    </xdr:from>
    <xdr:to>
      <xdr:col>9</xdr:col>
      <xdr:colOff>346825</xdr:colOff>
      <xdr:row>41</xdr:row>
      <xdr:rowOff>68475</xdr:rowOff>
    </xdr:to>
    <xdr:cxnSp macro="">
      <xdr:nvCxnSpPr>
        <xdr:cNvPr id="33" name="Rechte verbindingslijn met pijl 32">
          <a:extLst>
            <a:ext uri="{FF2B5EF4-FFF2-40B4-BE49-F238E27FC236}">
              <a16:creationId xmlns:a16="http://schemas.microsoft.com/office/drawing/2014/main" id="{8F5D9C45-25F2-4C89-BB3D-6FA8E0ADE39E}"/>
            </a:ext>
          </a:extLst>
        </xdr:cNvPr>
        <xdr:cNvCxnSpPr/>
      </xdr:nvCxnSpPr>
      <xdr:spPr>
        <a:xfrm>
          <a:off x="6511528" y="5981700"/>
          <a:ext cx="798072" cy="1592475"/>
        </a:xfrm>
        <a:prstGeom prst="straightConnector1">
          <a:avLst/>
        </a:prstGeom>
        <a:ln cmpd="sng">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6684C02-4E9F-47FE-BA65-070BAA73E1F2}" name="Realisatie_netverliezen" displayName="Realisatie_netverliezen" ref="B16:F21" totalsRowShown="0">
  <autoFilter ref="B16:F21" xr:uid="{96684C02-4E9F-47FE-BA65-070BAA73E1F2}"/>
  <tableColumns count="5">
    <tableColumn id="1" xr3:uid="{A90AE744-F165-46DA-B955-78C42FE448DA}" name="Methodebesluit" dataDxfId="4" dataCellStyle="Cel input database"/>
    <tableColumn id="2" xr3:uid="{C565BC7B-FD12-4F96-A844-3620340C7E19}" name="Segment" dataDxfId="3" dataCellStyle="Cel input database"/>
    <tableColumn id="3" xr3:uid="{6E1EB7B5-9F88-4D57-8818-39E402E5AF71}" name="Jaar" dataDxfId="2" dataCellStyle="Cel input database"/>
    <tableColumn id="4" xr3:uid="{AA7B2C8F-BCA1-4779-BD49-1F45A834ADB4}" name="Categorie" dataDxfId="1" dataCellStyle="Cel input database"/>
    <tableColumn id="5" xr3:uid="{52A7B6C8-6E98-4675-8ADF-5E8793B718FD}" name="Waarde" dataDxfId="0" dataCellStyle="Cel input database"/>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acm.nl/system/files/documents/rekenmodule-inkomstenbesluit-tennet-2024.xlsx" TargetMode="External"/><Relationship Id="rId3" Type="http://schemas.openxmlformats.org/officeDocument/2006/relationships/hyperlink" Target="https://uitspraken.rechtspraak.nl/inziendocument?id=ECLI:NL:CBB:2019:635" TargetMode="External"/><Relationship Id="rId7" Type="http://schemas.openxmlformats.org/officeDocument/2006/relationships/hyperlink" Target="https://www.acm.nl/system/files/documents/gewijzigd-methodebesluit-tennet-net-op-zee-2022-2026.pdf" TargetMode="External"/><Relationship Id="rId2" Type="http://schemas.openxmlformats.org/officeDocument/2006/relationships/hyperlink" Target="https://www.dnb.nl/statistieken/data-zoeken/" TargetMode="External"/><Relationship Id="rId1" Type="http://schemas.openxmlformats.org/officeDocument/2006/relationships/hyperlink" Target="https://opendata.cbs.nl/statline/" TargetMode="External"/><Relationship Id="rId6" Type="http://schemas.openxmlformats.org/officeDocument/2006/relationships/hyperlink" Target="https://www.acm.nl/system/files/documents/gewijzigde-x-factorberekening-netbeheerder-van-het-net-op-zee-2022-2026.xlsx" TargetMode="External"/><Relationship Id="rId5" Type="http://schemas.openxmlformats.org/officeDocument/2006/relationships/hyperlink" Target="https://www.acm.nl/system/files/documents/rekenmodule-inkomstenbesluit-tennet-2023.xlsx" TargetMode="External"/><Relationship Id="rId10" Type="http://schemas.openxmlformats.org/officeDocument/2006/relationships/printerSettings" Target="../printerSettings/printerSettings3.bin"/><Relationship Id="rId4" Type="http://schemas.openxmlformats.org/officeDocument/2006/relationships/hyperlink" Target="https://www.acm.nl/nl/publicaties/x-factorbesluit-tennet-net-op-zee-2022-2026" TargetMode="External"/><Relationship Id="rId9" Type="http://schemas.openxmlformats.org/officeDocument/2006/relationships/hyperlink" Target="https://www.acm.nl/system/files/documents/gewijzigde-gaw-berekening-tennet-voor-de-reguleringsperiode-2022-2026_0.xls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tabColor rgb="FFCCC8D9"/>
    <pageSetUpPr autoPageBreaks="0"/>
  </sheetPr>
  <dimension ref="B2:E44"/>
  <sheetViews>
    <sheetView showGridLines="0" tabSelected="1" zoomScale="85" zoomScaleNormal="85" workbookViewId="0">
      <pane ySplit="3" topLeftCell="A4" activePane="bottomLeft" state="frozen"/>
      <selection pane="bottomLeft" activeCell="A4" sqref="A4"/>
    </sheetView>
  </sheetViews>
  <sheetFormatPr defaultColWidth="9.140625" defaultRowHeight="12.75" x14ac:dyDescent="0.25"/>
  <cols>
    <col min="1" max="1" width="5.7109375" style="6" customWidth="1"/>
    <col min="2" max="2" width="43.7109375" style="6" customWidth="1"/>
    <col min="3" max="3" width="91.85546875" style="6" customWidth="1"/>
    <col min="4" max="16384" width="9.140625" style="6"/>
  </cols>
  <sheetData>
    <row r="2" spans="2:3" s="16" customFormat="1" ht="18" x14ac:dyDescent="0.25">
      <c r="B2" s="15" t="s">
        <v>61</v>
      </c>
    </row>
    <row r="6" spans="2:3" x14ac:dyDescent="0.25">
      <c r="B6" s="9"/>
    </row>
    <row r="13" spans="2:3" s="12" customFormat="1" x14ac:dyDescent="0.25">
      <c r="B13" s="12" t="s">
        <v>0</v>
      </c>
    </row>
    <row r="15" spans="2:3" x14ac:dyDescent="0.25">
      <c r="B15" s="13" t="s">
        <v>1</v>
      </c>
      <c r="C15" s="14" t="s">
        <v>348</v>
      </c>
    </row>
    <row r="16" spans="2:3" x14ac:dyDescent="0.25">
      <c r="B16" s="13" t="s">
        <v>2</v>
      </c>
      <c r="C16" s="14" t="s">
        <v>345</v>
      </c>
    </row>
    <row r="17" spans="2:5" x14ac:dyDescent="0.25">
      <c r="B17" s="13" t="s">
        <v>3</v>
      </c>
      <c r="C17" s="14" t="s">
        <v>346</v>
      </c>
    </row>
    <row r="18" spans="2:5" x14ac:dyDescent="0.25">
      <c r="B18" s="13" t="s">
        <v>4</v>
      </c>
      <c r="C18" s="14" t="s">
        <v>347</v>
      </c>
    </row>
    <row r="19" spans="2:5" x14ac:dyDescent="0.25">
      <c r="B19" s="13" t="s">
        <v>5</v>
      </c>
      <c r="C19" s="14" t="s">
        <v>57</v>
      </c>
    </row>
    <row r="20" spans="2:5" x14ac:dyDescent="0.25">
      <c r="B20" s="13" t="s">
        <v>6</v>
      </c>
      <c r="C20" s="110" t="s">
        <v>571</v>
      </c>
    </row>
    <row r="21" spans="2:5" ht="24" customHeight="1" x14ac:dyDescent="0.25">
      <c r="B21" s="13" t="s">
        <v>7</v>
      </c>
      <c r="C21" s="14" t="s">
        <v>529</v>
      </c>
    </row>
    <row r="22" spans="2:5" ht="12.75" customHeight="1" x14ac:dyDescent="0.25">
      <c r="B22" s="13" t="s">
        <v>8</v>
      </c>
      <c r="C22" s="14" t="s">
        <v>57</v>
      </c>
    </row>
    <row r="25" spans="2:5" s="12" customFormat="1" x14ac:dyDescent="0.25">
      <c r="B25" s="12" t="s">
        <v>9</v>
      </c>
    </row>
    <row r="27" spans="2:5" x14ac:dyDescent="0.25">
      <c r="B27" s="14" t="s">
        <v>117</v>
      </c>
      <c r="C27" s="14" t="s">
        <v>263</v>
      </c>
    </row>
    <row r="28" spans="2:5" ht="25.5" x14ac:dyDescent="0.25">
      <c r="B28" s="14" t="s">
        <v>118</v>
      </c>
      <c r="C28" s="14" t="s">
        <v>263</v>
      </c>
    </row>
    <row r="29" spans="2:5" x14ac:dyDescent="0.25">
      <c r="B29" s="14" t="s">
        <v>119</v>
      </c>
      <c r="C29" s="116">
        <v>45624</v>
      </c>
      <c r="E29" s="32"/>
    </row>
    <row r="30" spans="2:5" ht="25.5" x14ac:dyDescent="0.25">
      <c r="B30" s="14" t="s">
        <v>120</v>
      </c>
      <c r="C30" s="14" t="s">
        <v>263</v>
      </c>
    </row>
    <row r="31" spans="2:5" ht="25.5" x14ac:dyDescent="0.25">
      <c r="B31" s="14" t="s">
        <v>121</v>
      </c>
      <c r="C31" s="14" t="s">
        <v>115</v>
      </c>
    </row>
    <row r="32" spans="2:5" x14ac:dyDescent="0.25">
      <c r="B32" s="14" t="s">
        <v>8</v>
      </c>
      <c r="C32" s="11" t="s">
        <v>57</v>
      </c>
    </row>
    <row r="33" spans="2:3" x14ac:dyDescent="0.25">
      <c r="B33" s="5"/>
    </row>
    <row r="34" spans="2:3" x14ac:dyDescent="0.25">
      <c r="B34" s="117" t="s">
        <v>122</v>
      </c>
      <c r="C34" s="117"/>
    </row>
    <row r="36" spans="2:3" s="12" customFormat="1" x14ac:dyDescent="0.25">
      <c r="B36" s="12" t="s">
        <v>10</v>
      </c>
    </row>
    <row r="38" spans="2:3" x14ac:dyDescent="0.25">
      <c r="B38" s="6" t="s">
        <v>59</v>
      </c>
    </row>
    <row r="39" spans="2:3" x14ac:dyDescent="0.25">
      <c r="B39" s="6" t="s">
        <v>60</v>
      </c>
    </row>
    <row r="40" spans="2:3" x14ac:dyDescent="0.25">
      <c r="B40" s="6" t="s">
        <v>570</v>
      </c>
    </row>
    <row r="42" spans="2:3" s="12" customFormat="1" x14ac:dyDescent="0.25">
      <c r="B42" s="12" t="s">
        <v>74</v>
      </c>
    </row>
    <row r="44" spans="2:3" x14ac:dyDescent="0.25">
      <c r="B44" s="6" t="s">
        <v>75</v>
      </c>
    </row>
  </sheetData>
  <mergeCells count="1">
    <mergeCell ref="B34:C34"/>
  </mergeCells>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BC272-C4AE-4DCB-A749-69DCC46AAFD2}">
  <sheetPr>
    <tabColor theme="0" tint="-4.9989318521683403E-2"/>
    <pageSetUpPr autoPageBreaks="0"/>
  </sheetPr>
  <dimension ref="A1"/>
  <sheetViews>
    <sheetView showGridLines="0" zoomScale="85" zoomScaleNormal="85" workbookViewId="0"/>
  </sheetViews>
  <sheetFormatPr defaultColWidth="9.140625" defaultRowHeight="12.75" x14ac:dyDescent="0.25"/>
  <cols>
    <col min="1" max="16384" width="9.140625" style="23"/>
  </cols>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56147-010B-4788-9964-6D3CCDBC70CA}">
  <sheetPr>
    <tabColor rgb="FFCCCCFF"/>
  </sheetPr>
  <dimension ref="A1:H21"/>
  <sheetViews>
    <sheetView showGridLines="0" zoomScale="85" zoomScaleNormal="85" workbookViewId="0"/>
  </sheetViews>
  <sheetFormatPr defaultColWidth="9.140625" defaultRowHeight="12.75" customHeight="1" x14ac:dyDescent="0.25"/>
  <cols>
    <col min="1" max="1" width="5.7109375" style="100" customWidth="1"/>
    <col min="2" max="2" width="20.7109375" customWidth="1"/>
    <col min="3" max="4" width="11.7109375" customWidth="1"/>
    <col min="5" max="5" width="32" customWidth="1"/>
    <col min="6" max="6" width="13.7109375" customWidth="1"/>
    <col min="7" max="7" width="2.7109375" customWidth="1"/>
    <col min="8" max="8" width="35.7109375" customWidth="1"/>
    <col min="9" max="9" width="2.7109375" customWidth="1"/>
    <col min="10" max="23" width="13.7109375" customWidth="1"/>
  </cols>
  <sheetData>
    <row r="1" spans="1:8" ht="12.75" customHeight="1" x14ac:dyDescent="0.25">
      <c r="A1"/>
    </row>
    <row r="2" spans="1:8" s="46" customFormat="1" ht="18" customHeight="1" x14ac:dyDescent="0.25">
      <c r="A2" s="99"/>
      <c r="B2" s="46" t="s">
        <v>208</v>
      </c>
    </row>
    <row r="4" spans="1:8" ht="12.75" customHeight="1" x14ac:dyDescent="0.25">
      <c r="B4" s="34" t="s">
        <v>137</v>
      </c>
    </row>
    <row r="5" spans="1:8" ht="27" customHeight="1" x14ac:dyDescent="0.25">
      <c r="B5" s="118" t="s">
        <v>209</v>
      </c>
      <c r="C5" s="118"/>
      <c r="D5" s="118"/>
      <c r="E5" s="118"/>
      <c r="F5" s="118"/>
      <c r="G5" s="118"/>
    </row>
    <row r="7" spans="1:8" ht="12.75" customHeight="1" x14ac:dyDescent="0.25">
      <c r="B7" s="34" t="s">
        <v>210</v>
      </c>
    </row>
    <row r="8" spans="1:8" ht="12.75" customHeight="1" x14ac:dyDescent="0.25">
      <c r="B8" s="118" t="s">
        <v>386</v>
      </c>
      <c r="C8" s="118"/>
      <c r="D8" s="118"/>
      <c r="E8" s="118"/>
      <c r="F8" s="118"/>
      <c r="G8" s="118"/>
    </row>
    <row r="10" spans="1:8" ht="12.75" customHeight="1" x14ac:dyDescent="0.25">
      <c r="B10" s="34" t="s">
        <v>211</v>
      </c>
    </row>
    <row r="11" spans="1:8" ht="12.75" customHeight="1" x14ac:dyDescent="0.25">
      <c r="B11" s="96">
        <v>45520</v>
      </c>
    </row>
    <row r="13" spans="1:8" ht="12.75" customHeight="1" x14ac:dyDescent="0.25">
      <c r="B13" s="34" t="s">
        <v>212</v>
      </c>
    </row>
    <row r="14" spans="1:8" s="45" customFormat="1" ht="27" customHeight="1" x14ac:dyDescent="0.2">
      <c r="A14" s="100"/>
      <c r="B14" s="118" t="s">
        <v>385</v>
      </c>
      <c r="C14" s="118"/>
      <c r="D14" s="118"/>
      <c r="E14" s="118"/>
      <c r="F14" s="118"/>
      <c r="G14" s="118"/>
    </row>
    <row r="16" spans="1:8" s="12" customFormat="1" x14ac:dyDescent="0.25">
      <c r="B16" s="12" t="s">
        <v>237</v>
      </c>
      <c r="C16" s="12" t="s">
        <v>204</v>
      </c>
      <c r="D16" s="12" t="s">
        <v>203</v>
      </c>
      <c r="E16" s="12" t="s">
        <v>205</v>
      </c>
      <c r="F16" s="12" t="s">
        <v>238</v>
      </c>
      <c r="H16" s="12" t="s">
        <v>116</v>
      </c>
    </row>
    <row r="17" spans="2:8" ht="12.75" customHeight="1" x14ac:dyDescent="0.25">
      <c r="B17" s="109" t="s">
        <v>239</v>
      </c>
      <c r="C17" s="109" t="s">
        <v>96</v>
      </c>
      <c r="D17" s="101">
        <v>2023</v>
      </c>
      <c r="E17" s="109" t="s">
        <v>206</v>
      </c>
      <c r="F17" s="114"/>
      <c r="H17" s="6" t="s">
        <v>569</v>
      </c>
    </row>
    <row r="18" spans="2:8" ht="12.75" customHeight="1" x14ac:dyDescent="0.25">
      <c r="B18" s="109" t="s">
        <v>239</v>
      </c>
      <c r="C18" s="109" t="s">
        <v>96</v>
      </c>
      <c r="D18" s="101">
        <v>2023</v>
      </c>
      <c r="E18" s="109" t="s">
        <v>207</v>
      </c>
      <c r="F18" s="114"/>
      <c r="H18" s="6" t="s">
        <v>569</v>
      </c>
    </row>
    <row r="19" spans="2:8" ht="12.75" customHeight="1" x14ac:dyDescent="0.25">
      <c r="B19" s="109" t="s">
        <v>239</v>
      </c>
      <c r="C19" s="109" t="s">
        <v>96</v>
      </c>
      <c r="D19" s="101">
        <v>2022</v>
      </c>
      <c r="E19" s="109" t="s">
        <v>206</v>
      </c>
      <c r="F19" s="114"/>
      <c r="H19" s="6" t="s">
        <v>569</v>
      </c>
    </row>
    <row r="20" spans="2:8" ht="12.75" customHeight="1" x14ac:dyDescent="0.25">
      <c r="B20" s="109" t="s">
        <v>239</v>
      </c>
      <c r="C20" s="109" t="s">
        <v>96</v>
      </c>
      <c r="D20" s="101">
        <v>2022</v>
      </c>
      <c r="E20" s="109" t="s">
        <v>207</v>
      </c>
      <c r="F20" s="114"/>
      <c r="H20" s="6" t="s">
        <v>569</v>
      </c>
    </row>
    <row r="21" spans="2:8" ht="12.75" customHeight="1" x14ac:dyDescent="0.25">
      <c r="B21" s="109" t="s">
        <v>239</v>
      </c>
      <c r="C21" s="109" t="s">
        <v>97</v>
      </c>
      <c r="D21" s="101">
        <v>2023</v>
      </c>
      <c r="E21" s="109" t="s">
        <v>524</v>
      </c>
      <c r="F21" s="95">
        <v>63277.535497908299</v>
      </c>
      <c r="H21" s="6"/>
    </row>
  </sheetData>
  <mergeCells count="3">
    <mergeCell ref="B5:G5"/>
    <mergeCell ref="B8:G8"/>
    <mergeCell ref="B14:G14"/>
  </mergeCells>
  <phoneticPr fontId="26" type="noConversion"/>
  <pageMargins left="0.7" right="0.7" top="0.75" bottom="0.75" header="0.3" footer="0.3"/>
  <pageSetup paperSize="9"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1">
    <tabColor theme="0" tint="-4.9989318521683403E-2"/>
    <pageSetUpPr autoPageBreaks="0"/>
  </sheetPr>
  <dimension ref="A1"/>
  <sheetViews>
    <sheetView showGridLines="0" zoomScale="85" zoomScaleNormal="85" workbookViewId="0"/>
  </sheetViews>
  <sheetFormatPr defaultColWidth="9.140625" defaultRowHeight="12.75" x14ac:dyDescent="0.25"/>
  <cols>
    <col min="1" max="16384" width="9.140625" style="23"/>
  </cols>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2">
    <tabColor rgb="FFFFFFCC"/>
    <pageSetUpPr autoPageBreaks="0" fitToPage="1"/>
  </sheetPr>
  <dimension ref="B2:S52"/>
  <sheetViews>
    <sheetView showGridLines="0" zoomScale="85" zoomScaleNormal="85" workbookViewId="0">
      <pane xSplit="6" ySplit="8" topLeftCell="G9" activePane="bottomRight" state="frozen"/>
      <selection pane="topRight"/>
      <selection pane="bottomLeft"/>
      <selection pane="bottomRight" activeCell="G9" sqref="G9"/>
    </sheetView>
  </sheetViews>
  <sheetFormatPr defaultColWidth="9.140625" defaultRowHeight="12.75" x14ac:dyDescent="0.25"/>
  <cols>
    <col min="1" max="1" width="5.7109375" style="6" customWidth="1"/>
    <col min="2" max="2" width="54" style="6" customWidth="1"/>
    <col min="3" max="5" width="5.7109375" style="6" customWidth="1"/>
    <col min="6" max="6" width="13.7109375" style="6" customWidth="1"/>
    <col min="7" max="7" width="2.7109375" style="6" customWidth="1"/>
    <col min="8" max="8" width="13.7109375" style="6" customWidth="1"/>
    <col min="9" max="9" width="2.7109375" style="6" customWidth="1"/>
    <col min="10" max="10" width="13.7109375" style="6" customWidth="1"/>
    <col min="11" max="11" width="2.7109375" style="6" customWidth="1"/>
    <col min="12" max="17" width="12.5703125" style="6" customWidth="1"/>
    <col min="18" max="18" width="2.7109375" style="6" customWidth="1"/>
    <col min="19" max="19" width="18" style="6" customWidth="1"/>
    <col min="20" max="32" width="13.7109375" style="6" customWidth="1"/>
    <col min="33" max="16384" width="9.140625" style="6"/>
  </cols>
  <sheetData>
    <row r="2" spans="2:19" s="21" customFormat="1" ht="18" x14ac:dyDescent="0.25">
      <c r="B2" s="21" t="s">
        <v>215</v>
      </c>
    </row>
    <row r="4" spans="2:19" x14ac:dyDescent="0.25">
      <c r="B4" s="34" t="s">
        <v>90</v>
      </c>
    </row>
    <row r="5" spans="2:19" ht="40.5" customHeight="1" x14ac:dyDescent="0.25">
      <c r="B5" s="117" t="s">
        <v>202</v>
      </c>
      <c r="C5" s="117"/>
      <c r="D5" s="117"/>
      <c r="E5" s="117"/>
    </row>
    <row r="6" spans="2:19" x14ac:dyDescent="0.25">
      <c r="B6" s="45"/>
      <c r="C6" s="45"/>
      <c r="D6" s="45"/>
      <c r="E6" s="45"/>
    </row>
    <row r="7" spans="2:19" s="12" customFormat="1" x14ac:dyDescent="0.25">
      <c r="F7" s="12" t="s">
        <v>22</v>
      </c>
      <c r="H7" s="12" t="s">
        <v>23</v>
      </c>
      <c r="J7" s="12" t="s">
        <v>41</v>
      </c>
      <c r="L7" s="28">
        <v>2020</v>
      </c>
      <c r="M7" s="28">
        <v>2021</v>
      </c>
      <c r="N7" s="28">
        <v>2022</v>
      </c>
      <c r="O7" s="28">
        <v>2023</v>
      </c>
      <c r="P7" s="28">
        <v>2024</v>
      </c>
      <c r="Q7" s="28">
        <v>2025</v>
      </c>
      <c r="S7" s="12" t="s">
        <v>39</v>
      </c>
    </row>
    <row r="10" spans="2:19" s="12" customFormat="1" x14ac:dyDescent="0.25">
      <c r="B10" s="12" t="s">
        <v>40</v>
      </c>
    </row>
    <row r="12" spans="2:19" x14ac:dyDescent="0.25">
      <c r="B12" s="34" t="s">
        <v>161</v>
      </c>
    </row>
    <row r="13" spans="2:19" x14ac:dyDescent="0.25">
      <c r="B13" s="6" t="s">
        <v>56</v>
      </c>
      <c r="F13" s="6" t="s">
        <v>49</v>
      </c>
      <c r="L13" s="41"/>
      <c r="M13" s="86">
        <f>'6. Parameters'!M13</f>
        <v>7.0000000000000001E-3</v>
      </c>
      <c r="N13" s="86">
        <f>'6. Parameters'!N13</f>
        <v>2.4E-2</v>
      </c>
      <c r="O13" s="86">
        <f>'6. Parameters'!O13</f>
        <v>0.12</v>
      </c>
      <c r="P13" s="86">
        <f>'6. Parameters'!P13</f>
        <v>0.03</v>
      </c>
      <c r="Q13" s="86">
        <f>'6. Parameters'!Q13</f>
        <v>3.5999999999999997E-2</v>
      </c>
    </row>
    <row r="15" spans="2:19" x14ac:dyDescent="0.25">
      <c r="B15" s="8" t="s">
        <v>160</v>
      </c>
    </row>
    <row r="16" spans="2:19" x14ac:dyDescent="0.25">
      <c r="B16" s="6" t="s">
        <v>160</v>
      </c>
      <c r="F16" s="6" t="s">
        <v>49</v>
      </c>
      <c r="L16" s="41"/>
      <c r="M16" s="41"/>
      <c r="N16" s="86">
        <f>'6. Parameters'!N35</f>
        <v>2E-3</v>
      </c>
      <c r="O16" s="86">
        <f>'6. Parameters'!O35</f>
        <v>2E-3</v>
      </c>
      <c r="P16" s="86">
        <f>'6. Parameters'!P35</f>
        <v>2E-3</v>
      </c>
      <c r="Q16" s="86">
        <f>'6. Parameters'!Q35</f>
        <v>2E-3</v>
      </c>
    </row>
    <row r="18" spans="2:19" x14ac:dyDescent="0.25">
      <c r="B18" s="34" t="s">
        <v>82</v>
      </c>
    </row>
    <row r="19" spans="2:19" x14ac:dyDescent="0.25">
      <c r="B19" s="6" t="s">
        <v>83</v>
      </c>
      <c r="F19" s="6" t="s">
        <v>49</v>
      </c>
      <c r="L19" s="63">
        <f>'6. Parameters'!L20</f>
        <v>0.02</v>
      </c>
      <c r="M19" s="63">
        <f>'6. Parameters'!M20</f>
        <v>0.02</v>
      </c>
      <c r="N19" s="63">
        <f>'6. Parameters'!N20</f>
        <v>0.02</v>
      </c>
      <c r="O19" s="63">
        <f>'6. Parameters'!O20</f>
        <v>0.04</v>
      </c>
      <c r="P19" s="63">
        <f>'6. Parameters'!P20</f>
        <v>7.0000000000000007E-2</v>
      </c>
      <c r="Q19" s="63">
        <f>'6. Parameters'!Q20</f>
        <v>0.06</v>
      </c>
      <c r="S19" s="10"/>
    </row>
    <row r="20" spans="2:19" x14ac:dyDescent="0.25">
      <c r="B20" s="6" t="s">
        <v>84</v>
      </c>
      <c r="F20" s="6" t="s">
        <v>49</v>
      </c>
      <c r="L20" s="63">
        <f>'6. Parameters'!L21</f>
        <v>0.02</v>
      </c>
      <c r="M20" s="63">
        <f>'6. Parameters'!M21</f>
        <v>0.02</v>
      </c>
      <c r="N20" s="63">
        <f>'6. Parameters'!N21</f>
        <v>0.02</v>
      </c>
      <c r="O20" s="63">
        <f>'6. Parameters'!O21</f>
        <v>0.04</v>
      </c>
      <c r="P20" s="63">
        <f>'6. Parameters'!P21</f>
        <v>7.0000000000000007E-2</v>
      </c>
      <c r="Q20" s="63">
        <f>'6. Parameters'!Q21</f>
        <v>0.06</v>
      </c>
    </row>
    <row r="21" spans="2:19" x14ac:dyDescent="0.25">
      <c r="B21" s="6" t="s">
        <v>85</v>
      </c>
      <c r="F21" s="6" t="s">
        <v>49</v>
      </c>
      <c r="L21" s="63">
        <f>'6. Parameters'!L22</f>
        <v>0.02</v>
      </c>
      <c r="M21" s="63">
        <f>'6. Parameters'!M22</f>
        <v>0.02</v>
      </c>
      <c r="N21" s="63">
        <f>'6. Parameters'!N22</f>
        <v>0.02</v>
      </c>
      <c r="O21" s="63">
        <f>'6. Parameters'!O22</f>
        <v>0.06</v>
      </c>
      <c r="P21" s="63">
        <f>'6. Parameters'!P22</f>
        <v>7.0000000000000007E-2</v>
      </c>
      <c r="Q21" s="40"/>
    </row>
    <row r="22" spans="2:19" x14ac:dyDescent="0.25">
      <c r="B22" s="6" t="s">
        <v>86</v>
      </c>
      <c r="F22" s="6" t="s">
        <v>49</v>
      </c>
      <c r="L22" s="63">
        <f>'6. Parameters'!L23</f>
        <v>0.02</v>
      </c>
      <c r="M22" s="63">
        <f>'6. Parameters'!M23</f>
        <v>0.02</v>
      </c>
      <c r="N22" s="63">
        <f>'6. Parameters'!N23</f>
        <v>0.02</v>
      </c>
      <c r="O22" s="63">
        <f>'6. Parameters'!O23</f>
        <v>0.06</v>
      </c>
      <c r="P22" s="63">
        <f>'6. Parameters'!P23</f>
        <v>7.0000000000000007E-2</v>
      </c>
      <c r="Q22" s="40"/>
    </row>
    <row r="24" spans="2:19" s="12" customFormat="1" x14ac:dyDescent="0.25">
      <c r="B24" s="12" t="s">
        <v>162</v>
      </c>
    </row>
    <row r="26" spans="2:19" x14ac:dyDescent="0.25">
      <c r="B26" s="34" t="s">
        <v>166</v>
      </c>
      <c r="H26" s="6" t="s">
        <v>163</v>
      </c>
    </row>
    <row r="27" spans="2:19" x14ac:dyDescent="0.25">
      <c r="B27" s="6">
        <v>2021</v>
      </c>
      <c r="F27" s="6" t="s">
        <v>100</v>
      </c>
      <c r="L27" s="41"/>
      <c r="M27" s="43">
        <v>1</v>
      </c>
      <c r="N27" s="64">
        <f t="shared" ref="N27" si="0">N28*$H28</f>
        <v>1.024</v>
      </c>
      <c r="O27" s="64">
        <f t="shared" ref="O27" si="1">O28*$H28</f>
        <v>1.1468800000000001</v>
      </c>
      <c r="P27" s="64">
        <f>P28*$H28</f>
        <v>1.1812864000000003</v>
      </c>
      <c r="Q27" s="64">
        <f>Q28*$H28</f>
        <v>1.2238127104000003</v>
      </c>
    </row>
    <row r="28" spans="2:19" x14ac:dyDescent="0.25">
      <c r="B28" s="6">
        <v>2022</v>
      </c>
      <c r="F28" s="6" t="s">
        <v>100</v>
      </c>
      <c r="H28" s="87">
        <f>1+N13</f>
        <v>1.024</v>
      </c>
      <c r="L28" s="41"/>
      <c r="M28" s="41"/>
      <c r="N28" s="43">
        <v>1</v>
      </c>
      <c r="O28" s="64">
        <f>O29*$H29</f>
        <v>1.1200000000000001</v>
      </c>
      <c r="P28" s="64">
        <f>P29*$H29</f>
        <v>1.1536000000000002</v>
      </c>
      <c r="Q28" s="64">
        <f t="shared" ref="Q28:Q30" si="2">Q29*$H29</f>
        <v>1.1951296000000002</v>
      </c>
    </row>
    <row r="29" spans="2:19" x14ac:dyDescent="0.25">
      <c r="B29" s="6">
        <v>2023</v>
      </c>
      <c r="F29" s="6" t="s">
        <v>100</v>
      </c>
      <c r="H29" s="87">
        <f>1+O13</f>
        <v>1.1200000000000001</v>
      </c>
      <c r="L29" s="41"/>
      <c r="M29" s="41"/>
      <c r="N29" s="41"/>
      <c r="O29" s="43">
        <v>1</v>
      </c>
      <c r="P29" s="64">
        <f>P30*$H30</f>
        <v>1.03</v>
      </c>
      <c r="Q29" s="64">
        <f t="shared" si="2"/>
        <v>1.06708</v>
      </c>
    </row>
    <row r="30" spans="2:19" x14ac:dyDescent="0.25">
      <c r="B30" s="6">
        <v>2024</v>
      </c>
      <c r="F30" s="6" t="s">
        <v>100</v>
      </c>
      <c r="H30" s="87">
        <f>1+P13</f>
        <v>1.03</v>
      </c>
      <c r="L30" s="41"/>
      <c r="M30" s="41"/>
      <c r="N30" s="41"/>
      <c r="O30" s="41"/>
      <c r="P30" s="6">
        <v>1</v>
      </c>
      <c r="Q30" s="64">
        <f t="shared" si="2"/>
        <v>1.036</v>
      </c>
    </row>
    <row r="31" spans="2:19" x14ac:dyDescent="0.25">
      <c r="B31" s="6">
        <v>2025</v>
      </c>
      <c r="F31" s="6" t="s">
        <v>100</v>
      </c>
      <c r="H31" s="87">
        <f>1+Q13</f>
        <v>1.036</v>
      </c>
      <c r="L31" s="41"/>
      <c r="M31" s="41"/>
      <c r="N31" s="41"/>
      <c r="O31" s="41"/>
      <c r="P31" s="41"/>
      <c r="Q31" s="6">
        <v>1</v>
      </c>
    </row>
    <row r="33" spans="2:19" s="12" customFormat="1" x14ac:dyDescent="0.25">
      <c r="B33" s="12" t="s">
        <v>164</v>
      </c>
    </row>
    <row r="35" spans="2:19" x14ac:dyDescent="0.25">
      <c r="B35" s="34" t="s">
        <v>165</v>
      </c>
      <c r="H35" s="6" t="s">
        <v>167</v>
      </c>
    </row>
    <row r="36" spans="2:19" x14ac:dyDescent="0.25">
      <c r="B36" s="6">
        <v>2021</v>
      </c>
      <c r="F36" s="6" t="s">
        <v>168</v>
      </c>
      <c r="L36" s="41"/>
      <c r="M36" s="43">
        <v>1</v>
      </c>
      <c r="N36" s="64">
        <f>$H37*N37</f>
        <v>0.998</v>
      </c>
      <c r="O36" s="64">
        <f t="shared" ref="O36" si="3">$H37*O37</f>
        <v>0.996004</v>
      </c>
      <c r="P36" s="64">
        <f t="shared" ref="O36:Q39" si="4">$H37*P37</f>
        <v>0.99401199200000001</v>
      </c>
      <c r="Q36" s="64">
        <f t="shared" si="4"/>
        <v>0.99202396801600001</v>
      </c>
    </row>
    <row r="37" spans="2:19" x14ac:dyDescent="0.25">
      <c r="B37" s="6">
        <v>2022</v>
      </c>
      <c r="F37" s="6" t="s">
        <v>168</v>
      </c>
      <c r="H37" s="87">
        <f>1-N16</f>
        <v>0.998</v>
      </c>
      <c r="L37" s="41"/>
      <c r="M37" s="41"/>
      <c r="N37" s="43">
        <v>1</v>
      </c>
      <c r="O37" s="64">
        <f t="shared" si="4"/>
        <v>0.998</v>
      </c>
      <c r="P37" s="64">
        <f t="shared" si="4"/>
        <v>0.996004</v>
      </c>
      <c r="Q37" s="64">
        <f t="shared" si="4"/>
        <v>0.99401199200000001</v>
      </c>
    </row>
    <row r="38" spans="2:19" x14ac:dyDescent="0.25">
      <c r="B38" s="6">
        <v>2023</v>
      </c>
      <c r="F38" s="6" t="s">
        <v>168</v>
      </c>
      <c r="H38" s="87">
        <f>1-O16</f>
        <v>0.998</v>
      </c>
      <c r="L38" s="41"/>
      <c r="M38" s="41"/>
      <c r="N38" s="41"/>
      <c r="O38" s="43">
        <v>1</v>
      </c>
      <c r="P38" s="64">
        <f>$H39*P39</f>
        <v>0.998</v>
      </c>
      <c r="Q38" s="64">
        <f t="shared" si="4"/>
        <v>0.996004</v>
      </c>
    </row>
    <row r="39" spans="2:19" x14ac:dyDescent="0.25">
      <c r="B39" s="6">
        <v>2024</v>
      </c>
      <c r="F39" s="6" t="s">
        <v>168</v>
      </c>
      <c r="H39" s="87">
        <f>1-P16</f>
        <v>0.998</v>
      </c>
      <c r="L39" s="41"/>
      <c r="M39" s="41"/>
      <c r="N39" s="41"/>
      <c r="O39" s="41"/>
      <c r="P39" s="6">
        <v>1</v>
      </c>
      <c r="Q39" s="64">
        <f t="shared" si="4"/>
        <v>0.998</v>
      </c>
    </row>
    <row r="40" spans="2:19" x14ac:dyDescent="0.25">
      <c r="B40" s="6">
        <v>2025</v>
      </c>
      <c r="F40" s="6" t="s">
        <v>168</v>
      </c>
      <c r="H40" s="87">
        <f>1-Q16</f>
        <v>0.998</v>
      </c>
      <c r="L40" s="41"/>
      <c r="M40" s="41"/>
      <c r="N40" s="41"/>
      <c r="O40" s="41"/>
      <c r="P40" s="41"/>
      <c r="Q40" s="6">
        <v>1</v>
      </c>
    </row>
    <row r="42" spans="2:19" s="12" customFormat="1" x14ac:dyDescent="0.25">
      <c r="B42" s="12" t="s">
        <v>87</v>
      </c>
    </row>
    <row r="44" spans="2:19" x14ac:dyDescent="0.25">
      <c r="B44" s="34" t="s">
        <v>88</v>
      </c>
    </row>
    <row r="45" spans="2:19" x14ac:dyDescent="0.25">
      <c r="B45" s="6" t="s">
        <v>89</v>
      </c>
      <c r="F45" s="6" t="s">
        <v>49</v>
      </c>
      <c r="L45" s="41"/>
      <c r="M45" s="65">
        <f>((1+L21)*(1+L22)*(1+M19)*(1+M20))^(1/4)-1</f>
        <v>2.0000000000000018E-2</v>
      </c>
      <c r="N45" s="65">
        <f>((1+M21)*(1+M22)*(1+N19)*(1+N20))^(1/4)-1</f>
        <v>2.0000000000000018E-2</v>
      </c>
      <c r="O45" s="65">
        <f>((1+N21)*(1+N22)*(1+O19)*(1+O20))^(1/4)-1</f>
        <v>2.9951455166698615E-2</v>
      </c>
      <c r="P45" s="65">
        <f>((1+O21)*(1+O22)*(1+P19)*(1+P20))^(1/4)-1</f>
        <v>6.4988262846121803E-2</v>
      </c>
      <c r="Q45" s="65">
        <f>((1+P21)*(1+P22)*(1+Q19)*(1+Q20))^(1/4)-1</f>
        <v>6.4988262846121803E-2</v>
      </c>
    </row>
    <row r="46" spans="2:19" x14ac:dyDescent="0.25">
      <c r="S46" s="32"/>
    </row>
    <row r="47" spans="2:19" ht="12.75" customHeight="1" x14ac:dyDescent="0.25">
      <c r="B47" s="34" t="s">
        <v>99</v>
      </c>
      <c r="H47" s="6" t="s">
        <v>101</v>
      </c>
    </row>
    <row r="48" spans="2:19" ht="12.75" customHeight="1" x14ac:dyDescent="0.25">
      <c r="B48" s="6">
        <v>2021</v>
      </c>
      <c r="F48" s="6" t="s">
        <v>100</v>
      </c>
      <c r="H48" s="64">
        <f>1+M45</f>
        <v>1.02</v>
      </c>
      <c r="L48" s="41"/>
      <c r="M48" s="43">
        <v>1</v>
      </c>
      <c r="N48" s="64">
        <f>N49*$H49</f>
        <v>1.02</v>
      </c>
      <c r="O48" s="64">
        <f>O49*$H49</f>
        <v>1.0505504842700326</v>
      </c>
      <c r="P48" s="64">
        <f>P49*$H49</f>
        <v>1.1188239352748939</v>
      </c>
      <c r="Q48" s="64">
        <f>Q49*$H49</f>
        <v>1.1915343592590715</v>
      </c>
    </row>
    <row r="49" spans="2:17" ht="12.75" customHeight="1" x14ac:dyDescent="0.25">
      <c r="B49" s="6">
        <v>2022</v>
      </c>
      <c r="F49" s="6" t="s">
        <v>100</v>
      </c>
      <c r="H49" s="64">
        <f>1+N45</f>
        <v>1.02</v>
      </c>
      <c r="L49" s="41"/>
      <c r="M49" s="41"/>
      <c r="N49" s="43">
        <v>1</v>
      </c>
      <c r="O49" s="64">
        <f>O50*$H50</f>
        <v>1.0299514551666986</v>
      </c>
      <c r="P49" s="64">
        <f>P50*$H50</f>
        <v>1.0968862110538176</v>
      </c>
      <c r="Q49" s="64">
        <f t="shared" ref="Q49:Q51" si="5">Q50*$H50</f>
        <v>1.16817094045007</v>
      </c>
    </row>
    <row r="50" spans="2:17" ht="12.75" customHeight="1" x14ac:dyDescent="0.25">
      <c r="B50" s="6">
        <v>2023</v>
      </c>
      <c r="F50" s="6" t="s">
        <v>100</v>
      </c>
      <c r="H50" s="64">
        <f>1+O45</f>
        <v>1.0299514551666986</v>
      </c>
      <c r="L50" s="41"/>
      <c r="M50" s="41"/>
      <c r="N50" s="41"/>
      <c r="O50" s="43">
        <v>1</v>
      </c>
      <c r="P50" s="64">
        <f>P51*$H51</f>
        <v>1.0649882628461218</v>
      </c>
      <c r="Q50" s="64">
        <f t="shared" si="5"/>
        <v>1.1342000000000003</v>
      </c>
    </row>
    <row r="51" spans="2:17" ht="12.75" customHeight="1" x14ac:dyDescent="0.25">
      <c r="B51" s="6">
        <v>2024</v>
      </c>
      <c r="F51" s="6" t="s">
        <v>100</v>
      </c>
      <c r="H51" s="64">
        <f>1+P45</f>
        <v>1.0649882628461218</v>
      </c>
      <c r="L51" s="41"/>
      <c r="M51" s="41"/>
      <c r="N51" s="41"/>
      <c r="O51" s="41"/>
      <c r="P51" s="6">
        <v>1</v>
      </c>
      <c r="Q51" s="64">
        <f t="shared" si="5"/>
        <v>1.0649882628461218</v>
      </c>
    </row>
    <row r="52" spans="2:17" x14ac:dyDescent="0.25">
      <c r="B52" s="6">
        <v>2025</v>
      </c>
      <c r="F52" s="6" t="s">
        <v>100</v>
      </c>
      <c r="H52" s="64">
        <f>1+Q45</f>
        <v>1.0649882628461218</v>
      </c>
      <c r="L52" s="41"/>
      <c r="M52" s="41"/>
      <c r="N52" s="41"/>
      <c r="O52" s="41"/>
      <c r="P52" s="41"/>
      <c r="Q52" s="6">
        <v>1</v>
      </c>
    </row>
  </sheetData>
  <mergeCells count="1">
    <mergeCell ref="B5:E5"/>
  </mergeCells>
  <pageMargins left="0.7" right="0.7" top="0.75" bottom="0.75" header="0.3" footer="0.3"/>
  <pageSetup paperSize="8" scale="43" orientation="portrait" r:id="rId1"/>
  <colBreaks count="2" manualBreakCount="2">
    <brk id="7" max="70" man="1"/>
    <brk id="17"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3">
    <tabColor rgb="FFFFFFCC"/>
    <pageSetUpPr autoPageBreaks="0"/>
  </sheetPr>
  <dimension ref="B2:T48"/>
  <sheetViews>
    <sheetView showGridLines="0" zoomScale="85" zoomScaleNormal="85" workbookViewId="0">
      <pane xSplit="6" ySplit="11" topLeftCell="G12" activePane="bottomRight" state="frozen"/>
      <selection pane="topRight"/>
      <selection pane="bottomLeft"/>
      <selection pane="bottomRight" activeCell="G12" sqref="G12"/>
    </sheetView>
  </sheetViews>
  <sheetFormatPr defaultColWidth="9.140625" defaultRowHeight="12.75" x14ac:dyDescent="0.25"/>
  <cols>
    <col min="1" max="1" width="5.7109375" style="6" customWidth="1"/>
    <col min="2" max="2" width="54.7109375" style="6" customWidth="1"/>
    <col min="3" max="5" width="5.7109375" style="6" customWidth="1"/>
    <col min="6" max="6" width="13.7109375" style="6" customWidth="1"/>
    <col min="7" max="7" width="2.7109375" style="6" customWidth="1"/>
    <col min="8" max="8" width="13.7109375" style="6" customWidth="1"/>
    <col min="9" max="9" width="2.7109375" style="6" customWidth="1"/>
    <col min="10" max="10" width="13.7109375" style="6" customWidth="1"/>
    <col min="11" max="11" width="2.7109375" style="6" customWidth="1"/>
    <col min="12" max="17" width="12.5703125" style="6" customWidth="1"/>
    <col min="18" max="18" width="2.7109375" style="6" customWidth="1"/>
    <col min="19" max="30" width="13.7109375" style="6" customWidth="1"/>
    <col min="31" max="16384" width="9.140625" style="6"/>
  </cols>
  <sheetData>
    <row r="2" spans="2:20" s="21" customFormat="1" ht="18" x14ac:dyDescent="0.25">
      <c r="B2" s="21" t="s">
        <v>258</v>
      </c>
    </row>
    <row r="4" spans="2:20" x14ac:dyDescent="0.25">
      <c r="B4" s="34" t="s">
        <v>138</v>
      </c>
    </row>
    <row r="5" spans="2:20" ht="39" customHeight="1" x14ac:dyDescent="0.25">
      <c r="B5" s="117" t="s">
        <v>139</v>
      </c>
      <c r="C5" s="117"/>
      <c r="D5" s="117"/>
      <c r="E5" s="117"/>
    </row>
    <row r="6" spans="2:20" x14ac:dyDescent="0.25">
      <c r="B6" s="66"/>
      <c r="C6" s="66"/>
      <c r="D6" s="66"/>
      <c r="E6" s="66"/>
    </row>
    <row r="7" spans="2:20" x14ac:dyDescent="0.25">
      <c r="B7" s="35" t="s">
        <v>216</v>
      </c>
    </row>
    <row r="8" spans="2:20" ht="29.25" customHeight="1" x14ac:dyDescent="0.25">
      <c r="B8" s="117" t="s">
        <v>523</v>
      </c>
      <c r="C8" s="117"/>
      <c r="D8" s="117"/>
      <c r="E8" s="117"/>
    </row>
    <row r="9" spans="2:20" x14ac:dyDescent="0.25">
      <c r="B9" s="66"/>
      <c r="C9" s="66"/>
      <c r="D9" s="66"/>
      <c r="E9" s="66"/>
    </row>
    <row r="10" spans="2:20" s="12" customFormat="1" x14ac:dyDescent="0.25">
      <c r="B10" s="12" t="s">
        <v>37</v>
      </c>
      <c r="F10" s="12" t="s">
        <v>22</v>
      </c>
      <c r="H10" s="12" t="s">
        <v>23</v>
      </c>
      <c r="J10" s="12" t="s">
        <v>41</v>
      </c>
      <c r="L10" s="28">
        <v>2020</v>
      </c>
      <c r="M10" s="28">
        <v>2021</v>
      </c>
      <c r="N10" s="28">
        <v>2022</v>
      </c>
      <c r="O10" s="28">
        <v>2023</v>
      </c>
      <c r="P10" s="28">
        <v>2024</v>
      </c>
      <c r="Q10" s="28">
        <v>2025</v>
      </c>
      <c r="S10" s="12" t="s">
        <v>39</v>
      </c>
      <c r="T10" s="29"/>
    </row>
    <row r="13" spans="2:20" s="12" customFormat="1" x14ac:dyDescent="0.25">
      <c r="B13" s="12" t="s">
        <v>40</v>
      </c>
    </row>
    <row r="15" spans="2:20" x14ac:dyDescent="0.25">
      <c r="B15" s="34" t="s">
        <v>102</v>
      </c>
    </row>
    <row r="16" spans="2:20" x14ac:dyDescent="0.25">
      <c r="B16" s="6" t="s">
        <v>56</v>
      </c>
      <c r="F16" s="6" t="s">
        <v>49</v>
      </c>
      <c r="L16" s="30"/>
      <c r="M16" s="67">
        <f>'6. Parameters'!M13</f>
        <v>7.0000000000000001E-3</v>
      </c>
      <c r="N16" s="67">
        <f>'6. Parameters'!N13</f>
        <v>2.4E-2</v>
      </c>
      <c r="O16" s="67">
        <f>'6. Parameters'!O13</f>
        <v>0.12</v>
      </c>
      <c r="P16" s="67">
        <f>'6. Parameters'!P13</f>
        <v>0.03</v>
      </c>
      <c r="Q16" s="67">
        <f>'6. Parameters'!Q13</f>
        <v>3.5999999999999997E-2</v>
      </c>
    </row>
    <row r="18" spans="2:19" x14ac:dyDescent="0.25">
      <c r="B18" s="8" t="s">
        <v>82</v>
      </c>
    </row>
    <row r="19" spans="2:19" x14ac:dyDescent="0.25">
      <c r="B19" s="6" t="s">
        <v>282</v>
      </c>
      <c r="F19" s="6" t="s">
        <v>100</v>
      </c>
      <c r="L19" s="30"/>
      <c r="M19" s="30"/>
      <c r="N19" s="68">
        <f>'9. Berekening parameters'!Q49</f>
        <v>1.16817094045007</v>
      </c>
      <c r="O19" s="68">
        <f>'9. Berekening parameters'!Q50</f>
        <v>1.1342000000000003</v>
      </c>
      <c r="P19" s="68">
        <f>'9. Berekening parameters'!Q51</f>
        <v>1.0649882628461218</v>
      </c>
      <c r="Q19" s="90"/>
    </row>
    <row r="20" spans="2:19" x14ac:dyDescent="0.25">
      <c r="L20" s="30"/>
      <c r="M20" s="30"/>
      <c r="O20" s="30"/>
      <c r="P20" s="30"/>
      <c r="Q20" s="30"/>
    </row>
    <row r="21" spans="2:19" x14ac:dyDescent="0.25">
      <c r="B21" s="34" t="s">
        <v>107</v>
      </c>
      <c r="L21" s="30"/>
      <c r="M21" s="30"/>
      <c r="O21" s="30"/>
      <c r="P21" s="30"/>
      <c r="Q21" s="30"/>
    </row>
    <row r="22" spans="2:19" ht="12" customHeight="1" x14ac:dyDescent="0.25">
      <c r="B22" s="6" t="s">
        <v>103</v>
      </c>
      <c r="F22" s="6" t="s">
        <v>49</v>
      </c>
      <c r="H22" s="63">
        <f>'6. Parameters'!H30</f>
        <v>8.9999999999999993E-3</v>
      </c>
      <c r="L22" s="31"/>
      <c r="M22" s="31"/>
      <c r="N22" s="31"/>
      <c r="O22" s="31"/>
      <c r="P22" s="31"/>
      <c r="Q22" s="31"/>
    </row>
    <row r="24" spans="2:19" x14ac:dyDescent="0.25">
      <c r="B24" s="34" t="s">
        <v>104</v>
      </c>
    </row>
    <row r="25" spans="2:19" x14ac:dyDescent="0.25">
      <c r="B25" s="44" t="s">
        <v>112</v>
      </c>
      <c r="F25" s="6" t="s">
        <v>95</v>
      </c>
      <c r="M25" s="51">
        <f>'7. Brondata'!M13</f>
        <v>132767935.62416442</v>
      </c>
      <c r="S25" s="22"/>
    </row>
    <row r="26" spans="2:19" x14ac:dyDescent="0.25">
      <c r="B26" s="44" t="s">
        <v>113</v>
      </c>
      <c r="F26" s="6" t="s">
        <v>95</v>
      </c>
      <c r="M26" s="51">
        <f>'7. Brondata'!M14</f>
        <v>11248885.386972247</v>
      </c>
      <c r="S26" s="22"/>
    </row>
    <row r="27" spans="2:19" x14ac:dyDescent="0.25">
      <c r="B27" s="6" t="s">
        <v>114</v>
      </c>
      <c r="F27" s="6" t="s">
        <v>95</v>
      </c>
      <c r="M27" s="51">
        <f>'7. Brondata'!M15</f>
        <v>144016821.01113665</v>
      </c>
      <c r="S27" s="22"/>
    </row>
    <row r="28" spans="2:19" x14ac:dyDescent="0.25">
      <c r="S28" s="22"/>
    </row>
    <row r="29" spans="2:19" x14ac:dyDescent="0.25">
      <c r="B29" s="34" t="s">
        <v>281</v>
      </c>
      <c r="S29" s="22"/>
    </row>
    <row r="30" spans="2:19" x14ac:dyDescent="0.25">
      <c r="B30" s="44" t="s">
        <v>112</v>
      </c>
      <c r="F30" s="6" t="s">
        <v>95</v>
      </c>
      <c r="N30" s="51">
        <f>'7. Brondata'!N20</f>
        <v>128931332.07651946</v>
      </c>
      <c r="O30" s="51">
        <f>'7. Brondata'!O20</f>
        <v>142855915.94078356</v>
      </c>
      <c r="P30" s="51">
        <f>'7. Brondata'!P20</f>
        <v>145427322.42771766</v>
      </c>
      <c r="Q30" s="90"/>
      <c r="S30" s="22"/>
    </row>
    <row r="31" spans="2:19" x14ac:dyDescent="0.25">
      <c r="B31" s="44" t="s">
        <v>113</v>
      </c>
      <c r="F31" s="6" t="s">
        <v>95</v>
      </c>
      <c r="N31" s="51">
        <f>'7. Brondata'!N21</f>
        <v>11463431.756797664</v>
      </c>
      <c r="O31" s="51">
        <f>'7. Brondata'!O21</f>
        <v>12701482.386531813</v>
      </c>
      <c r="P31" s="51">
        <f>'7. Brondata'!P21</f>
        <v>12930109.069489386</v>
      </c>
      <c r="Q31" s="90"/>
      <c r="S31" s="22"/>
    </row>
    <row r="32" spans="2:19" x14ac:dyDescent="0.2">
      <c r="J32" s="25"/>
    </row>
    <row r="33" spans="2:17" s="12" customFormat="1" x14ac:dyDescent="0.25">
      <c r="B33" s="12" t="s">
        <v>50</v>
      </c>
    </row>
    <row r="35" spans="2:17" x14ac:dyDescent="0.25">
      <c r="B35" s="34" t="s">
        <v>105</v>
      </c>
    </row>
    <row r="36" spans="2:17" x14ac:dyDescent="0.25">
      <c r="B36" s="44" t="s">
        <v>112</v>
      </c>
      <c r="F36" s="6" t="s">
        <v>95</v>
      </c>
      <c r="N36" s="52">
        <f>M25*(1+N$16-$H$22)</f>
        <v>134759454.6585269</v>
      </c>
      <c r="O36" s="52">
        <f t="shared" ref="O36:O38" si="0">N36*(1+O$16-$H$22)</f>
        <v>149717754.1256234</v>
      </c>
      <c r="P36" s="52">
        <f t="shared" ref="P36:Q38" si="1">O36*(1+P$16-$H$22)</f>
        <v>152861826.96226153</v>
      </c>
      <c r="Q36" s="53">
        <f t="shared" si="1"/>
        <v>156989096.29024261</v>
      </c>
    </row>
    <row r="37" spans="2:17" x14ac:dyDescent="0.25">
      <c r="B37" s="44" t="s">
        <v>113</v>
      </c>
      <c r="F37" s="6" t="s">
        <v>95</v>
      </c>
      <c r="N37" s="52">
        <f>M26*(1+N$16-$H$22)</f>
        <v>11417618.667776832</v>
      </c>
      <c r="O37" s="52">
        <f t="shared" si="0"/>
        <v>12684974.339900063</v>
      </c>
      <c r="P37" s="52">
        <f t="shared" si="1"/>
        <v>12951358.801037967</v>
      </c>
      <c r="Q37" s="53">
        <f t="shared" si="1"/>
        <v>13301045.488665994</v>
      </c>
    </row>
    <row r="38" spans="2:17" x14ac:dyDescent="0.25">
      <c r="B38" s="6" t="s">
        <v>255</v>
      </c>
      <c r="F38" s="6" t="s">
        <v>95</v>
      </c>
      <c r="N38" s="52">
        <f>M27*(1+N$16-$H$22)</f>
        <v>146177073.32630372</v>
      </c>
      <c r="O38" s="52">
        <f t="shared" si="0"/>
        <v>162402728.46552345</v>
      </c>
      <c r="P38" s="52">
        <f t="shared" si="1"/>
        <v>165813185.76329947</v>
      </c>
      <c r="Q38" s="52">
        <f t="shared" si="1"/>
        <v>170290141.77890858</v>
      </c>
    </row>
    <row r="40" spans="2:17" s="12" customFormat="1" x14ac:dyDescent="0.25">
      <c r="B40" s="12" t="s">
        <v>280</v>
      </c>
    </row>
    <row r="42" spans="2:17" x14ac:dyDescent="0.25">
      <c r="B42" s="8" t="s">
        <v>355</v>
      </c>
    </row>
    <row r="43" spans="2:17" x14ac:dyDescent="0.25">
      <c r="B43" s="44" t="s">
        <v>112</v>
      </c>
      <c r="F43" s="6" t="s">
        <v>95</v>
      </c>
      <c r="N43" s="52">
        <f>N36-N30</f>
        <v>5828122.5820074379</v>
      </c>
      <c r="O43" s="52">
        <f t="shared" ref="N43:P44" si="2">O36-O30</f>
        <v>6861838.1848398447</v>
      </c>
      <c r="P43" s="52">
        <f t="shared" si="2"/>
        <v>7434504.5345438719</v>
      </c>
      <c r="Q43" s="90"/>
    </row>
    <row r="44" spans="2:17" x14ac:dyDescent="0.25">
      <c r="B44" s="44" t="s">
        <v>113</v>
      </c>
      <c r="F44" s="6" t="s">
        <v>95</v>
      </c>
      <c r="N44" s="52">
        <f t="shared" si="2"/>
        <v>-45813.08902083151</v>
      </c>
      <c r="O44" s="52">
        <f t="shared" si="2"/>
        <v>-16508.046631749719</v>
      </c>
      <c r="P44" s="52">
        <f t="shared" si="2"/>
        <v>21249.731548581272</v>
      </c>
      <c r="Q44" s="90"/>
    </row>
    <row r="46" spans="2:17" x14ac:dyDescent="0.25">
      <c r="B46" s="8" t="s">
        <v>283</v>
      </c>
    </row>
    <row r="47" spans="2:17" x14ac:dyDescent="0.25">
      <c r="B47" s="44" t="s">
        <v>112</v>
      </c>
      <c r="F47" s="6" t="s">
        <v>95</v>
      </c>
      <c r="N47" s="90"/>
      <c r="O47" s="90"/>
      <c r="P47" s="90"/>
      <c r="Q47" s="53">
        <f>N43*N$19+O43*O$19+P43*P$19</f>
        <v>22508600.376292765</v>
      </c>
    </row>
    <row r="48" spans="2:17" x14ac:dyDescent="0.25">
      <c r="B48" s="44" t="s">
        <v>113</v>
      </c>
      <c r="F48" s="6" t="s">
        <v>95</v>
      </c>
      <c r="N48" s="90"/>
      <c r="O48" s="90"/>
      <c r="P48" s="90"/>
      <c r="Q48" s="53">
        <f>N44*N$19+O44*O$19+P44*P$19</f>
        <v>-49610.231088248052</v>
      </c>
    </row>
  </sheetData>
  <mergeCells count="2">
    <mergeCell ref="B5:E5"/>
    <mergeCell ref="B8:E8"/>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E1406-BBC0-444A-A7AA-F803FC191AD0}">
  <sheetPr>
    <tabColor rgb="FFFFFFCC"/>
    <pageSetUpPr autoPageBreaks="0"/>
  </sheetPr>
  <dimension ref="B2:T137"/>
  <sheetViews>
    <sheetView showGridLines="0" zoomScale="85" zoomScaleNormal="85" workbookViewId="0">
      <pane xSplit="6" ySplit="11" topLeftCell="G12" activePane="bottomRight" state="frozen"/>
      <selection pane="topRight"/>
      <selection pane="bottomLeft"/>
      <selection pane="bottomRight" activeCell="G12" sqref="G12"/>
    </sheetView>
  </sheetViews>
  <sheetFormatPr defaultColWidth="9.140625" defaultRowHeight="12.75" x14ac:dyDescent="0.25"/>
  <cols>
    <col min="1" max="1" width="5.7109375" style="6" customWidth="1"/>
    <col min="2" max="2" width="97.7109375" style="6" customWidth="1"/>
    <col min="3" max="5" width="5.7109375" style="6" customWidth="1"/>
    <col min="6" max="6" width="13.7109375" style="6" customWidth="1"/>
    <col min="7" max="7" width="2.7109375" style="6" customWidth="1"/>
    <col min="8" max="8" width="13.7109375" style="6" customWidth="1"/>
    <col min="9" max="9" width="2.7109375" style="6" customWidth="1"/>
    <col min="10" max="10" width="13.7109375" style="6" customWidth="1"/>
    <col min="11" max="11" width="2.7109375" style="6" customWidth="1"/>
    <col min="12" max="17" width="12.5703125" style="6" customWidth="1"/>
    <col min="18" max="18" width="2.7109375" style="6" customWidth="1"/>
    <col min="19" max="33" width="13.7109375" style="6" customWidth="1"/>
    <col min="34" max="16384" width="9.140625" style="6"/>
  </cols>
  <sheetData>
    <row r="2" spans="2:20" s="21" customFormat="1" ht="18" x14ac:dyDescent="0.25">
      <c r="B2" s="21" t="s">
        <v>257</v>
      </c>
    </row>
    <row r="4" spans="2:20" x14ac:dyDescent="0.25">
      <c r="B4" s="34" t="s">
        <v>90</v>
      </c>
      <c r="C4" s="8"/>
      <c r="D4" s="8"/>
    </row>
    <row r="5" spans="2:20" ht="79.5" customHeight="1" x14ac:dyDescent="0.25">
      <c r="B5" s="117" t="s">
        <v>396</v>
      </c>
      <c r="C5" s="117"/>
      <c r="D5" s="117"/>
      <c r="E5" s="117"/>
      <c r="H5" s="22"/>
    </row>
    <row r="6" spans="2:20" ht="12.75" customHeight="1" x14ac:dyDescent="0.25">
      <c r="B6" s="5"/>
      <c r="C6" s="5"/>
      <c r="D6" s="5"/>
      <c r="E6" s="5"/>
      <c r="H6" s="22"/>
    </row>
    <row r="7" spans="2:20" ht="12.75" customHeight="1" x14ac:dyDescent="0.25">
      <c r="B7" s="35" t="s">
        <v>216</v>
      </c>
      <c r="C7" s="5"/>
      <c r="D7" s="5"/>
      <c r="E7" s="5"/>
      <c r="H7" s="22"/>
    </row>
    <row r="8" spans="2:20" ht="75.75" customHeight="1" x14ac:dyDescent="0.25">
      <c r="B8" s="119" t="s">
        <v>527</v>
      </c>
      <c r="C8" s="117"/>
      <c r="D8" s="117"/>
      <c r="E8" s="117"/>
      <c r="H8" s="22"/>
    </row>
    <row r="9" spans="2:20" x14ac:dyDescent="0.25">
      <c r="C9" s="39"/>
      <c r="D9" s="39"/>
      <c r="E9" s="39"/>
    </row>
    <row r="10" spans="2:20" s="12" customFormat="1" x14ac:dyDescent="0.25">
      <c r="B10" s="12" t="s">
        <v>37</v>
      </c>
      <c r="F10" s="12" t="s">
        <v>22</v>
      </c>
      <c r="H10" s="12" t="s">
        <v>23</v>
      </c>
      <c r="J10" s="12" t="s">
        <v>41</v>
      </c>
      <c r="L10" s="28">
        <v>2020</v>
      </c>
      <c r="M10" s="28">
        <v>2021</v>
      </c>
      <c r="N10" s="28">
        <v>2022</v>
      </c>
      <c r="O10" s="28">
        <v>2023</v>
      </c>
      <c r="P10" s="28">
        <v>2024</v>
      </c>
      <c r="Q10" s="28">
        <v>2025</v>
      </c>
      <c r="S10" s="12" t="s">
        <v>39</v>
      </c>
      <c r="T10" s="29"/>
    </row>
    <row r="13" spans="2:20" s="12" customFormat="1" x14ac:dyDescent="0.25">
      <c r="B13" s="12" t="s">
        <v>40</v>
      </c>
    </row>
    <row r="15" spans="2:20" x14ac:dyDescent="0.25">
      <c r="B15" s="34" t="s">
        <v>82</v>
      </c>
      <c r="R15" s="38"/>
      <c r="S15" s="38"/>
    </row>
    <row r="16" spans="2:20" x14ac:dyDescent="0.25">
      <c r="B16" s="6" t="s">
        <v>302</v>
      </c>
      <c r="F16" s="6" t="s">
        <v>100</v>
      </c>
      <c r="H16" s="69">
        <f>'9. Berekening parameters'!Q49</f>
        <v>1.16817094045007</v>
      </c>
      <c r="R16" s="38"/>
      <c r="S16" s="38"/>
    </row>
    <row r="17" spans="2:19" x14ac:dyDescent="0.25">
      <c r="B17" s="6" t="s">
        <v>303</v>
      </c>
      <c r="F17" s="6" t="s">
        <v>100</v>
      </c>
      <c r="H17" s="69">
        <f>'9. Berekening parameters'!Q50</f>
        <v>1.1342000000000003</v>
      </c>
    </row>
    <row r="18" spans="2:19" x14ac:dyDescent="0.25">
      <c r="B18" s="6" t="s">
        <v>301</v>
      </c>
      <c r="F18" s="6" t="s">
        <v>100</v>
      </c>
      <c r="H18" s="69">
        <f>'9. Berekening parameters'!Q51</f>
        <v>1.0649882628461218</v>
      </c>
    </row>
    <row r="20" spans="2:19" x14ac:dyDescent="0.25">
      <c r="B20" s="34" t="s">
        <v>397</v>
      </c>
      <c r="R20" s="38"/>
      <c r="S20" s="38"/>
    </row>
    <row r="21" spans="2:19" x14ac:dyDescent="0.25">
      <c r="B21" s="6" t="s">
        <v>141</v>
      </c>
      <c r="F21" s="6" t="s">
        <v>95</v>
      </c>
      <c r="N21" s="51">
        <f>'7. Brondata'!N44</f>
        <v>1456094.9638781874</v>
      </c>
      <c r="O21" s="51">
        <f>'7. Brondata'!O44</f>
        <v>2381359.4829979008</v>
      </c>
      <c r="P21" s="51">
        <f>'7. Brondata'!P44</f>
        <v>3379149.7639948195</v>
      </c>
      <c r="Q21" s="51">
        <f>'7. Brondata'!Q44</f>
        <v>4312761.8708737129</v>
      </c>
      <c r="R21" s="38"/>
      <c r="S21" s="38"/>
    </row>
    <row r="22" spans="2:19" x14ac:dyDescent="0.25">
      <c r="B22" s="6" t="s">
        <v>142</v>
      </c>
      <c r="F22" s="6" t="s">
        <v>95</v>
      </c>
      <c r="N22" s="51">
        <f>'7. Brondata'!N45</f>
        <v>51720.375165146717</v>
      </c>
      <c r="O22" s="51">
        <f>'7. Brondata'!O45</f>
        <v>52546.039234283111</v>
      </c>
      <c r="P22" s="51">
        <f>'7. Brondata'!P45</f>
        <v>53384.884204619229</v>
      </c>
      <c r="Q22" s="51">
        <f>'7. Brondata'!Q45</f>
        <v>54237.120496061762</v>
      </c>
      <c r="R22" s="38"/>
      <c r="S22" s="38"/>
    </row>
    <row r="23" spans="2:19" x14ac:dyDescent="0.25">
      <c r="B23" s="6" t="s">
        <v>156</v>
      </c>
      <c r="F23" s="6" t="s">
        <v>95</v>
      </c>
      <c r="N23" s="51">
        <f>'7. Brondata'!N46</f>
        <v>25860.187582573355</v>
      </c>
      <c r="O23" s="51">
        <f>'7. Brondata'!O46</f>
        <v>52546.039234283126</v>
      </c>
      <c r="P23" s="51">
        <f>'7. Brondata'!P46</f>
        <v>53384.884204619215</v>
      </c>
      <c r="Q23" s="51">
        <f>'7. Brondata'!Q46</f>
        <v>54237.120496061762</v>
      </c>
      <c r="R23" s="38"/>
      <c r="S23" s="38"/>
    </row>
    <row r="24" spans="2:19" x14ac:dyDescent="0.25">
      <c r="B24" s="6" t="s">
        <v>284</v>
      </c>
      <c r="F24" s="6" t="s">
        <v>95</v>
      </c>
      <c r="N24" s="85"/>
      <c r="O24" s="51">
        <f>'7. Brondata'!O47</f>
        <v>26273.019617141559</v>
      </c>
      <c r="P24" s="51">
        <f>'7. Brondata'!P47</f>
        <v>53384.884204619222</v>
      </c>
      <c r="Q24" s="51">
        <f>'7. Brondata'!Q47</f>
        <v>54237.120496061762</v>
      </c>
      <c r="R24" s="38"/>
      <c r="S24" s="38"/>
    </row>
    <row r="26" spans="2:19" x14ac:dyDescent="0.25">
      <c r="B26" s="34" t="s">
        <v>398</v>
      </c>
    </row>
    <row r="27" spans="2:19" x14ac:dyDescent="0.25">
      <c r="B27" s="6" t="s">
        <v>143</v>
      </c>
      <c r="F27" s="6" t="s">
        <v>95</v>
      </c>
      <c r="N27" s="51">
        <f>'7. Brondata'!N50</f>
        <v>443929.59661790432</v>
      </c>
      <c r="O27" s="51">
        <f>'7. Brondata'!O50</f>
        <v>727976.80982042151</v>
      </c>
      <c r="P27" s="51">
        <f>'7. Brondata'!P50</f>
        <v>1028621.1672674733</v>
      </c>
      <c r="Q27" s="51">
        <f>'7. Brondata'!Q50</f>
        <v>1313246.8278182647</v>
      </c>
    </row>
    <row r="28" spans="2:19" x14ac:dyDescent="0.25">
      <c r="B28" s="6" t="s">
        <v>144</v>
      </c>
      <c r="F28" s="6" t="s">
        <v>95</v>
      </c>
      <c r="N28" s="51">
        <f>'7. Brondata'!N51</f>
        <v>13361.251767012793</v>
      </c>
      <c r="O28" s="51">
        <f>'7. Brondata'!O51</f>
        <v>13574.550790221383</v>
      </c>
      <c r="P28" s="51">
        <f>'7. Brondata'!P51</f>
        <v>13791.254919036481</v>
      </c>
      <c r="Q28" s="51">
        <f>'7. Brondata'!Q51</f>
        <v>14011.418512563976</v>
      </c>
    </row>
    <row r="29" spans="2:19" x14ac:dyDescent="0.25">
      <c r="B29" s="6" t="s">
        <v>157</v>
      </c>
      <c r="F29" s="6" t="s">
        <v>95</v>
      </c>
      <c r="N29" s="51">
        <f>'7. Brondata'!N52</f>
        <v>6680.6258835063954</v>
      </c>
      <c r="O29" s="51">
        <f>'7. Brondata'!O52</f>
        <v>13574.550790221385</v>
      </c>
      <c r="P29" s="51">
        <f>'7. Brondata'!P52</f>
        <v>13791.254919036477</v>
      </c>
      <c r="Q29" s="51">
        <f>'7. Brondata'!Q52</f>
        <v>14011.418512563976</v>
      </c>
    </row>
    <row r="30" spans="2:19" x14ac:dyDescent="0.25">
      <c r="B30" s="6" t="s">
        <v>285</v>
      </c>
      <c r="F30" s="6" t="s">
        <v>95</v>
      </c>
      <c r="N30" s="85"/>
      <c r="O30" s="51">
        <f>'7. Brondata'!O53</f>
        <v>6787.2753951106924</v>
      </c>
      <c r="P30" s="51">
        <f>'7. Brondata'!P53</f>
        <v>13791.254919036477</v>
      </c>
      <c r="Q30" s="51">
        <f>'7. Brondata'!Q53</f>
        <v>14011.418512563976</v>
      </c>
    </row>
    <row r="32" spans="2:19" x14ac:dyDescent="0.25">
      <c r="B32" s="34" t="s">
        <v>399</v>
      </c>
    </row>
    <row r="33" spans="2:17" x14ac:dyDescent="0.25">
      <c r="B33" s="6" t="s">
        <v>505</v>
      </c>
      <c r="F33" s="6" t="s">
        <v>95</v>
      </c>
      <c r="N33" s="51">
        <f>'7. Brondata'!N56</f>
        <v>1637865.5016911677</v>
      </c>
      <c r="O33" s="51">
        <f>'7. Brondata'!O56</f>
        <v>2634411.0744021786</v>
      </c>
      <c r="P33" s="51">
        <f>'7. Brondata'!P56</f>
        <v>3630105.7917799735</v>
      </c>
      <c r="Q33" s="51">
        <f>'7. Brondata'!Q56</f>
        <v>4559493.533112023</v>
      </c>
    </row>
    <row r="34" spans="2:17" x14ac:dyDescent="0.25">
      <c r="B34" s="6" t="s">
        <v>146</v>
      </c>
      <c r="F34" s="6" t="s">
        <v>95</v>
      </c>
      <c r="N34" s="51">
        <f>'7. Brondata'!N57</f>
        <v>73772.599723536303</v>
      </c>
      <c r="O34" s="51">
        <f>'7. Brondata'!O57</f>
        <v>74950.305505522818</v>
      </c>
      <c r="P34" s="51">
        <f>'7. Brondata'!P57</f>
        <v>76146.812182613008</v>
      </c>
      <c r="Q34" s="51">
        <f>'7. Brondata'!Q57</f>
        <v>77362.419892296239</v>
      </c>
    </row>
    <row r="35" spans="2:17" x14ac:dyDescent="0.25">
      <c r="B35" s="6" t="s">
        <v>158</v>
      </c>
      <c r="F35" s="6" t="s">
        <v>95</v>
      </c>
      <c r="N35" s="51">
        <f>'7. Brondata'!N58</f>
        <v>22638.867749928144</v>
      </c>
      <c r="O35" s="51">
        <f>'7. Brondata'!O58</f>
        <v>46000.549269376002</v>
      </c>
      <c r="P35" s="51">
        <f>'7. Brondata'!P58</f>
        <v>46734.902037912318</v>
      </c>
      <c r="Q35" s="51">
        <f>'7. Brondata'!Q58</f>
        <v>47480.978014045548</v>
      </c>
    </row>
    <row r="36" spans="2:17" x14ac:dyDescent="0.25">
      <c r="B36" s="6" t="s">
        <v>504</v>
      </c>
      <c r="F36" s="6" t="s">
        <v>95</v>
      </c>
      <c r="N36" s="85"/>
      <c r="O36" s="51">
        <f>'7. Brondata'!O59</f>
        <v>35720.262134687997</v>
      </c>
      <c r="P36" s="51">
        <f>'7. Brondata'!P59</f>
        <v>60832.774089312319</v>
      </c>
      <c r="Q36" s="51">
        <f>'7. Brondata'!Q59</f>
        <v>61803.908494874093</v>
      </c>
    </row>
    <row r="38" spans="2:17" x14ac:dyDescent="0.25">
      <c r="B38" s="34" t="s">
        <v>400</v>
      </c>
    </row>
    <row r="39" spans="2:17" x14ac:dyDescent="0.25">
      <c r="B39" s="6" t="s">
        <v>506</v>
      </c>
      <c r="F39" s="6" t="s">
        <v>95</v>
      </c>
      <c r="N39" s="51">
        <f>'7. Brondata'!N62</f>
        <v>602722.35192969511</v>
      </c>
      <c r="O39" s="51">
        <f>'7. Brondata'!O62</f>
        <v>1205547.2136619627</v>
      </c>
      <c r="P39" s="51">
        <f>'7. Brondata'!P62</f>
        <v>1543740.9811898544</v>
      </c>
      <c r="Q39" s="51">
        <f>'7. Brondata'!Q62</f>
        <v>1820884.8980787406</v>
      </c>
    </row>
    <row r="40" spans="2:17" x14ac:dyDescent="0.25">
      <c r="B40" s="6" t="s">
        <v>145</v>
      </c>
      <c r="F40" s="6" t="s">
        <v>95</v>
      </c>
      <c r="N40" s="51">
        <f>'7. Brondata'!N63</f>
        <v>30738.180321709599</v>
      </c>
      <c r="O40" s="51">
        <f>'7. Brondata'!O63</f>
        <v>31228.884632365371</v>
      </c>
      <c r="P40" s="51">
        <f>'7. Brondata'!P63</f>
        <v>31727.422546636455</v>
      </c>
      <c r="Q40" s="51">
        <f>'7. Brondata'!Q63</f>
        <v>32233.919120170958</v>
      </c>
    </row>
    <row r="41" spans="2:17" x14ac:dyDescent="0.25">
      <c r="B41" s="6" t="s">
        <v>159</v>
      </c>
      <c r="F41" s="6" t="s">
        <v>95</v>
      </c>
      <c r="N41" s="51">
        <f>'7. Brondata'!N64</f>
        <v>6668.3693850347981</v>
      </c>
      <c r="O41" s="51">
        <f>'7. Brondata'!O64</f>
        <v>13549.64646779499</v>
      </c>
      <c r="P41" s="51">
        <f>'7. Brondata'!P64</f>
        <v>13765.953024006867</v>
      </c>
      <c r="Q41" s="51">
        <f>'7. Brondata'!Q64</f>
        <v>13985.712698082114</v>
      </c>
    </row>
    <row r="42" spans="2:17" x14ac:dyDescent="0.25">
      <c r="B42" s="6" t="s">
        <v>507</v>
      </c>
      <c r="F42" s="6" t="s">
        <v>95</v>
      </c>
      <c r="N42" s="85"/>
      <c r="O42" s="51">
        <f>'7. Brondata'!O65</f>
        <v>40414.803233897495</v>
      </c>
      <c r="P42" s="51">
        <f>'7. Brondata'!P65</f>
        <v>51049.962450246872</v>
      </c>
      <c r="Q42" s="51">
        <f>'7. Brondata'!Q65</f>
        <v>51864.924050802612</v>
      </c>
    </row>
    <row r="44" spans="2:17" x14ac:dyDescent="0.25">
      <c r="B44" s="34" t="s">
        <v>401</v>
      </c>
    </row>
    <row r="45" spans="2:17" x14ac:dyDescent="0.25">
      <c r="B45" s="6" t="s">
        <v>286</v>
      </c>
      <c r="F45" s="6" t="s">
        <v>95</v>
      </c>
      <c r="N45" s="51">
        <f>'7. Brondata'!N68</f>
        <v>176419.8757109507</v>
      </c>
      <c r="O45" s="51">
        <f>'7. Brondata'!O68</f>
        <v>159888.42795615457</v>
      </c>
      <c r="P45" s="51">
        <f>'7. Brondata'!P68</f>
        <v>158164.07185857696</v>
      </c>
      <c r="Q45" s="90"/>
    </row>
    <row r="46" spans="2:17" x14ac:dyDescent="0.25">
      <c r="B46" s="6" t="s">
        <v>287</v>
      </c>
      <c r="F46" s="6" t="s">
        <v>95</v>
      </c>
      <c r="N46" s="51">
        <f>'7. Brondata'!N69</f>
        <v>22052.224558389586</v>
      </c>
      <c r="O46" s="51">
        <f>'7. Brondata'!O69</f>
        <v>22404.266271239707</v>
      </c>
      <c r="P46" s="51">
        <f>'7. Brondata'!P69</f>
        <v>22761.927977993779</v>
      </c>
      <c r="Q46" s="90"/>
    </row>
    <row r="47" spans="2:17" x14ac:dyDescent="0.25">
      <c r="B47" s="6" t="s">
        <v>288</v>
      </c>
      <c r="F47" s="6" t="s">
        <v>95</v>
      </c>
      <c r="N47" s="51">
        <f>'7. Brondata'!N70</f>
        <v>-3221.3198326452111</v>
      </c>
      <c r="O47" s="51">
        <f>'7. Brondata'!O70</f>
        <v>-6545.4899649071231</v>
      </c>
      <c r="P47" s="51">
        <f>'7. Brondata'!P70</f>
        <v>-6649.9821667068973</v>
      </c>
      <c r="Q47" s="90"/>
    </row>
    <row r="48" spans="2:17" x14ac:dyDescent="0.25">
      <c r="B48" s="34"/>
    </row>
    <row r="49" spans="2:17" x14ac:dyDescent="0.25">
      <c r="B49" s="34" t="s">
        <v>402</v>
      </c>
    </row>
    <row r="50" spans="2:17" x14ac:dyDescent="0.25">
      <c r="B50" s="6" t="s">
        <v>289</v>
      </c>
      <c r="F50" s="6" t="s">
        <v>95</v>
      </c>
      <c r="N50" s="51">
        <f>'7. Brondata'!N73</f>
        <v>152551.7354195232</v>
      </c>
      <c r="O50" s="51">
        <f>'7. Brondata'!O73</f>
        <v>151101.42535397282</v>
      </c>
      <c r="P50" s="51">
        <f>'7. Brondata'!P73</f>
        <v>149649.74419335893</v>
      </c>
      <c r="Q50" s="90"/>
    </row>
    <row r="51" spans="2:17" x14ac:dyDescent="0.25">
      <c r="B51" s="6" t="s">
        <v>290</v>
      </c>
      <c r="F51" s="6" t="s">
        <v>95</v>
      </c>
      <c r="N51" s="51">
        <f>'7. Brondata'!N74</f>
        <v>17376.928554696806</v>
      </c>
      <c r="O51" s="51">
        <f>'7. Brondata'!O74</f>
        <v>17654.333842143988</v>
      </c>
      <c r="P51" s="51">
        <f>'7. Brondata'!P74</f>
        <v>17936.167627599974</v>
      </c>
      <c r="Q51" s="90"/>
    </row>
    <row r="52" spans="2:17" x14ac:dyDescent="0.25">
      <c r="B52" s="6" t="s">
        <v>291</v>
      </c>
      <c r="F52" s="6" t="s">
        <v>95</v>
      </c>
      <c r="N52" s="51">
        <f>'7. Brondata'!N75</f>
        <v>-12.256498471597297</v>
      </c>
      <c r="O52" s="51">
        <f>'7. Brondata'!O75</f>
        <v>-24.904322426395083</v>
      </c>
      <c r="P52" s="51">
        <f>'7. Brondata'!P75</f>
        <v>-25.301895029610023</v>
      </c>
      <c r="Q52" s="90"/>
    </row>
    <row r="54" spans="2:17" x14ac:dyDescent="0.25">
      <c r="B54" s="8" t="s">
        <v>457</v>
      </c>
    </row>
    <row r="55" spans="2:17" x14ac:dyDescent="0.25">
      <c r="B55" s="6" t="s">
        <v>176</v>
      </c>
      <c r="F55" s="6" t="s">
        <v>95</v>
      </c>
      <c r="N55" s="51">
        <f>'7. Brondata'!N78</f>
        <v>1637865.5016911677</v>
      </c>
      <c r="O55" s="51">
        <f>'7. Brondata'!O78</f>
        <v>2546124.2063937313</v>
      </c>
      <c r="P55" s="51">
        <f>'7. Brondata'!P78</f>
        <v>3547197.9885943765</v>
      </c>
      <c r="Q55" s="90"/>
    </row>
    <row r="56" spans="2:17" x14ac:dyDescent="0.25">
      <c r="B56" s="6" t="s">
        <v>146</v>
      </c>
      <c r="F56" s="6" t="s">
        <v>95</v>
      </c>
      <c r="N56" s="51">
        <f>'7. Brondata'!N79</f>
        <v>73772.599723536303</v>
      </c>
      <c r="O56" s="51">
        <f>'7. Brondata'!O79</f>
        <v>74950.305505522818</v>
      </c>
      <c r="P56" s="51">
        <f>'7. Brondata'!P79</f>
        <v>76146.812182613008</v>
      </c>
      <c r="Q56" s="90"/>
    </row>
    <row r="57" spans="2:17" x14ac:dyDescent="0.25">
      <c r="B57" s="6" t="s">
        <v>158</v>
      </c>
      <c r="F57" s="6" t="s">
        <v>95</v>
      </c>
      <c r="N57" s="51">
        <f>'7. Brondata'!N80</f>
        <v>22638.867749928144</v>
      </c>
      <c r="O57" s="51">
        <f>'7. Brondata'!O80</f>
        <v>46000.549269376002</v>
      </c>
      <c r="P57" s="51">
        <f>'7. Brondata'!P80</f>
        <v>46734.902037912318</v>
      </c>
      <c r="Q57" s="90"/>
    </row>
    <row r="59" spans="2:17" x14ac:dyDescent="0.25">
      <c r="B59" s="8" t="s">
        <v>456</v>
      </c>
    </row>
    <row r="60" spans="2:17" x14ac:dyDescent="0.25">
      <c r="B60" s="6" t="s">
        <v>175</v>
      </c>
      <c r="F60" s="6" t="s">
        <v>95</v>
      </c>
      <c r="N60" s="51">
        <f>'7. Brondata'!N83</f>
        <v>602722.35192969511</v>
      </c>
      <c r="O60" s="51">
        <f>'7. Brondata'!O83</f>
        <v>884911.00502058491</v>
      </c>
      <c r="P60" s="51">
        <f>'7. Brondata'!P83</f>
        <v>1190458.4094583467</v>
      </c>
      <c r="Q60" s="90"/>
    </row>
    <row r="61" spans="2:17" x14ac:dyDescent="0.25">
      <c r="B61" s="6" t="s">
        <v>145</v>
      </c>
      <c r="F61" s="6" t="s">
        <v>95</v>
      </c>
      <c r="N61" s="51">
        <f>'7. Brondata'!N84</f>
        <v>30738.180321709599</v>
      </c>
      <c r="O61" s="51">
        <f>'7. Brondata'!O84</f>
        <v>31228.884632365371</v>
      </c>
      <c r="P61" s="51">
        <f>'7. Brondata'!P84</f>
        <v>31727.422546636455</v>
      </c>
      <c r="Q61" s="90"/>
    </row>
    <row r="62" spans="2:17" x14ac:dyDescent="0.25">
      <c r="B62" s="6" t="s">
        <v>159</v>
      </c>
      <c r="F62" s="6" t="s">
        <v>95</v>
      </c>
      <c r="N62" s="51">
        <f>'7. Brondata'!N85</f>
        <v>6668.3693850347981</v>
      </c>
      <c r="O62" s="51">
        <f>'7. Brondata'!O85</f>
        <v>13549.64646779499</v>
      </c>
      <c r="P62" s="51">
        <f>'7. Brondata'!P85</f>
        <v>13765.953024006867</v>
      </c>
      <c r="Q62" s="90"/>
    </row>
    <row r="64" spans="2:17" s="12" customFormat="1" x14ac:dyDescent="0.25">
      <c r="B64" s="12" t="s">
        <v>266</v>
      </c>
    </row>
    <row r="66" spans="2:17" x14ac:dyDescent="0.25">
      <c r="B66" s="8" t="s">
        <v>304</v>
      </c>
    </row>
    <row r="67" spans="2:17" x14ac:dyDescent="0.25">
      <c r="B67" s="6" t="s">
        <v>219</v>
      </c>
      <c r="F67" s="6" t="s">
        <v>95</v>
      </c>
      <c r="N67" s="52">
        <f t="shared" ref="N67:P68" si="0">N55-N21</f>
        <v>181770.53781298036</v>
      </c>
      <c r="O67" s="52">
        <f t="shared" si="0"/>
        <v>164764.72339583049</v>
      </c>
      <c r="P67" s="52">
        <f t="shared" si="0"/>
        <v>168048.224599557</v>
      </c>
      <c r="Q67" s="90"/>
    </row>
    <row r="68" spans="2:17" x14ac:dyDescent="0.25">
      <c r="B68" s="6" t="s">
        <v>305</v>
      </c>
      <c r="F68" s="6" t="s">
        <v>95</v>
      </c>
      <c r="N68" s="52">
        <f t="shared" si="0"/>
        <v>22052.224558389586</v>
      </c>
      <c r="O68" s="52">
        <f t="shared" si="0"/>
        <v>22404.266271239707</v>
      </c>
      <c r="P68" s="52">
        <f t="shared" si="0"/>
        <v>22761.927977993779</v>
      </c>
      <c r="Q68" s="90"/>
    </row>
    <row r="69" spans="2:17" x14ac:dyDescent="0.25">
      <c r="B69" s="6" t="s">
        <v>213</v>
      </c>
      <c r="F69" s="6" t="s">
        <v>95</v>
      </c>
      <c r="N69" s="52">
        <f>N57-N23</f>
        <v>-3221.3198326452111</v>
      </c>
      <c r="O69" s="52">
        <f t="shared" ref="O69:P69" si="1">O57-O23</f>
        <v>-6545.4899649071231</v>
      </c>
      <c r="P69" s="52">
        <f t="shared" si="1"/>
        <v>-6649.9821667068973</v>
      </c>
      <c r="Q69" s="90"/>
    </row>
    <row r="71" spans="2:17" x14ac:dyDescent="0.25">
      <c r="B71" s="34" t="s">
        <v>458</v>
      </c>
    </row>
    <row r="72" spans="2:17" x14ac:dyDescent="0.25">
      <c r="B72" s="6" t="s">
        <v>306</v>
      </c>
      <c r="F72" s="6" t="s">
        <v>95</v>
      </c>
      <c r="N72" s="52">
        <f>N67-N45</f>
        <v>5350.6621020296589</v>
      </c>
      <c r="O72" s="52">
        <f t="shared" ref="O72:P72" si="2">O67-O45</f>
        <v>4876.295439675916</v>
      </c>
      <c r="P72" s="52">
        <f t="shared" si="2"/>
        <v>9884.1527409800328</v>
      </c>
      <c r="Q72" s="90"/>
    </row>
    <row r="73" spans="2:17" x14ac:dyDescent="0.25">
      <c r="B73" s="6" t="s">
        <v>307</v>
      </c>
      <c r="F73" s="6" t="s">
        <v>95</v>
      </c>
      <c r="N73" s="52">
        <f>N68-N46</f>
        <v>0</v>
      </c>
      <c r="O73" s="52">
        <f>O68-O46</f>
        <v>0</v>
      </c>
      <c r="P73" s="52">
        <f t="shared" ref="P73" si="3">P68-P46</f>
        <v>0</v>
      </c>
      <c r="Q73" s="90"/>
    </row>
    <row r="74" spans="2:17" x14ac:dyDescent="0.25">
      <c r="B74" s="6" t="s">
        <v>308</v>
      </c>
      <c r="F74" s="6" t="s">
        <v>95</v>
      </c>
      <c r="N74" s="52">
        <f>N69-N47</f>
        <v>0</v>
      </c>
      <c r="O74" s="52">
        <f t="shared" ref="O74:P74" si="4">O69-O47</f>
        <v>0</v>
      </c>
      <c r="P74" s="52">
        <f t="shared" si="4"/>
        <v>0</v>
      </c>
      <c r="Q74" s="90"/>
    </row>
    <row r="76" spans="2:17" x14ac:dyDescent="0.25">
      <c r="B76" s="6" t="s">
        <v>459</v>
      </c>
      <c r="F76" s="6" t="s">
        <v>95</v>
      </c>
      <c r="N76" s="52">
        <f>SUM(N72:N74)</f>
        <v>5350.6621020296589</v>
      </c>
      <c r="O76" s="52">
        <f>SUM(O72:O74)</f>
        <v>4876.295439675916</v>
      </c>
      <c r="P76" s="52">
        <f>SUM(P72:P74)</f>
        <v>9884.1527409800328</v>
      </c>
      <c r="Q76" s="90"/>
    </row>
    <row r="78" spans="2:17" x14ac:dyDescent="0.25">
      <c r="B78" s="34" t="s">
        <v>461</v>
      </c>
    </row>
    <row r="79" spans="2:17" x14ac:dyDescent="0.25">
      <c r="B79" s="6" t="s">
        <v>460</v>
      </c>
      <c r="F79" s="6" t="s">
        <v>95</v>
      </c>
      <c r="Q79" s="53">
        <f>N76*$H$16+O76*$H$17+P76*$H$18</f>
        <v>22307.688924761016</v>
      </c>
    </row>
    <row r="81" spans="2:17" x14ac:dyDescent="0.25">
      <c r="B81" s="34" t="s">
        <v>462</v>
      </c>
    </row>
    <row r="82" spans="2:17" x14ac:dyDescent="0.25">
      <c r="B82" s="6" t="s">
        <v>309</v>
      </c>
      <c r="F82" s="6" t="s">
        <v>95</v>
      </c>
      <c r="N82" s="52">
        <f>N33-N21</f>
        <v>181770.53781298036</v>
      </c>
      <c r="O82" s="52">
        <f t="shared" ref="O82:P82" si="5">O33-O21</f>
        <v>253051.59140427783</v>
      </c>
      <c r="P82" s="52">
        <f t="shared" si="5"/>
        <v>250956.02778515406</v>
      </c>
      <c r="Q82" s="52">
        <f>Q33-Q21</f>
        <v>246731.66223831009</v>
      </c>
    </row>
    <row r="83" spans="2:17" x14ac:dyDescent="0.25">
      <c r="B83" s="6" t="s">
        <v>147</v>
      </c>
      <c r="F83" s="6" t="s">
        <v>95</v>
      </c>
      <c r="N83" s="85"/>
      <c r="O83" s="85"/>
      <c r="P83" s="85"/>
      <c r="Q83" s="52">
        <f>Q34-Q22</f>
        <v>23125.299396234477</v>
      </c>
    </row>
    <row r="84" spans="2:17" x14ac:dyDescent="0.25">
      <c r="B84" s="6" t="s">
        <v>213</v>
      </c>
      <c r="F84" s="6" t="s">
        <v>95</v>
      </c>
      <c r="N84" s="85"/>
      <c r="O84" s="85"/>
      <c r="P84" s="85"/>
      <c r="Q84" s="52">
        <f>Q35-Q23</f>
        <v>-6756.1424820162138</v>
      </c>
    </row>
    <row r="85" spans="2:17" x14ac:dyDescent="0.25">
      <c r="B85" s="6" t="s">
        <v>310</v>
      </c>
      <c r="F85" s="6" t="s">
        <v>95</v>
      </c>
      <c r="N85" s="85"/>
      <c r="O85" s="52">
        <f>O36-O24</f>
        <v>9447.2425175464377</v>
      </c>
      <c r="P85" s="52">
        <f>P36-P24</f>
        <v>7447.889884693097</v>
      </c>
      <c r="Q85" s="52">
        <f>Q36-Q24</f>
        <v>7566.7879988123314</v>
      </c>
    </row>
    <row r="87" spans="2:17" x14ac:dyDescent="0.25">
      <c r="B87" s="8" t="s">
        <v>464</v>
      </c>
    </row>
    <row r="88" spans="2:17" x14ac:dyDescent="0.25">
      <c r="B88" s="6" t="s">
        <v>311</v>
      </c>
      <c r="F88" s="6" t="s">
        <v>95</v>
      </c>
      <c r="N88" s="52">
        <f>SUM(N82:N85)-N67</f>
        <v>0</v>
      </c>
      <c r="O88" s="52">
        <f t="shared" ref="O88:Q88" si="6">SUM(O82:O85)-O67</f>
        <v>97734.110525993805</v>
      </c>
      <c r="P88" s="52">
        <f t="shared" si="6"/>
        <v>90355.693070290145</v>
      </c>
      <c r="Q88" s="52">
        <f t="shared" si="6"/>
        <v>270667.60715134064</v>
      </c>
    </row>
    <row r="90" spans="2:17" x14ac:dyDescent="0.25">
      <c r="B90" s="34" t="s">
        <v>463</v>
      </c>
    </row>
    <row r="91" spans="2:17" x14ac:dyDescent="0.25">
      <c r="B91" s="6" t="s">
        <v>261</v>
      </c>
      <c r="F91" s="6" t="s">
        <v>95</v>
      </c>
      <c r="Q91" s="53">
        <f>N88*$H$16+O88*$H$17+P88*$H$18+Q88</f>
        <v>477745.3879111085</v>
      </c>
    </row>
    <row r="93" spans="2:17" x14ac:dyDescent="0.25">
      <c r="B93" s="8" t="s">
        <v>312</v>
      </c>
    </row>
    <row r="94" spans="2:17" x14ac:dyDescent="0.25">
      <c r="B94" s="6" t="s">
        <v>313</v>
      </c>
      <c r="F94" s="6" t="s">
        <v>95</v>
      </c>
      <c r="N94" s="52">
        <f>SUM(N45:N47)</f>
        <v>195250.78043669506</v>
      </c>
      <c r="O94" s="52">
        <f t="shared" ref="O94" si="7">SUM(O45:O47)</f>
        <v>175747.20426248715</v>
      </c>
      <c r="P94" s="52">
        <f>SUM(P45:P47)</f>
        <v>174276.01766986385</v>
      </c>
      <c r="Q94" s="85"/>
    </row>
    <row r="95" spans="2:17" x14ac:dyDescent="0.25">
      <c r="B95" s="6" t="s">
        <v>314</v>
      </c>
      <c r="F95" s="6" t="s">
        <v>95</v>
      </c>
      <c r="N95" s="52">
        <f>SUM(N33:N36)-SUM(N21:N24)</f>
        <v>200601.44253872451</v>
      </c>
      <c r="O95" s="52">
        <f t="shared" ref="O95:Q95" si="8">SUM(O33:O36)-SUM(O21:O24)</f>
        <v>278357.61022815714</v>
      </c>
      <c r="P95" s="52">
        <f t="shared" si="8"/>
        <v>274515.86348113464</v>
      </c>
      <c r="Q95" s="52">
        <f t="shared" si="8"/>
        <v>270667.60715134069</v>
      </c>
    </row>
    <row r="96" spans="2:17" x14ac:dyDescent="0.25">
      <c r="B96" s="6" t="s">
        <v>315</v>
      </c>
      <c r="F96" s="6" t="s">
        <v>95</v>
      </c>
      <c r="N96" s="52">
        <f>N95-N94</f>
        <v>5350.6621020294551</v>
      </c>
      <c r="O96" s="52">
        <f t="shared" ref="O96:Q96" si="9">O95-O94</f>
        <v>102610.40596566998</v>
      </c>
      <c r="P96" s="52">
        <f t="shared" si="9"/>
        <v>100239.84581127079</v>
      </c>
      <c r="Q96" s="52">
        <f t="shared" si="9"/>
        <v>270667.60715134069</v>
      </c>
    </row>
    <row r="98" spans="2:17" x14ac:dyDescent="0.25">
      <c r="B98" s="6" t="s">
        <v>316</v>
      </c>
      <c r="F98" s="6" t="s">
        <v>95</v>
      </c>
      <c r="H98" s="54" t="b">
        <f>(ROUND(Q98,2)=ROUND((Q91+Q79),2))</f>
        <v>1</v>
      </c>
      <c r="Q98" s="53">
        <f>N96*$H$16+O96*$H$17+P96*$H$18+Q96</f>
        <v>500053.07683587028</v>
      </c>
    </row>
    <row r="100" spans="2:17" s="12" customFormat="1" x14ac:dyDescent="0.25">
      <c r="B100" s="12" t="s">
        <v>268</v>
      </c>
    </row>
    <row r="102" spans="2:17" x14ac:dyDescent="0.25">
      <c r="B102" s="8" t="s">
        <v>317</v>
      </c>
    </row>
    <row r="103" spans="2:17" x14ac:dyDescent="0.25">
      <c r="B103" s="6" t="s">
        <v>220</v>
      </c>
      <c r="F103" s="6" t="s">
        <v>95</v>
      </c>
      <c r="N103" s="52">
        <f>N60-N27</f>
        <v>158792.7553117908</v>
      </c>
      <c r="O103" s="52">
        <f t="shared" ref="N103:P105" si="10">O60-O27</f>
        <v>156934.19520016341</v>
      </c>
      <c r="P103" s="52">
        <f t="shared" si="10"/>
        <v>161837.24219087337</v>
      </c>
      <c r="Q103" s="90"/>
    </row>
    <row r="104" spans="2:17" x14ac:dyDescent="0.25">
      <c r="B104" s="6" t="s">
        <v>318</v>
      </c>
      <c r="F104" s="6" t="s">
        <v>95</v>
      </c>
      <c r="N104" s="52">
        <f t="shared" si="10"/>
        <v>17376.928554696806</v>
      </c>
      <c r="O104" s="52">
        <f t="shared" si="10"/>
        <v>17654.333842143988</v>
      </c>
      <c r="P104" s="52">
        <f t="shared" si="10"/>
        <v>17936.167627599974</v>
      </c>
      <c r="Q104" s="90"/>
    </row>
    <row r="105" spans="2:17" x14ac:dyDescent="0.25">
      <c r="B105" s="6" t="s">
        <v>214</v>
      </c>
      <c r="F105" s="6" t="s">
        <v>95</v>
      </c>
      <c r="N105" s="52">
        <f t="shared" si="10"/>
        <v>-12.256498471597297</v>
      </c>
      <c r="O105" s="52">
        <f t="shared" si="10"/>
        <v>-24.904322426395083</v>
      </c>
      <c r="P105" s="52">
        <f t="shared" si="10"/>
        <v>-25.301895029610023</v>
      </c>
      <c r="Q105" s="90"/>
    </row>
    <row r="107" spans="2:17" x14ac:dyDescent="0.25">
      <c r="B107" s="34" t="s">
        <v>472</v>
      </c>
    </row>
    <row r="108" spans="2:17" x14ac:dyDescent="0.25">
      <c r="B108" s="6" t="s">
        <v>319</v>
      </c>
      <c r="F108" s="6" t="s">
        <v>95</v>
      </c>
      <c r="N108" s="52">
        <f>N103-N50</f>
        <v>6241.0198922675918</v>
      </c>
      <c r="O108" s="52">
        <f t="shared" ref="O108:P108" si="11">O103-O50</f>
        <v>5832.769846190582</v>
      </c>
      <c r="P108" s="52">
        <f t="shared" si="11"/>
        <v>12187.497997514438</v>
      </c>
      <c r="Q108" s="90"/>
    </row>
    <row r="109" spans="2:17" x14ac:dyDescent="0.25">
      <c r="B109" s="6" t="s">
        <v>320</v>
      </c>
      <c r="F109" s="6" t="s">
        <v>95</v>
      </c>
      <c r="N109" s="52">
        <f t="shared" ref="N109:P109" si="12">N104-N51</f>
        <v>0</v>
      </c>
      <c r="O109" s="52">
        <f t="shared" si="12"/>
        <v>0</v>
      </c>
      <c r="P109" s="52">
        <f t="shared" si="12"/>
        <v>0</v>
      </c>
      <c r="Q109" s="90"/>
    </row>
    <row r="110" spans="2:17" x14ac:dyDescent="0.25">
      <c r="B110" s="6" t="s">
        <v>321</v>
      </c>
      <c r="F110" s="6" t="s">
        <v>95</v>
      </c>
      <c r="N110" s="52">
        <f t="shared" ref="N110:P110" si="13">N105-N52</f>
        <v>0</v>
      </c>
      <c r="O110" s="52">
        <f t="shared" si="13"/>
        <v>0</v>
      </c>
      <c r="P110" s="52">
        <f t="shared" si="13"/>
        <v>0</v>
      </c>
      <c r="Q110" s="90"/>
    </row>
    <row r="112" spans="2:17" x14ac:dyDescent="0.25">
      <c r="B112" s="6" t="s">
        <v>459</v>
      </c>
      <c r="F112" s="6" t="s">
        <v>95</v>
      </c>
      <c r="N112" s="52">
        <f>SUM(N108:N110)</f>
        <v>6241.0198922675918</v>
      </c>
      <c r="O112" s="52">
        <f>SUM(O108:O110)</f>
        <v>5832.769846190582</v>
      </c>
      <c r="P112" s="52">
        <f>SUM(P108:P110)</f>
        <v>12187.497997514438</v>
      </c>
      <c r="Q112" s="90"/>
    </row>
    <row r="114" spans="2:17" x14ac:dyDescent="0.25">
      <c r="B114" s="34" t="s">
        <v>344</v>
      </c>
    </row>
    <row r="115" spans="2:17" x14ac:dyDescent="0.25">
      <c r="B115" s="6" t="s">
        <v>465</v>
      </c>
      <c r="F115" s="6" t="s">
        <v>95</v>
      </c>
      <c r="Q115" s="53">
        <f>N112*$H$16+O112*$H$17+P112*$H$18</f>
        <v>26885.647957280678</v>
      </c>
    </row>
    <row r="117" spans="2:17" x14ac:dyDescent="0.25">
      <c r="B117" s="34" t="s">
        <v>467</v>
      </c>
    </row>
    <row r="118" spans="2:17" x14ac:dyDescent="0.25">
      <c r="B118" s="6" t="s">
        <v>322</v>
      </c>
      <c r="F118" s="6" t="s">
        <v>95</v>
      </c>
      <c r="N118" s="52">
        <f>N39-N27</f>
        <v>158792.7553117908</v>
      </c>
      <c r="O118" s="52">
        <f t="shared" ref="O118:Q118" si="14">O39-O27</f>
        <v>477570.40384154115</v>
      </c>
      <c r="P118" s="52">
        <f t="shared" si="14"/>
        <v>515119.81392238114</v>
      </c>
      <c r="Q118" s="52">
        <f t="shared" si="14"/>
        <v>507638.07026047586</v>
      </c>
    </row>
    <row r="119" spans="2:17" x14ac:dyDescent="0.25">
      <c r="B119" s="6" t="s">
        <v>148</v>
      </c>
      <c r="F119" s="6" t="s">
        <v>95</v>
      </c>
      <c r="N119" s="85"/>
      <c r="O119" s="85"/>
      <c r="P119" s="85"/>
      <c r="Q119" s="52">
        <f t="shared" ref="Q119" si="15">Q40-Q28</f>
        <v>18222.500607606984</v>
      </c>
    </row>
    <row r="120" spans="2:17" x14ac:dyDescent="0.25">
      <c r="B120" s="6" t="s">
        <v>214</v>
      </c>
      <c r="F120" s="6" t="s">
        <v>95</v>
      </c>
      <c r="N120" s="85"/>
      <c r="O120" s="85"/>
      <c r="P120" s="85"/>
      <c r="Q120" s="52">
        <f t="shared" ref="Q120" si="16">Q41-Q29</f>
        <v>-25.705814481862035</v>
      </c>
    </row>
    <row r="121" spans="2:17" x14ac:dyDescent="0.25">
      <c r="B121" s="6" t="s">
        <v>323</v>
      </c>
      <c r="F121" s="6" t="s">
        <v>95</v>
      </c>
      <c r="N121" s="85"/>
      <c r="O121" s="52">
        <f t="shared" ref="O121:Q121" si="17">O42-O30</f>
        <v>33627.527838786802</v>
      </c>
      <c r="P121" s="52">
        <f t="shared" si="17"/>
        <v>37258.707531210399</v>
      </c>
      <c r="Q121" s="52">
        <f t="shared" si="17"/>
        <v>37853.505538238634</v>
      </c>
    </row>
    <row r="123" spans="2:17" x14ac:dyDescent="0.25">
      <c r="B123" s="8" t="s">
        <v>466</v>
      </c>
    </row>
    <row r="124" spans="2:17" x14ac:dyDescent="0.25">
      <c r="B124" s="6" t="s">
        <v>324</v>
      </c>
      <c r="F124" s="6" t="s">
        <v>95</v>
      </c>
      <c r="N124" s="52">
        <f>SUM(N118:N121)-N103</f>
        <v>0</v>
      </c>
      <c r="O124" s="52">
        <f>SUM(O118:O121)-O103</f>
        <v>354263.73648016457</v>
      </c>
      <c r="P124" s="52">
        <f>SUM(P118:P121)-P103</f>
        <v>390541.27926271816</v>
      </c>
      <c r="Q124" s="52">
        <f>SUM(Q118:Q121)-Q103</f>
        <v>563688.37059183966</v>
      </c>
    </row>
    <row r="126" spans="2:17" x14ac:dyDescent="0.25">
      <c r="B126" s="34" t="s">
        <v>468</v>
      </c>
    </row>
    <row r="127" spans="2:17" x14ac:dyDescent="0.25">
      <c r="B127" s="6" t="s">
        <v>262</v>
      </c>
      <c r="F127" s="6" t="s">
        <v>95</v>
      </c>
      <c r="Q127" s="53">
        <f>N124*$H$16+O124*$H$17+P124*$H$18+Q124</f>
        <v>1381416.1790793468</v>
      </c>
    </row>
    <row r="129" spans="2:17" x14ac:dyDescent="0.25">
      <c r="B129" s="8" t="s">
        <v>312</v>
      </c>
    </row>
    <row r="130" spans="2:17" x14ac:dyDescent="0.25">
      <c r="B130" s="6" t="s">
        <v>325</v>
      </c>
      <c r="F130" s="6" t="s">
        <v>95</v>
      </c>
      <c r="N130" s="52">
        <f>SUM(N50:N52)</f>
        <v>169916.40747574842</v>
      </c>
      <c r="O130" s="52">
        <f t="shared" ref="O130:P130" si="18">SUM(O50:O52)</f>
        <v>168730.85487369043</v>
      </c>
      <c r="P130" s="52">
        <f t="shared" si="18"/>
        <v>167560.60992592928</v>
      </c>
      <c r="Q130" s="85"/>
    </row>
    <row r="131" spans="2:17" x14ac:dyDescent="0.25">
      <c r="B131" s="6" t="s">
        <v>326</v>
      </c>
      <c r="F131" s="6" t="s">
        <v>95</v>
      </c>
      <c r="N131" s="52">
        <f>SUM(N39:N42)-SUM(N27:N30)</f>
        <v>176157.42736801598</v>
      </c>
      <c r="O131" s="52">
        <f t="shared" ref="O131:Q131" si="19">SUM(O39:O42)-SUM(O27:O30)</f>
        <v>528827.36120004533</v>
      </c>
      <c r="P131" s="52">
        <f t="shared" si="19"/>
        <v>570289.38718616194</v>
      </c>
      <c r="Q131" s="52">
        <f t="shared" si="19"/>
        <v>563688.37059183978</v>
      </c>
    </row>
    <row r="132" spans="2:17" x14ac:dyDescent="0.25">
      <c r="B132" s="6" t="s">
        <v>327</v>
      </c>
      <c r="F132" s="6" t="s">
        <v>95</v>
      </c>
      <c r="N132" s="52">
        <f>N131-N130</f>
        <v>6241.0198922675627</v>
      </c>
      <c r="O132" s="52">
        <f t="shared" ref="O132:Q132" si="20">O131-O130</f>
        <v>360096.50632635492</v>
      </c>
      <c r="P132" s="52">
        <f t="shared" si="20"/>
        <v>402728.77726023266</v>
      </c>
      <c r="Q132" s="52">
        <f t="shared" si="20"/>
        <v>563688.37059183978</v>
      </c>
    </row>
    <row r="134" spans="2:17" x14ac:dyDescent="0.25">
      <c r="B134" s="6" t="s">
        <v>328</v>
      </c>
      <c r="F134" s="6" t="s">
        <v>95</v>
      </c>
      <c r="H134" s="54" t="b">
        <f>(ROUND(Q134,2)=ROUND((Q127+Q115),2))</f>
        <v>1</v>
      </c>
      <c r="Q134" s="53">
        <f>N132*$H$16+O132*$H$17+P132*$H$18+Q132</f>
        <v>1408301.8270366273</v>
      </c>
    </row>
    <row r="137" spans="2:17" x14ac:dyDescent="0.25">
      <c r="Q137" s="43"/>
    </row>
  </sheetData>
  <mergeCells count="2">
    <mergeCell ref="B5:E5"/>
    <mergeCell ref="B8:E8"/>
  </mergeCells>
  <phoneticPr fontId="26" type="noConversion"/>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D68ED-C193-4688-AF3E-C457FE33BE5C}">
  <sheetPr>
    <tabColor rgb="FFFFFFCC"/>
    <pageSetUpPr autoPageBreaks="0"/>
  </sheetPr>
  <dimension ref="A2:T57"/>
  <sheetViews>
    <sheetView showGridLines="0" zoomScale="85" zoomScaleNormal="85" workbookViewId="0">
      <pane xSplit="6" ySplit="11" topLeftCell="G12" activePane="bottomRight" state="frozen"/>
      <selection pane="topRight"/>
      <selection pane="bottomLeft"/>
      <selection pane="bottomRight" activeCell="G12" sqref="G12"/>
    </sheetView>
  </sheetViews>
  <sheetFormatPr defaultColWidth="9.140625" defaultRowHeight="12.75" x14ac:dyDescent="0.25"/>
  <cols>
    <col min="1" max="1" width="5.7109375" style="6" customWidth="1"/>
    <col min="2" max="2" width="97.7109375" style="6" customWidth="1"/>
    <col min="3" max="5" width="5.7109375" style="6" customWidth="1"/>
    <col min="6" max="6" width="13.7109375" style="6" customWidth="1"/>
    <col min="7" max="7" width="2.7109375" style="6" customWidth="1"/>
    <col min="8" max="8" width="13.7109375" style="6" customWidth="1"/>
    <col min="9" max="9" width="2.7109375" style="6" customWidth="1"/>
    <col min="10" max="10" width="13.7109375" style="6" customWidth="1"/>
    <col min="11" max="11" width="2.7109375" style="6" customWidth="1"/>
    <col min="12" max="17" width="12.5703125" style="6" customWidth="1"/>
    <col min="18" max="18" width="2.7109375" style="6" customWidth="1"/>
    <col min="19" max="33" width="13.7109375" style="6" customWidth="1"/>
    <col min="34" max="16384" width="9.140625" style="6"/>
  </cols>
  <sheetData>
    <row r="2" spans="1:20" s="21" customFormat="1" ht="18" x14ac:dyDescent="0.25">
      <c r="A2" s="46"/>
      <c r="B2" s="21" t="s">
        <v>256</v>
      </c>
    </row>
    <row r="4" spans="1:20" x14ac:dyDescent="0.25">
      <c r="B4" s="34" t="s">
        <v>90</v>
      </c>
      <c r="C4" s="8"/>
      <c r="D4" s="8"/>
    </row>
    <row r="5" spans="1:20" ht="78.75" customHeight="1" x14ac:dyDescent="0.25">
      <c r="B5" s="118" t="s">
        <v>469</v>
      </c>
      <c r="C5" s="118"/>
      <c r="D5" s="118"/>
      <c r="E5" s="118"/>
      <c r="H5" s="22"/>
    </row>
    <row r="7" spans="1:20" x14ac:dyDescent="0.25">
      <c r="B7" s="35" t="s">
        <v>216</v>
      </c>
      <c r="C7" s="106"/>
      <c r="D7" s="106"/>
      <c r="E7" s="106"/>
    </row>
    <row r="8" spans="1:20" ht="78" customHeight="1" x14ac:dyDescent="0.25">
      <c r="B8" s="119" t="s">
        <v>526</v>
      </c>
      <c r="C8" s="117"/>
      <c r="D8" s="117"/>
      <c r="E8" s="117"/>
    </row>
    <row r="9" spans="1:20" ht="12.75" customHeight="1" x14ac:dyDescent="0.25">
      <c r="B9" s="5"/>
      <c r="C9" s="5"/>
      <c r="D9" s="5"/>
      <c r="E9" s="5"/>
      <c r="H9" s="22"/>
    </row>
    <row r="10" spans="1:20" s="12" customFormat="1" x14ac:dyDescent="0.25">
      <c r="B10" s="12" t="s">
        <v>37</v>
      </c>
      <c r="F10" s="12" t="s">
        <v>22</v>
      </c>
      <c r="H10" s="12" t="s">
        <v>23</v>
      </c>
      <c r="J10" s="12" t="s">
        <v>41</v>
      </c>
      <c r="L10" s="28">
        <v>2020</v>
      </c>
      <c r="M10" s="28">
        <v>2021</v>
      </c>
      <c r="N10" s="28">
        <v>2022</v>
      </c>
      <c r="O10" s="28">
        <v>2023</v>
      </c>
      <c r="P10" s="28">
        <v>2024</v>
      </c>
      <c r="Q10" s="28">
        <v>2025</v>
      </c>
      <c r="S10" s="12" t="s">
        <v>39</v>
      </c>
      <c r="T10" s="29"/>
    </row>
    <row r="13" spans="1:20" s="12" customFormat="1" x14ac:dyDescent="0.25">
      <c r="B13" s="12" t="s">
        <v>40</v>
      </c>
    </row>
    <row r="15" spans="1:20" x14ac:dyDescent="0.25">
      <c r="B15" s="34" t="s">
        <v>82</v>
      </c>
    </row>
    <row r="16" spans="1:20" x14ac:dyDescent="0.25">
      <c r="B16" s="6" t="s">
        <v>302</v>
      </c>
      <c r="F16" s="6" t="s">
        <v>100</v>
      </c>
      <c r="H16" s="68">
        <f>'9. Berekening parameters'!Q49</f>
        <v>1.16817094045007</v>
      </c>
    </row>
    <row r="17" spans="2:17" x14ac:dyDescent="0.25">
      <c r="B17" s="6" t="s">
        <v>303</v>
      </c>
      <c r="F17" s="6" t="s">
        <v>100</v>
      </c>
      <c r="H17" s="68">
        <f>'9. Berekening parameters'!Q50</f>
        <v>1.1342000000000003</v>
      </c>
    </row>
    <row r="18" spans="2:17" x14ac:dyDescent="0.25">
      <c r="B18" s="6" t="s">
        <v>301</v>
      </c>
      <c r="F18" s="6" t="s">
        <v>100</v>
      </c>
      <c r="H18" s="68">
        <f>'9. Berekening parameters'!Q51</f>
        <v>1.0649882628461218</v>
      </c>
    </row>
    <row r="20" spans="2:17" x14ac:dyDescent="0.25">
      <c r="B20" s="34" t="s">
        <v>241</v>
      </c>
    </row>
    <row r="21" spans="2:17" x14ac:dyDescent="0.25">
      <c r="B21" s="6" t="s">
        <v>246</v>
      </c>
      <c r="F21" s="6" t="s">
        <v>95</v>
      </c>
      <c r="N21" s="51">
        <f>'7. Brondata'!N90</f>
        <v>74282867.831217796</v>
      </c>
      <c r="O21" s="51">
        <f>'7. Brondata'!O90</f>
        <v>73537492.385773376</v>
      </c>
      <c r="P21" s="51">
        <f>'7. Brondata'!P90</f>
        <v>76669294.139479399</v>
      </c>
      <c r="Q21" s="51">
        <f>'7. Brondata'!Q90</f>
        <v>75662780.28376776</v>
      </c>
    </row>
    <row r="23" spans="2:17" x14ac:dyDescent="0.25">
      <c r="B23" s="34" t="s">
        <v>299</v>
      </c>
    </row>
    <row r="24" spans="2:17" x14ac:dyDescent="0.25">
      <c r="B24" s="6" t="s">
        <v>298</v>
      </c>
      <c r="F24" s="6" t="s">
        <v>95</v>
      </c>
      <c r="N24" s="51">
        <f>'7. Brondata'!N93</f>
        <v>74197966.543453902</v>
      </c>
      <c r="O24" s="51">
        <f>'7. Brondata'!O93</f>
        <v>73453443.951302886</v>
      </c>
      <c r="P24" s="51">
        <f>'7. Brondata'!P93</f>
        <v>76581673.48876074</v>
      </c>
      <c r="Q24" s="51">
        <f>'7. Brondata'!Q93</f>
        <v>75576311.212922513</v>
      </c>
    </row>
    <row r="26" spans="2:17" x14ac:dyDescent="0.25">
      <c r="B26" s="34" t="s">
        <v>300</v>
      </c>
    </row>
    <row r="27" spans="2:17" x14ac:dyDescent="0.25">
      <c r="B27" s="6" t="s">
        <v>249</v>
      </c>
      <c r="F27" s="6" t="s">
        <v>95</v>
      </c>
      <c r="N27" s="51">
        <f>'7. Brondata'!N96</f>
        <v>74197966.543453902</v>
      </c>
      <c r="O27" s="51">
        <f>'7. Brondata'!O96</f>
        <v>73453443.951302886</v>
      </c>
      <c r="P27" s="51">
        <f>'7. Brondata'!P96</f>
        <v>76581673.48876074</v>
      </c>
      <c r="Q27" s="90"/>
    </row>
    <row r="29" spans="2:17" x14ac:dyDescent="0.25">
      <c r="B29" s="8" t="s">
        <v>478</v>
      </c>
    </row>
    <row r="30" spans="2:17" x14ac:dyDescent="0.25">
      <c r="B30" s="6" t="s">
        <v>470</v>
      </c>
      <c r="F30" s="6" t="s">
        <v>95</v>
      </c>
      <c r="N30" s="51">
        <f>'7. Brondata'!N99</f>
        <v>-79329.791747897863</v>
      </c>
      <c r="O30" s="51">
        <f>'7. Brondata'!O99</f>
        <v>-78685.509371653199</v>
      </c>
      <c r="P30" s="51">
        <f>'7. Brondata'!P99</f>
        <v>-78023.204199522734</v>
      </c>
      <c r="Q30" s="90"/>
    </row>
    <row r="32" spans="2:17" s="12" customFormat="1" x14ac:dyDescent="0.25">
      <c r="B32" s="12" t="s">
        <v>266</v>
      </c>
    </row>
    <row r="34" spans="2:18" x14ac:dyDescent="0.25">
      <c r="B34" s="8" t="s">
        <v>330</v>
      </c>
    </row>
    <row r="35" spans="2:18" x14ac:dyDescent="0.25">
      <c r="B35" s="6" t="s">
        <v>331</v>
      </c>
      <c r="F35" s="6" t="s">
        <v>95</v>
      </c>
      <c r="N35" s="52">
        <f>N27-N21</f>
        <v>-84901.287763893604</v>
      </c>
      <c r="O35" s="52">
        <f>O27-O21</f>
        <v>-84048.434470489621</v>
      </c>
      <c r="P35" s="52">
        <f>P27-P21</f>
        <v>-87620.650718659163</v>
      </c>
      <c r="Q35" s="90"/>
    </row>
    <row r="37" spans="2:18" x14ac:dyDescent="0.25">
      <c r="B37" s="8" t="s">
        <v>479</v>
      </c>
    </row>
    <row r="38" spans="2:18" x14ac:dyDescent="0.25">
      <c r="B38" s="6" t="s">
        <v>481</v>
      </c>
      <c r="F38" s="6" t="s">
        <v>95</v>
      </c>
      <c r="N38" s="52">
        <f>N35-N30</f>
        <v>-5571.4960159957409</v>
      </c>
      <c r="O38" s="52">
        <f t="shared" ref="O38:P38" si="0">O35-O30</f>
        <v>-5362.925098836422</v>
      </c>
      <c r="P38" s="52">
        <f t="shared" si="0"/>
        <v>-9597.4465191364288</v>
      </c>
      <c r="Q38" s="90"/>
    </row>
    <row r="40" spans="2:18" x14ac:dyDescent="0.25">
      <c r="B40" s="8" t="s">
        <v>471</v>
      </c>
    </row>
    <row r="41" spans="2:18" x14ac:dyDescent="0.25">
      <c r="B41" s="6" t="s">
        <v>332</v>
      </c>
      <c r="F41" s="6" t="s">
        <v>95</v>
      </c>
      <c r="Q41" s="53">
        <f>N38*$H$16+O38*$H$17+P38*$H$18</f>
        <v>-22812.257283993495</v>
      </c>
    </row>
    <row r="43" spans="2:18" x14ac:dyDescent="0.25">
      <c r="B43" s="34" t="s">
        <v>245</v>
      </c>
    </row>
    <row r="44" spans="2:18" x14ac:dyDescent="0.25">
      <c r="B44" s="6" t="s">
        <v>329</v>
      </c>
      <c r="F44" s="6" t="s">
        <v>95</v>
      </c>
      <c r="N44" s="52">
        <f>N24-N21</f>
        <v>-84901.287763893604</v>
      </c>
      <c r="O44" s="52">
        <f>O24-O21</f>
        <v>-84048.434470489621</v>
      </c>
      <c r="P44" s="52">
        <f>P24-P21</f>
        <v>-87620.650718659163</v>
      </c>
      <c r="Q44" s="52">
        <f>Q24-Q21</f>
        <v>-86469.070845246315</v>
      </c>
    </row>
    <row r="46" spans="2:18" x14ac:dyDescent="0.25">
      <c r="B46" s="8" t="s">
        <v>479</v>
      </c>
    </row>
    <row r="47" spans="2:18" x14ac:dyDescent="0.25">
      <c r="B47" s="6" t="s">
        <v>480</v>
      </c>
      <c r="N47" s="52">
        <f>N44-N35</f>
        <v>0</v>
      </c>
      <c r="O47" s="52">
        <f>O44-O35</f>
        <v>0</v>
      </c>
      <c r="P47" s="52">
        <f>P44-P35</f>
        <v>0</v>
      </c>
      <c r="Q47" s="52">
        <f t="shared" ref="Q47" si="1">Q44-Q35</f>
        <v>-86469.070845246315</v>
      </c>
      <c r="R47" s="43"/>
    </row>
    <row r="49" spans="2:17" x14ac:dyDescent="0.25">
      <c r="B49" s="104" t="s">
        <v>473</v>
      </c>
    </row>
    <row r="50" spans="2:17" x14ac:dyDescent="0.25">
      <c r="B50" s="6" t="s">
        <v>267</v>
      </c>
      <c r="F50" s="6" t="s">
        <v>95</v>
      </c>
      <c r="Q50" s="53">
        <f>N47*$H16+O47*$H$17+P47*$H$18+Q47</f>
        <v>-86469.070845246315</v>
      </c>
    </row>
    <row r="52" spans="2:17" x14ac:dyDescent="0.25">
      <c r="B52" s="34" t="s">
        <v>312</v>
      </c>
    </row>
    <row r="53" spans="2:17" x14ac:dyDescent="0.25">
      <c r="B53" s="6" t="s">
        <v>474</v>
      </c>
      <c r="F53" s="6" t="s">
        <v>95</v>
      </c>
      <c r="N53" s="52">
        <f>N30</f>
        <v>-79329.791747897863</v>
      </c>
      <c r="O53" s="52">
        <f t="shared" ref="O53:P53" si="2">O30</f>
        <v>-78685.509371653199</v>
      </c>
      <c r="P53" s="52">
        <f t="shared" si="2"/>
        <v>-78023.204199522734</v>
      </c>
      <c r="Q53" s="85"/>
    </row>
    <row r="54" spans="2:17" x14ac:dyDescent="0.25">
      <c r="B54" s="6" t="s">
        <v>475</v>
      </c>
      <c r="F54" s="6" t="s">
        <v>95</v>
      </c>
      <c r="N54" s="52">
        <f>N24-N21</f>
        <v>-84901.287763893604</v>
      </c>
      <c r="O54" s="52">
        <f t="shared" ref="O54:Q54" si="3">O24-O21</f>
        <v>-84048.434470489621</v>
      </c>
      <c r="P54" s="52">
        <f t="shared" si="3"/>
        <v>-87620.650718659163</v>
      </c>
      <c r="Q54" s="52">
        <f t="shared" si="3"/>
        <v>-86469.070845246315</v>
      </c>
    </row>
    <row r="55" spans="2:17" x14ac:dyDescent="0.25">
      <c r="B55" s="6" t="s">
        <v>476</v>
      </c>
      <c r="F55" s="6" t="s">
        <v>95</v>
      </c>
      <c r="N55" s="52">
        <f>N54-N53</f>
        <v>-5571.4960159957409</v>
      </c>
      <c r="O55" s="52">
        <f>O54-O53</f>
        <v>-5362.925098836422</v>
      </c>
      <c r="P55" s="52">
        <f t="shared" ref="P55:Q55" si="4">P54-P53</f>
        <v>-9597.4465191364288</v>
      </c>
      <c r="Q55" s="52">
        <f t="shared" si="4"/>
        <v>-86469.070845246315</v>
      </c>
    </row>
    <row r="57" spans="2:17" x14ac:dyDescent="0.25">
      <c r="B57" s="6" t="s">
        <v>477</v>
      </c>
      <c r="F57" s="6" t="s">
        <v>95</v>
      </c>
      <c r="H57" s="54" t="b">
        <f>(ROUND(Q57,2)=ROUND((Q50+Q41),2))</f>
        <v>1</v>
      </c>
      <c r="Q57" s="53">
        <f>N55*$H$16+O55*$H$17+P55*$H$18+Q55</f>
        <v>-109281.32812923982</v>
      </c>
    </row>
  </sheetData>
  <mergeCells count="2">
    <mergeCell ref="B5:E5"/>
    <mergeCell ref="B8:E8"/>
  </mergeCells>
  <phoneticPr fontId="26" type="noConversion"/>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A731F-DDC8-4AC6-9AC5-F4878F3B6ED1}">
  <sheetPr>
    <tabColor rgb="FFFFFFCC"/>
    <pageSetUpPr autoPageBreaks="0"/>
  </sheetPr>
  <dimension ref="B2:T47"/>
  <sheetViews>
    <sheetView showGridLines="0" zoomScale="85" zoomScaleNormal="85" workbookViewId="0">
      <pane xSplit="6" ySplit="11" topLeftCell="G12" activePane="bottomRight" state="frozen"/>
      <selection pane="topRight"/>
      <selection pane="bottomLeft"/>
      <selection pane="bottomRight" activeCell="G12" sqref="G12"/>
    </sheetView>
  </sheetViews>
  <sheetFormatPr defaultColWidth="9.140625" defaultRowHeight="12.75" x14ac:dyDescent="0.25"/>
  <cols>
    <col min="1" max="1" width="5.7109375" style="6" customWidth="1"/>
    <col min="2" max="2" width="65.140625" style="6" customWidth="1"/>
    <col min="3" max="5" width="5.7109375" style="6" customWidth="1"/>
    <col min="6" max="6" width="13.7109375" style="6" customWidth="1"/>
    <col min="7" max="7" width="2.7109375" style="6" customWidth="1"/>
    <col min="8" max="8" width="13.7109375" style="6" customWidth="1"/>
    <col min="9" max="9" width="2.7109375" style="6" customWidth="1"/>
    <col min="10" max="10" width="13.7109375" style="6" customWidth="1"/>
    <col min="11" max="11" width="2.7109375" style="6" customWidth="1"/>
    <col min="12" max="17" width="12.5703125" style="6" customWidth="1"/>
    <col min="18" max="18" width="2.7109375" style="6" customWidth="1"/>
    <col min="19" max="30" width="13.7109375" style="6" customWidth="1"/>
    <col min="31" max="16384" width="9.140625" style="6"/>
  </cols>
  <sheetData>
    <row r="2" spans="2:20" s="21" customFormat="1" ht="18" x14ac:dyDescent="0.25">
      <c r="B2" s="21" t="s">
        <v>243</v>
      </c>
    </row>
    <row r="4" spans="2:20" x14ac:dyDescent="0.25">
      <c r="B4" s="34" t="s">
        <v>138</v>
      </c>
    </row>
    <row r="5" spans="2:20" ht="50.25" customHeight="1" x14ac:dyDescent="0.25">
      <c r="B5" s="117" t="s">
        <v>264</v>
      </c>
      <c r="C5" s="117"/>
      <c r="D5" s="117"/>
      <c r="E5" s="117"/>
    </row>
    <row r="6" spans="2:20" ht="12.75" customHeight="1" x14ac:dyDescent="0.25">
      <c r="B6" s="5"/>
      <c r="C6" s="5"/>
      <c r="D6" s="5"/>
      <c r="E6" s="5"/>
    </row>
    <row r="7" spans="2:20" ht="12.75" customHeight="1" x14ac:dyDescent="0.25">
      <c r="B7" s="35" t="s">
        <v>216</v>
      </c>
      <c r="C7" s="5"/>
      <c r="D7" s="5"/>
      <c r="E7" s="5"/>
    </row>
    <row r="8" spans="2:20" ht="30" customHeight="1" x14ac:dyDescent="0.25">
      <c r="B8" s="117" t="s">
        <v>240</v>
      </c>
      <c r="C8" s="117"/>
      <c r="D8" s="117"/>
      <c r="E8" s="117"/>
    </row>
    <row r="9" spans="2:20" x14ac:dyDescent="0.25">
      <c r="B9" s="66"/>
      <c r="C9" s="66"/>
      <c r="D9" s="66"/>
      <c r="E9" s="66"/>
    </row>
    <row r="10" spans="2:20" s="12" customFormat="1" x14ac:dyDescent="0.25">
      <c r="B10" s="12" t="s">
        <v>37</v>
      </c>
      <c r="F10" s="12" t="s">
        <v>22</v>
      </c>
      <c r="H10" s="12" t="s">
        <v>23</v>
      </c>
      <c r="J10" s="12" t="s">
        <v>41</v>
      </c>
      <c r="L10" s="28">
        <v>2020</v>
      </c>
      <c r="M10" s="28">
        <v>2021</v>
      </c>
      <c r="N10" s="28">
        <v>2022</v>
      </c>
      <c r="O10" s="28">
        <v>2023</v>
      </c>
      <c r="P10" s="28">
        <v>2024</v>
      </c>
      <c r="Q10" s="28">
        <v>2025</v>
      </c>
      <c r="S10" s="12" t="s">
        <v>39</v>
      </c>
      <c r="T10" s="29"/>
    </row>
    <row r="13" spans="2:20" s="12" customFormat="1" x14ac:dyDescent="0.25">
      <c r="B13" s="12" t="s">
        <v>40</v>
      </c>
    </row>
    <row r="15" spans="2:20" x14ac:dyDescent="0.25">
      <c r="B15" s="34" t="s">
        <v>102</v>
      </c>
      <c r="M15" s="30"/>
      <c r="O15" s="30"/>
      <c r="P15" s="30"/>
      <c r="Q15" s="30"/>
      <c r="R15" s="30"/>
    </row>
    <row r="16" spans="2:20" x14ac:dyDescent="0.25">
      <c r="B16" s="6" t="s">
        <v>170</v>
      </c>
      <c r="F16" s="6" t="s">
        <v>100</v>
      </c>
      <c r="L16" s="30"/>
      <c r="M16" s="30"/>
      <c r="N16" s="30"/>
      <c r="O16" s="88">
        <f>'9. Berekening parameters'!O27</f>
        <v>1.1468800000000001</v>
      </c>
      <c r="P16" s="30"/>
      <c r="Q16" s="30"/>
      <c r="R16" s="30"/>
    </row>
    <row r="17" spans="2:19" x14ac:dyDescent="0.25">
      <c r="L17" s="30"/>
      <c r="M17" s="30"/>
      <c r="N17" s="30"/>
      <c r="O17" s="30"/>
      <c r="P17" s="30"/>
      <c r="Q17" s="30"/>
      <c r="R17" s="30"/>
    </row>
    <row r="18" spans="2:19" x14ac:dyDescent="0.25">
      <c r="B18" s="34" t="s">
        <v>160</v>
      </c>
      <c r="L18" s="30"/>
      <c r="M18" s="30"/>
      <c r="N18" s="30"/>
      <c r="O18" s="30"/>
      <c r="P18" s="30"/>
      <c r="Q18" s="30"/>
      <c r="R18" s="30"/>
    </row>
    <row r="19" spans="2:19" x14ac:dyDescent="0.25">
      <c r="B19" s="6" t="s">
        <v>171</v>
      </c>
      <c r="F19" s="6" t="s">
        <v>168</v>
      </c>
      <c r="L19" s="30"/>
      <c r="M19" s="30"/>
      <c r="N19" s="30"/>
      <c r="O19" s="88">
        <f>'9. Berekening parameters'!O36</f>
        <v>0.996004</v>
      </c>
      <c r="P19" s="30"/>
      <c r="Q19" s="30"/>
      <c r="R19" s="30"/>
    </row>
    <row r="20" spans="2:19" x14ac:dyDescent="0.25">
      <c r="L20" s="30"/>
      <c r="M20" s="30"/>
      <c r="O20" s="30"/>
      <c r="P20" s="30"/>
      <c r="Q20" s="30"/>
      <c r="R20" s="30"/>
    </row>
    <row r="21" spans="2:19" x14ac:dyDescent="0.25">
      <c r="B21" s="34" t="s">
        <v>82</v>
      </c>
    </row>
    <row r="22" spans="2:19" x14ac:dyDescent="0.25">
      <c r="B22" s="44" t="s">
        <v>333</v>
      </c>
      <c r="F22" s="6" t="s">
        <v>100</v>
      </c>
      <c r="H22" s="68">
        <f>'9. Berekening parameters'!Q50</f>
        <v>1.1342000000000003</v>
      </c>
      <c r="S22" s="22"/>
    </row>
    <row r="23" spans="2:19" x14ac:dyDescent="0.25">
      <c r="B23" s="8"/>
      <c r="L23" s="30"/>
      <c r="M23" s="30"/>
      <c r="N23" s="30"/>
      <c r="O23" s="30"/>
      <c r="P23" s="30"/>
      <c r="Q23" s="30"/>
      <c r="R23" s="30"/>
    </row>
    <row r="24" spans="2:19" x14ac:dyDescent="0.25">
      <c r="B24" s="34" t="s">
        <v>169</v>
      </c>
      <c r="L24" s="30"/>
      <c r="M24" s="30"/>
      <c r="N24" s="30"/>
      <c r="O24" s="30"/>
      <c r="P24" s="30"/>
      <c r="Q24" s="30"/>
    </row>
    <row r="25" spans="2:19" x14ac:dyDescent="0.25">
      <c r="B25" s="6" t="s">
        <v>217</v>
      </c>
      <c r="F25" s="6" t="s">
        <v>95</v>
      </c>
      <c r="L25" s="30"/>
      <c r="M25" s="112" t="s">
        <v>564</v>
      </c>
      <c r="N25" s="30"/>
      <c r="O25" s="30"/>
      <c r="P25" s="30"/>
      <c r="Q25" s="30"/>
    </row>
    <row r="26" spans="2:19" x14ac:dyDescent="0.25">
      <c r="B26" s="6" t="s">
        <v>218</v>
      </c>
      <c r="F26" s="6" t="s">
        <v>95</v>
      </c>
      <c r="L26" s="30"/>
      <c r="M26" s="112" t="s">
        <v>565</v>
      </c>
      <c r="N26" s="30"/>
      <c r="O26" s="30"/>
      <c r="P26" s="30"/>
      <c r="Q26" s="30"/>
    </row>
    <row r="28" spans="2:19" x14ac:dyDescent="0.25">
      <c r="B28" s="47" t="s">
        <v>222</v>
      </c>
      <c r="S28" s="22"/>
    </row>
    <row r="29" spans="2:19" x14ac:dyDescent="0.25">
      <c r="B29" s="44" t="s">
        <v>206</v>
      </c>
      <c r="F29" s="6" t="s">
        <v>95</v>
      </c>
      <c r="O29" s="112" t="s">
        <v>566</v>
      </c>
      <c r="S29" s="22"/>
    </row>
    <row r="30" spans="2:19" x14ac:dyDescent="0.25">
      <c r="B30" s="44" t="s">
        <v>207</v>
      </c>
      <c r="F30" s="6" t="s">
        <v>95</v>
      </c>
      <c r="O30" s="112" t="s">
        <v>567</v>
      </c>
      <c r="S30" s="22"/>
    </row>
    <row r="31" spans="2:19" x14ac:dyDescent="0.2">
      <c r="J31" s="25"/>
    </row>
    <row r="32" spans="2:19" x14ac:dyDescent="0.2">
      <c r="B32" s="34" t="s">
        <v>525</v>
      </c>
      <c r="J32" s="25"/>
    </row>
    <row r="33" spans="2:17" x14ac:dyDescent="0.2">
      <c r="B33" s="6" t="s">
        <v>524</v>
      </c>
      <c r="F33" s="6" t="s">
        <v>95</v>
      </c>
      <c r="J33" s="25"/>
      <c r="O33" s="51">
        <v>63277.535497908299</v>
      </c>
    </row>
    <row r="34" spans="2:17" x14ac:dyDescent="0.2">
      <c r="J34" s="25"/>
    </row>
    <row r="35" spans="2:17" s="12" customFormat="1" x14ac:dyDescent="0.25">
      <c r="B35" s="12" t="s">
        <v>172</v>
      </c>
    </row>
    <row r="37" spans="2:17" x14ac:dyDescent="0.25">
      <c r="B37" s="34" t="s">
        <v>173</v>
      </c>
    </row>
    <row r="38" spans="2:17" x14ac:dyDescent="0.25">
      <c r="B38" s="44" t="s">
        <v>173</v>
      </c>
      <c r="F38" s="6" t="s">
        <v>95</v>
      </c>
      <c r="O38" s="113" t="s">
        <v>568</v>
      </c>
    </row>
    <row r="39" spans="2:17" x14ac:dyDescent="0.25">
      <c r="B39" s="44"/>
    </row>
    <row r="40" spans="2:17" s="12" customFormat="1" x14ac:dyDescent="0.25">
      <c r="B40" s="12" t="s">
        <v>252</v>
      </c>
    </row>
    <row r="42" spans="2:17" x14ac:dyDescent="0.25">
      <c r="B42" s="89" t="s">
        <v>265</v>
      </c>
    </row>
    <row r="43" spans="2:17" x14ac:dyDescent="0.25">
      <c r="B43" s="44" t="s">
        <v>174</v>
      </c>
      <c r="F43" s="6" t="s">
        <v>95</v>
      </c>
      <c r="O43" s="52">
        <v>21531894.190989971</v>
      </c>
    </row>
    <row r="45" spans="2:17" x14ac:dyDescent="0.25">
      <c r="B45" s="8" t="s">
        <v>252</v>
      </c>
    </row>
    <row r="46" spans="2:17" x14ac:dyDescent="0.25">
      <c r="B46" s="6" t="s">
        <v>552</v>
      </c>
      <c r="F46" s="6" t="s">
        <v>95</v>
      </c>
      <c r="Q46" s="53">
        <f>O43*H22</f>
        <v>24421474.391420834</v>
      </c>
    </row>
    <row r="47" spans="2:17" x14ac:dyDescent="0.25">
      <c r="B47" s="6" t="s">
        <v>553</v>
      </c>
      <c r="F47" s="6" t="s">
        <v>95</v>
      </c>
      <c r="Q47" s="53">
        <f>O33*H22</f>
        <v>71769.380761727618</v>
      </c>
    </row>
  </sheetData>
  <mergeCells count="2">
    <mergeCell ref="B5:E5"/>
    <mergeCell ref="B8:E8"/>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C0CE9-3092-41BC-B867-B5A217393EA5}">
  <sheetPr>
    <tabColor rgb="FFFFFFCC"/>
    <pageSetUpPr autoPageBreaks="0"/>
  </sheetPr>
  <dimension ref="A2:S94"/>
  <sheetViews>
    <sheetView showGridLines="0" zoomScale="85" zoomScaleNormal="85" workbookViewId="0">
      <pane xSplit="6" ySplit="11" topLeftCell="G60" activePane="bottomRight" state="frozen"/>
      <selection pane="topRight"/>
      <selection pane="bottomLeft"/>
      <selection pane="bottomRight" activeCell="G12" sqref="G12"/>
    </sheetView>
  </sheetViews>
  <sheetFormatPr defaultColWidth="9.140625" defaultRowHeight="12.75" x14ac:dyDescent="0.25"/>
  <cols>
    <col min="1" max="1" width="5.7109375" style="6" customWidth="1"/>
    <col min="2" max="2" width="90" style="6" customWidth="1"/>
    <col min="3" max="5" width="5.7109375" style="6" customWidth="1"/>
    <col min="6" max="6" width="13.7109375" style="6" customWidth="1"/>
    <col min="7" max="7" width="2.7109375" style="6" customWidth="1"/>
    <col min="8" max="8" width="13.7109375" style="6" customWidth="1"/>
    <col min="9" max="9" width="2.7109375" style="6" customWidth="1"/>
    <col min="10" max="10" width="13.7109375" style="6" customWidth="1"/>
    <col min="11" max="11" width="2.7109375" style="6" customWidth="1"/>
    <col min="12" max="16" width="12.85546875" style="6" customWidth="1"/>
    <col min="17" max="17" width="13.7109375" style="6" customWidth="1"/>
    <col min="18" max="18" width="2.42578125" style="6" customWidth="1"/>
    <col min="19" max="30" width="13.7109375" style="6" customWidth="1"/>
    <col min="31" max="16384" width="9.140625" style="6"/>
  </cols>
  <sheetData>
    <row r="2" spans="1:19" s="21" customFormat="1" ht="18" x14ac:dyDescent="0.25">
      <c r="A2" s="46"/>
      <c r="B2" s="21" t="s">
        <v>244</v>
      </c>
    </row>
    <row r="4" spans="1:19" x14ac:dyDescent="0.25">
      <c r="B4" s="34" t="s">
        <v>90</v>
      </c>
      <c r="C4" s="8"/>
      <c r="D4" s="8"/>
    </row>
    <row r="5" spans="1:19" ht="126.75" customHeight="1" x14ac:dyDescent="0.25">
      <c r="B5" s="118" t="s">
        <v>484</v>
      </c>
      <c r="C5" s="118"/>
      <c r="D5" s="118"/>
      <c r="E5" s="118"/>
      <c r="H5" s="22"/>
    </row>
    <row r="6" spans="1:19" ht="12.75" customHeight="1" x14ac:dyDescent="0.25">
      <c r="B6" s="5"/>
      <c r="C6" s="5"/>
      <c r="D6" s="5"/>
      <c r="E6" s="5"/>
      <c r="H6" s="22"/>
    </row>
    <row r="7" spans="1:19" ht="12.75" customHeight="1" x14ac:dyDescent="0.25">
      <c r="B7" s="35" t="s">
        <v>216</v>
      </c>
      <c r="C7" s="5"/>
      <c r="D7" s="5"/>
      <c r="E7" s="5"/>
      <c r="H7" s="22"/>
    </row>
    <row r="8" spans="1:19" ht="27.75" customHeight="1" x14ac:dyDescent="0.25">
      <c r="B8" s="119" t="s">
        <v>528</v>
      </c>
      <c r="C8" s="117"/>
      <c r="D8" s="117"/>
      <c r="E8" s="117"/>
      <c r="H8" s="22"/>
    </row>
    <row r="9" spans="1:19" x14ac:dyDescent="0.25">
      <c r="C9" s="39"/>
      <c r="D9" s="39"/>
      <c r="E9" s="39"/>
    </row>
    <row r="10" spans="1:19" s="12" customFormat="1" x14ac:dyDescent="0.25">
      <c r="B10" s="12" t="s">
        <v>37</v>
      </c>
      <c r="F10" s="12" t="s">
        <v>22</v>
      </c>
      <c r="H10" s="12" t="s">
        <v>23</v>
      </c>
      <c r="J10" s="12" t="s">
        <v>41</v>
      </c>
      <c r="L10" s="28">
        <v>2020</v>
      </c>
      <c r="M10" s="28">
        <v>2021</v>
      </c>
      <c r="N10" s="28">
        <v>2022</v>
      </c>
      <c r="O10" s="28">
        <v>2023</v>
      </c>
      <c r="P10" s="28">
        <v>2024</v>
      </c>
      <c r="Q10" s="28">
        <v>2025</v>
      </c>
      <c r="S10" s="12" t="s">
        <v>39</v>
      </c>
    </row>
    <row r="13" spans="1:19" s="12" customFormat="1" x14ac:dyDescent="0.25">
      <c r="B13" s="12" t="s">
        <v>40</v>
      </c>
    </row>
    <row r="15" spans="1:19" x14ac:dyDescent="0.25">
      <c r="B15" s="34" t="s">
        <v>82</v>
      </c>
    </row>
    <row r="16" spans="1:19" x14ac:dyDescent="0.25">
      <c r="B16" s="6" t="s">
        <v>302</v>
      </c>
      <c r="F16" s="6" t="s">
        <v>100</v>
      </c>
      <c r="H16" s="68">
        <f>'9. Berekening parameters'!Q49</f>
        <v>1.16817094045007</v>
      </c>
    </row>
    <row r="17" spans="2:15" x14ac:dyDescent="0.25">
      <c r="B17" s="6" t="s">
        <v>303</v>
      </c>
      <c r="F17" s="6" t="s">
        <v>100</v>
      </c>
      <c r="H17" s="68">
        <f>'9. Berekening parameters'!Q50</f>
        <v>1.1342000000000003</v>
      </c>
    </row>
    <row r="18" spans="2:15" x14ac:dyDescent="0.25">
      <c r="H18" s="38"/>
      <c r="I18" s="38"/>
      <c r="J18" s="38"/>
      <c r="K18" s="38"/>
      <c r="L18" s="38"/>
      <c r="M18" s="38"/>
    </row>
    <row r="19" spans="2:15" x14ac:dyDescent="0.25">
      <c r="B19" s="34" t="s">
        <v>250</v>
      </c>
      <c r="H19" s="38"/>
      <c r="I19" s="38"/>
      <c r="J19" s="38"/>
      <c r="K19" s="38"/>
      <c r="L19" s="38"/>
      <c r="M19" s="38"/>
    </row>
    <row r="20" spans="2:15" x14ac:dyDescent="0.25">
      <c r="B20" s="6" t="s">
        <v>251</v>
      </c>
      <c r="F20" s="6" t="s">
        <v>49</v>
      </c>
      <c r="H20" s="86">
        <f>'6. Parameters'!H56</f>
        <v>1</v>
      </c>
      <c r="I20" s="38"/>
      <c r="J20" s="38"/>
      <c r="K20" s="38"/>
      <c r="L20" s="38"/>
      <c r="M20" s="38"/>
    </row>
    <row r="21" spans="2:15" x14ac:dyDescent="0.25">
      <c r="H21" s="38"/>
      <c r="I21" s="38"/>
      <c r="J21" s="38"/>
      <c r="K21" s="38"/>
      <c r="L21" s="38"/>
      <c r="M21" s="38"/>
    </row>
    <row r="22" spans="2:15" x14ac:dyDescent="0.25">
      <c r="B22" s="34" t="s">
        <v>178</v>
      </c>
    </row>
    <row r="23" spans="2:15" x14ac:dyDescent="0.25">
      <c r="B23" s="6" t="s">
        <v>179</v>
      </c>
      <c r="F23" s="6" t="s">
        <v>49</v>
      </c>
      <c r="N23" s="86">
        <f>'6. Parameters'!N40</f>
        <v>2.8000000000000001E-2</v>
      </c>
      <c r="O23" s="86">
        <f>'6. Parameters'!O40</f>
        <v>2.8000000000000001E-2</v>
      </c>
    </row>
    <row r="24" spans="2:15" x14ac:dyDescent="0.25">
      <c r="B24" s="6" t="s">
        <v>180</v>
      </c>
      <c r="F24" s="6" t="s">
        <v>49</v>
      </c>
      <c r="N24" s="86">
        <f>'6. Parameters'!N41</f>
        <v>2.8000000000000001E-2</v>
      </c>
      <c r="O24" s="86">
        <f>'6. Parameters'!O41</f>
        <v>2.8000000000000001E-2</v>
      </c>
    </row>
    <row r="25" spans="2:15" x14ac:dyDescent="0.25">
      <c r="N25" s="105"/>
      <c r="O25" s="105"/>
    </row>
    <row r="26" spans="2:15" x14ac:dyDescent="0.25">
      <c r="B26" s="34" t="s">
        <v>360</v>
      </c>
      <c r="N26" s="105"/>
      <c r="O26" s="105"/>
    </row>
    <row r="27" spans="2:15" x14ac:dyDescent="0.25">
      <c r="B27" s="6" t="s">
        <v>358</v>
      </c>
      <c r="F27" s="6" t="s">
        <v>49</v>
      </c>
      <c r="N27" s="86">
        <f>'6. Parameters'!N44</f>
        <v>4.2000000000000003E-2</v>
      </c>
      <c r="O27" s="86">
        <f>'6. Parameters'!O44</f>
        <v>5.6000000000000001E-2</v>
      </c>
    </row>
    <row r="28" spans="2:15" x14ac:dyDescent="0.25">
      <c r="B28" s="6" t="s">
        <v>359</v>
      </c>
      <c r="F28" s="6" t="s">
        <v>49</v>
      </c>
      <c r="N28" s="86">
        <f>'6. Parameters'!N45</f>
        <v>3.5000000000000003E-2</v>
      </c>
      <c r="O28" s="86">
        <f>'6. Parameters'!O45</f>
        <v>4.3999999999999997E-2</v>
      </c>
    </row>
    <row r="30" spans="2:15" x14ac:dyDescent="0.25">
      <c r="B30" s="34" t="s">
        <v>485</v>
      </c>
    </row>
    <row r="31" spans="2:15" x14ac:dyDescent="0.25">
      <c r="B31" s="6" t="s">
        <v>182</v>
      </c>
      <c r="F31" s="6" t="s">
        <v>49</v>
      </c>
      <c r="N31" s="93">
        <f>'6. Parameters'!N50</f>
        <v>0</v>
      </c>
      <c r="O31" s="93">
        <f>'6. Parameters'!O50</f>
        <v>0</v>
      </c>
    </row>
    <row r="32" spans="2:15" x14ac:dyDescent="0.25">
      <c r="B32" s="6" t="s">
        <v>183</v>
      </c>
      <c r="F32" s="6" t="s">
        <v>49</v>
      </c>
      <c r="N32" s="93">
        <f>'6. Parameters'!N51</f>
        <v>1</v>
      </c>
      <c r="O32" s="93">
        <f>'6. Parameters'!O51</f>
        <v>1</v>
      </c>
    </row>
    <row r="34" spans="2:15" x14ac:dyDescent="0.25">
      <c r="B34" s="34" t="s">
        <v>404</v>
      </c>
    </row>
    <row r="35" spans="2:15" x14ac:dyDescent="0.25">
      <c r="B35" s="6" t="s">
        <v>184</v>
      </c>
      <c r="F35" s="6" t="s">
        <v>95</v>
      </c>
      <c r="N35" s="51">
        <f>'7. Brondata'!N104</f>
        <v>784118237.26098323</v>
      </c>
      <c r="O35" s="51">
        <f>'7. Brondata'!O104</f>
        <v>745478310.76060605</v>
      </c>
    </row>
    <row r="36" spans="2:15" x14ac:dyDescent="0.25">
      <c r="B36" s="6" t="s">
        <v>185</v>
      </c>
      <c r="F36" s="6" t="s">
        <v>95</v>
      </c>
      <c r="N36" s="51">
        <f>'7. Brondata'!N105</f>
        <v>80468669.030833304</v>
      </c>
      <c r="O36" s="51">
        <f>'7. Brondata'!O105</f>
        <v>76450438.722047806</v>
      </c>
    </row>
    <row r="37" spans="2:15" x14ac:dyDescent="0.25">
      <c r="B37" s="6" t="s">
        <v>186</v>
      </c>
      <c r="F37" s="6" t="s">
        <v>95</v>
      </c>
      <c r="N37" s="51">
        <f>'7. Brondata'!N106</f>
        <v>8073059.344754315</v>
      </c>
      <c r="O37" s="51">
        <f>'7. Brondata'!O106</f>
        <v>5919411.7497264156</v>
      </c>
    </row>
    <row r="38" spans="2:15" x14ac:dyDescent="0.25">
      <c r="B38" s="6" t="s">
        <v>187</v>
      </c>
      <c r="F38" s="6" t="s">
        <v>95</v>
      </c>
      <c r="N38" s="51">
        <f>'7. Brondata'!N107</f>
        <v>10030280.650005961</v>
      </c>
      <c r="O38" s="51">
        <f>'7. Brondata'!O107</f>
        <v>13861967.107398594</v>
      </c>
    </row>
    <row r="39" spans="2:15" x14ac:dyDescent="0.25">
      <c r="N39" s="43"/>
      <c r="O39" s="43"/>
    </row>
    <row r="40" spans="2:15" x14ac:dyDescent="0.25">
      <c r="B40" s="34" t="s">
        <v>405</v>
      </c>
    </row>
    <row r="41" spans="2:15" x14ac:dyDescent="0.25">
      <c r="B41" s="6" t="s">
        <v>188</v>
      </c>
      <c r="F41" s="6" t="s">
        <v>95</v>
      </c>
      <c r="N41" s="51">
        <f>'7. Brondata'!N110</f>
        <v>0</v>
      </c>
      <c r="O41" s="51">
        <f>'7. Brondata'!O110</f>
        <v>0</v>
      </c>
    </row>
    <row r="42" spans="2:15" x14ac:dyDescent="0.25">
      <c r="B42" s="6" t="s">
        <v>189</v>
      </c>
      <c r="F42" s="6" t="s">
        <v>95</v>
      </c>
      <c r="N42" s="51">
        <f>'7. Brondata'!N111</f>
        <v>904888.00290222489</v>
      </c>
      <c r="O42" s="51">
        <f>'7. Brondata'!O111</f>
        <v>596930.05335750501</v>
      </c>
    </row>
    <row r="43" spans="2:15" x14ac:dyDescent="0.25">
      <c r="B43" s="6" t="s">
        <v>190</v>
      </c>
      <c r="F43" s="6" t="s">
        <v>95</v>
      </c>
      <c r="N43" s="51">
        <f>'7. Brondata'!N112</f>
        <v>3712068.5619513169</v>
      </c>
      <c r="O43" s="51">
        <f>'7. Brondata'!O112</f>
        <v>7782624.0865498092</v>
      </c>
    </row>
    <row r="45" spans="2:15" s="12" customFormat="1" x14ac:dyDescent="0.25">
      <c r="B45" s="12" t="s">
        <v>191</v>
      </c>
    </row>
    <row r="47" spans="2:15" x14ac:dyDescent="0.25">
      <c r="B47" s="34" t="s">
        <v>224</v>
      </c>
    </row>
    <row r="48" spans="2:15" x14ac:dyDescent="0.25">
      <c r="B48" s="6" t="s">
        <v>225</v>
      </c>
      <c r="F48" s="6" t="s">
        <v>192</v>
      </c>
      <c r="N48" s="94">
        <f>N27-N23</f>
        <v>1.4000000000000002E-2</v>
      </c>
      <c r="O48" s="94">
        <f>O27-O23</f>
        <v>2.8000000000000001E-2</v>
      </c>
    </row>
    <row r="49" spans="2:16" x14ac:dyDescent="0.25">
      <c r="B49" s="6" t="s">
        <v>226</v>
      </c>
      <c r="F49" s="6" t="s">
        <v>192</v>
      </c>
      <c r="N49" s="94">
        <f>N28-N24</f>
        <v>7.0000000000000027E-3</v>
      </c>
      <c r="O49" s="94">
        <f>O28-O24</f>
        <v>1.5999999999999997E-2</v>
      </c>
    </row>
    <row r="51" spans="2:16" s="12" customFormat="1" x14ac:dyDescent="0.25">
      <c r="B51" s="12" t="s">
        <v>193</v>
      </c>
    </row>
    <row r="52" spans="2:16" x14ac:dyDescent="0.25">
      <c r="N52" s="38"/>
      <c r="O52" s="38"/>
    </row>
    <row r="53" spans="2:16" x14ac:dyDescent="0.25">
      <c r="B53" s="34" t="s">
        <v>194</v>
      </c>
    </row>
    <row r="54" spans="2:16" x14ac:dyDescent="0.25">
      <c r="B54" s="6" t="s">
        <v>227</v>
      </c>
      <c r="F54" s="6" t="s">
        <v>95</v>
      </c>
      <c r="N54" s="52">
        <f>$N$49*N35</f>
        <v>5488827.6608268851</v>
      </c>
      <c r="O54" s="52">
        <f>$O$49*O35</f>
        <v>11927652.972169694</v>
      </c>
    </row>
    <row r="55" spans="2:16" x14ac:dyDescent="0.25">
      <c r="B55" s="6" t="s">
        <v>228</v>
      </c>
      <c r="F55" s="6" t="s">
        <v>95</v>
      </c>
      <c r="N55" s="52">
        <f>$N$49*N36</f>
        <v>563280.68321583339</v>
      </c>
      <c r="O55" s="52">
        <f>$O$49*O36</f>
        <v>1223207.0195527647</v>
      </c>
    </row>
    <row r="56" spans="2:16" x14ac:dyDescent="0.25">
      <c r="B56" s="6" t="s">
        <v>229</v>
      </c>
      <c r="F56" s="6" t="s">
        <v>95</v>
      </c>
      <c r="N56" s="52">
        <f>$N$49*N37</f>
        <v>56511.415413280229</v>
      </c>
      <c r="O56" s="52">
        <f>$O$49*O37</f>
        <v>94710.587995622627</v>
      </c>
    </row>
    <row r="58" spans="2:16" x14ac:dyDescent="0.25">
      <c r="B58" s="34" t="s">
        <v>195</v>
      </c>
    </row>
    <row r="59" spans="2:16" x14ac:dyDescent="0.25">
      <c r="B59" s="6" t="s">
        <v>230</v>
      </c>
      <c r="F59" s="6" t="s">
        <v>95</v>
      </c>
      <c r="N59" s="52">
        <f>N38*($N$31*$N$48+$N$32*$N$49)</f>
        <v>70211.964550041754</v>
      </c>
      <c r="O59" s="52">
        <f>O38*($O$31*$O$48+$O$32*$O$49)</f>
        <v>221791.47371837747</v>
      </c>
      <c r="P59" s="108"/>
    </row>
    <row r="61" spans="2:16" x14ac:dyDescent="0.25">
      <c r="B61" s="34" t="s">
        <v>196</v>
      </c>
    </row>
    <row r="62" spans="2:16" x14ac:dyDescent="0.25">
      <c r="B62" s="6" t="s">
        <v>197</v>
      </c>
      <c r="F62" s="6" t="s">
        <v>95</v>
      </c>
      <c r="N62" s="52">
        <f>N54*$H$20+N55+N56+N59</f>
        <v>6178831.72400604</v>
      </c>
      <c r="O62" s="52">
        <f>O54*$H$20+O55+O56+O59</f>
        <v>13467362.053436458</v>
      </c>
    </row>
    <row r="64" spans="2:16" s="12" customFormat="1" x14ac:dyDescent="0.25">
      <c r="B64" s="12" t="s">
        <v>198</v>
      </c>
    </row>
    <row r="65" spans="2:17" x14ac:dyDescent="0.25">
      <c r="N65" s="38"/>
      <c r="O65" s="38"/>
    </row>
    <row r="66" spans="2:17" x14ac:dyDescent="0.25">
      <c r="B66" s="34" t="s">
        <v>194</v>
      </c>
    </row>
    <row r="67" spans="2:17" x14ac:dyDescent="0.25">
      <c r="B67" s="6" t="s">
        <v>231</v>
      </c>
      <c r="F67" s="6" t="s">
        <v>95</v>
      </c>
      <c r="N67" s="52">
        <f>$N$49*N41</f>
        <v>0</v>
      </c>
      <c r="O67" s="52">
        <f>$O$49*O41</f>
        <v>0</v>
      </c>
    </row>
    <row r="68" spans="2:17" x14ac:dyDescent="0.25">
      <c r="B68" s="6" t="s">
        <v>232</v>
      </c>
      <c r="F68" s="6" t="s">
        <v>95</v>
      </c>
      <c r="N68" s="52">
        <f>$N$49*N42</f>
        <v>6334.2160203155763</v>
      </c>
      <c r="O68" s="52">
        <f>$O$49*O42</f>
        <v>9550.8808537200784</v>
      </c>
    </row>
    <row r="70" spans="2:17" x14ac:dyDescent="0.25">
      <c r="B70" s="34" t="s">
        <v>195</v>
      </c>
    </row>
    <row r="71" spans="2:17" x14ac:dyDescent="0.25">
      <c r="B71" s="6" t="s">
        <v>199</v>
      </c>
      <c r="F71" s="6" t="s">
        <v>95</v>
      </c>
      <c r="N71" s="52">
        <f>N43*($N$31*$N$48+$N$32*$N$49)</f>
        <v>25984.47993365923</v>
      </c>
      <c r="O71" s="52">
        <f>O43*($O$31*$O$48+$O$32*$O$49)</f>
        <v>124521.98538479692</v>
      </c>
      <c r="P71" s="107"/>
    </row>
    <row r="73" spans="2:17" x14ac:dyDescent="0.25">
      <c r="B73" s="34" t="s">
        <v>196</v>
      </c>
    </row>
    <row r="74" spans="2:17" x14ac:dyDescent="0.25">
      <c r="B74" s="6" t="s">
        <v>200</v>
      </c>
      <c r="F74" s="6" t="s">
        <v>95</v>
      </c>
      <c r="N74" s="52">
        <f>N67+N68+N71</f>
        <v>32318.695953974806</v>
      </c>
      <c r="O74" s="52">
        <f>O67+O68+O71</f>
        <v>134072.86623851699</v>
      </c>
    </row>
    <row r="76" spans="2:17" s="12" customFormat="1" x14ac:dyDescent="0.25">
      <c r="B76" s="12" t="s">
        <v>482</v>
      </c>
    </row>
    <row r="78" spans="2:17" x14ac:dyDescent="0.25">
      <c r="B78" s="34" t="s">
        <v>483</v>
      </c>
    </row>
    <row r="79" spans="2:17" x14ac:dyDescent="0.25">
      <c r="B79" s="6" t="s">
        <v>486</v>
      </c>
      <c r="F79" s="6" t="s">
        <v>95</v>
      </c>
      <c r="Q79" s="53">
        <f>O62*$H$17</f>
        <v>15274682.041007634</v>
      </c>
    </row>
    <row r="80" spans="2:17" x14ac:dyDescent="0.25">
      <c r="B80" s="6" t="s">
        <v>487</v>
      </c>
      <c r="F80" s="6" t="s">
        <v>95</v>
      </c>
      <c r="Q80" s="53">
        <f>O74*$H$17</f>
        <v>152065.44488772601</v>
      </c>
    </row>
    <row r="82" spans="2:17" s="12" customFormat="1" x14ac:dyDescent="0.25">
      <c r="B82" s="12" t="s">
        <v>488</v>
      </c>
    </row>
    <row r="84" spans="2:17" x14ac:dyDescent="0.25">
      <c r="B84" s="8" t="s">
        <v>335</v>
      </c>
    </row>
    <row r="85" spans="2:17" x14ac:dyDescent="0.25">
      <c r="B85" s="6" t="s">
        <v>334</v>
      </c>
      <c r="F85" s="6" t="s">
        <v>95</v>
      </c>
      <c r="N85" s="51">
        <f>'7. Brondata'!N115</f>
        <v>8670078.8154135738</v>
      </c>
    </row>
    <row r="86" spans="2:17" x14ac:dyDescent="0.25">
      <c r="B86" s="6" t="s">
        <v>338</v>
      </c>
      <c r="F86" s="6" t="s">
        <v>95</v>
      </c>
      <c r="N86" s="51">
        <f>'7. Brondata'!N116</f>
        <v>46169.565648535427</v>
      </c>
    </row>
    <row r="88" spans="2:17" x14ac:dyDescent="0.25">
      <c r="B88" s="8" t="s">
        <v>356</v>
      </c>
    </row>
    <row r="89" spans="2:17" x14ac:dyDescent="0.25">
      <c r="B89" s="6" t="s">
        <v>339</v>
      </c>
      <c r="F89" s="6" t="s">
        <v>95</v>
      </c>
      <c r="N89" s="52">
        <f>N62-N85</f>
        <v>-2491247.0914075337</v>
      </c>
    </row>
    <row r="90" spans="2:17" x14ac:dyDescent="0.25">
      <c r="B90" s="6" t="s">
        <v>340</v>
      </c>
      <c r="F90" s="6" t="s">
        <v>95</v>
      </c>
      <c r="N90" s="52">
        <f>N74-N86</f>
        <v>-13850.869694560621</v>
      </c>
    </row>
    <row r="92" spans="2:17" x14ac:dyDescent="0.25">
      <c r="B92" s="8" t="s">
        <v>357</v>
      </c>
    </row>
    <row r="93" spans="2:17" x14ac:dyDescent="0.25">
      <c r="B93" s="6" t="s">
        <v>341</v>
      </c>
      <c r="F93" s="6" t="s">
        <v>95</v>
      </c>
      <c r="Q93" s="53">
        <f>N89*$H$16</f>
        <v>-2910202.4576630401</v>
      </c>
    </row>
    <row r="94" spans="2:17" x14ac:dyDescent="0.25">
      <c r="B94" s="6" t="s">
        <v>342</v>
      </c>
      <c r="F94" s="6" t="s">
        <v>95</v>
      </c>
      <c r="Q94" s="53">
        <f>N90*$H$16</f>
        <v>-16180.183477146255</v>
      </c>
    </row>
  </sheetData>
  <mergeCells count="2">
    <mergeCell ref="B5:E5"/>
    <mergeCell ref="B8:E8"/>
  </mergeCells>
  <phoneticPr fontId="26"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tabColor rgb="FFCCC8D9"/>
    <pageSetUpPr autoPageBreaks="0"/>
  </sheetPr>
  <dimension ref="B2:R82"/>
  <sheetViews>
    <sheetView showGridLines="0" zoomScale="85" zoomScaleNormal="85" workbookViewId="0">
      <pane ySplit="3" topLeftCell="A4" activePane="bottomLeft" state="frozen"/>
      <selection pane="bottomLeft" activeCell="A4" sqref="A4"/>
    </sheetView>
  </sheetViews>
  <sheetFormatPr defaultColWidth="9.140625" defaultRowHeight="12.75" x14ac:dyDescent="0.25"/>
  <cols>
    <col min="1" max="1" width="5.7109375" style="6" customWidth="1"/>
    <col min="2" max="2" width="20.7109375" style="6" customWidth="1"/>
    <col min="3" max="3" width="5.7109375" style="6" customWidth="1"/>
    <col min="4" max="4" width="24.7109375" style="6" customWidth="1"/>
    <col min="5" max="7" width="5.7109375" style="6" customWidth="1"/>
    <col min="8" max="8" width="24.7109375" style="6" customWidth="1"/>
    <col min="9" max="11" width="5.7109375" style="6" customWidth="1"/>
    <col min="12" max="12" width="24.7109375" style="6" customWidth="1"/>
    <col min="13" max="15" width="5.7109375" style="6" customWidth="1"/>
    <col min="16" max="16" width="24.7109375" style="6" customWidth="1"/>
    <col min="17" max="18" width="5.7109375" style="6" customWidth="1"/>
    <col min="19" max="16384" width="9.140625" style="6"/>
  </cols>
  <sheetData>
    <row r="2" spans="2:18" s="16" customFormat="1" ht="18" x14ac:dyDescent="0.25">
      <c r="B2" s="15" t="s">
        <v>62</v>
      </c>
    </row>
    <row r="5" spans="2:18" s="12" customFormat="1" x14ac:dyDescent="0.25">
      <c r="B5" s="12" t="s">
        <v>11</v>
      </c>
    </row>
    <row r="7" spans="2:18" x14ac:dyDescent="0.25">
      <c r="B7" s="6" t="s">
        <v>382</v>
      </c>
    </row>
    <row r="8" spans="2:18" x14ac:dyDescent="0.25">
      <c r="B8" s="6" t="s">
        <v>383</v>
      </c>
    </row>
    <row r="10" spans="2:18" s="12" customFormat="1" x14ac:dyDescent="0.25">
      <c r="B10" s="12" t="s">
        <v>48</v>
      </c>
    </row>
    <row r="12" spans="2:18" x14ac:dyDescent="0.25">
      <c r="B12" s="6" t="s">
        <v>123</v>
      </c>
    </row>
    <row r="14" spans="2:18" ht="15" x14ac:dyDescent="0.25">
      <c r="B14"/>
      <c r="C14"/>
      <c r="D14" s="57" t="s">
        <v>66</v>
      </c>
      <c r="E14"/>
      <c r="F14"/>
      <c r="G14"/>
      <c r="H14" s="57" t="s">
        <v>98</v>
      </c>
      <c r="I14"/>
      <c r="J14"/>
      <c r="K14"/>
      <c r="L14" s="57" t="s">
        <v>67</v>
      </c>
      <c r="M14"/>
      <c r="N14"/>
      <c r="O14"/>
      <c r="P14" s="57" t="s">
        <v>68</v>
      </c>
      <c r="Q14"/>
      <c r="R14"/>
    </row>
    <row r="15" spans="2:18" ht="15" x14ac:dyDescent="0.25">
      <c r="B15"/>
      <c r="C15"/>
      <c r="D15" s="57"/>
      <c r="E15"/>
      <c r="F15"/>
      <c r="G15"/>
      <c r="H15" s="57"/>
      <c r="I15"/>
      <c r="J15"/>
      <c r="K15"/>
      <c r="L15" s="57"/>
      <c r="M15"/>
      <c r="N15"/>
      <c r="O15"/>
      <c r="P15" s="57"/>
      <c r="Q15"/>
      <c r="R15"/>
    </row>
    <row r="16" spans="2:18" ht="15" x14ac:dyDescent="0.25">
      <c r="B16"/>
      <c r="C16" s="70"/>
      <c r="D16" s="71"/>
      <c r="E16" s="72"/>
      <c r="K16" s="70"/>
      <c r="L16" s="71"/>
      <c r="M16" s="72"/>
      <c r="N16"/>
      <c r="O16"/>
      <c r="P16" s="57"/>
      <c r="Q16"/>
      <c r="R16"/>
    </row>
    <row r="17" spans="2:18" ht="15" x14ac:dyDescent="0.25">
      <c r="B17"/>
      <c r="C17" s="73"/>
      <c r="D17" s="74" t="s">
        <v>124</v>
      </c>
      <c r="E17" s="75"/>
      <c r="K17" s="73"/>
      <c r="L17" s="76" t="s">
        <v>149</v>
      </c>
      <c r="M17" s="75"/>
      <c r="N17"/>
      <c r="O17"/>
      <c r="P17" s="57"/>
      <c r="Q17"/>
      <c r="R17"/>
    </row>
    <row r="18" spans="2:18" ht="15" x14ac:dyDescent="0.25">
      <c r="B18"/>
      <c r="C18" s="77"/>
      <c r="D18" s="78"/>
      <c r="E18" s="79"/>
      <c r="K18" s="77"/>
      <c r="L18" s="78"/>
      <c r="M18" s="79"/>
      <c r="N18"/>
      <c r="O18"/>
      <c r="P18" s="57"/>
      <c r="Q18"/>
      <c r="R18"/>
    </row>
    <row r="19" spans="2:18" ht="15" x14ac:dyDescent="0.25">
      <c r="B19"/>
      <c r="N19"/>
      <c r="O19"/>
      <c r="P19" s="57"/>
      <c r="Q19"/>
      <c r="R19"/>
    </row>
    <row r="20" spans="2:18" ht="15" x14ac:dyDescent="0.25">
      <c r="B20"/>
      <c r="G20" s="70"/>
      <c r="H20" s="71"/>
      <c r="I20" s="72"/>
      <c r="N20"/>
      <c r="O20"/>
      <c r="P20" s="57"/>
      <c r="Q20"/>
      <c r="R20"/>
    </row>
    <row r="21" spans="2:18" ht="15" x14ac:dyDescent="0.25">
      <c r="B21"/>
      <c r="G21" s="73"/>
      <c r="H21" s="80" t="s">
        <v>572</v>
      </c>
      <c r="I21" s="75"/>
      <c r="N21"/>
      <c r="O21"/>
      <c r="P21" s="57"/>
      <c r="Q21"/>
      <c r="R21"/>
    </row>
    <row r="22" spans="2:18" ht="15" x14ac:dyDescent="0.25">
      <c r="B22"/>
      <c r="G22" s="77"/>
      <c r="H22" s="78"/>
      <c r="I22" s="79"/>
      <c r="N22"/>
      <c r="O22"/>
      <c r="P22" s="57"/>
      <c r="Q22"/>
      <c r="R22"/>
    </row>
    <row r="23" spans="2:18" ht="15" x14ac:dyDescent="0.25">
      <c r="B23"/>
      <c r="C23"/>
      <c r="D23"/>
      <c r="E23"/>
      <c r="F23"/>
      <c r="G23"/>
      <c r="H23"/>
      <c r="I23"/>
      <c r="J23"/>
      <c r="K23"/>
      <c r="L23"/>
      <c r="M23"/>
      <c r="N23"/>
      <c r="O23"/>
      <c r="P23"/>
      <c r="Q23"/>
      <c r="R23"/>
    </row>
    <row r="24" spans="2:18" ht="15" x14ac:dyDescent="0.25">
      <c r="B24"/>
      <c r="F24"/>
      <c r="G24"/>
      <c r="H24"/>
      <c r="I24"/>
      <c r="J24"/>
      <c r="K24" s="1"/>
      <c r="L24" s="7"/>
      <c r="M24" s="2"/>
      <c r="N24"/>
      <c r="O24"/>
      <c r="P24"/>
      <c r="Q24"/>
      <c r="R24"/>
    </row>
    <row r="25" spans="2:18" ht="15" x14ac:dyDescent="0.25">
      <c r="B25"/>
      <c r="F25"/>
      <c r="G25"/>
      <c r="H25"/>
      <c r="I25"/>
      <c r="J25"/>
      <c r="K25" s="3"/>
      <c r="L25" s="80" t="s">
        <v>573</v>
      </c>
      <c r="M25" s="58"/>
      <c r="N25"/>
      <c r="O25"/>
      <c r="P25"/>
      <c r="Q25"/>
      <c r="R25"/>
    </row>
    <row r="26" spans="2:18" ht="15" x14ac:dyDescent="0.25">
      <c r="B26"/>
      <c r="F26"/>
      <c r="G26"/>
      <c r="H26"/>
      <c r="I26"/>
      <c r="J26"/>
      <c r="K26" s="59"/>
      <c r="L26" s="4"/>
      <c r="M26" s="60"/>
      <c r="N26"/>
      <c r="O26"/>
      <c r="P26"/>
      <c r="Q26"/>
      <c r="R26"/>
    </row>
    <row r="27" spans="2:18" ht="15" x14ac:dyDescent="0.25">
      <c r="B27"/>
      <c r="C27"/>
      <c r="D27"/>
      <c r="E27"/>
      <c r="F27"/>
      <c r="G27"/>
      <c r="H27"/>
      <c r="I27"/>
      <c r="J27"/>
      <c r="K27"/>
      <c r="L27"/>
      <c r="M27"/>
      <c r="N27"/>
      <c r="O27"/>
      <c r="P27"/>
      <c r="Q27"/>
      <c r="R27"/>
    </row>
    <row r="28" spans="2:18" ht="15" x14ac:dyDescent="0.25">
      <c r="B28"/>
      <c r="F28"/>
      <c r="G28"/>
      <c r="H28"/>
      <c r="I28"/>
      <c r="J28"/>
      <c r="K28" s="1"/>
      <c r="L28" s="7"/>
      <c r="M28" s="2"/>
      <c r="N28"/>
      <c r="R28"/>
    </row>
    <row r="29" spans="2:18" ht="15" x14ac:dyDescent="0.25">
      <c r="B29"/>
      <c r="F29"/>
      <c r="G29"/>
      <c r="H29"/>
      <c r="I29"/>
      <c r="J29"/>
      <c r="K29" s="3"/>
      <c r="L29" s="80" t="s">
        <v>259</v>
      </c>
      <c r="M29" s="58"/>
      <c r="N29"/>
      <c r="R29"/>
    </row>
    <row r="30" spans="2:18" ht="15" x14ac:dyDescent="0.25">
      <c r="B30"/>
      <c r="F30"/>
      <c r="G30"/>
      <c r="H30"/>
      <c r="I30"/>
      <c r="J30"/>
      <c r="K30" s="59"/>
      <c r="L30" s="4"/>
      <c r="M30" s="60"/>
      <c r="N30"/>
      <c r="R30"/>
    </row>
    <row r="31" spans="2:18" ht="15" x14ac:dyDescent="0.25">
      <c r="B31"/>
      <c r="F31"/>
      <c r="G31"/>
      <c r="H31"/>
      <c r="I31"/>
      <c r="J31"/>
      <c r="K31"/>
      <c r="L31"/>
      <c r="M31"/>
      <c r="N31"/>
      <c r="O31"/>
      <c r="P31"/>
      <c r="Q31"/>
      <c r="R31"/>
    </row>
    <row r="32" spans="2:18" ht="15" x14ac:dyDescent="0.25">
      <c r="B32"/>
      <c r="C32" s="1"/>
      <c r="D32" s="7"/>
      <c r="E32" s="2"/>
      <c r="F32"/>
      <c r="G32"/>
      <c r="H32"/>
      <c r="I32"/>
      <c r="J32"/>
      <c r="K32" s="1"/>
      <c r="L32" s="7"/>
      <c r="M32" s="2"/>
      <c r="N32"/>
      <c r="R32"/>
    </row>
    <row r="33" spans="2:18" ht="15" x14ac:dyDescent="0.25">
      <c r="B33"/>
      <c r="C33" s="3"/>
      <c r="D33" s="74" t="s">
        <v>125</v>
      </c>
      <c r="E33" s="58"/>
      <c r="F33"/>
      <c r="G33"/>
      <c r="H33"/>
      <c r="I33"/>
      <c r="J33"/>
      <c r="K33" s="3"/>
      <c r="L33" s="80" t="s">
        <v>260</v>
      </c>
      <c r="M33" s="58"/>
      <c r="N33"/>
      <c r="R33"/>
    </row>
    <row r="34" spans="2:18" ht="15" x14ac:dyDescent="0.25">
      <c r="B34"/>
      <c r="C34" s="59"/>
      <c r="D34" s="4"/>
      <c r="E34" s="60"/>
      <c r="F34"/>
      <c r="G34"/>
      <c r="H34"/>
      <c r="I34"/>
      <c r="J34"/>
      <c r="K34" s="59"/>
      <c r="L34" s="4"/>
      <c r="M34" s="60"/>
      <c r="N34"/>
      <c r="R34"/>
    </row>
    <row r="35" spans="2:18" ht="15" x14ac:dyDescent="0.25">
      <c r="B35"/>
      <c r="F35"/>
      <c r="G35"/>
      <c r="H35"/>
      <c r="I35"/>
      <c r="J35"/>
      <c r="K35"/>
      <c r="L35"/>
      <c r="M35"/>
      <c r="N35"/>
      <c r="R35"/>
    </row>
    <row r="36" spans="2:18" ht="15" x14ac:dyDescent="0.25">
      <c r="B36"/>
      <c r="F36"/>
      <c r="G36"/>
      <c r="H36"/>
      <c r="I36"/>
      <c r="J36"/>
      <c r="K36" s="1"/>
      <c r="L36" s="7"/>
      <c r="M36" s="2"/>
      <c r="N36"/>
      <c r="R36"/>
    </row>
    <row r="37" spans="2:18" ht="15" x14ac:dyDescent="0.25">
      <c r="B37"/>
      <c r="C37"/>
      <c r="D37"/>
      <c r="E37"/>
      <c r="F37"/>
      <c r="G37"/>
      <c r="H37"/>
      <c r="I37"/>
      <c r="J37"/>
      <c r="K37" s="3"/>
      <c r="L37" s="80" t="s">
        <v>248</v>
      </c>
      <c r="M37" s="58"/>
      <c r="N37"/>
      <c r="R37"/>
    </row>
    <row r="38" spans="2:18" ht="15" x14ac:dyDescent="0.25">
      <c r="B38"/>
      <c r="C38"/>
      <c r="D38"/>
      <c r="E38"/>
      <c r="F38"/>
      <c r="G38"/>
      <c r="H38"/>
      <c r="I38"/>
      <c r="J38"/>
      <c r="K38" s="59"/>
      <c r="L38" s="4"/>
      <c r="M38" s="60"/>
      <c r="N38"/>
      <c r="R38"/>
    </row>
    <row r="39" spans="2:18" ht="15" x14ac:dyDescent="0.25">
      <c r="B39"/>
      <c r="C39"/>
      <c r="D39"/>
      <c r="E39"/>
      <c r="F39"/>
      <c r="G39"/>
      <c r="H39"/>
      <c r="I39"/>
      <c r="J39"/>
      <c r="K39"/>
      <c r="L39"/>
      <c r="M39"/>
      <c r="N39"/>
      <c r="R39"/>
    </row>
    <row r="40" spans="2:18" ht="15" x14ac:dyDescent="0.25">
      <c r="B40"/>
      <c r="F40"/>
      <c r="G40"/>
      <c r="H40"/>
      <c r="I40"/>
      <c r="J40"/>
      <c r="K40"/>
      <c r="L40"/>
      <c r="M40"/>
      <c r="N40"/>
      <c r="O40"/>
      <c r="P40"/>
      <c r="Q40"/>
      <c r="R40"/>
    </row>
    <row r="41" spans="2:18" ht="15" x14ac:dyDescent="0.25">
      <c r="B41"/>
      <c r="C41" s="1"/>
      <c r="D41" s="7"/>
      <c r="E41" s="2"/>
      <c r="F41"/>
      <c r="G41"/>
      <c r="H41"/>
      <c r="I41"/>
      <c r="J41"/>
      <c r="K41" s="1"/>
      <c r="L41" s="7"/>
      <c r="M41" s="2"/>
      <c r="N41"/>
      <c r="O41"/>
      <c r="P41"/>
      <c r="Q41"/>
      <c r="R41"/>
    </row>
    <row r="42" spans="2:18" ht="15" x14ac:dyDescent="0.25">
      <c r="B42"/>
      <c r="C42" s="3"/>
      <c r="D42" s="97" t="s">
        <v>223</v>
      </c>
      <c r="E42" s="58"/>
      <c r="F42"/>
      <c r="G42"/>
      <c r="H42"/>
      <c r="I42"/>
      <c r="J42"/>
      <c r="K42" s="3"/>
      <c r="L42" s="80" t="s">
        <v>247</v>
      </c>
      <c r="M42" s="58"/>
      <c r="N42"/>
      <c r="O42"/>
      <c r="P42"/>
      <c r="Q42"/>
      <c r="R42"/>
    </row>
    <row r="43" spans="2:18" ht="15" x14ac:dyDescent="0.25">
      <c r="B43"/>
      <c r="C43" s="59"/>
      <c r="D43" s="4"/>
      <c r="E43" s="60"/>
      <c r="F43"/>
      <c r="G43"/>
      <c r="H43"/>
      <c r="I43"/>
      <c r="J43"/>
      <c r="K43" s="59"/>
      <c r="L43" s="4"/>
      <c r="M43" s="60"/>
      <c r="N43"/>
      <c r="O43"/>
      <c r="P43"/>
      <c r="Q43"/>
      <c r="R43"/>
    </row>
    <row r="44" spans="2:18" ht="15" x14ac:dyDescent="0.25">
      <c r="B44"/>
      <c r="F44"/>
      <c r="G44"/>
      <c r="H44"/>
      <c r="I44"/>
      <c r="J44"/>
      <c r="K44"/>
      <c r="L44"/>
      <c r="M44"/>
      <c r="N44"/>
      <c r="O44"/>
      <c r="P44"/>
      <c r="Q44"/>
      <c r="R44"/>
    </row>
    <row r="45" spans="2:18" ht="15" x14ac:dyDescent="0.25">
      <c r="B45"/>
      <c r="C45"/>
      <c r="D45"/>
      <c r="E45"/>
      <c r="F45"/>
      <c r="G45"/>
      <c r="H45"/>
      <c r="I45"/>
      <c r="J45"/>
      <c r="K45"/>
      <c r="L45"/>
      <c r="M45"/>
      <c r="N45"/>
      <c r="O45"/>
      <c r="P45"/>
      <c r="Q45"/>
      <c r="R45"/>
    </row>
    <row r="46" spans="2:18" ht="15" x14ac:dyDescent="0.25">
      <c r="B46"/>
      <c r="C46" s="1"/>
      <c r="D46" s="7"/>
      <c r="E46" s="2"/>
      <c r="F46"/>
      <c r="G46"/>
      <c r="H46"/>
      <c r="I46"/>
      <c r="J46"/>
      <c r="K46"/>
      <c r="L46"/>
      <c r="M46"/>
      <c r="N46"/>
      <c r="O46" s="1"/>
      <c r="P46" s="7"/>
      <c r="Q46" s="2"/>
      <c r="R46"/>
    </row>
    <row r="47" spans="2:18" ht="15" x14ac:dyDescent="0.25">
      <c r="B47"/>
      <c r="C47" s="3"/>
      <c r="D47" s="74" t="s">
        <v>489</v>
      </c>
      <c r="E47" s="58"/>
      <c r="F47"/>
      <c r="G47"/>
      <c r="H47"/>
      <c r="I47"/>
      <c r="J47"/>
      <c r="K47"/>
      <c r="L47"/>
      <c r="M47"/>
      <c r="N47"/>
      <c r="O47" s="3"/>
      <c r="P47" s="81" t="s">
        <v>387</v>
      </c>
      <c r="Q47" s="58"/>
      <c r="R47"/>
    </row>
    <row r="48" spans="2:18" ht="15" x14ac:dyDescent="0.25">
      <c r="B48"/>
      <c r="C48" s="59"/>
      <c r="D48" s="4"/>
      <c r="E48" s="60"/>
      <c r="F48"/>
      <c r="G48"/>
      <c r="H48"/>
      <c r="I48"/>
      <c r="J48"/>
      <c r="K48"/>
      <c r="L48"/>
      <c r="M48"/>
      <c r="N48"/>
      <c r="O48" s="59"/>
      <c r="P48" s="4"/>
      <c r="Q48" s="60"/>
      <c r="R48"/>
    </row>
    <row r="49" spans="2:18" ht="15" x14ac:dyDescent="0.25">
      <c r="B49"/>
      <c r="C49"/>
      <c r="D49"/>
      <c r="E49"/>
      <c r="F49"/>
      <c r="G49"/>
      <c r="H49"/>
      <c r="I49"/>
      <c r="J49"/>
      <c r="K49"/>
      <c r="L49"/>
      <c r="M49"/>
      <c r="N49"/>
      <c r="O49"/>
      <c r="P49"/>
      <c r="Q49"/>
      <c r="R49"/>
    </row>
    <row r="51" spans="2:18" s="12" customFormat="1" x14ac:dyDescent="0.25">
      <c r="B51" s="12" t="s">
        <v>12</v>
      </c>
    </row>
    <row r="53" spans="2:18" x14ac:dyDescent="0.25">
      <c r="B53" s="34" t="s">
        <v>31</v>
      </c>
      <c r="D53" s="34" t="s">
        <v>13</v>
      </c>
    </row>
    <row r="55" spans="2:18" x14ac:dyDescent="0.25">
      <c r="B55" s="48">
        <v>123</v>
      </c>
      <c r="D55" s="6" t="s">
        <v>76</v>
      </c>
    </row>
    <row r="56" spans="2:18" x14ac:dyDescent="0.25">
      <c r="B56" s="51">
        <f>B55</f>
        <v>123</v>
      </c>
      <c r="D56" s="6" t="s">
        <v>14</v>
      </c>
    </row>
    <row r="57" spans="2:18" x14ac:dyDescent="0.25">
      <c r="B57" s="52">
        <f>B56+B55</f>
        <v>246</v>
      </c>
      <c r="D57" s="6" t="s">
        <v>15</v>
      </c>
    </row>
    <row r="58" spans="2:18" x14ac:dyDescent="0.25">
      <c r="B58" s="53">
        <f>B56+B57</f>
        <v>369</v>
      </c>
      <c r="D58" s="6" t="s">
        <v>77</v>
      </c>
      <c r="E58" s="10"/>
    </row>
    <row r="59" spans="2:18" x14ac:dyDescent="0.25">
      <c r="B59" s="95">
        <v>123</v>
      </c>
      <c r="D59" s="6" t="s">
        <v>233</v>
      </c>
      <c r="E59" s="10"/>
      <c r="F59" s="10"/>
    </row>
    <row r="60" spans="2:18" x14ac:dyDescent="0.25">
      <c r="B60" s="17"/>
      <c r="D60" s="6" t="s">
        <v>16</v>
      </c>
      <c r="E60" s="10"/>
    </row>
    <row r="62" spans="2:18" x14ac:dyDescent="0.25">
      <c r="B62" s="35" t="s">
        <v>17</v>
      </c>
    </row>
    <row r="63" spans="2:18" x14ac:dyDescent="0.25">
      <c r="B63" s="54">
        <f>B58+16</f>
        <v>385</v>
      </c>
      <c r="D63" s="6" t="s">
        <v>78</v>
      </c>
    </row>
    <row r="64" spans="2:18" x14ac:dyDescent="0.25">
      <c r="B64" s="55">
        <f>B56*PI()</f>
        <v>386.41589639154455</v>
      </c>
      <c r="C64" s="18"/>
      <c r="D64" s="6" t="s">
        <v>18</v>
      </c>
    </row>
    <row r="65" spans="2:4" x14ac:dyDescent="0.25">
      <c r="B65" s="18"/>
      <c r="C65" s="18"/>
    </row>
    <row r="66" spans="2:4" x14ac:dyDescent="0.25">
      <c r="B66" s="35" t="s">
        <v>19</v>
      </c>
      <c r="C66" s="19"/>
    </row>
    <row r="67" spans="2:4" x14ac:dyDescent="0.25">
      <c r="B67" s="56">
        <v>123</v>
      </c>
      <c r="C67" s="19"/>
      <c r="D67" s="6" t="s">
        <v>79</v>
      </c>
    </row>
    <row r="68" spans="2:4" x14ac:dyDescent="0.25">
      <c r="B68" s="50">
        <v>124</v>
      </c>
      <c r="C68" s="19"/>
      <c r="D68" s="6" t="s">
        <v>80</v>
      </c>
    </row>
    <row r="69" spans="2:4" x14ac:dyDescent="0.25">
      <c r="B69" s="42">
        <f>B67-B68</f>
        <v>-1</v>
      </c>
      <c r="C69" s="20"/>
      <c r="D69" s="6" t="s">
        <v>47</v>
      </c>
    </row>
    <row r="72" spans="2:4" x14ac:dyDescent="0.25">
      <c r="B72" s="34" t="s">
        <v>27</v>
      </c>
    </row>
    <row r="73" spans="2:4" x14ac:dyDescent="0.25">
      <c r="B73" s="8"/>
    </row>
    <row r="74" spans="2:4" x14ac:dyDescent="0.25">
      <c r="B74" s="35" t="s">
        <v>32</v>
      </c>
    </row>
    <row r="75" spans="2:4" x14ac:dyDescent="0.25">
      <c r="B75" s="53" t="s">
        <v>26</v>
      </c>
      <c r="D75" s="6" t="s">
        <v>35</v>
      </c>
    </row>
    <row r="76" spans="2:4" x14ac:dyDescent="0.25">
      <c r="B76" s="48" t="s">
        <v>24</v>
      </c>
      <c r="D76" s="6" t="s">
        <v>28</v>
      </c>
    </row>
    <row r="77" spans="2:4" x14ac:dyDescent="0.25">
      <c r="B77" s="98" t="s">
        <v>234</v>
      </c>
      <c r="D77" s="6" t="s">
        <v>235</v>
      </c>
    </row>
    <row r="78" spans="2:4" x14ac:dyDescent="0.25">
      <c r="B78" s="52" t="s">
        <v>25</v>
      </c>
      <c r="D78" s="6" t="s">
        <v>29</v>
      </c>
    </row>
    <row r="80" spans="2:4" x14ac:dyDescent="0.25">
      <c r="B80" s="35" t="s">
        <v>34</v>
      </c>
    </row>
    <row r="81" spans="2:4" x14ac:dyDescent="0.25">
      <c r="B81" s="23" t="s">
        <v>30</v>
      </c>
      <c r="D81" s="6" t="s">
        <v>36</v>
      </c>
    </row>
    <row r="82" spans="2:4" x14ac:dyDescent="0.25">
      <c r="B82" s="36" t="s">
        <v>33</v>
      </c>
      <c r="D82" s="6" t="s">
        <v>81</v>
      </c>
    </row>
  </sheetData>
  <pageMargins left="0.75" right="0.75" top="1" bottom="1" header="0.5" footer="0.5"/>
  <pageSetup paperSize="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BEE95-0E59-43F0-986C-DCAEDDFE2358}">
  <sheetPr>
    <tabColor rgb="FFCCC8D9"/>
  </sheetPr>
  <dimension ref="B2:I39"/>
  <sheetViews>
    <sheetView showGridLines="0" zoomScale="85" zoomScaleNormal="85" workbookViewId="0">
      <pane ySplit="3" topLeftCell="A4" activePane="bottomLeft" state="frozen"/>
      <selection pane="bottomLeft" activeCell="A4" sqref="A4"/>
    </sheetView>
  </sheetViews>
  <sheetFormatPr defaultColWidth="9.140625" defaultRowHeight="12.75" x14ac:dyDescent="0.25"/>
  <cols>
    <col min="1" max="1" width="5.7109375" style="6" customWidth="1"/>
    <col min="2" max="2" width="7.5703125" style="6" customWidth="1"/>
    <col min="3" max="3" width="96.140625" style="6" customWidth="1"/>
    <col min="4" max="4" width="55" style="6" customWidth="1"/>
    <col min="5" max="5" width="36.28515625" style="6" customWidth="1"/>
    <col min="6" max="6" width="40.7109375" style="6" customWidth="1"/>
    <col min="7" max="7" width="49.7109375" style="6" customWidth="1"/>
    <col min="8" max="8" width="5.7109375" style="6" customWidth="1"/>
    <col min="9" max="16384" width="9.140625" style="6"/>
  </cols>
  <sheetData>
    <row r="2" spans="2:9" s="46" customFormat="1" ht="18" x14ac:dyDescent="0.25">
      <c r="B2" s="46" t="s">
        <v>63</v>
      </c>
    </row>
    <row r="5" spans="2:9" s="12" customFormat="1" x14ac:dyDescent="0.25">
      <c r="B5" s="12" t="s">
        <v>20</v>
      </c>
    </row>
    <row r="7" spans="2:9" x14ac:dyDescent="0.25">
      <c r="B7" s="35" t="s">
        <v>126</v>
      </c>
    </row>
    <row r="8" spans="2:9" x14ac:dyDescent="0.25">
      <c r="B8" s="35" t="s">
        <v>127</v>
      </c>
    </row>
    <row r="10" spans="2:9" x14ac:dyDescent="0.25">
      <c r="B10" s="49" t="s">
        <v>45</v>
      </c>
      <c r="C10" s="49" t="s">
        <v>46</v>
      </c>
      <c r="D10" s="49" t="s">
        <v>128</v>
      </c>
      <c r="E10" s="49" t="s">
        <v>129</v>
      </c>
      <c r="F10" s="49" t="s">
        <v>130</v>
      </c>
      <c r="G10" s="49" t="s">
        <v>71</v>
      </c>
      <c r="I10" s="32"/>
    </row>
    <row r="11" spans="2:9" x14ac:dyDescent="0.25">
      <c r="B11" s="24"/>
      <c r="C11" s="24" t="s">
        <v>131</v>
      </c>
      <c r="D11" s="24" t="s">
        <v>21</v>
      </c>
      <c r="E11" s="24" t="s">
        <v>132</v>
      </c>
      <c r="F11" s="24" t="s">
        <v>133</v>
      </c>
      <c r="G11" s="24"/>
    </row>
    <row r="12" spans="2:9" x14ac:dyDescent="0.25">
      <c r="B12" s="11">
        <v>1</v>
      </c>
      <c r="C12" s="11" t="s">
        <v>58</v>
      </c>
      <c r="D12" s="11"/>
      <c r="E12" s="11"/>
      <c r="F12" s="82" t="s">
        <v>150</v>
      </c>
      <c r="G12" s="11"/>
    </row>
    <row r="13" spans="2:9" x14ac:dyDescent="0.25">
      <c r="B13" s="11">
        <v>2</v>
      </c>
      <c r="C13" s="11" t="s">
        <v>109</v>
      </c>
      <c r="D13" s="11"/>
      <c r="E13" s="11"/>
      <c r="F13" s="82" t="s">
        <v>150</v>
      </c>
      <c r="G13" s="11"/>
    </row>
    <row r="14" spans="2:9" x14ac:dyDescent="0.25">
      <c r="B14" s="11">
        <v>3</v>
      </c>
      <c r="C14" s="11" t="s">
        <v>151</v>
      </c>
      <c r="D14" s="11"/>
      <c r="E14" s="11"/>
      <c r="F14" s="82" t="s">
        <v>150</v>
      </c>
      <c r="G14" s="11"/>
    </row>
    <row r="15" spans="2:9" x14ac:dyDescent="0.25">
      <c r="B15" s="11">
        <v>4</v>
      </c>
      <c r="C15" s="11" t="s">
        <v>378</v>
      </c>
      <c r="D15" s="11" t="s">
        <v>420</v>
      </c>
      <c r="E15" s="11"/>
      <c r="F15" s="11" t="s">
        <v>152</v>
      </c>
      <c r="G15" s="11"/>
    </row>
    <row r="16" spans="2:9" x14ac:dyDescent="0.25">
      <c r="B16" s="11">
        <v>5</v>
      </c>
      <c r="C16" s="11" t="s">
        <v>379</v>
      </c>
      <c r="D16" s="11" t="s">
        <v>421</v>
      </c>
      <c r="E16" s="11"/>
      <c r="F16" s="11" t="s">
        <v>152</v>
      </c>
      <c r="G16" s="11"/>
    </row>
    <row r="17" spans="2:7" x14ac:dyDescent="0.25">
      <c r="B17" s="11">
        <v>6</v>
      </c>
      <c r="C17" s="11" t="s">
        <v>422</v>
      </c>
      <c r="D17" s="103" t="s">
        <v>423</v>
      </c>
      <c r="E17" s="11"/>
      <c r="F17" s="82" t="s">
        <v>150</v>
      </c>
      <c r="G17" s="11"/>
    </row>
    <row r="18" spans="2:7" x14ac:dyDescent="0.25">
      <c r="B18" s="11">
        <v>8</v>
      </c>
      <c r="C18" s="11" t="s">
        <v>426</v>
      </c>
      <c r="D18" s="103" t="s">
        <v>427</v>
      </c>
      <c r="E18" s="11"/>
      <c r="F18" s="82" t="s">
        <v>150</v>
      </c>
      <c r="G18" s="11"/>
    </row>
    <row r="19" spans="2:7" x14ac:dyDescent="0.25">
      <c r="B19" s="11">
        <v>9</v>
      </c>
      <c r="C19" s="83" t="s">
        <v>153</v>
      </c>
      <c r="D19" s="11"/>
      <c r="E19" s="11"/>
      <c r="F19" s="82" t="s">
        <v>150</v>
      </c>
      <c r="G19" s="11"/>
    </row>
    <row r="20" spans="2:7" x14ac:dyDescent="0.25">
      <c r="B20" s="11">
        <v>7</v>
      </c>
      <c r="C20" s="11" t="s">
        <v>424</v>
      </c>
      <c r="D20" s="103" t="s">
        <v>425</v>
      </c>
      <c r="E20" s="11"/>
      <c r="F20" s="11" t="s">
        <v>152</v>
      </c>
      <c r="G20" s="11"/>
    </row>
    <row r="21" spans="2:7" x14ac:dyDescent="0.25">
      <c r="B21" s="11">
        <v>10</v>
      </c>
      <c r="C21" s="83" t="s">
        <v>441</v>
      </c>
      <c r="D21" s="103" t="s">
        <v>428</v>
      </c>
      <c r="E21" s="11"/>
      <c r="F21" s="11" t="s">
        <v>152</v>
      </c>
      <c r="G21" s="11"/>
    </row>
    <row r="22" spans="2:7" x14ac:dyDescent="0.25">
      <c r="B22" s="11">
        <v>11</v>
      </c>
      <c r="C22" s="11" t="s">
        <v>429</v>
      </c>
      <c r="D22" s="11" t="s">
        <v>430</v>
      </c>
      <c r="E22" s="11"/>
      <c r="F22" s="11" t="s">
        <v>152</v>
      </c>
      <c r="G22" s="11"/>
    </row>
    <row r="23" spans="2:7" x14ac:dyDescent="0.25">
      <c r="B23" s="11">
        <v>12</v>
      </c>
      <c r="C23" s="11" t="s">
        <v>236</v>
      </c>
      <c r="D23" s="11"/>
      <c r="E23" s="11"/>
      <c r="F23" s="11" t="s">
        <v>152</v>
      </c>
      <c r="G23" s="11"/>
    </row>
    <row r="24" spans="2:7" x14ac:dyDescent="0.25">
      <c r="B24" s="11">
        <v>13</v>
      </c>
      <c r="C24" s="11" t="s">
        <v>352</v>
      </c>
      <c r="D24" s="11"/>
      <c r="E24" s="11"/>
      <c r="F24" s="11" t="s">
        <v>152</v>
      </c>
      <c r="G24" s="11"/>
    </row>
    <row r="25" spans="2:7" x14ac:dyDescent="0.25">
      <c r="B25" s="11">
        <v>12</v>
      </c>
      <c r="C25" s="11" t="s">
        <v>431</v>
      </c>
      <c r="D25" s="11" t="s">
        <v>279</v>
      </c>
      <c r="E25" s="11"/>
      <c r="F25" s="82" t="s">
        <v>150</v>
      </c>
      <c r="G25" s="11"/>
    </row>
    <row r="26" spans="2:7" x14ac:dyDescent="0.25">
      <c r="B26" s="11">
        <v>13</v>
      </c>
      <c r="C26" s="11" t="s">
        <v>432</v>
      </c>
      <c r="D26" s="11" t="s">
        <v>270</v>
      </c>
      <c r="E26" s="11" t="s">
        <v>384</v>
      </c>
      <c r="F26" s="11"/>
      <c r="G26" s="11"/>
    </row>
    <row r="27" spans="2:7" x14ac:dyDescent="0.25">
      <c r="B27" s="11">
        <v>14</v>
      </c>
      <c r="C27" s="11" t="s">
        <v>221</v>
      </c>
      <c r="D27" s="11" t="s">
        <v>221</v>
      </c>
      <c r="E27" s="11"/>
      <c r="F27" s="82" t="s">
        <v>150</v>
      </c>
      <c r="G27" s="11"/>
    </row>
    <row r="28" spans="2:7" x14ac:dyDescent="0.25">
      <c r="B28" s="11">
        <v>15</v>
      </c>
      <c r="C28" s="11" t="s">
        <v>155</v>
      </c>
      <c r="D28" s="11" t="s">
        <v>155</v>
      </c>
      <c r="E28" s="11"/>
      <c r="F28" s="82" t="s">
        <v>150</v>
      </c>
      <c r="G28" s="11"/>
    </row>
    <row r="30" spans="2:7" s="12" customFormat="1" x14ac:dyDescent="0.25">
      <c r="B30" s="12" t="s">
        <v>44</v>
      </c>
    </row>
    <row r="32" spans="2:7" x14ac:dyDescent="0.25">
      <c r="B32" s="35" t="s">
        <v>42</v>
      </c>
    </row>
    <row r="33" spans="2:5" x14ac:dyDescent="0.25">
      <c r="B33" s="35" t="s">
        <v>43</v>
      </c>
    </row>
    <row r="35" spans="2:5" ht="25.5" customHeight="1" x14ac:dyDescent="0.25">
      <c r="B35" s="117" t="s">
        <v>253</v>
      </c>
      <c r="C35" s="117"/>
      <c r="D35" s="117"/>
      <c r="E35" s="117"/>
    </row>
    <row r="39" spans="2:5" x14ac:dyDescent="0.25">
      <c r="B39" s="35"/>
    </row>
  </sheetData>
  <mergeCells count="1">
    <mergeCell ref="B35:E35"/>
  </mergeCells>
  <hyperlinks>
    <hyperlink ref="F12" r:id="rId1" location="/CBS/nl/dataset/70936ned/table?ts=1532343719053." xr:uid="{D95F678E-66F8-409F-950F-801899601B9F}"/>
    <hyperlink ref="F13" r:id="rId2" location="/details/wettelijke-rente/dataset/2ed0b77d-72c5-47e8-8a3d-0c213048e11d/resource/b363a333-1ce1-4ba0-83b9-80bdf6f78fa0" xr:uid="{3F7C7780-39D5-4B01-9560-DFCB675A56B4}"/>
    <hyperlink ref="F14" r:id="rId3" xr:uid="{CA5D73DF-D987-4B98-9393-F15EE52B0149}"/>
    <hyperlink ref="F19" r:id="rId4" xr:uid="{D47B8B78-DEE0-451E-BBD1-F1B69B75E5B9}"/>
    <hyperlink ref="F27" r:id="rId5" xr:uid="{30E50FC4-F4F7-4E64-AA80-1E2D6E42CA7D}"/>
    <hyperlink ref="F17" r:id="rId6" xr:uid="{A119C301-524B-4FF7-A62E-70CE0ACB8103}"/>
    <hyperlink ref="F25" r:id="rId7" xr:uid="{A35E2429-BA01-4E55-90A1-5F31B6DC8D21}"/>
    <hyperlink ref="F28" r:id="rId8" xr:uid="{E02FB216-D9DA-41B0-8A0B-34D1DACE1FFA}"/>
    <hyperlink ref="F18" r:id="rId9" xr:uid="{5537FA2B-4022-49DF-BBE1-6E5702D30CAD}"/>
  </hyperlinks>
  <pageMargins left="0.75" right="0.75" top="1" bottom="1" header="0.5" footer="0.5"/>
  <pageSetup paperSize="9" orientation="portrait" r:id="rId1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tabColor rgb="FFCCFFFF"/>
    <pageSetUpPr autoPageBreaks="0"/>
  </sheetPr>
  <dimension ref="B2:O56"/>
  <sheetViews>
    <sheetView showGridLines="0" zoomScale="85" zoomScaleNormal="85" workbookViewId="0">
      <pane xSplit="6" ySplit="11" topLeftCell="G12" activePane="bottomRight" state="frozen"/>
      <selection pane="topRight"/>
      <selection pane="bottomLeft"/>
      <selection pane="bottomRight" activeCell="G12" sqref="G12"/>
    </sheetView>
  </sheetViews>
  <sheetFormatPr defaultColWidth="9.140625" defaultRowHeight="12.75" x14ac:dyDescent="0.25"/>
  <cols>
    <col min="1" max="1" width="5.7109375" style="6" customWidth="1"/>
    <col min="2" max="2" width="84.5703125" style="6" customWidth="1"/>
    <col min="3" max="5" width="5.7109375" style="6" customWidth="1"/>
    <col min="6" max="6" width="13.7109375" style="6" customWidth="1"/>
    <col min="7" max="7" width="2.7109375" style="6" customWidth="1"/>
    <col min="8" max="9" width="13.7109375" style="6" customWidth="1"/>
    <col min="10" max="12" width="2.7109375" style="6" customWidth="1"/>
    <col min="13" max="27" width="13.7109375" style="6" customWidth="1"/>
    <col min="28" max="16384" width="9.140625" style="6"/>
  </cols>
  <sheetData>
    <row r="2" spans="2:13" s="21" customFormat="1" ht="18" x14ac:dyDescent="0.25">
      <c r="B2" s="21" t="s">
        <v>272</v>
      </c>
    </row>
    <row r="4" spans="2:13" x14ac:dyDescent="0.25">
      <c r="B4" s="34" t="s">
        <v>134</v>
      </c>
    </row>
    <row r="5" spans="2:13" ht="99.75" customHeight="1" x14ac:dyDescent="0.25">
      <c r="B5" s="117" t="s">
        <v>276</v>
      </c>
      <c r="C5" s="117"/>
      <c r="D5" s="117"/>
      <c r="E5" s="117"/>
    </row>
    <row r="6" spans="2:13" x14ac:dyDescent="0.25">
      <c r="B6" s="45"/>
      <c r="C6" s="45"/>
      <c r="D6" s="45"/>
      <c r="E6" s="45"/>
    </row>
    <row r="7" spans="2:13" x14ac:dyDescent="0.25">
      <c r="B7" s="35" t="s">
        <v>216</v>
      </c>
      <c r="C7" s="45"/>
      <c r="D7" s="45"/>
      <c r="E7" s="45"/>
    </row>
    <row r="8" spans="2:13" x14ac:dyDescent="0.25">
      <c r="B8" s="45" t="s">
        <v>135</v>
      </c>
      <c r="C8" s="45"/>
      <c r="D8" s="45"/>
      <c r="E8" s="45"/>
    </row>
    <row r="9" spans="2:13" x14ac:dyDescent="0.25">
      <c r="B9" s="45"/>
      <c r="C9" s="45"/>
      <c r="D9" s="45"/>
      <c r="E9" s="45"/>
    </row>
    <row r="10" spans="2:13" s="12" customFormat="1" x14ac:dyDescent="0.25">
      <c r="B10" s="12" t="s">
        <v>37</v>
      </c>
      <c r="F10" s="12" t="s">
        <v>22</v>
      </c>
      <c r="H10" s="12" t="s">
        <v>96</v>
      </c>
      <c r="I10" s="12" t="s">
        <v>97</v>
      </c>
      <c r="M10" s="12" t="s">
        <v>39</v>
      </c>
    </row>
    <row r="13" spans="2:13" s="12" customFormat="1" x14ac:dyDescent="0.25">
      <c r="B13" s="12" t="s">
        <v>52</v>
      </c>
    </row>
    <row r="15" spans="2:13" s="12" customFormat="1" x14ac:dyDescent="0.25">
      <c r="B15" s="12" t="s">
        <v>69</v>
      </c>
    </row>
    <row r="16" spans="2:13" x14ac:dyDescent="0.25">
      <c r="B16" s="8"/>
    </row>
    <row r="17" spans="2:13" x14ac:dyDescent="0.25">
      <c r="B17" s="6" t="s">
        <v>255</v>
      </c>
      <c r="F17" s="6" t="s">
        <v>271</v>
      </c>
      <c r="H17" s="53">
        <f>'10. Wettelijke formule'!Q36</f>
        <v>156989096.29024261</v>
      </c>
      <c r="I17" s="53">
        <f>'10. Wettelijke formule'!Q37</f>
        <v>13301045.488665994</v>
      </c>
      <c r="M17" s="32"/>
    </row>
    <row r="18" spans="2:13" x14ac:dyDescent="0.25">
      <c r="B18" s="6" t="s">
        <v>363</v>
      </c>
      <c r="F18" s="6" t="s">
        <v>271</v>
      </c>
      <c r="H18" s="53">
        <f>'5. Projectprocedure investering'!J12</f>
        <v>0</v>
      </c>
      <c r="I18" s="53">
        <f>'5. Projectprocedure investering'!K12</f>
        <v>265759591.72072065</v>
      </c>
      <c r="M18" s="33"/>
    </row>
    <row r="19" spans="2:13" x14ac:dyDescent="0.25">
      <c r="B19" s="6" t="s">
        <v>364</v>
      </c>
      <c r="F19" s="6" t="s">
        <v>271</v>
      </c>
      <c r="H19" s="53">
        <f>'5. Projectprocedure investering'!J13</f>
        <v>125474904.2144075</v>
      </c>
      <c r="I19" s="53">
        <f>'5. Projectprocedure investering'!K13</f>
        <v>66488821.656132028</v>
      </c>
      <c r="M19" s="33"/>
    </row>
    <row r="20" spans="2:13" x14ac:dyDescent="0.25">
      <c r="B20" s="6" t="s">
        <v>537</v>
      </c>
      <c r="F20" s="6" t="s">
        <v>271</v>
      </c>
      <c r="H20" s="53">
        <f>'7. Brondata'!Q33</f>
        <v>9347680.6393995024</v>
      </c>
      <c r="I20" s="85"/>
      <c r="M20" s="33"/>
    </row>
    <row r="21" spans="2:13" x14ac:dyDescent="0.25">
      <c r="H21" s="26"/>
      <c r="I21" s="26"/>
    </row>
    <row r="22" spans="2:13" x14ac:dyDescent="0.25">
      <c r="B22" s="6" t="s">
        <v>273</v>
      </c>
      <c r="F22" s="6" t="s">
        <v>271</v>
      </c>
      <c r="H22" s="53">
        <f>SUM(H17:H20)</f>
        <v>291811681.14404964</v>
      </c>
      <c r="I22" s="53">
        <f>SUM(I17:I20)</f>
        <v>345549458.86551869</v>
      </c>
      <c r="M22" s="32"/>
    </row>
    <row r="24" spans="2:13" s="12" customFormat="1" x14ac:dyDescent="0.25">
      <c r="B24" s="12" t="s">
        <v>70</v>
      </c>
    </row>
    <row r="26" spans="2:13" x14ac:dyDescent="0.25">
      <c r="B26" s="8" t="s">
        <v>533</v>
      </c>
    </row>
    <row r="27" spans="2:13" x14ac:dyDescent="0.25">
      <c r="B27" s="6" t="s">
        <v>534</v>
      </c>
      <c r="F27" s="6" t="s">
        <v>271</v>
      </c>
      <c r="H27" s="53">
        <f>H56</f>
        <v>36174116.563214257</v>
      </c>
      <c r="I27" s="53">
        <f>I56</f>
        <v>47153935.666533165</v>
      </c>
      <c r="M27" s="6" t="s">
        <v>538</v>
      </c>
    </row>
    <row r="29" spans="2:13" x14ac:dyDescent="0.25">
      <c r="B29" s="8" t="s">
        <v>343</v>
      </c>
    </row>
    <row r="30" spans="2:13" x14ac:dyDescent="0.25">
      <c r="B30" s="6" t="s">
        <v>274</v>
      </c>
      <c r="F30" s="6" t="s">
        <v>271</v>
      </c>
      <c r="H30" s="53">
        <f>'14. Correctie WACC'!Q79</f>
        <v>15274682.041007634</v>
      </c>
      <c r="I30" s="53">
        <f>'14. Correctie WACC'!Q80</f>
        <v>152065.44488772601</v>
      </c>
    </row>
    <row r="31" spans="2:13" x14ac:dyDescent="0.25">
      <c r="B31" s="6" t="s">
        <v>362</v>
      </c>
      <c r="F31" s="6" t="s">
        <v>271</v>
      </c>
      <c r="H31" s="53">
        <f>'7. Brondata'!Q26</f>
        <v>2114927.9688437097</v>
      </c>
      <c r="I31" s="53">
        <f>'7. Brondata'!Q27</f>
        <v>49443935.373529173</v>
      </c>
    </row>
    <row r="32" spans="2:13" x14ac:dyDescent="0.25">
      <c r="B32" s="6" t="s">
        <v>380</v>
      </c>
      <c r="F32" s="6" t="s">
        <v>271</v>
      </c>
      <c r="H32" s="53">
        <f>'7. Brondata'!Q30</f>
        <v>34834818.049339682</v>
      </c>
      <c r="I32" s="85"/>
    </row>
    <row r="33" spans="2:9" x14ac:dyDescent="0.25">
      <c r="B33" s="6" t="s">
        <v>275</v>
      </c>
      <c r="F33" s="6" t="s">
        <v>271</v>
      </c>
      <c r="H33" s="53">
        <f>'13. Correctie netverliezen'!Q46</f>
        <v>24421474.391420834</v>
      </c>
      <c r="I33" s="53">
        <f>'13. Correctie netverliezen'!Q47</f>
        <v>71769.380761727618</v>
      </c>
    </row>
    <row r="34" spans="2:9" x14ac:dyDescent="0.25">
      <c r="B34" s="102" t="s">
        <v>555</v>
      </c>
      <c r="F34" s="6" t="s">
        <v>271</v>
      </c>
      <c r="H34" s="53">
        <f>'11. Correctie bijschatten'!Q91</f>
        <v>477745.3879111085</v>
      </c>
      <c r="I34" s="53">
        <f>'11. Correctie bijschatten'!Q127</f>
        <v>1381416.1790793468</v>
      </c>
    </row>
    <row r="35" spans="2:9" x14ac:dyDescent="0.25">
      <c r="B35" s="6" t="s">
        <v>554</v>
      </c>
      <c r="F35" s="6" t="s">
        <v>271</v>
      </c>
      <c r="H35" s="53">
        <f>'12. Correctie afloopinv. WUI'!Q50</f>
        <v>-86469.070845246315</v>
      </c>
      <c r="I35" s="85"/>
    </row>
    <row r="37" spans="2:9" ht="12.75" customHeight="1" x14ac:dyDescent="0.25">
      <c r="B37" s="8" t="s">
        <v>277</v>
      </c>
      <c r="H37" s="37"/>
      <c r="I37" s="37"/>
    </row>
    <row r="38" spans="2:9" x14ac:dyDescent="0.25">
      <c r="B38" s="6" t="s">
        <v>277</v>
      </c>
      <c r="F38" s="6" t="s">
        <v>271</v>
      </c>
      <c r="H38" s="53">
        <f>SUM(H27:H35)</f>
        <v>113211295.330892</v>
      </c>
      <c r="I38" s="53">
        <f>SUM(I27:I35)</f>
        <v>98203122.044791147</v>
      </c>
    </row>
    <row r="40" spans="2:9" s="12" customFormat="1" x14ac:dyDescent="0.25">
      <c r="B40" s="12" t="s">
        <v>53</v>
      </c>
    </row>
    <row r="42" spans="2:9" x14ac:dyDescent="0.25">
      <c r="B42" s="6" t="s">
        <v>278</v>
      </c>
      <c r="F42" s="6" t="s">
        <v>271</v>
      </c>
      <c r="H42" s="53">
        <f>H22+H38</f>
        <v>405022976.47494161</v>
      </c>
      <c r="I42" s="53">
        <f>I22+I38</f>
        <v>443752580.91030985</v>
      </c>
    </row>
    <row r="44" spans="2:9" s="12" customFormat="1" x14ac:dyDescent="0.25">
      <c r="B44" s="12" t="s">
        <v>535</v>
      </c>
    </row>
    <row r="45" spans="2:9" ht="12.75" customHeight="1" x14ac:dyDescent="0.25">
      <c r="H45" s="37"/>
      <c r="I45" s="37"/>
    </row>
    <row r="46" spans="2:9" x14ac:dyDescent="0.25">
      <c r="B46" s="102" t="s">
        <v>556</v>
      </c>
      <c r="F46" s="6" t="s">
        <v>271</v>
      </c>
      <c r="H46" s="53">
        <f>'10. Wettelijke formule'!Q47</f>
        <v>22508600.376292765</v>
      </c>
      <c r="I46" s="53">
        <f>'10. Wettelijke formule'!Q48</f>
        <v>-49610.231088248052</v>
      </c>
    </row>
    <row r="47" spans="2:9" x14ac:dyDescent="0.25">
      <c r="B47" s="102" t="s">
        <v>557</v>
      </c>
      <c r="F47" s="6" t="s">
        <v>271</v>
      </c>
      <c r="H47" s="53">
        <f>'7. Brondata'!Q123</f>
        <v>279566.95896524674</v>
      </c>
      <c r="I47" s="53">
        <f>'7. Brondata'!Q136</f>
        <v>42493778.785900868</v>
      </c>
    </row>
    <row r="48" spans="2:9" x14ac:dyDescent="0.25">
      <c r="B48" s="102" t="s">
        <v>558</v>
      </c>
      <c r="F48" s="6" t="s">
        <v>271</v>
      </c>
      <c r="H48" s="53">
        <f>'7. Brondata'!Q128</f>
        <v>15027904.071509056</v>
      </c>
      <c r="I48" s="53">
        <f>'7. Brondata'!Q139</f>
        <v>4260371.6697245678</v>
      </c>
    </row>
    <row r="49" spans="2:15" x14ac:dyDescent="0.25">
      <c r="B49" s="102" t="s">
        <v>559</v>
      </c>
      <c r="F49" s="6" t="s">
        <v>271</v>
      </c>
      <c r="H49" s="53">
        <f>'7. Brondata'!Q131</f>
        <v>-85714.376115232953</v>
      </c>
      <c r="I49" s="85"/>
      <c r="O49" s="43"/>
    </row>
    <row r="50" spans="2:15" x14ac:dyDescent="0.25">
      <c r="B50" s="6" t="s">
        <v>539</v>
      </c>
      <c r="F50" s="6" t="s">
        <v>271</v>
      </c>
      <c r="H50" s="53">
        <f>'14. Correctie WACC'!Q93</f>
        <v>-2910202.4576630401</v>
      </c>
      <c r="I50" s="53">
        <f>'14. Correctie WACC'!Q94</f>
        <v>-16180.183477146255</v>
      </c>
    </row>
    <row r="51" spans="2:15" x14ac:dyDescent="0.25">
      <c r="B51" s="102" t="s">
        <v>560</v>
      </c>
      <c r="F51" s="6" t="s">
        <v>271</v>
      </c>
      <c r="H51" s="53">
        <f>'7. Brondata'!Q124</f>
        <v>477636.9754948761</v>
      </c>
      <c r="I51" s="53">
        <f>'7. Brondata'!Q137</f>
        <v>438689.97751584556</v>
      </c>
    </row>
    <row r="52" spans="2:15" x14ac:dyDescent="0.25">
      <c r="B52" s="102" t="s">
        <v>561</v>
      </c>
      <c r="F52" s="6" t="s">
        <v>271</v>
      </c>
      <c r="H52" s="53">
        <f>'7. Brondata'!Q129</f>
        <v>876829.58308981115</v>
      </c>
      <c r="I52" s="85"/>
    </row>
    <row r="53" spans="2:15" x14ac:dyDescent="0.25">
      <c r="B53" s="102" t="s">
        <v>562</v>
      </c>
      <c r="F53" s="6" t="s">
        <v>271</v>
      </c>
      <c r="H53" s="53">
        <f>'11. Correctie bijschatten'!Q79</f>
        <v>22307.688924761016</v>
      </c>
      <c r="I53" s="53">
        <f>'11. Correctie bijschatten'!Q115</f>
        <v>26885.647957280678</v>
      </c>
    </row>
    <row r="54" spans="2:15" x14ac:dyDescent="0.25">
      <c r="B54" s="102" t="s">
        <v>563</v>
      </c>
      <c r="F54" s="6" t="s">
        <v>271</v>
      </c>
      <c r="H54" s="53">
        <f>'12. Correctie afloopinv. WUI'!Q41</f>
        <v>-22812.257283993495</v>
      </c>
      <c r="I54" s="85"/>
    </row>
    <row r="56" spans="2:15" x14ac:dyDescent="0.25">
      <c r="B56" s="6" t="s">
        <v>536</v>
      </c>
      <c r="F56" s="6" t="s">
        <v>271</v>
      </c>
      <c r="H56" s="52">
        <f>SUM(H46:H54)</f>
        <v>36174116.563214257</v>
      </c>
      <c r="I56" s="52">
        <f>SUM(I46:I54)</f>
        <v>47153935.666533165</v>
      </c>
    </row>
  </sheetData>
  <mergeCells count="1">
    <mergeCell ref="B5:E5"/>
  </mergeCells>
  <phoneticPr fontId="2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tabColor theme="0" tint="-4.9989318521683403E-2"/>
    <pageSetUpPr autoPageBreaks="0"/>
  </sheetPr>
  <dimension ref="A1"/>
  <sheetViews>
    <sheetView showGridLines="0" zoomScale="85" zoomScaleNormal="85" workbookViewId="0"/>
  </sheetViews>
  <sheetFormatPr defaultColWidth="9.140625" defaultRowHeight="12.75" x14ac:dyDescent="0.25"/>
  <cols>
    <col min="1" max="16384" width="9.140625" style="23"/>
  </cols>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7">
    <tabColor rgb="FFE1FFE1"/>
    <pageSetUpPr autoPageBreaks="0"/>
  </sheetPr>
  <dimension ref="B2:Q13"/>
  <sheetViews>
    <sheetView showGridLines="0" zoomScale="85" zoomScaleNormal="85" workbookViewId="0">
      <pane xSplit="6" ySplit="8" topLeftCell="G9" activePane="bottomRight" state="frozen"/>
      <selection pane="topRight"/>
      <selection pane="bottomLeft"/>
      <selection pane="bottomRight" activeCell="G9" sqref="G9"/>
    </sheetView>
  </sheetViews>
  <sheetFormatPr defaultColWidth="9.140625" defaultRowHeight="12.75" x14ac:dyDescent="0.25"/>
  <cols>
    <col min="1" max="1" width="5.7109375" style="6" customWidth="1"/>
    <col min="2" max="2" width="64.85546875" style="6" customWidth="1"/>
    <col min="3" max="5" width="5.7109375" style="6" customWidth="1"/>
    <col min="6" max="6" width="13.7109375" style="6" customWidth="1"/>
    <col min="7" max="7" width="2.7109375" style="6" customWidth="1"/>
    <col min="8" max="8" width="13.7109375" style="6" customWidth="1"/>
    <col min="9" max="9" width="2.7109375" style="6" customWidth="1"/>
    <col min="10" max="11" width="12.5703125" style="6" customWidth="1"/>
    <col min="12" max="12" width="2.7109375" style="6" customWidth="1"/>
    <col min="13" max="13" width="18.85546875" style="6" customWidth="1"/>
    <col min="14" max="14" width="2.7109375" style="6" customWidth="1"/>
    <col min="15" max="29" width="13.7109375" style="6" customWidth="1"/>
    <col min="30" max="16384" width="9.140625" style="6"/>
  </cols>
  <sheetData>
    <row r="2" spans="2:17" s="21" customFormat="1" ht="18" x14ac:dyDescent="0.25">
      <c r="B2" s="21" t="s">
        <v>368</v>
      </c>
    </row>
    <row r="4" spans="2:17" x14ac:dyDescent="0.25">
      <c r="B4" s="34" t="s">
        <v>136</v>
      </c>
    </row>
    <row r="5" spans="2:17" ht="39" customHeight="1" x14ac:dyDescent="0.25">
      <c r="B5" s="117" t="s">
        <v>367</v>
      </c>
      <c r="C5" s="117"/>
      <c r="D5" s="117"/>
      <c r="E5" s="117"/>
    </row>
    <row r="6" spans="2:17" x14ac:dyDescent="0.25">
      <c r="B6" s="45"/>
      <c r="C6" s="45"/>
      <c r="D6" s="45"/>
      <c r="E6" s="45"/>
    </row>
    <row r="7" spans="2:17" s="12" customFormat="1" x14ac:dyDescent="0.25">
      <c r="B7" s="12" t="s">
        <v>37</v>
      </c>
      <c r="F7" s="12" t="s">
        <v>22</v>
      </c>
      <c r="H7" s="12" t="s">
        <v>41</v>
      </c>
      <c r="J7" s="12" t="s">
        <v>96</v>
      </c>
      <c r="K7" s="12" t="s">
        <v>97</v>
      </c>
      <c r="M7" s="12" t="s">
        <v>38</v>
      </c>
      <c r="O7" s="12" t="s">
        <v>39</v>
      </c>
    </row>
    <row r="10" spans="2:17" s="12" customFormat="1" x14ac:dyDescent="0.25">
      <c r="B10" s="12" t="s">
        <v>381</v>
      </c>
    </row>
    <row r="12" spans="2:17" x14ac:dyDescent="0.25">
      <c r="B12" s="6" t="s">
        <v>365</v>
      </c>
      <c r="F12" s="6" t="s">
        <v>271</v>
      </c>
      <c r="J12" s="56">
        <v>0</v>
      </c>
      <c r="K12" s="56">
        <v>265759591.72072065</v>
      </c>
      <c r="M12" s="6" t="s">
        <v>530</v>
      </c>
      <c r="O12" s="32"/>
      <c r="Q12" s="10"/>
    </row>
    <row r="13" spans="2:17" x14ac:dyDescent="0.25">
      <c r="B13" s="6" t="s">
        <v>366</v>
      </c>
      <c r="F13" s="6" t="s">
        <v>271</v>
      </c>
      <c r="J13" s="56">
        <v>125474904.2144075</v>
      </c>
      <c r="K13" s="56">
        <v>66488821.656132028</v>
      </c>
      <c r="M13" s="6" t="s">
        <v>531</v>
      </c>
    </row>
  </sheetData>
  <mergeCells count="1">
    <mergeCell ref="B5:E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8">
    <tabColor theme="0" tint="-4.9989318521683403E-2"/>
    <pageSetUpPr autoPageBreaks="0"/>
  </sheetPr>
  <dimension ref="A1"/>
  <sheetViews>
    <sheetView showGridLines="0" zoomScale="85" zoomScaleNormal="85" workbookViewId="0"/>
  </sheetViews>
  <sheetFormatPr defaultColWidth="9.140625" defaultRowHeight="12.75" x14ac:dyDescent="0.25"/>
  <cols>
    <col min="1" max="16384" width="9.140625" style="23"/>
  </cols>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9">
    <tabColor rgb="FFE1FFE1"/>
    <pageSetUpPr autoPageBreaks="0"/>
  </sheetPr>
  <dimension ref="B2:V56"/>
  <sheetViews>
    <sheetView showGridLines="0" zoomScale="85" zoomScaleNormal="85" workbookViewId="0">
      <pane xSplit="6" ySplit="8" topLeftCell="G9" activePane="bottomRight" state="frozen"/>
      <selection pane="topRight"/>
      <selection pane="bottomLeft"/>
      <selection pane="bottomRight" activeCell="G9" sqref="G9"/>
    </sheetView>
  </sheetViews>
  <sheetFormatPr defaultColWidth="9.140625" defaultRowHeight="12.75" x14ac:dyDescent="0.25"/>
  <cols>
    <col min="1" max="1" width="5.7109375" style="6" customWidth="1"/>
    <col min="2" max="2" width="69.85546875" style="6" customWidth="1"/>
    <col min="3" max="5" width="5.7109375" style="6" customWidth="1"/>
    <col min="6" max="6" width="13.7109375" style="6" customWidth="1"/>
    <col min="7" max="7" width="2.7109375" style="6" customWidth="1"/>
    <col min="8" max="8" width="13.7109375" style="6" customWidth="1"/>
    <col min="9" max="9" width="2.7109375" style="6" customWidth="1"/>
    <col min="10" max="10" width="13.7109375" style="6" customWidth="1"/>
    <col min="11" max="11" width="2.7109375" style="6" customWidth="1"/>
    <col min="12" max="17" width="12.5703125" style="6" customWidth="1"/>
    <col min="18" max="18" width="2.7109375" style="6" customWidth="1"/>
    <col min="19" max="19" width="39.140625" style="6" customWidth="1"/>
    <col min="20" max="20" width="2.7109375" style="6" customWidth="1"/>
    <col min="21" max="21" width="13.7109375" style="6" customWidth="1"/>
    <col min="22" max="22" width="2.7109375" style="6" customWidth="1"/>
    <col min="23" max="37" width="13.7109375" style="6" customWidth="1"/>
    <col min="38" max="16384" width="9.140625" style="6"/>
  </cols>
  <sheetData>
    <row r="2" spans="2:22" s="21" customFormat="1" ht="18" x14ac:dyDescent="0.25">
      <c r="B2" s="21" t="s">
        <v>64</v>
      </c>
    </row>
    <row r="4" spans="2:22" x14ac:dyDescent="0.25">
      <c r="B4" s="34" t="s">
        <v>137</v>
      </c>
    </row>
    <row r="5" spans="2:22" ht="55.5" customHeight="1" x14ac:dyDescent="0.25">
      <c r="B5" s="117" t="s">
        <v>353</v>
      </c>
      <c r="C5" s="117"/>
      <c r="D5" s="117"/>
      <c r="E5" s="117"/>
    </row>
    <row r="7" spans="2:22" s="12" customFormat="1" x14ac:dyDescent="0.25">
      <c r="B7" s="12" t="s">
        <v>37</v>
      </c>
      <c r="F7" s="12" t="s">
        <v>22</v>
      </c>
      <c r="H7" s="12" t="s">
        <v>23</v>
      </c>
      <c r="J7" s="12" t="s">
        <v>41</v>
      </c>
      <c r="L7" s="28">
        <v>2020</v>
      </c>
      <c r="M7" s="28">
        <v>2021</v>
      </c>
      <c r="N7" s="28">
        <v>2022</v>
      </c>
      <c r="O7" s="28">
        <v>2023</v>
      </c>
      <c r="P7" s="28">
        <v>2024</v>
      </c>
      <c r="Q7" s="28">
        <v>2025</v>
      </c>
      <c r="S7" s="12" t="s">
        <v>38</v>
      </c>
      <c r="U7" s="12" t="s">
        <v>39</v>
      </c>
      <c r="V7" s="29"/>
    </row>
    <row r="10" spans="2:22" s="12" customFormat="1" x14ac:dyDescent="0.25">
      <c r="B10" s="12" t="s">
        <v>93</v>
      </c>
    </row>
    <row r="12" spans="2:22" x14ac:dyDescent="0.25">
      <c r="B12" s="34" t="s">
        <v>55</v>
      </c>
      <c r="U12" s="34" t="s">
        <v>51</v>
      </c>
    </row>
    <row r="13" spans="2:22" x14ac:dyDescent="0.25">
      <c r="B13" s="6" t="s">
        <v>56</v>
      </c>
      <c r="F13" s="6" t="s">
        <v>49</v>
      </c>
      <c r="L13" s="61">
        <v>2.8000000000000001E-2</v>
      </c>
      <c r="M13" s="61">
        <v>7.0000000000000001E-3</v>
      </c>
      <c r="N13" s="61">
        <v>2.4E-2</v>
      </c>
      <c r="O13" s="61">
        <v>0.12</v>
      </c>
      <c r="P13" s="61">
        <v>0.03</v>
      </c>
      <c r="Q13" s="61">
        <v>3.5999999999999997E-2</v>
      </c>
      <c r="S13" s="6" t="s">
        <v>58</v>
      </c>
      <c r="U13" s="6" t="s">
        <v>72</v>
      </c>
    </row>
    <row r="14" spans="2:22" x14ac:dyDescent="0.25">
      <c r="U14" s="6" t="s">
        <v>269</v>
      </c>
    </row>
    <row r="15" spans="2:22" x14ac:dyDescent="0.25">
      <c r="U15" s="6" t="s">
        <v>73</v>
      </c>
    </row>
    <row r="16" spans="2:22" ht="15" x14ac:dyDescent="0.25">
      <c r="U16"/>
    </row>
    <row r="17" spans="2:21" s="12" customFormat="1" x14ac:dyDescent="0.25">
      <c r="B17" s="12" t="s">
        <v>94</v>
      </c>
    </row>
    <row r="18" spans="2:21" ht="15" x14ac:dyDescent="0.25">
      <c r="U18"/>
    </row>
    <row r="19" spans="2:21" x14ac:dyDescent="0.25">
      <c r="B19" s="34" t="s">
        <v>111</v>
      </c>
      <c r="U19" s="34" t="s">
        <v>91</v>
      </c>
    </row>
    <row r="20" spans="2:21" x14ac:dyDescent="0.25">
      <c r="B20" s="6" t="s">
        <v>83</v>
      </c>
      <c r="F20" s="6" t="s">
        <v>49</v>
      </c>
      <c r="L20" s="62">
        <v>0.02</v>
      </c>
      <c r="M20" s="62">
        <v>0.02</v>
      </c>
      <c r="N20" s="62">
        <v>0.02</v>
      </c>
      <c r="O20" s="84">
        <v>0.04</v>
      </c>
      <c r="P20" s="84">
        <v>7.0000000000000007E-2</v>
      </c>
      <c r="Q20" s="111">
        <v>0.06</v>
      </c>
      <c r="S20" s="6" t="s">
        <v>109</v>
      </c>
      <c r="U20" s="6" t="s">
        <v>106</v>
      </c>
    </row>
    <row r="21" spans="2:21" x14ac:dyDescent="0.25">
      <c r="B21" s="6" t="s">
        <v>84</v>
      </c>
      <c r="F21" s="6" t="s">
        <v>49</v>
      </c>
      <c r="L21" s="62">
        <v>0.02</v>
      </c>
      <c r="M21" s="62">
        <v>0.02</v>
      </c>
      <c r="N21" s="62">
        <v>0.02</v>
      </c>
      <c r="O21" s="84">
        <v>0.04</v>
      </c>
      <c r="P21" s="84">
        <v>7.0000000000000007E-2</v>
      </c>
      <c r="Q21" s="111">
        <v>0.06</v>
      </c>
      <c r="S21" s="6" t="s">
        <v>109</v>
      </c>
      <c r="U21" s="6" t="s">
        <v>92</v>
      </c>
    </row>
    <row r="22" spans="2:21" x14ac:dyDescent="0.25">
      <c r="B22" s="6" t="s">
        <v>85</v>
      </c>
      <c r="F22" s="6" t="s">
        <v>49</v>
      </c>
      <c r="L22" s="62">
        <v>0.02</v>
      </c>
      <c r="M22" s="62">
        <v>0.02</v>
      </c>
      <c r="N22" s="84">
        <v>0.02</v>
      </c>
      <c r="O22" s="84">
        <v>0.06</v>
      </c>
      <c r="P22" s="84">
        <v>7.0000000000000007E-2</v>
      </c>
      <c r="Q22" s="40"/>
      <c r="S22" s="6" t="s">
        <v>109</v>
      </c>
      <c r="U22" s="6" t="s">
        <v>110</v>
      </c>
    </row>
    <row r="23" spans="2:21" x14ac:dyDescent="0.25">
      <c r="B23" s="6" t="s">
        <v>86</v>
      </c>
      <c r="F23" s="6" t="s">
        <v>49</v>
      </c>
      <c r="L23" s="62">
        <v>0.02</v>
      </c>
      <c r="M23" s="62">
        <v>0.02</v>
      </c>
      <c r="N23" s="84">
        <v>0.02</v>
      </c>
      <c r="O23" s="62">
        <v>0.06</v>
      </c>
      <c r="P23" s="84">
        <v>7.0000000000000007E-2</v>
      </c>
      <c r="Q23" s="40"/>
      <c r="S23" s="6" t="s">
        <v>109</v>
      </c>
      <c r="U23" s="6" t="s">
        <v>388</v>
      </c>
    </row>
    <row r="24" spans="2:21" x14ac:dyDescent="0.25">
      <c r="M24" s="40"/>
      <c r="N24" s="40"/>
      <c r="O24" s="40"/>
      <c r="P24" s="40"/>
      <c r="Q24" s="40"/>
      <c r="U24" s="6" t="s">
        <v>532</v>
      </c>
    </row>
    <row r="25" spans="2:21" x14ac:dyDescent="0.25">
      <c r="M25" s="40"/>
      <c r="N25" s="40"/>
      <c r="O25" s="40"/>
      <c r="P25" s="40"/>
      <c r="Q25" s="40"/>
    </row>
    <row r="26" spans="2:21" x14ac:dyDescent="0.25">
      <c r="M26" s="40"/>
      <c r="N26" s="40"/>
      <c r="O26" s="40"/>
      <c r="P26" s="40"/>
      <c r="Q26" s="40"/>
    </row>
    <row r="27" spans="2:21" s="12" customFormat="1" x14ac:dyDescent="0.25">
      <c r="B27" s="12" t="s">
        <v>108</v>
      </c>
    </row>
    <row r="29" spans="2:21" x14ac:dyDescent="0.25">
      <c r="B29" s="34" t="s">
        <v>107</v>
      </c>
    </row>
    <row r="30" spans="2:21" x14ac:dyDescent="0.2">
      <c r="B30" s="27" t="s">
        <v>103</v>
      </c>
      <c r="F30" s="6" t="s">
        <v>49</v>
      </c>
      <c r="H30" s="62">
        <v>8.9999999999999993E-3</v>
      </c>
      <c r="S30" s="102" t="s">
        <v>389</v>
      </c>
      <c r="U30" s="10"/>
    </row>
    <row r="32" spans="2:21" s="12" customFormat="1" x14ac:dyDescent="0.25">
      <c r="B32" s="12" t="s">
        <v>160</v>
      </c>
    </row>
    <row r="34" spans="2:19" x14ac:dyDescent="0.25">
      <c r="B34" s="34" t="s">
        <v>201</v>
      </c>
    </row>
    <row r="35" spans="2:19" x14ac:dyDescent="0.25">
      <c r="B35" s="6" t="s">
        <v>160</v>
      </c>
      <c r="F35" s="6" t="s">
        <v>49</v>
      </c>
      <c r="N35" s="61">
        <v>2E-3</v>
      </c>
      <c r="O35" s="61">
        <v>2E-3</v>
      </c>
      <c r="P35" s="61">
        <v>2E-3</v>
      </c>
      <c r="Q35" s="61">
        <v>2E-3</v>
      </c>
      <c r="S35" s="6" t="s">
        <v>390</v>
      </c>
    </row>
    <row r="37" spans="2:19" s="12" customFormat="1" x14ac:dyDescent="0.25">
      <c r="B37" s="12" t="s">
        <v>177</v>
      </c>
    </row>
    <row r="39" spans="2:19" x14ac:dyDescent="0.25">
      <c r="B39" s="34" t="s">
        <v>178</v>
      </c>
    </row>
    <row r="40" spans="2:19" x14ac:dyDescent="0.25">
      <c r="B40" s="6" t="s">
        <v>179</v>
      </c>
      <c r="F40" s="6" t="s">
        <v>49</v>
      </c>
      <c r="N40" s="91">
        <v>2.8000000000000001E-2</v>
      </c>
      <c r="O40" s="91">
        <v>2.8000000000000001E-2</v>
      </c>
      <c r="P40" s="91">
        <v>3.3000000000000002E-2</v>
      </c>
      <c r="Q40" s="91">
        <v>3.3000000000000002E-2</v>
      </c>
      <c r="S40" s="6" t="s">
        <v>391</v>
      </c>
    </row>
    <row r="41" spans="2:19" x14ac:dyDescent="0.25">
      <c r="B41" s="6" t="s">
        <v>180</v>
      </c>
      <c r="F41" s="6" t="s">
        <v>49</v>
      </c>
      <c r="N41" s="91">
        <v>2.8000000000000001E-2</v>
      </c>
      <c r="O41" s="91">
        <v>2.8000000000000001E-2</v>
      </c>
      <c r="P41" s="91">
        <v>3.3000000000000002E-2</v>
      </c>
      <c r="Q41" s="91">
        <v>3.3000000000000002E-2</v>
      </c>
      <c r="S41" s="6" t="s">
        <v>391</v>
      </c>
    </row>
    <row r="43" spans="2:19" x14ac:dyDescent="0.25">
      <c r="B43" s="34" t="s">
        <v>360</v>
      </c>
    </row>
    <row r="44" spans="2:19" x14ac:dyDescent="0.25">
      <c r="B44" s="6" t="s">
        <v>358</v>
      </c>
      <c r="F44" s="6" t="s">
        <v>49</v>
      </c>
      <c r="N44" s="91">
        <v>4.2000000000000003E-2</v>
      </c>
      <c r="O44" s="91">
        <v>5.6000000000000001E-2</v>
      </c>
      <c r="P44" s="90"/>
      <c r="Q44" s="90"/>
      <c r="S44" s="6" t="s">
        <v>393</v>
      </c>
    </row>
    <row r="45" spans="2:19" x14ac:dyDescent="0.25">
      <c r="B45" s="6" t="s">
        <v>361</v>
      </c>
      <c r="F45" s="6" t="s">
        <v>49</v>
      </c>
      <c r="N45" s="91">
        <v>3.5000000000000003E-2</v>
      </c>
      <c r="O45" s="91">
        <v>4.3999999999999997E-2</v>
      </c>
      <c r="P45" s="90"/>
      <c r="Q45" s="90"/>
      <c r="S45" s="6" t="s">
        <v>392</v>
      </c>
    </row>
    <row r="47" spans="2:19" s="12" customFormat="1" x14ac:dyDescent="0.25">
      <c r="B47" s="12" t="s">
        <v>181</v>
      </c>
    </row>
    <row r="48" spans="2:19" x14ac:dyDescent="0.25">
      <c r="N48" s="40"/>
      <c r="O48" s="40"/>
      <c r="P48" s="40"/>
      <c r="Q48" s="40"/>
    </row>
    <row r="49" spans="2:19" x14ac:dyDescent="0.25">
      <c r="B49" s="34" t="s">
        <v>394</v>
      </c>
      <c r="N49" s="40"/>
      <c r="O49" s="40"/>
      <c r="P49" s="40"/>
      <c r="Q49" s="40"/>
    </row>
    <row r="50" spans="2:19" x14ac:dyDescent="0.25">
      <c r="B50" s="6" t="s">
        <v>182</v>
      </c>
      <c r="F50" s="6" t="s">
        <v>49</v>
      </c>
      <c r="N50" s="91">
        <v>0</v>
      </c>
      <c r="O50" s="91">
        <v>0</v>
      </c>
      <c r="P50" s="92"/>
      <c r="Q50" s="92"/>
      <c r="S50" s="6" t="s">
        <v>492</v>
      </c>
    </row>
    <row r="51" spans="2:19" x14ac:dyDescent="0.25">
      <c r="B51" s="6" t="s">
        <v>183</v>
      </c>
      <c r="F51" s="6" t="s">
        <v>49</v>
      </c>
      <c r="N51" s="91">
        <v>1</v>
      </c>
      <c r="O51" s="91">
        <v>1</v>
      </c>
      <c r="P51" s="92"/>
      <c r="Q51" s="92"/>
      <c r="S51" s="6" t="s">
        <v>493</v>
      </c>
    </row>
    <row r="53" spans="2:19" s="12" customFormat="1" x14ac:dyDescent="0.25">
      <c r="B53" s="12" t="s">
        <v>250</v>
      </c>
    </row>
    <row r="55" spans="2:19" x14ac:dyDescent="0.25">
      <c r="B55" s="34" t="s">
        <v>250</v>
      </c>
    </row>
    <row r="56" spans="2:19" x14ac:dyDescent="0.25">
      <c r="B56" s="6" t="s">
        <v>251</v>
      </c>
      <c r="F56" s="6" t="s">
        <v>49</v>
      </c>
      <c r="H56" s="91">
        <v>1</v>
      </c>
      <c r="S56" s="6" t="s">
        <v>395</v>
      </c>
    </row>
  </sheetData>
  <mergeCells count="1">
    <mergeCell ref="B5:E5"/>
  </mergeCells>
  <phoneticPr fontId="26"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10">
    <tabColor rgb="FFE1FFE1"/>
    <pageSetUpPr autoPageBreaks="0"/>
  </sheetPr>
  <dimension ref="B2:X139"/>
  <sheetViews>
    <sheetView showGridLines="0" zoomScale="85" zoomScaleNormal="85" workbookViewId="0">
      <pane xSplit="6" ySplit="8" topLeftCell="G9" activePane="bottomRight" state="frozen"/>
      <selection pane="topRight"/>
      <selection pane="bottomLeft"/>
      <selection pane="bottomRight" activeCell="G9" sqref="G9"/>
    </sheetView>
  </sheetViews>
  <sheetFormatPr defaultColWidth="9.140625" defaultRowHeight="12.75" x14ac:dyDescent="0.25"/>
  <cols>
    <col min="1" max="1" width="5.7109375" style="6" customWidth="1"/>
    <col min="2" max="2" width="100.28515625" style="6" customWidth="1"/>
    <col min="3" max="5" width="5.7109375" style="6" customWidth="1"/>
    <col min="6" max="6" width="13.7109375" style="6" customWidth="1"/>
    <col min="7" max="7" width="2.7109375" style="6" customWidth="1"/>
    <col min="8" max="8" width="13.7109375" style="6" customWidth="1"/>
    <col min="9" max="9" width="2.7109375" style="6" customWidth="1"/>
    <col min="10" max="10" width="13.7109375" style="6" customWidth="1"/>
    <col min="11" max="11" width="2.7109375" style="6" customWidth="1"/>
    <col min="12" max="12" width="13.85546875" style="6" customWidth="1"/>
    <col min="13" max="17" width="13.7109375" style="6" customWidth="1"/>
    <col min="18" max="18" width="2.7109375" style="6" customWidth="1"/>
    <col min="19" max="19" width="49" style="6" customWidth="1"/>
    <col min="20" max="20" width="2.7109375" style="6" customWidth="1"/>
    <col min="21" max="21" width="13.5703125" style="6" customWidth="1"/>
    <col min="22" max="36" width="13.7109375" style="6" customWidth="1"/>
    <col min="37" max="16384" width="9.140625" style="6"/>
  </cols>
  <sheetData>
    <row r="2" spans="2:21" s="21" customFormat="1" ht="18" x14ac:dyDescent="0.25">
      <c r="B2" s="21" t="s">
        <v>65</v>
      </c>
    </row>
    <row r="4" spans="2:21" x14ac:dyDescent="0.25">
      <c r="B4" s="34" t="s">
        <v>137</v>
      </c>
    </row>
    <row r="5" spans="2:21" ht="27" customHeight="1" x14ac:dyDescent="0.25">
      <c r="B5" s="117" t="s">
        <v>354</v>
      </c>
      <c r="C5" s="117"/>
      <c r="D5" s="117"/>
      <c r="E5" s="117"/>
    </row>
    <row r="7" spans="2:21" s="12" customFormat="1" x14ac:dyDescent="0.25">
      <c r="B7" s="12" t="s">
        <v>37</v>
      </c>
      <c r="F7" s="12" t="s">
        <v>22</v>
      </c>
      <c r="H7" s="12" t="s">
        <v>23</v>
      </c>
      <c r="J7" s="12" t="s">
        <v>41</v>
      </c>
      <c r="L7" s="28">
        <v>2020</v>
      </c>
      <c r="M7" s="28">
        <v>2021</v>
      </c>
      <c r="N7" s="28">
        <v>2022</v>
      </c>
      <c r="O7" s="28">
        <v>2023</v>
      </c>
      <c r="P7" s="28">
        <v>2024</v>
      </c>
      <c r="Q7" s="28">
        <v>2025</v>
      </c>
      <c r="S7" s="12" t="s">
        <v>38</v>
      </c>
      <c r="U7" s="12" t="s">
        <v>39</v>
      </c>
    </row>
    <row r="10" spans="2:21" s="12" customFormat="1" x14ac:dyDescent="0.25">
      <c r="B10" s="12" t="s">
        <v>54</v>
      </c>
    </row>
    <row r="11" spans="2:21" ht="12.75" customHeight="1" x14ac:dyDescent="0.25"/>
    <row r="12" spans="2:21" ht="12.75" customHeight="1" x14ac:dyDescent="0.25">
      <c r="B12" s="34" t="s">
        <v>104</v>
      </c>
    </row>
    <row r="13" spans="2:21" ht="12.75" customHeight="1" x14ac:dyDescent="0.25">
      <c r="B13" s="44" t="s">
        <v>112</v>
      </c>
      <c r="F13" s="6" t="s">
        <v>95</v>
      </c>
      <c r="J13" s="37"/>
      <c r="M13" s="48">
        <v>132767935.62416442</v>
      </c>
      <c r="N13" s="37"/>
      <c r="O13" s="37"/>
      <c r="P13" s="37"/>
      <c r="Q13" s="37"/>
      <c r="S13" s="102" t="s">
        <v>407</v>
      </c>
      <c r="U13" s="32"/>
    </row>
    <row r="14" spans="2:21" ht="12.75" customHeight="1" x14ac:dyDescent="0.25">
      <c r="B14" s="44" t="s">
        <v>113</v>
      </c>
      <c r="F14" s="6" t="s">
        <v>95</v>
      </c>
      <c r="J14" s="37"/>
      <c r="M14" s="48">
        <v>11248885.386972247</v>
      </c>
      <c r="N14" s="37"/>
      <c r="O14" s="37"/>
      <c r="P14" s="37"/>
      <c r="Q14" s="37"/>
      <c r="S14" s="102" t="s">
        <v>408</v>
      </c>
      <c r="U14" s="32"/>
    </row>
    <row r="15" spans="2:21" ht="12.75" customHeight="1" x14ac:dyDescent="0.25">
      <c r="B15" s="6" t="s">
        <v>114</v>
      </c>
      <c r="F15" s="6" t="s">
        <v>95</v>
      </c>
      <c r="J15" s="37"/>
      <c r="M15" s="48">
        <v>144016821.01113665</v>
      </c>
      <c r="N15" s="37"/>
      <c r="O15" s="37"/>
      <c r="P15" s="37"/>
      <c r="Q15" s="37"/>
      <c r="S15" s="102" t="s">
        <v>409</v>
      </c>
      <c r="U15" s="32"/>
    </row>
    <row r="16" spans="2:21" ht="12.6" customHeight="1" x14ac:dyDescent="0.25"/>
    <row r="17" spans="2:24" s="12" customFormat="1" ht="12.75" customHeight="1" x14ac:dyDescent="0.25">
      <c r="B17" s="12" t="s">
        <v>406</v>
      </c>
    </row>
    <row r="18" spans="2:24" ht="12.75" customHeight="1" x14ac:dyDescent="0.25"/>
    <row r="19" spans="2:24" ht="12.75" customHeight="1" x14ac:dyDescent="0.25">
      <c r="B19" s="34" t="s">
        <v>281</v>
      </c>
    </row>
    <row r="20" spans="2:24" ht="12.75" customHeight="1" x14ac:dyDescent="0.25">
      <c r="B20" s="44" t="s">
        <v>112</v>
      </c>
      <c r="F20" s="6" t="s">
        <v>95</v>
      </c>
      <c r="N20" s="48">
        <v>128931332.07651946</v>
      </c>
      <c r="O20" s="48">
        <v>142855915.94078356</v>
      </c>
      <c r="P20" s="48">
        <v>145427322.42771766</v>
      </c>
      <c r="S20" s="6" t="s">
        <v>350</v>
      </c>
    </row>
    <row r="21" spans="2:24" ht="12.75" customHeight="1" x14ac:dyDescent="0.25">
      <c r="B21" s="44" t="s">
        <v>113</v>
      </c>
      <c r="F21" s="6" t="s">
        <v>95</v>
      </c>
      <c r="N21" s="48">
        <v>11463431.756797664</v>
      </c>
      <c r="O21" s="48">
        <v>12701482.386531813</v>
      </c>
      <c r="P21" s="48">
        <v>12930109.069489386</v>
      </c>
      <c r="S21" s="6" t="s">
        <v>351</v>
      </c>
    </row>
    <row r="22" spans="2:24" ht="12.75" customHeight="1" x14ac:dyDescent="0.25"/>
    <row r="23" spans="2:24" s="12" customFormat="1" x14ac:dyDescent="0.25">
      <c r="B23" s="12" t="s">
        <v>371</v>
      </c>
    </row>
    <row r="25" spans="2:24" ht="12.75" customHeight="1" x14ac:dyDescent="0.25">
      <c r="B25" s="34" t="s">
        <v>254</v>
      </c>
    </row>
    <row r="26" spans="2:24" ht="12.75" customHeight="1" x14ac:dyDescent="0.25">
      <c r="B26" s="6" t="s">
        <v>372</v>
      </c>
      <c r="F26" s="6" t="s">
        <v>95</v>
      </c>
      <c r="J26" s="37"/>
      <c r="Q26" s="48">
        <v>2114927.9688437097</v>
      </c>
      <c r="S26" s="6" t="s">
        <v>373</v>
      </c>
      <c r="X26" s="10"/>
    </row>
    <row r="27" spans="2:24" ht="12.75" customHeight="1" x14ac:dyDescent="0.25">
      <c r="B27" s="6" t="s">
        <v>374</v>
      </c>
      <c r="F27" s="6" t="s">
        <v>95</v>
      </c>
      <c r="J27" s="37"/>
      <c r="Q27" s="48">
        <v>49443935.373529173</v>
      </c>
      <c r="S27" s="6" t="s">
        <v>375</v>
      </c>
      <c r="X27" s="10"/>
    </row>
    <row r="28" spans="2:24" ht="12.75" customHeight="1" x14ac:dyDescent="0.25"/>
    <row r="29" spans="2:24" ht="12.75" customHeight="1" x14ac:dyDescent="0.25">
      <c r="B29" s="34" t="s">
        <v>369</v>
      </c>
    </row>
    <row r="30" spans="2:24" ht="12.75" customHeight="1" x14ac:dyDescent="0.25">
      <c r="B30" s="6" t="s">
        <v>370</v>
      </c>
      <c r="F30" s="6" t="s">
        <v>95</v>
      </c>
      <c r="Q30" s="48">
        <v>34834818.049339682</v>
      </c>
      <c r="S30" s="6" t="s">
        <v>376</v>
      </c>
    </row>
    <row r="31" spans="2:24" ht="12.75" customHeight="1" x14ac:dyDescent="0.25"/>
    <row r="32" spans="2:24" ht="12.75" customHeight="1" x14ac:dyDescent="0.25">
      <c r="B32" s="34" t="s">
        <v>502</v>
      </c>
    </row>
    <row r="33" spans="2:21" ht="12.75" customHeight="1" x14ac:dyDescent="0.25">
      <c r="B33" s="6" t="s">
        <v>501</v>
      </c>
      <c r="F33" s="6" t="s">
        <v>95</v>
      </c>
      <c r="Q33" s="48">
        <v>9347680.6393995024</v>
      </c>
      <c r="S33" s="6" t="s">
        <v>503</v>
      </c>
    </row>
    <row r="34" spans="2:21" ht="12.75" customHeight="1" x14ac:dyDescent="0.25"/>
    <row r="35" spans="2:21" s="12" customFormat="1" x14ac:dyDescent="0.25">
      <c r="B35" s="12" t="s">
        <v>154</v>
      </c>
    </row>
    <row r="37" spans="2:21" x14ac:dyDescent="0.25">
      <c r="B37" s="34" t="s">
        <v>169</v>
      </c>
    </row>
    <row r="38" spans="2:21" x14ac:dyDescent="0.25">
      <c r="B38" s="6" t="s">
        <v>217</v>
      </c>
      <c r="F38" s="6" t="s">
        <v>95</v>
      </c>
      <c r="M38" s="115"/>
      <c r="S38" s="6" t="s">
        <v>418</v>
      </c>
      <c r="U38" s="6" t="s">
        <v>569</v>
      </c>
    </row>
    <row r="39" spans="2:21" x14ac:dyDescent="0.25">
      <c r="B39" s="6" t="s">
        <v>218</v>
      </c>
      <c r="F39" s="6" t="s">
        <v>95</v>
      </c>
      <c r="M39" s="115"/>
      <c r="S39" s="6" t="s">
        <v>419</v>
      </c>
      <c r="U39" s="6" t="s">
        <v>569</v>
      </c>
    </row>
    <row r="41" spans="2:21" s="12" customFormat="1" x14ac:dyDescent="0.25">
      <c r="B41" s="12" t="s">
        <v>140</v>
      </c>
    </row>
    <row r="43" spans="2:21" x14ac:dyDescent="0.25">
      <c r="B43" s="34" t="s">
        <v>397</v>
      </c>
    </row>
    <row r="44" spans="2:21" x14ac:dyDescent="0.25">
      <c r="B44" s="6" t="s">
        <v>141</v>
      </c>
      <c r="F44" s="6" t="s">
        <v>95</v>
      </c>
      <c r="N44" s="48">
        <v>1456094.9638781874</v>
      </c>
      <c r="O44" s="48">
        <v>2381359.4829979008</v>
      </c>
      <c r="P44" s="48">
        <v>3379149.7639948195</v>
      </c>
      <c r="Q44" s="48">
        <v>4312761.8708737129</v>
      </c>
      <c r="S44" s="6" t="s">
        <v>433</v>
      </c>
    </row>
    <row r="45" spans="2:21" x14ac:dyDescent="0.25">
      <c r="B45" s="6" t="s">
        <v>142</v>
      </c>
      <c r="F45" s="6" t="s">
        <v>95</v>
      </c>
      <c r="N45" s="48">
        <v>51720.375165146717</v>
      </c>
      <c r="O45" s="48">
        <v>52546.039234283111</v>
      </c>
      <c r="P45" s="48">
        <v>53384.884204619229</v>
      </c>
      <c r="Q45" s="48">
        <v>54237.120496061762</v>
      </c>
      <c r="S45" s="6" t="s">
        <v>434</v>
      </c>
    </row>
    <row r="46" spans="2:21" x14ac:dyDescent="0.25">
      <c r="B46" s="6" t="s">
        <v>156</v>
      </c>
      <c r="F46" s="6" t="s">
        <v>95</v>
      </c>
      <c r="N46" s="48">
        <v>25860.187582573355</v>
      </c>
      <c r="O46" s="48">
        <v>52546.039234283126</v>
      </c>
      <c r="P46" s="48">
        <v>53384.884204619215</v>
      </c>
      <c r="Q46" s="48">
        <v>54237.120496061762</v>
      </c>
      <c r="S46" s="6" t="s">
        <v>435</v>
      </c>
    </row>
    <row r="47" spans="2:21" x14ac:dyDescent="0.25">
      <c r="B47" s="6" t="s">
        <v>284</v>
      </c>
      <c r="F47" s="6" t="s">
        <v>95</v>
      </c>
      <c r="N47" s="85"/>
      <c r="O47" s="48">
        <v>26273.019617141559</v>
      </c>
      <c r="P47" s="48">
        <v>53384.884204619222</v>
      </c>
      <c r="Q47" s="48">
        <v>54237.120496061762</v>
      </c>
      <c r="S47" s="6" t="s">
        <v>436</v>
      </c>
    </row>
    <row r="49" spans="2:19" x14ac:dyDescent="0.25">
      <c r="B49" s="34" t="s">
        <v>398</v>
      </c>
    </row>
    <row r="50" spans="2:19" x14ac:dyDescent="0.25">
      <c r="B50" s="6" t="s">
        <v>143</v>
      </c>
      <c r="F50" s="6" t="s">
        <v>95</v>
      </c>
      <c r="N50" s="48">
        <v>443929.59661790432</v>
      </c>
      <c r="O50" s="48">
        <v>727976.80982042151</v>
      </c>
      <c r="P50" s="48">
        <v>1028621.1672674733</v>
      </c>
      <c r="Q50" s="48">
        <v>1313246.8278182647</v>
      </c>
      <c r="S50" s="6" t="s">
        <v>437</v>
      </c>
    </row>
    <row r="51" spans="2:19" x14ac:dyDescent="0.25">
      <c r="B51" s="6" t="s">
        <v>144</v>
      </c>
      <c r="F51" s="6" t="s">
        <v>95</v>
      </c>
      <c r="N51" s="48">
        <v>13361.251767012793</v>
      </c>
      <c r="O51" s="48">
        <v>13574.550790221383</v>
      </c>
      <c r="P51" s="48">
        <v>13791.254919036481</v>
      </c>
      <c r="Q51" s="48">
        <v>14011.418512563976</v>
      </c>
      <c r="S51" s="6" t="s">
        <v>438</v>
      </c>
    </row>
    <row r="52" spans="2:19" x14ac:dyDescent="0.25">
      <c r="B52" s="6" t="s">
        <v>157</v>
      </c>
      <c r="F52" s="6" t="s">
        <v>95</v>
      </c>
      <c r="N52" s="48">
        <v>6680.6258835063954</v>
      </c>
      <c r="O52" s="48">
        <v>13574.550790221385</v>
      </c>
      <c r="P52" s="48">
        <v>13791.254919036477</v>
      </c>
      <c r="Q52" s="48">
        <v>14011.418512563976</v>
      </c>
      <c r="S52" s="6" t="s">
        <v>439</v>
      </c>
    </row>
    <row r="53" spans="2:19" x14ac:dyDescent="0.25">
      <c r="B53" s="6" t="s">
        <v>285</v>
      </c>
      <c r="F53" s="6" t="s">
        <v>95</v>
      </c>
      <c r="N53" s="85"/>
      <c r="O53" s="48">
        <v>6787.2753951106924</v>
      </c>
      <c r="P53" s="48">
        <v>13791.254919036477</v>
      </c>
      <c r="Q53" s="48">
        <v>14011.418512563976</v>
      </c>
      <c r="S53" s="6" t="s">
        <v>440</v>
      </c>
    </row>
    <row r="55" spans="2:19" x14ac:dyDescent="0.25">
      <c r="B55" s="34" t="s">
        <v>399</v>
      </c>
    </row>
    <row r="56" spans="2:19" x14ac:dyDescent="0.25">
      <c r="B56" s="6" t="s">
        <v>505</v>
      </c>
      <c r="F56" s="6" t="s">
        <v>95</v>
      </c>
      <c r="N56" s="48">
        <v>1637865.5016911677</v>
      </c>
      <c r="O56" s="48">
        <v>2634411.0744021786</v>
      </c>
      <c r="P56" s="48">
        <v>3630105.7917799735</v>
      </c>
      <c r="Q56" s="48">
        <v>4559493.533112023</v>
      </c>
      <c r="S56" s="6" t="s">
        <v>442</v>
      </c>
    </row>
    <row r="57" spans="2:19" x14ac:dyDescent="0.25">
      <c r="B57" s="6" t="s">
        <v>146</v>
      </c>
      <c r="F57" s="6" t="s">
        <v>95</v>
      </c>
      <c r="N57" s="48">
        <v>73772.599723536303</v>
      </c>
      <c r="O57" s="48">
        <v>74950.305505522818</v>
      </c>
      <c r="P57" s="48">
        <v>76146.812182613008</v>
      </c>
      <c r="Q57" s="48">
        <v>77362.419892296239</v>
      </c>
      <c r="S57" s="6" t="s">
        <v>443</v>
      </c>
    </row>
    <row r="58" spans="2:19" x14ac:dyDescent="0.25">
      <c r="B58" s="6" t="s">
        <v>158</v>
      </c>
      <c r="F58" s="6" t="s">
        <v>95</v>
      </c>
      <c r="N58" s="48">
        <v>22638.867749928144</v>
      </c>
      <c r="O58" s="48">
        <v>46000.549269376002</v>
      </c>
      <c r="P58" s="48">
        <v>46734.902037912318</v>
      </c>
      <c r="Q58" s="48">
        <v>47480.978014045548</v>
      </c>
      <c r="S58" s="6" t="s">
        <v>444</v>
      </c>
    </row>
    <row r="59" spans="2:19" x14ac:dyDescent="0.25">
      <c r="B59" s="6" t="s">
        <v>504</v>
      </c>
      <c r="F59" s="6" t="s">
        <v>95</v>
      </c>
      <c r="N59" s="85"/>
      <c r="O59" s="48">
        <v>35720.262134687997</v>
      </c>
      <c r="P59" s="48">
        <v>60832.774089312319</v>
      </c>
      <c r="Q59" s="48">
        <v>61803.908494874093</v>
      </c>
      <c r="S59" s="6" t="s">
        <v>445</v>
      </c>
    </row>
    <row r="61" spans="2:19" x14ac:dyDescent="0.25">
      <c r="B61" s="34" t="s">
        <v>400</v>
      </c>
    </row>
    <row r="62" spans="2:19" x14ac:dyDescent="0.25">
      <c r="B62" s="6" t="s">
        <v>506</v>
      </c>
      <c r="F62" s="6" t="s">
        <v>95</v>
      </c>
      <c r="N62" s="48">
        <v>602722.35192969511</v>
      </c>
      <c r="O62" s="48">
        <v>1205547.2136619627</v>
      </c>
      <c r="P62" s="48">
        <v>1543740.9811898544</v>
      </c>
      <c r="Q62" s="48">
        <v>1820884.8980787406</v>
      </c>
      <c r="S62" s="6" t="s">
        <v>446</v>
      </c>
    </row>
    <row r="63" spans="2:19" x14ac:dyDescent="0.25">
      <c r="B63" s="6" t="s">
        <v>145</v>
      </c>
      <c r="F63" s="6" t="s">
        <v>95</v>
      </c>
      <c r="N63" s="48">
        <v>30738.180321709599</v>
      </c>
      <c r="O63" s="48">
        <v>31228.884632365371</v>
      </c>
      <c r="P63" s="48">
        <v>31727.422546636455</v>
      </c>
      <c r="Q63" s="48">
        <v>32233.919120170958</v>
      </c>
      <c r="S63" s="6" t="s">
        <v>447</v>
      </c>
    </row>
    <row r="64" spans="2:19" x14ac:dyDescent="0.25">
      <c r="B64" s="6" t="s">
        <v>159</v>
      </c>
      <c r="F64" s="6" t="s">
        <v>95</v>
      </c>
      <c r="N64" s="48">
        <v>6668.3693850347981</v>
      </c>
      <c r="O64" s="48">
        <v>13549.64646779499</v>
      </c>
      <c r="P64" s="48">
        <v>13765.953024006867</v>
      </c>
      <c r="Q64" s="48">
        <v>13985.712698082114</v>
      </c>
      <c r="S64" s="6" t="s">
        <v>490</v>
      </c>
    </row>
    <row r="65" spans="2:19" x14ac:dyDescent="0.25">
      <c r="B65" s="6" t="s">
        <v>507</v>
      </c>
      <c r="F65" s="6" t="s">
        <v>95</v>
      </c>
      <c r="N65" s="85"/>
      <c r="O65" s="48">
        <v>40414.803233897495</v>
      </c>
      <c r="P65" s="48">
        <v>51049.962450246872</v>
      </c>
      <c r="Q65" s="48">
        <v>51864.924050802612</v>
      </c>
      <c r="S65" s="6" t="s">
        <v>491</v>
      </c>
    </row>
    <row r="67" spans="2:19" x14ac:dyDescent="0.25">
      <c r="B67" s="34" t="s">
        <v>401</v>
      </c>
    </row>
    <row r="68" spans="2:19" x14ac:dyDescent="0.25">
      <c r="B68" s="6" t="s">
        <v>286</v>
      </c>
      <c r="F68" s="6" t="s">
        <v>95</v>
      </c>
      <c r="N68" s="48">
        <v>176419.8757109507</v>
      </c>
      <c r="O68" s="48">
        <v>159888.42795615457</v>
      </c>
      <c r="P68" s="48">
        <v>158164.07185857696</v>
      </c>
      <c r="Q68" s="90"/>
      <c r="S68" s="6" t="s">
        <v>292</v>
      </c>
    </row>
    <row r="69" spans="2:19" x14ac:dyDescent="0.25">
      <c r="B69" s="6" t="s">
        <v>287</v>
      </c>
      <c r="F69" s="6" t="s">
        <v>95</v>
      </c>
      <c r="N69" s="48">
        <v>22052.224558389586</v>
      </c>
      <c r="O69" s="48">
        <v>22404.266271239707</v>
      </c>
      <c r="P69" s="48">
        <v>22761.927977993779</v>
      </c>
      <c r="Q69" s="90"/>
      <c r="S69" s="6" t="s">
        <v>293</v>
      </c>
    </row>
    <row r="70" spans="2:19" x14ac:dyDescent="0.25">
      <c r="B70" s="6" t="s">
        <v>288</v>
      </c>
      <c r="F70" s="6" t="s">
        <v>95</v>
      </c>
      <c r="N70" s="48">
        <v>-3221.3198326452111</v>
      </c>
      <c r="O70" s="48">
        <v>-6545.4899649071231</v>
      </c>
      <c r="P70" s="48">
        <v>-6649.9821667068973</v>
      </c>
      <c r="Q70" s="90"/>
      <c r="S70" s="6" t="s">
        <v>294</v>
      </c>
    </row>
    <row r="71" spans="2:19" x14ac:dyDescent="0.25">
      <c r="B71" s="34"/>
    </row>
    <row r="72" spans="2:19" x14ac:dyDescent="0.25">
      <c r="B72" s="34" t="s">
        <v>402</v>
      </c>
    </row>
    <row r="73" spans="2:19" x14ac:dyDescent="0.25">
      <c r="B73" s="6" t="s">
        <v>289</v>
      </c>
      <c r="F73" s="6" t="s">
        <v>95</v>
      </c>
      <c r="N73" s="48">
        <v>152551.7354195232</v>
      </c>
      <c r="O73" s="48">
        <v>151101.42535397282</v>
      </c>
      <c r="P73" s="48">
        <v>149649.74419335893</v>
      </c>
      <c r="Q73" s="90"/>
      <c r="S73" s="6" t="s">
        <v>295</v>
      </c>
    </row>
    <row r="74" spans="2:19" x14ac:dyDescent="0.25">
      <c r="B74" s="6" t="s">
        <v>290</v>
      </c>
      <c r="F74" s="6" t="s">
        <v>95</v>
      </c>
      <c r="N74" s="48">
        <v>17376.928554696806</v>
      </c>
      <c r="O74" s="48">
        <v>17654.333842143988</v>
      </c>
      <c r="P74" s="48">
        <v>17936.167627599974</v>
      </c>
      <c r="Q74" s="90"/>
      <c r="S74" s="6" t="s">
        <v>297</v>
      </c>
    </row>
    <row r="75" spans="2:19" x14ac:dyDescent="0.25">
      <c r="B75" s="6" t="s">
        <v>291</v>
      </c>
      <c r="F75" s="6" t="s">
        <v>95</v>
      </c>
      <c r="N75" s="48">
        <v>-12.256498471597297</v>
      </c>
      <c r="O75" s="48">
        <v>-24.904322426395083</v>
      </c>
      <c r="P75" s="48">
        <v>-25.301895029610023</v>
      </c>
      <c r="Q75" s="90"/>
      <c r="S75" s="6" t="s">
        <v>296</v>
      </c>
    </row>
    <row r="77" spans="2:19" x14ac:dyDescent="0.25">
      <c r="B77" s="8" t="s">
        <v>457</v>
      </c>
    </row>
    <row r="78" spans="2:19" x14ac:dyDescent="0.25">
      <c r="B78" s="6" t="s">
        <v>176</v>
      </c>
      <c r="F78" s="6" t="s">
        <v>95</v>
      </c>
      <c r="N78" s="48">
        <v>1637865.5016911677</v>
      </c>
      <c r="O78" s="48">
        <v>2546124.2063937313</v>
      </c>
      <c r="P78" s="48">
        <v>3547197.9885943765</v>
      </c>
      <c r="Q78" s="90"/>
      <c r="S78" s="6" t="s">
        <v>448</v>
      </c>
    </row>
    <row r="79" spans="2:19" x14ac:dyDescent="0.25">
      <c r="B79" s="6" t="s">
        <v>146</v>
      </c>
      <c r="F79" s="6" t="s">
        <v>95</v>
      </c>
      <c r="N79" s="48">
        <v>73772.599723536303</v>
      </c>
      <c r="O79" s="48">
        <v>74950.305505522818</v>
      </c>
      <c r="P79" s="48">
        <v>76146.812182613008</v>
      </c>
      <c r="Q79" s="90"/>
      <c r="S79" s="6" t="s">
        <v>449</v>
      </c>
    </row>
    <row r="80" spans="2:19" x14ac:dyDescent="0.25">
      <c r="B80" s="6" t="s">
        <v>158</v>
      </c>
      <c r="F80" s="6" t="s">
        <v>95</v>
      </c>
      <c r="N80" s="48">
        <v>22638.867749928144</v>
      </c>
      <c r="O80" s="48">
        <v>46000.549269376002</v>
      </c>
      <c r="P80" s="48">
        <v>46734.902037912318</v>
      </c>
      <c r="Q80" s="90"/>
      <c r="S80" s="6" t="s">
        <v>450</v>
      </c>
    </row>
    <row r="82" spans="2:19" x14ac:dyDescent="0.25">
      <c r="B82" s="8" t="s">
        <v>456</v>
      </c>
    </row>
    <row r="83" spans="2:19" x14ac:dyDescent="0.25">
      <c r="B83" s="6" t="s">
        <v>175</v>
      </c>
      <c r="F83" s="6" t="s">
        <v>95</v>
      </c>
      <c r="N83" s="48">
        <v>602722.35192969511</v>
      </c>
      <c r="O83" s="48">
        <v>884911.00502058491</v>
      </c>
      <c r="P83" s="48">
        <v>1190458.4094583467</v>
      </c>
      <c r="Q83" s="90"/>
      <c r="S83" s="6" t="s">
        <v>451</v>
      </c>
    </row>
    <row r="84" spans="2:19" x14ac:dyDescent="0.25">
      <c r="B84" s="6" t="s">
        <v>145</v>
      </c>
      <c r="F84" s="6" t="s">
        <v>95</v>
      </c>
      <c r="N84" s="48">
        <v>30738.180321709599</v>
      </c>
      <c r="O84" s="48">
        <v>31228.884632365371</v>
      </c>
      <c r="P84" s="48">
        <v>31727.422546636455</v>
      </c>
      <c r="Q84" s="90"/>
      <c r="S84" s="6" t="s">
        <v>452</v>
      </c>
    </row>
    <row r="85" spans="2:19" x14ac:dyDescent="0.25">
      <c r="B85" s="6" t="s">
        <v>159</v>
      </c>
      <c r="F85" s="6" t="s">
        <v>95</v>
      </c>
      <c r="N85" s="48">
        <v>6668.3693850347981</v>
      </c>
      <c r="O85" s="48">
        <v>13549.64646779499</v>
      </c>
      <c r="P85" s="48">
        <v>13765.953024006867</v>
      </c>
      <c r="Q85" s="90"/>
      <c r="S85" s="6" t="s">
        <v>453</v>
      </c>
    </row>
    <row r="87" spans="2:19" s="12" customFormat="1" x14ac:dyDescent="0.25">
      <c r="B87" s="12" t="s">
        <v>242</v>
      </c>
    </row>
    <row r="88" spans="2:19" x14ac:dyDescent="0.25">
      <c r="S88" s="32"/>
    </row>
    <row r="89" spans="2:19" x14ac:dyDescent="0.25">
      <c r="B89" s="34" t="s">
        <v>241</v>
      </c>
      <c r="S89" s="32"/>
    </row>
    <row r="90" spans="2:19" x14ac:dyDescent="0.25">
      <c r="B90" s="6" t="s">
        <v>509</v>
      </c>
      <c r="F90" s="6" t="s">
        <v>95</v>
      </c>
      <c r="N90" s="48">
        <v>74282867.831217796</v>
      </c>
      <c r="O90" s="48">
        <v>73537492.385773376</v>
      </c>
      <c r="P90" s="48">
        <v>76669294.139479399</v>
      </c>
      <c r="Q90" s="48">
        <v>75662780.28376776</v>
      </c>
      <c r="S90" s="6" t="s">
        <v>454</v>
      </c>
    </row>
    <row r="91" spans="2:19" x14ac:dyDescent="0.25">
      <c r="S91" s="32"/>
    </row>
    <row r="92" spans="2:19" x14ac:dyDescent="0.25">
      <c r="B92" s="34" t="s">
        <v>299</v>
      </c>
    </row>
    <row r="93" spans="2:19" x14ac:dyDescent="0.25">
      <c r="B93" s="6" t="s">
        <v>510</v>
      </c>
      <c r="F93" s="6" t="s">
        <v>95</v>
      </c>
      <c r="N93" s="48">
        <v>74197966.543453902</v>
      </c>
      <c r="O93" s="48">
        <v>73453443.951302886</v>
      </c>
      <c r="P93" s="48">
        <v>76581673.48876074</v>
      </c>
      <c r="Q93" s="48">
        <v>75576311.212922513</v>
      </c>
      <c r="S93" s="6" t="s">
        <v>508</v>
      </c>
    </row>
    <row r="95" spans="2:19" x14ac:dyDescent="0.25">
      <c r="B95" s="34" t="s">
        <v>300</v>
      </c>
    </row>
    <row r="96" spans="2:19" x14ac:dyDescent="0.25">
      <c r="B96" s="6" t="s">
        <v>511</v>
      </c>
      <c r="F96" s="6" t="s">
        <v>95</v>
      </c>
      <c r="N96" s="48">
        <v>74197966.543453902</v>
      </c>
      <c r="O96" s="48">
        <v>73453443.951302886</v>
      </c>
      <c r="P96" s="48">
        <v>76581673.48876074</v>
      </c>
      <c r="Q96" s="90"/>
      <c r="S96" s="6" t="s">
        <v>455</v>
      </c>
    </row>
    <row r="98" spans="2:19" x14ac:dyDescent="0.25">
      <c r="B98" s="8" t="s">
        <v>512</v>
      </c>
    </row>
    <row r="99" spans="2:19" x14ac:dyDescent="0.25">
      <c r="B99" s="6" t="s">
        <v>513</v>
      </c>
      <c r="F99" s="6" t="s">
        <v>95</v>
      </c>
      <c r="N99" s="48">
        <v>-79329.791747897863</v>
      </c>
      <c r="O99" s="48">
        <v>-78685.509371653199</v>
      </c>
      <c r="P99" s="48">
        <v>-78023.204199522734</v>
      </c>
      <c r="Q99" s="90"/>
      <c r="S99" s="6" t="s">
        <v>349</v>
      </c>
    </row>
    <row r="101" spans="2:19" s="12" customFormat="1" x14ac:dyDescent="0.25">
      <c r="B101" s="12" t="s">
        <v>403</v>
      </c>
    </row>
    <row r="103" spans="2:19" x14ac:dyDescent="0.25">
      <c r="B103" s="34" t="s">
        <v>404</v>
      </c>
    </row>
    <row r="104" spans="2:19" x14ac:dyDescent="0.25">
      <c r="B104" s="6" t="s">
        <v>184</v>
      </c>
      <c r="F104" s="6" t="s">
        <v>95</v>
      </c>
      <c r="N104" s="48">
        <v>784118237.26098323</v>
      </c>
      <c r="O104" s="48">
        <v>745478310.76060605</v>
      </c>
      <c r="P104" s="85"/>
      <c r="Q104" s="85"/>
      <c r="S104" s="6" t="s">
        <v>500</v>
      </c>
    </row>
    <row r="105" spans="2:19" x14ac:dyDescent="0.25">
      <c r="B105" s="6" t="s">
        <v>185</v>
      </c>
      <c r="F105" s="6" t="s">
        <v>95</v>
      </c>
      <c r="N105" s="48">
        <v>80468669.030833304</v>
      </c>
      <c r="O105" s="48">
        <v>76450438.722047806</v>
      </c>
      <c r="P105" s="85"/>
      <c r="Q105" s="85"/>
      <c r="S105" s="6" t="s">
        <v>495</v>
      </c>
    </row>
    <row r="106" spans="2:19" x14ac:dyDescent="0.25">
      <c r="B106" s="6" t="s">
        <v>186</v>
      </c>
      <c r="F106" s="6" t="s">
        <v>95</v>
      </c>
      <c r="N106" s="48">
        <v>8073059.344754315</v>
      </c>
      <c r="O106" s="48">
        <v>5919411.7497264156</v>
      </c>
      <c r="P106" s="85"/>
      <c r="Q106" s="85"/>
      <c r="S106" s="6" t="s">
        <v>496</v>
      </c>
    </row>
    <row r="107" spans="2:19" x14ac:dyDescent="0.25">
      <c r="B107" s="6" t="s">
        <v>187</v>
      </c>
      <c r="F107" s="6" t="s">
        <v>95</v>
      </c>
      <c r="N107" s="48">
        <v>10030280.650005961</v>
      </c>
      <c r="O107" s="48">
        <v>13861967.107398594</v>
      </c>
      <c r="P107" s="85"/>
      <c r="Q107" s="85"/>
      <c r="S107" s="6" t="s">
        <v>497</v>
      </c>
    </row>
    <row r="109" spans="2:19" x14ac:dyDescent="0.25">
      <c r="B109" s="34" t="s">
        <v>405</v>
      </c>
    </row>
    <row r="110" spans="2:19" x14ac:dyDescent="0.25">
      <c r="B110" s="6" t="s">
        <v>188</v>
      </c>
      <c r="F110" s="6" t="s">
        <v>95</v>
      </c>
      <c r="N110" s="48">
        <v>0</v>
      </c>
      <c r="O110" s="48">
        <f t="shared" ref="O110" si="0">N110*1.01</f>
        <v>0</v>
      </c>
      <c r="P110" s="85"/>
      <c r="Q110" s="85"/>
      <c r="S110" s="6" t="s">
        <v>498</v>
      </c>
    </row>
    <row r="111" spans="2:19" x14ac:dyDescent="0.25">
      <c r="B111" s="6" t="s">
        <v>189</v>
      </c>
      <c r="F111" s="6" t="s">
        <v>95</v>
      </c>
      <c r="N111" s="48">
        <v>904888.00290222489</v>
      </c>
      <c r="O111" s="48">
        <v>596930.05335750501</v>
      </c>
      <c r="P111" s="85"/>
      <c r="Q111" s="85"/>
      <c r="S111" s="6" t="s">
        <v>499</v>
      </c>
    </row>
    <row r="112" spans="2:19" x14ac:dyDescent="0.25">
      <c r="B112" s="6" t="s">
        <v>190</v>
      </c>
      <c r="F112" s="6" t="s">
        <v>95</v>
      </c>
      <c r="N112" s="48">
        <v>3712068.5619513169</v>
      </c>
      <c r="O112" s="48">
        <v>7782624.0865498092</v>
      </c>
      <c r="P112" s="85"/>
      <c r="Q112" s="85"/>
      <c r="S112" s="6" t="s">
        <v>494</v>
      </c>
    </row>
    <row r="114" spans="2:19" x14ac:dyDescent="0.25">
      <c r="B114" s="34" t="s">
        <v>514</v>
      </c>
    </row>
    <row r="115" spans="2:19" x14ac:dyDescent="0.25">
      <c r="B115" s="6" t="s">
        <v>515</v>
      </c>
      <c r="F115" s="6" t="s">
        <v>95</v>
      </c>
      <c r="N115" s="48">
        <v>8670078.8154135738</v>
      </c>
      <c r="O115" s="90"/>
      <c r="P115" s="90"/>
      <c r="Q115" s="90"/>
      <c r="S115" s="6" t="s">
        <v>337</v>
      </c>
    </row>
    <row r="116" spans="2:19" x14ac:dyDescent="0.25">
      <c r="B116" s="6" t="s">
        <v>516</v>
      </c>
      <c r="F116" s="6" t="s">
        <v>95</v>
      </c>
      <c r="N116" s="48">
        <v>46169.565648535427</v>
      </c>
      <c r="O116" s="90"/>
      <c r="P116" s="90"/>
      <c r="Q116" s="90"/>
      <c r="S116" s="6" t="s">
        <v>336</v>
      </c>
    </row>
    <row r="118" spans="2:19" s="12" customFormat="1" x14ac:dyDescent="0.25">
      <c r="B118" s="12" t="s">
        <v>518</v>
      </c>
    </row>
    <row r="120" spans="2:19" x14ac:dyDescent="0.25">
      <c r="B120" s="8" t="s">
        <v>519</v>
      </c>
    </row>
    <row r="121" spans="2:19" x14ac:dyDescent="0.25">
      <c r="B121" s="6" t="s">
        <v>540</v>
      </c>
      <c r="F121" s="6" t="s">
        <v>95</v>
      </c>
      <c r="Q121" s="48">
        <v>279566.95896524674</v>
      </c>
      <c r="S121" s="6" t="s">
        <v>377</v>
      </c>
    </row>
    <row r="122" spans="2:19" x14ac:dyDescent="0.25">
      <c r="B122" s="6" t="s">
        <v>541</v>
      </c>
      <c r="F122" s="6" t="s">
        <v>95</v>
      </c>
      <c r="Q122" s="48">
        <v>0</v>
      </c>
      <c r="S122" s="6" t="s">
        <v>517</v>
      </c>
    </row>
    <row r="123" spans="2:19" x14ac:dyDescent="0.25">
      <c r="B123" s="6" t="s">
        <v>542</v>
      </c>
      <c r="Q123" s="52">
        <f>SUM(Q121:Q122)</f>
        <v>279566.95896524674</v>
      </c>
    </row>
    <row r="124" spans="2:19" x14ac:dyDescent="0.25">
      <c r="B124" s="6" t="s">
        <v>543</v>
      </c>
      <c r="F124" s="6" t="s">
        <v>95</v>
      </c>
      <c r="Q124" s="48">
        <v>477636.9754948761</v>
      </c>
      <c r="S124" s="6" t="s">
        <v>413</v>
      </c>
    </row>
    <row r="126" spans="2:19" x14ac:dyDescent="0.25">
      <c r="B126" s="6" t="s">
        <v>548</v>
      </c>
      <c r="F126" s="6" t="s">
        <v>95</v>
      </c>
      <c r="Q126" s="48">
        <v>4976402.5784771154</v>
      </c>
      <c r="S126" s="6" t="s">
        <v>414</v>
      </c>
    </row>
    <row r="127" spans="2:19" x14ac:dyDescent="0.25">
      <c r="B127" s="6" t="s">
        <v>549</v>
      </c>
      <c r="F127" s="6" t="s">
        <v>95</v>
      </c>
      <c r="Q127" s="48">
        <v>10051501.493031939</v>
      </c>
      <c r="S127" s="6" t="s">
        <v>415</v>
      </c>
    </row>
    <row r="128" spans="2:19" x14ac:dyDescent="0.25">
      <c r="B128" s="6" t="s">
        <v>550</v>
      </c>
      <c r="Q128" s="52">
        <f>SUM(Q126:Q127)</f>
        <v>15027904.071509056</v>
      </c>
    </row>
    <row r="129" spans="2:19" x14ac:dyDescent="0.25">
      <c r="B129" s="6" t="s">
        <v>551</v>
      </c>
      <c r="F129" s="6" t="s">
        <v>95</v>
      </c>
      <c r="Q129" s="48">
        <v>876829.58308981115</v>
      </c>
      <c r="S129" s="6" t="s">
        <v>416</v>
      </c>
    </row>
    <row r="131" spans="2:19" x14ac:dyDescent="0.25">
      <c r="B131" s="6" t="s">
        <v>412</v>
      </c>
      <c r="F131" s="6" t="s">
        <v>95</v>
      </c>
      <c r="Q131" s="48">
        <v>-85714.376115232953</v>
      </c>
      <c r="S131" s="6" t="s">
        <v>417</v>
      </c>
    </row>
    <row r="133" spans="2:19" x14ac:dyDescent="0.25">
      <c r="B133" s="8" t="s">
        <v>520</v>
      </c>
    </row>
    <row r="134" spans="2:19" x14ac:dyDescent="0.25">
      <c r="B134" s="6" t="s">
        <v>544</v>
      </c>
      <c r="F134" s="6" t="s">
        <v>95</v>
      </c>
      <c r="Q134" s="48">
        <v>5237751.0100124609</v>
      </c>
      <c r="S134" s="6" t="s">
        <v>410</v>
      </c>
    </row>
    <row r="135" spans="2:19" x14ac:dyDescent="0.25">
      <c r="B135" s="6" t="s">
        <v>545</v>
      </c>
      <c r="F135" s="6" t="s">
        <v>95</v>
      </c>
      <c r="Q135" s="48">
        <v>37256027.775888406</v>
      </c>
      <c r="S135" s="6" t="s">
        <v>411</v>
      </c>
    </row>
    <row r="136" spans="2:19" x14ac:dyDescent="0.25">
      <c r="B136" s="6" t="s">
        <v>546</v>
      </c>
      <c r="Q136" s="52">
        <f>SUM(Q134:Q135)</f>
        <v>42493778.785900868</v>
      </c>
    </row>
    <row r="137" spans="2:19" x14ac:dyDescent="0.25">
      <c r="B137" s="6" t="s">
        <v>547</v>
      </c>
      <c r="F137" s="6" t="s">
        <v>95</v>
      </c>
      <c r="Q137" s="48">
        <v>438689.97751584556</v>
      </c>
      <c r="S137" s="6" t="s">
        <v>521</v>
      </c>
    </row>
    <row r="139" spans="2:19" x14ac:dyDescent="0.25">
      <c r="B139" s="6" t="s">
        <v>549</v>
      </c>
      <c r="F139" s="6" t="s">
        <v>95</v>
      </c>
      <c r="Q139" s="48">
        <v>4260371.6697245678</v>
      </c>
      <c r="S139" s="6" t="s">
        <v>522</v>
      </c>
    </row>
  </sheetData>
  <mergeCells count="1">
    <mergeCell ref="B5:E5"/>
  </mergeCells>
  <phoneticPr fontId="26"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2 3 5 4 3 0 3 9 - 5 3 9 1 - 4 3 4 3 - 9 a 8 d - a 3 2 b 8 9 5 8 7 b 5 2 "   x m l n s = " h t t p : / / s c h e m a s . m i c r o s o f t . c o m / D a t a M a s h u p " > A A A A A B U D A A B Q S w M E F A A C A A g A 1 o p n W V W h 9 Y y l A A A A 9 w A A A B I A H A B D b 2 5 m a W c v U G F j a 2 F n Z S 5 4 b W w g o h g A K K A U A A A A A A A A A A A A A A A A A A A A A A A A A A A A h Y 9 B D o I w F E S v Q r q n L d U Y Q z 5 l 4 R a M i Y l x S 2 q F R v g Y W i x 3 c + G R v I I Y R d 2 5 n J k 3 y c z 9 e o N 0 a O r g o j t r W k x I R D k J N K r 2 Y L B M S O + O 4 Z K k E j a F O h W l D k Y Y b T x Y k 5 D K u X P M m P e e + h l t u 5 I J z i O 2 z 7 O t q n R T h A a t K 1 B p 8 m k d / r e I h N 1 r j B Q 0 E g s q 5 l x Q D m x y I T f 4 J c Q 4 + J n + m L D q a 9 d 3 W m I d r j N g k w T 2 P i E f U E s D B B Q A A g A I A N a K Z 1 k 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W i m d Z K I p H u A 4 A A A A R A A A A E w A c A E Z v c m 1 1 b G F z L 1 N l Y 3 R p b 2 4 x L m 0 g o h g A K K A U A A A A A A A A A A A A A A A A A A A A A A A A A A A A K 0 5 N L s n M z 1 M I h t C G 1 g B Q S w E C L Q A U A A I A C A D W i m d Z V a H 1 j K U A A A D 3 A A A A E g A A A A A A A A A A A A A A A A A A A A A A Q 2 9 u Z m l n L 1 B h Y 2 t h Z 2 U u e G 1 s U E s B A i 0 A F A A C A A g A 1 o p n W Q / K 6 a u k A A A A 6 Q A A A B M A A A A A A A A A A A A A A A A A 8 Q A A A F t D b 2 5 0 Z W 5 0 X 1 R 5 c G V z X S 5 4 b W x Q S w E C L Q A U A A I A C A D W i m d Z 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F N 2 o 6 C z p 4 E W 3 Y 4 A K B v e U e Q A A A A A C A A A A A A A D Z g A A w A A A A B A A A A A E X k M I y j x C 1 i Q m V y E 8 j N q u A A A A A A S A A A C g A A A A E A A A A A 0 D d K Y C 3 y M v c I j p 8 D N l e h F Q A A A A n R V h M s x 7 J m e N f x A 7 r 9 L 0 y W f A o n E 7 i T r L E 7 d J S 7 Z R P 0 N b C M F 1 0 7 I p m x u 4 h j X Y N K F c a g w v 7 j e a 5 J m C D V y 7 U K Q s G P c k Q i A L h f V R u I R c C L T i f T Q U A A A A i + h 4 s / a D W 0 8 o T h 7 E x 4 o 3 1 X r E X 5 s = < / D a t a M a s h u p > 
</file>

<file path=customXml/itemProps1.xml><?xml version="1.0" encoding="utf-8"?>
<ds:datastoreItem xmlns:ds="http://schemas.openxmlformats.org/officeDocument/2006/customXml" ds:itemID="{19E5D8BD-F36F-477B-871E-B6FB6D3CCC7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18</vt:i4>
      </vt:variant>
      <vt:variant>
        <vt:lpstr>Benoemde bereiken</vt:lpstr>
      </vt:variant>
      <vt:variant>
        <vt:i4>1</vt:i4>
      </vt:variant>
    </vt:vector>
  </HeadingPairs>
  <TitlesOfParts>
    <vt:vector size="19" baseType="lpstr">
      <vt:lpstr>1. Titelblad</vt:lpstr>
      <vt:lpstr>2. Toelichting</vt:lpstr>
      <vt:lpstr>3. Bronnen en toepassingen</vt:lpstr>
      <vt:lpstr>4. Totale inkomsten 2025</vt:lpstr>
      <vt:lpstr>Input (Dataverzoek TenneT) --&gt;</vt:lpstr>
      <vt:lpstr>5. Projectprocedure investering</vt:lpstr>
      <vt:lpstr>Input (Data door ACM) --&gt;</vt:lpstr>
      <vt:lpstr>6. Parameters</vt:lpstr>
      <vt:lpstr>7. Brondata</vt:lpstr>
      <vt:lpstr>Input (Database) --&gt;</vt:lpstr>
      <vt:lpstr>8. Inkoopkosten netverliezen</vt:lpstr>
      <vt:lpstr>Berekeningen --&gt;</vt:lpstr>
      <vt:lpstr>9. Berekening parameters</vt:lpstr>
      <vt:lpstr>10. Wettelijke formule</vt:lpstr>
      <vt:lpstr>11. Correctie bijschatten</vt:lpstr>
      <vt:lpstr>12. Correctie afloopinv. WUI</vt:lpstr>
      <vt:lpstr>13. Correctie netverliezen</vt:lpstr>
      <vt:lpstr>14. Correctie WACC</vt:lpstr>
      <vt:lpstr>'9. Berekening parameters'!Afdrukbereik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Autoriteit Consument &amp; Markt</dc:creator>
  <cp:lastModifiedBy>Tol, Ilona</cp:lastModifiedBy>
  <cp:lastPrinted>2018-07-11T14:40:53Z</cp:lastPrinted>
  <dcterms:created xsi:type="dcterms:W3CDTF">2017-12-20T09:39:51Z</dcterms:created>
  <dcterms:modified xsi:type="dcterms:W3CDTF">2024-11-20T15:21:12Z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0x01010049E878650FBD2D4392CD8EF4C647E9D5</vt:lpwstr>
  </property>
</Properties>
</file>