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93E87E59-00DE-4929-9505-7A30A655E274}" xr6:coauthVersionLast="47" xr6:coauthVersionMax="47" xr10:uidLastSave="{00000000-0000-0000-0000-000000000000}"/>
  <bookViews>
    <workbookView xWindow="1950" yWindow="1950" windowWidth="21600" windowHeight="12615" activeTab="2" xr2:uid="{00000000-000D-0000-FFFF-FFFF00000000}"/>
  </bookViews>
  <sheets>
    <sheet name="2024 o.b.v. oude kortingen" sheetId="6" r:id="rId1"/>
    <sheet name="2024 o.b.v. nieuwe kortingen" sheetId="5" r:id="rId2"/>
    <sheet name="2024 RPM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cpi2000">#REF!</definedName>
    <definedName name="_cpi2001">#REF!</definedName>
    <definedName name="_cpi2002">#REF!</definedName>
    <definedName name="_cpi200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AF">[1]ORI!#REF!</definedName>
    <definedName name="afd">'[2]PwC - Afdelingen'!$A$2:$B$109</definedName>
    <definedName name="afdtennet">'[2]TenneT - Afdelingen'!$D$3:$E$70</definedName>
    <definedName name="afwijking">#REF!</definedName>
    <definedName name="AS2DocOpenMode" hidden="1">"AS2DocumentEdit"</definedName>
    <definedName name="Categorie">[3]Lijsten!$D$2:$D$12</definedName>
    <definedName name="CODE">[4]Adresgegevens!$D$7</definedName>
    <definedName name="cpi">[5]Parameters!$E$5</definedName>
    <definedName name="CPI_2005">[6]Database!$D$13</definedName>
    <definedName name="dd">#REF!</definedName>
    <definedName name="DF_GRID_3">[1]ORI!#REF!</definedName>
    <definedName name="ee">[1]ORI!#REF!</definedName>
    <definedName name="eeee">'[7]Toegestane Omzet'!#REF!</definedName>
    <definedName name="Eigenaar">[3]Lijsten!$G$2:$G$11</definedName>
    <definedName name="eur">#REF!</definedName>
    <definedName name="factor">#REF!</definedName>
    <definedName name="fik">[8]cockpit!$B$9</definedName>
    <definedName name="Financiering">[3]Lijsten!$P$2:$P$9</definedName>
    <definedName name="Jaar">[3]Lijsten!$A$2:$A$19</definedName>
    <definedName name="Kwartaal">[3]Lijsten!$B$2:$B$5</definedName>
    <definedName name="METHODE">#REF!</definedName>
    <definedName name="Naam">[9]Lijsten!$B$3:$B$10</definedName>
    <definedName name="NAAM_NE">'[7]Toegestane Omzet'!$M$1</definedName>
    <definedName name="NAAM_VOL">[4]Adresgegevens!$D$8</definedName>
    <definedName name="omzet_2000_aanpas_kolom">#REF!</definedName>
    <definedName name="omzet_2000_kolom">#REF!</definedName>
    <definedName name="omzet_2001_kolom">#REF!</definedName>
    <definedName name="PB">[4]Adresgegevens!$D$9</definedName>
    <definedName name="PC">[4]Adresgegevens!$D$10</definedName>
    <definedName name="PGcode">[3]Lijsten!$L$2:$L$26</definedName>
    <definedName name="PLAATS">[4]Adresgegevens!$D$11</definedName>
    <definedName name="PR_ME_2000">'[7]Toegestane Omzet'!#REF!</definedName>
    <definedName name="Projecteigenaar">[3]Lijsten!$H$2:$H$25</definedName>
    <definedName name="Projectleider">[3]Lijsten!$J$2:$J$15</definedName>
    <definedName name="Regio">[3]Lijsten!$F$2:$F$7</definedName>
    <definedName name="required_x">#REF!</definedName>
    <definedName name="s">[10]Data!#REF!</definedName>
    <definedName name="SAPBEXhrIndnt" hidden="1">"Wide"</definedName>
    <definedName name="SAPsysID" hidden="1">"708C5W7SBKP804JT78WJ0JNKI"</definedName>
    <definedName name="SAPwbID" hidden="1">"ARS"</definedName>
    <definedName name="Spanning">[3]Lijsten!$C$2:$C$6</definedName>
    <definedName name="Status">[3]Lijsten!$E$2:$E$13</definedName>
    <definedName name="tarief_factor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IPROJ">'[2]PwC - TI-projecten'!$B$1:$E$303</definedName>
    <definedName name="TTTI">'[2]TenneT - Projecten TI'!$B$2:$G$221</definedName>
    <definedName name="VerbruikstarRC">[11]Tarievenvoorstel!#REF!</definedName>
    <definedName name="wac">[10]Data!#REF!</definedName>
    <definedName name="wacc">[10]Data!#REF!</definedName>
    <definedName name="wacc_exc_tax">[10]constants!$E$3</definedName>
    <definedName name="wacc_inc_tax">[10]constants!$E$4</definedName>
    <definedName name="WvD">'[2]TenneT - WvD'!$A$2:$A$274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7" i="5"/>
  <c r="D23" i="6"/>
  <c r="D15" i="6"/>
  <c r="D14" i="6"/>
  <c r="D11" i="6"/>
  <c r="D10" i="6"/>
  <c r="D23" i="5"/>
  <c r="D16" i="5"/>
  <c r="D15" i="5"/>
  <c r="D14" i="5"/>
  <c r="D11" i="5"/>
  <c r="D10" i="5"/>
  <c r="I34" i="7"/>
  <c r="I33" i="7"/>
  <c r="I38" i="7" l="1"/>
  <c r="I39" i="7" s="1"/>
  <c r="I51" i="7"/>
  <c r="H33" i="7"/>
  <c r="H34" i="7"/>
  <c r="I47" i="7" l="1"/>
  <c r="D7" i="5" s="1"/>
  <c r="I45" i="7"/>
  <c r="D5" i="5" s="1"/>
  <c r="I46" i="7"/>
  <c r="D6" i="5" s="1"/>
  <c r="H38" i="7"/>
  <c r="I43" i="7"/>
  <c r="D3" i="5" s="1"/>
  <c r="I44" i="7"/>
  <c r="D4" i="5" s="1"/>
  <c r="H51" i="7"/>
  <c r="H39" i="7"/>
  <c r="H43" i="7" s="1"/>
  <c r="D3" i="6" s="1"/>
  <c r="I52" i="7" l="1"/>
  <c r="I54" i="7" s="1"/>
  <c r="H46" i="7"/>
  <c r="D6" i="6" s="1"/>
  <c r="H45" i="7"/>
  <c r="D5" i="6" s="1"/>
  <c r="H44" i="7"/>
  <c r="D4" i="6" s="1"/>
  <c r="H52" i="7" l="1"/>
  <c r="H54" i="7" s="1"/>
  <c r="D25" i="6" l="1"/>
  <c r="D24" i="6"/>
  <c r="D26" i="6" s="1"/>
  <c r="D20" i="6"/>
  <c r="D12" i="6"/>
  <c r="D19" i="6" l="1"/>
  <c r="D27" i="6"/>
  <c r="D32" i="6" s="1"/>
  <c r="D28" i="6" l="1"/>
  <c r="D31" i="6" s="1"/>
  <c r="D34" i="6" s="1"/>
  <c r="D12" i="5"/>
  <c r="D20" i="5"/>
  <c r="D24" i="5"/>
  <c r="D26" i="5" s="1"/>
  <c r="D25" i="5"/>
  <c r="D27" i="5" l="1"/>
  <c r="D19" i="5"/>
  <c r="D32" i="5" l="1"/>
  <c r="D28" i="5"/>
  <c r="D31" i="5" s="1"/>
  <c r="D34" i="5" l="1"/>
</calcChain>
</file>

<file path=xl/sharedStrings.xml><?xml version="1.0" encoding="utf-8"?>
<sst xmlns="http://schemas.openxmlformats.org/spreadsheetml/2006/main" count="158" uniqueCount="64">
  <si>
    <t>Referentieprijs entry na aanpassingen niet gasopslag</t>
  </si>
  <si>
    <t>EUR/kWh/uur/jaar, pp 2024</t>
  </si>
  <si>
    <t>Referentieprijs exit na aanpassingen niet gasopslag</t>
  </si>
  <si>
    <t>Referentieprijs entry na aanpassingen gasopslag</t>
  </si>
  <si>
    <t>Referentieprijs exit na aanpassingen gasopslag</t>
  </si>
  <si>
    <t>Toegestane inkomsten</t>
  </si>
  <si>
    <t>Voorspelde capaciteiten</t>
  </si>
  <si>
    <t>Voorspelde gecontracteerde capaciteit entry</t>
  </si>
  <si>
    <t>kWh/uur/jaar</t>
  </si>
  <si>
    <t>Voorspelde gecontracteerde capaciteit exit</t>
  </si>
  <si>
    <t>Voorspelde gecontracteerde capaciteit entry gasopslag</t>
  </si>
  <si>
    <t>Voorspelde gecontracteerde capaciteit exit gasopslag</t>
  </si>
  <si>
    <t>voorspelde gecontracteerde capaciteit op exit borderpoints</t>
  </si>
  <si>
    <t>Toegestane inkomsten TB24</t>
  </si>
  <si>
    <t>Referentieprijzen 2024 o.b.v. NCTAR 25</t>
  </si>
  <si>
    <t>Voorspelde gecontracteerde capaciteit LNG entry</t>
  </si>
  <si>
    <t>Referentieprijs entry na aanpassingen LNG</t>
  </si>
  <si>
    <t>intra-system</t>
  </si>
  <si>
    <t>cross-system</t>
  </si>
  <si>
    <t>EUR, pp 2024</t>
  </si>
  <si>
    <t xml:space="preserve">Totaal </t>
  </si>
  <si>
    <t>Inkomsten</t>
  </si>
  <si>
    <t>Inkomsten entry</t>
  </si>
  <si>
    <t>Inkomsten cross-system exit</t>
  </si>
  <si>
    <t>Inkomsten cross-system entry</t>
  </si>
  <si>
    <t>Inkomsten cross-system</t>
  </si>
  <si>
    <t>Inkomsten intra-system</t>
  </si>
  <si>
    <t>Ratio's</t>
  </si>
  <si>
    <t>ratio intra-system</t>
  </si>
  <si>
    <t>ratio cross-system</t>
  </si>
  <si>
    <t>Cost allocation assessment</t>
  </si>
  <si>
    <t>Referentieprijzen 2024 o.b.v. TB24</t>
  </si>
  <si>
    <t>Omschrijving</t>
  </si>
  <si>
    <t>Eenheid</t>
  </si>
  <si>
    <t>Constante</t>
  </si>
  <si>
    <t>Opmerking</t>
  </si>
  <si>
    <t>Ophalen gegevens</t>
  </si>
  <si>
    <t>Voorspelde gecontracteerde capaciteit</t>
  </si>
  <si>
    <t>Kortingen</t>
  </si>
  <si>
    <t>Gasopslagkorting</t>
  </si>
  <si>
    <t>%</t>
  </si>
  <si>
    <t>Korting wheelingcapaciteit</t>
  </si>
  <si>
    <t>Entry-exitverdeling</t>
  </si>
  <si>
    <t>Aandeel toegestane inkomsten entry</t>
  </si>
  <si>
    <t>Aandeel toegestane inkomsten exit</t>
  </si>
  <si>
    <t>Referentieprijzen vóór aanpassingen</t>
  </si>
  <si>
    <t>EUR, pp jaar</t>
  </si>
  <si>
    <t>Referentieprijs entry vóór aanpassingen</t>
  </si>
  <si>
    <t>EUR/kWh/uur/jaar, pp jaar</t>
  </si>
  <si>
    <t>Referentieprijs exit vóór aanpassingen</t>
  </si>
  <si>
    <t>Constante voor herschaling</t>
  </si>
  <si>
    <t>Inkomstenverlies gasopslagkorting</t>
  </si>
  <si>
    <t>Herschalingsfactor</t>
  </si>
  <si>
    <t>Referentieprijzen na aanpassingen</t>
  </si>
  <si>
    <t>Controle op tariefaanpassingen</t>
  </si>
  <si>
    <t>Omzet voor aanpassingen</t>
  </si>
  <si>
    <t>Omzet na aanpassingen</t>
  </si>
  <si>
    <t>Omzet voor aanpassingen = omzet na aanpassingen?</t>
  </si>
  <si>
    <t>Referentieprijsmethodologie</t>
  </si>
  <si>
    <t>2024 o.b.v. NC TAR 25</t>
  </si>
  <si>
    <t>Gasopslagkorting o.b.v. NC TAR 25</t>
  </si>
  <si>
    <t>Voorspelde gecontracteerde capaciteit op exit borderpoints</t>
  </si>
  <si>
    <t>Explanation GTS Tariff Proposal 2024, slide 22</t>
  </si>
  <si>
    <t>LNG korting o.b.v. NC TAR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</si>
</sst>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00_ ;_ * \-#,##0.000_ ;_ * &quot;-&quot;??_ ;_ @_ "/>
    <numFmt numFmtId="167" formatCode="_ * #,##0.000000_ ;_ * \-#,##0.000000_ ;_ * &quot;-&quot;??_ ;_ @_ "/>
    <numFmt numFmtId="168" formatCode="_ * #,##0.0000000_ ;_ * \-#,##0.0000000_ ;_ * &quot;-&quot;??_ ;_ @_ "/>
    <numFmt numFmtId="169" formatCode="_ * #,##0.00000000_ ;_ * \-#,##0.000000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5" fillId="6" borderId="1">
      <alignment vertical="top"/>
    </xf>
    <xf numFmtId="49" fontId="6" fillId="0" borderId="0">
      <alignment vertical="top"/>
    </xf>
    <xf numFmtId="0" fontId="7" fillId="0" borderId="0">
      <alignment vertical="top"/>
    </xf>
    <xf numFmtId="49" fontId="6" fillId="7" borderId="1">
      <alignment vertical="top"/>
    </xf>
    <xf numFmtId="43" fontId="7" fillId="8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</cellStyleXfs>
  <cellXfs count="40">
    <xf numFmtId="0" fontId="0" fillId="0" borderId="0" xfId="0"/>
    <xf numFmtId="0" fontId="2" fillId="0" borderId="0" xfId="0" applyFont="1"/>
    <xf numFmtId="164" fontId="2" fillId="2" borderId="0" xfId="2" applyNumberFormat="1" applyFont="1" applyFill="1" applyBorder="1"/>
    <xf numFmtId="164" fontId="2" fillId="0" borderId="0" xfId="2" applyNumberFormat="1" applyFont="1" applyBorder="1"/>
    <xf numFmtId="164" fontId="2" fillId="2" borderId="0" xfId="2" applyNumberFormat="1" applyFont="1" applyFill="1"/>
    <xf numFmtId="164" fontId="2" fillId="0" borderId="0" xfId="2" applyNumberFormat="1" applyFont="1"/>
    <xf numFmtId="43" fontId="2" fillId="2" borderId="0" xfId="2" applyNumberFormat="1" applyFont="1" applyFill="1"/>
    <xf numFmtId="165" fontId="3" fillId="4" borderId="0" xfId="1" applyNumberFormat="1" applyFont="1" applyFill="1"/>
    <xf numFmtId="0" fontId="4" fillId="0" borderId="0" xfId="0" applyFont="1"/>
    <xf numFmtId="0" fontId="2" fillId="0" borderId="0" xfId="0" applyFont="1" applyFill="1"/>
    <xf numFmtId="164" fontId="2" fillId="5" borderId="0" xfId="2" applyNumberFormat="1" applyFont="1" applyFill="1" applyBorder="1"/>
    <xf numFmtId="0" fontId="2" fillId="5" borderId="0" xfId="0" applyFont="1" applyFill="1"/>
    <xf numFmtId="0" fontId="5" fillId="6" borderId="1" xfId="3" applyNumberFormat="1">
      <alignment vertical="top"/>
    </xf>
    <xf numFmtId="49" fontId="6" fillId="0" borderId="0" xfId="4">
      <alignment vertical="top"/>
    </xf>
    <xf numFmtId="0" fontId="6" fillId="0" borderId="0" xfId="5" applyFont="1">
      <alignment vertical="top"/>
    </xf>
    <xf numFmtId="0" fontId="7" fillId="0" borderId="0" xfId="5">
      <alignment vertical="top"/>
    </xf>
    <xf numFmtId="49" fontId="6" fillId="7" borderId="1" xfId="6">
      <alignment vertical="top"/>
    </xf>
    <xf numFmtId="0" fontId="7" fillId="5" borderId="0" xfId="5" applyFill="1">
      <alignment vertical="top"/>
    </xf>
    <xf numFmtId="164" fontId="7" fillId="9" borderId="0" xfId="7" applyNumberFormat="1" applyFill="1">
      <alignment vertical="top"/>
    </xf>
    <xf numFmtId="0" fontId="7" fillId="3" borderId="0" xfId="5" applyFill="1">
      <alignment vertical="top"/>
    </xf>
    <xf numFmtId="164" fontId="7" fillId="3" borderId="0" xfId="7" applyNumberFormat="1" applyFont="1" applyFill="1">
      <alignment vertical="top"/>
    </xf>
    <xf numFmtId="9" fontId="7" fillId="9" borderId="0" xfId="5" applyNumberFormat="1" applyFill="1">
      <alignment vertical="top"/>
    </xf>
    <xf numFmtId="9" fontId="7" fillId="0" borderId="0" xfId="5" applyNumberFormat="1">
      <alignment vertical="top"/>
    </xf>
    <xf numFmtId="164" fontId="7" fillId="0" borderId="0" xfId="5" applyNumberFormat="1">
      <alignment vertical="top"/>
    </xf>
    <xf numFmtId="10" fontId="7" fillId="0" borderId="0" xfId="8">
      <alignment vertical="top"/>
    </xf>
    <xf numFmtId="166" fontId="7" fillId="8" borderId="0" xfId="7" applyNumberFormat="1" applyFill="1">
      <alignment vertical="top"/>
    </xf>
    <xf numFmtId="43" fontId="7" fillId="8" borderId="0" xfId="7" applyFill="1">
      <alignment vertical="top"/>
    </xf>
    <xf numFmtId="164" fontId="7" fillId="8" borderId="0" xfId="7" applyNumberFormat="1" applyFill="1">
      <alignment vertical="top"/>
    </xf>
    <xf numFmtId="167" fontId="7" fillId="10" borderId="0" xfId="7" applyNumberFormat="1" applyFill="1">
      <alignment vertical="top"/>
    </xf>
    <xf numFmtId="10" fontId="7" fillId="0" borderId="0" xfId="8" applyFont="1">
      <alignment vertical="top"/>
    </xf>
    <xf numFmtId="43" fontId="8" fillId="0" borderId="0" xfId="7" applyFont="1" applyFill="1">
      <alignment vertical="top"/>
    </xf>
    <xf numFmtId="9" fontId="7" fillId="3" borderId="0" xfId="5" applyNumberFormat="1" applyFont="1" applyFill="1">
      <alignment vertical="top"/>
    </xf>
    <xf numFmtId="0" fontId="7" fillId="0" borderId="0" xfId="5" applyFill="1">
      <alignment vertical="top"/>
    </xf>
    <xf numFmtId="9" fontId="7" fillId="0" borderId="0" xfId="5" applyNumberFormat="1" applyFill="1">
      <alignment vertical="top"/>
    </xf>
    <xf numFmtId="0" fontId="6" fillId="7" borderId="1" xfId="6" applyNumberFormat="1" applyAlignment="1">
      <alignment horizontal="center" vertical="top"/>
    </xf>
    <xf numFmtId="168" fontId="2" fillId="9" borderId="0" xfId="2" applyNumberFormat="1" applyFont="1" applyFill="1"/>
    <xf numFmtId="164" fontId="2" fillId="9" borderId="0" xfId="2" applyNumberFormat="1" applyFont="1" applyFill="1" applyBorder="1"/>
    <xf numFmtId="164" fontId="2" fillId="9" borderId="0" xfId="2" applyNumberFormat="1" applyFont="1" applyFill="1"/>
    <xf numFmtId="169" fontId="2" fillId="9" borderId="0" xfId="2" applyNumberFormat="1" applyFont="1" applyFill="1"/>
    <xf numFmtId="0" fontId="4" fillId="0" borderId="0" xfId="0" applyFont="1" applyFill="1"/>
  </cellXfs>
  <cellStyles count="9">
    <cellStyle name="_kop1 Bladtitel" xfId="3" xr:uid="{4975AC44-4996-4A80-A4D3-24DD7EF111D1}"/>
    <cellStyle name="_kop2 Bloktitel" xfId="6" xr:uid="{D10006C0-1F3D-4ED8-BF4E-63CB021EFD76}"/>
    <cellStyle name="_kop3 Subkop" xfId="4" xr:uid="{A10FB1DD-2067-4869-8D7B-D5F7759D3F1A}"/>
    <cellStyle name="Komma" xfId="2" builtinId="3"/>
    <cellStyle name="Komma 2" xfId="7" xr:uid="{4456226C-7F92-463D-A817-39D59188871C}"/>
    <cellStyle name="Procent" xfId="1" builtinId="5"/>
    <cellStyle name="Procent 2" xfId="8" xr:uid="{87A3575F-5660-488E-87FF-73C0B1166197}"/>
    <cellStyle name="Standaard" xfId="0" builtinId="0"/>
    <cellStyle name="Standaard ACM-DE" xfId="5" xr:uid="{7EFEF873-64E5-4CC3-BB77-FA909F914B59}"/>
  </cellStyles>
  <dxfs count="0"/>
  <tableStyles count="0" defaultTableStyle="TableStyleMedium2" defaultPivotStyle="PivotStyleLight16"/>
  <colors>
    <mruColors>
      <color rgb="FFFFCC99"/>
      <color rgb="FFFFFF99"/>
      <color rgb="FFFFC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1</xdr:row>
      <xdr:rowOff>114300</xdr:rowOff>
    </xdr:from>
    <xdr:to>
      <xdr:col>20</xdr:col>
      <xdr:colOff>417880</xdr:colOff>
      <xdr:row>47</xdr:row>
      <xdr:rowOff>56062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CA37B0-E7D2-4071-8D65-2A695E17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04800"/>
          <a:ext cx="9761905" cy="8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1</xdr:row>
      <xdr:rowOff>114300</xdr:rowOff>
    </xdr:from>
    <xdr:to>
      <xdr:col>20</xdr:col>
      <xdr:colOff>417880</xdr:colOff>
      <xdr:row>47</xdr:row>
      <xdr:rowOff>56062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042CB80F-D4A4-ED5B-1B92-08E36A73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04800"/>
          <a:ext cx="9761905" cy="8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M\Tariefvoorstellen\TV-2013\VV\20120921_SF-grote-ronde-Liesbethdum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\Tarieven%202002%20netbeheerders\AuditMod%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OI\02%20Persoon\Makkinga\TAR-NG\TAR%202011\2%20-%20Concept\NG-TAR(i)-10-08%20Conce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\STAF\Business%20Control\Onderhoud\ONH.007%20Segmentering\2008\Segmentering%202008\Definitief\Versie%2020091124\Analyse%20Uren%20BU-TI%20PwC%20Audit%2020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Clients\TenneT\2009\Interim\Original%20Files\Nieuwe%20map\Database%20investeringen%202%20no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Regulering\Tarieven%202005\6.%20Proces%20Gas\CODATA\040616%201%20BF%20NG-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20179\Local%20Settings\Temporary%20Internet%20Files\OLK10\Tarieven%20GTS%202009%20DEFINITIEF%20(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%202003\Elektriciteit%20nettarieven\Output%20definitief\021015%20TM%20NE%202003%20Definitief%20UIT%20(3)\DELT%20TM%20NE%202003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R\Afgeschermd\Cluster%20Control\00%20aNieuwe%20structuur\420%20-%20Overige%20verzoeken%20Energiekamer%20(DE)\50%20-%20Werkbestanden\indirecte%20OPEX%20en%20meerkosten%20WON\model%20segmentering%202008%20def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QueryTxt"/>
      <sheetName val="TempQuery"/>
      <sheetName val="Logboek"/>
      <sheetName val="ORI"/>
      <sheetName val="ORI bewerkt"/>
      <sheetName val="Draaitabel"/>
      <sheetName val="SF 120921 RV13 per NW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 Entrytarieven 2009"/>
      <sheetName val="Exittarieven  2009"/>
      <sheetName val=" Connectiontarieven 2009"/>
      <sheetName val="Overige tarieven 2009"/>
      <sheetName val="Uitbreidingsinvestering"/>
    </sheetNames>
    <sheetDataSet>
      <sheetData sheetId="0">
        <row r="5">
          <cell r="E5">
            <v>3.2000000000000001E-2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ECA1-767A-4194-BCE4-3E0652BA7088}">
  <sheetPr>
    <pageSetUpPr fitToPage="1"/>
  </sheetPr>
  <dimension ref="B2:D34"/>
  <sheetViews>
    <sheetView showGridLines="0" workbookViewId="0">
      <selection activeCell="B18" sqref="B18"/>
    </sheetView>
  </sheetViews>
  <sheetFormatPr defaultRowHeight="15" x14ac:dyDescent="0.25"/>
  <cols>
    <col min="2" max="2" width="55.140625" style="1" bestFit="1" customWidth="1"/>
    <col min="3" max="3" width="27" style="1" customWidth="1"/>
    <col min="4" max="4" width="11.7109375" style="1" bestFit="1" customWidth="1"/>
    <col min="5" max="5" width="26.28515625" bestFit="1" customWidth="1"/>
    <col min="6" max="6" width="6.140625" bestFit="1" customWidth="1"/>
  </cols>
  <sheetData>
    <row r="2" spans="2:4" x14ac:dyDescent="0.25">
      <c r="B2" s="39" t="s">
        <v>31</v>
      </c>
    </row>
    <row r="3" spans="2:4" x14ac:dyDescent="0.25">
      <c r="B3" s="9" t="s">
        <v>0</v>
      </c>
      <c r="C3" s="1" t="s">
        <v>1</v>
      </c>
      <c r="D3" s="38">
        <f>'2024 RPM'!H43</f>
        <v>2.2540548155222124</v>
      </c>
    </row>
    <row r="4" spans="2:4" x14ac:dyDescent="0.25">
      <c r="B4" s="9" t="s">
        <v>2</v>
      </c>
      <c r="C4" s="1" t="s">
        <v>1</v>
      </c>
      <c r="D4" s="38">
        <f>'2024 RPM'!H44</f>
        <v>2.2031061492459751</v>
      </c>
    </row>
    <row r="5" spans="2:4" x14ac:dyDescent="0.25">
      <c r="B5" s="9" t="s">
        <v>3</v>
      </c>
      <c r="C5" s="1" t="s">
        <v>1</v>
      </c>
      <c r="D5" s="38">
        <f>'2024 RPM'!H45</f>
        <v>0.90162192620888515</v>
      </c>
    </row>
    <row r="6" spans="2:4" x14ac:dyDescent="0.25">
      <c r="B6" s="9" t="s">
        <v>4</v>
      </c>
      <c r="C6" s="1" t="s">
        <v>1</v>
      </c>
      <c r="D6" s="38">
        <f>'2024 RPM'!H46</f>
        <v>0.8812424596983901</v>
      </c>
    </row>
    <row r="7" spans="2:4" x14ac:dyDescent="0.25">
      <c r="B7" s="9" t="s">
        <v>16</v>
      </c>
      <c r="C7" s="1" t="s">
        <v>1</v>
      </c>
      <c r="D7" s="11"/>
    </row>
    <row r="8" spans="2:4" x14ac:dyDescent="0.25">
      <c r="B8" s="9"/>
    </row>
    <row r="9" spans="2:4" x14ac:dyDescent="0.25">
      <c r="B9" s="39" t="s">
        <v>6</v>
      </c>
    </row>
    <row r="10" spans="2:4" x14ac:dyDescent="0.25">
      <c r="B10" s="9" t="s">
        <v>7</v>
      </c>
      <c r="C10" s="1" t="s">
        <v>8</v>
      </c>
      <c r="D10" s="36">
        <f>'2024 RPM'!H11</f>
        <v>177536591</v>
      </c>
    </row>
    <row r="11" spans="2:4" x14ac:dyDescent="0.25">
      <c r="B11" s="9" t="s">
        <v>9</v>
      </c>
      <c r="C11" s="1" t="s">
        <v>8</v>
      </c>
      <c r="D11" s="36">
        <f>'2024 RPM'!H12</f>
        <v>272463409</v>
      </c>
    </row>
    <row r="12" spans="2:4" x14ac:dyDescent="0.25">
      <c r="B12" s="9" t="s">
        <v>20</v>
      </c>
      <c r="C12" s="1" t="s">
        <v>8</v>
      </c>
      <c r="D12" s="2">
        <f>SUM(D10:D11)</f>
        <v>450000000</v>
      </c>
    </row>
    <row r="13" spans="2:4" x14ac:dyDescent="0.25">
      <c r="B13" s="9"/>
      <c r="D13" s="3"/>
    </row>
    <row r="14" spans="2:4" x14ac:dyDescent="0.25">
      <c r="B14" s="9" t="s">
        <v>10</v>
      </c>
      <c r="C14" s="1" t="s">
        <v>8</v>
      </c>
      <c r="D14" s="36">
        <f>'2024 RPM'!H14</f>
        <v>74239755</v>
      </c>
    </row>
    <row r="15" spans="2:4" x14ac:dyDescent="0.25">
      <c r="B15" s="9" t="s">
        <v>11</v>
      </c>
      <c r="C15" s="1" t="s">
        <v>8</v>
      </c>
      <c r="D15" s="36">
        <f>'2024 RPM'!H15</f>
        <v>37879881</v>
      </c>
    </row>
    <row r="16" spans="2:4" x14ac:dyDescent="0.25">
      <c r="B16" s="9" t="s">
        <v>15</v>
      </c>
      <c r="C16" s="1" t="s">
        <v>8</v>
      </c>
      <c r="D16" s="10"/>
    </row>
    <row r="17" spans="2:4" x14ac:dyDescent="0.25">
      <c r="B17" s="9" t="s">
        <v>12</v>
      </c>
      <c r="C17" s="1" t="s">
        <v>8</v>
      </c>
      <c r="D17" s="36">
        <f>'2024 RPM'!H17</f>
        <v>96000000</v>
      </c>
    </row>
    <row r="18" spans="2:4" x14ac:dyDescent="0.25">
      <c r="B18" s="9"/>
      <c r="D18" s="3"/>
    </row>
    <row r="19" spans="2:4" x14ac:dyDescent="0.25">
      <c r="B19" s="9" t="s">
        <v>17</v>
      </c>
      <c r="C19" s="1" t="s">
        <v>8</v>
      </c>
      <c r="D19" s="4">
        <f>D12-D20</f>
        <v>258000000</v>
      </c>
    </row>
    <row r="20" spans="2:4" x14ac:dyDescent="0.25">
      <c r="B20" s="9" t="s">
        <v>18</v>
      </c>
      <c r="C20" s="1" t="s">
        <v>8</v>
      </c>
      <c r="D20" s="4">
        <f>2*D17</f>
        <v>192000000</v>
      </c>
    </row>
    <row r="21" spans="2:4" x14ac:dyDescent="0.25">
      <c r="B21" s="9"/>
      <c r="D21" s="5"/>
    </row>
    <row r="22" spans="2:4" x14ac:dyDescent="0.25">
      <c r="B22" s="39" t="s">
        <v>21</v>
      </c>
      <c r="D22" s="5"/>
    </row>
    <row r="23" spans="2:4" x14ac:dyDescent="0.25">
      <c r="B23" s="9" t="s">
        <v>13</v>
      </c>
      <c r="C23" s="1" t="s">
        <v>19</v>
      </c>
      <c r="D23" s="37">
        <f>'2024 RPM'!H31</f>
        <v>849966694.07252169</v>
      </c>
    </row>
    <row r="24" spans="2:4" x14ac:dyDescent="0.25">
      <c r="B24" s="9" t="s">
        <v>22</v>
      </c>
      <c r="C24" s="1" t="s">
        <v>19</v>
      </c>
      <c r="D24" s="2">
        <f>(D10-D14-D16)*D3+D14*D5+D16*D7</f>
        <v>299772921.51838392</v>
      </c>
    </row>
    <row r="25" spans="2:4" x14ac:dyDescent="0.25">
      <c r="B25" s="9" t="s">
        <v>23</v>
      </c>
      <c r="C25" s="1" t="s">
        <v>19</v>
      </c>
      <c r="D25" s="2">
        <f>D17*D4</f>
        <v>211498190.32761362</v>
      </c>
    </row>
    <row r="26" spans="2:4" x14ac:dyDescent="0.25">
      <c r="B26" s="9" t="s">
        <v>24</v>
      </c>
      <c r="C26" s="1" t="s">
        <v>19</v>
      </c>
      <c r="D26" s="2">
        <f>D17/D10*D24</f>
        <v>162097291.06359181</v>
      </c>
    </row>
    <row r="27" spans="2:4" x14ac:dyDescent="0.25">
      <c r="B27" s="9" t="s">
        <v>25</v>
      </c>
      <c r="C27" s="1" t="s">
        <v>19</v>
      </c>
      <c r="D27" s="2">
        <f>D26+D25</f>
        <v>373595481.39120543</v>
      </c>
    </row>
    <row r="28" spans="2:4" x14ac:dyDescent="0.25">
      <c r="B28" s="9" t="s">
        <v>26</v>
      </c>
      <c r="C28" s="1" t="s">
        <v>19</v>
      </c>
      <c r="D28" s="4">
        <f>D23-D27</f>
        <v>476371212.68131626</v>
      </c>
    </row>
    <row r="29" spans="2:4" x14ac:dyDescent="0.25">
      <c r="B29" s="9"/>
    </row>
    <row r="30" spans="2:4" x14ac:dyDescent="0.25">
      <c r="B30" s="39" t="s">
        <v>27</v>
      </c>
    </row>
    <row r="31" spans="2:4" x14ac:dyDescent="0.25">
      <c r="B31" s="9" t="s">
        <v>28</v>
      </c>
      <c r="D31" s="6">
        <f>D28/D19</f>
        <v>1.8464000491523886</v>
      </c>
    </row>
    <row r="32" spans="2:4" x14ac:dyDescent="0.25">
      <c r="B32" s="9" t="s">
        <v>29</v>
      </c>
      <c r="D32" s="6">
        <f>D27/D20</f>
        <v>1.9458097989125283</v>
      </c>
    </row>
    <row r="33" spans="2:4" x14ac:dyDescent="0.25">
      <c r="B33" s="9"/>
    </row>
    <row r="34" spans="2:4" x14ac:dyDescent="0.25">
      <c r="B34" s="8" t="s">
        <v>30</v>
      </c>
      <c r="D34" s="7">
        <f>2*ABS(D31-D32)/(D32+D31)</f>
        <v>5.2428401245182291E-2</v>
      </c>
    </row>
  </sheetData>
  <pageMargins left="0.7" right="0.7" top="0.75" bottom="0.75" header="0.3" footer="0.3"/>
  <pageSetup paperSize="9" scale="30" orientation="portrait" horizontalDpi="300" verticalDpi="300" r:id="rId1"/>
  <headerFooter>
    <oddFooter>&amp;C_x000D_&amp;1#&amp;"Calibri"&amp;10&amp;K000000 Intern/Internal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FEA8-968A-4ED0-A3BB-1C49A7779214}">
  <sheetPr>
    <pageSetUpPr fitToPage="1"/>
  </sheetPr>
  <dimension ref="B2:D34"/>
  <sheetViews>
    <sheetView showGridLines="0" workbookViewId="0">
      <selection activeCell="D34" sqref="D34"/>
    </sheetView>
  </sheetViews>
  <sheetFormatPr defaultRowHeight="15" x14ac:dyDescent="0.25"/>
  <cols>
    <col min="2" max="2" width="55.140625" style="1" bestFit="1" customWidth="1"/>
    <col min="3" max="3" width="27" style="1" customWidth="1"/>
    <col min="4" max="4" width="11.7109375" style="1" bestFit="1" customWidth="1"/>
    <col min="5" max="5" width="26.28515625" bestFit="1" customWidth="1"/>
    <col min="6" max="6" width="6.140625" bestFit="1" customWidth="1"/>
  </cols>
  <sheetData>
    <row r="2" spans="2:4" x14ac:dyDescent="0.25">
      <c r="B2" s="39" t="s">
        <v>14</v>
      </c>
    </row>
    <row r="3" spans="2:4" x14ac:dyDescent="0.25">
      <c r="B3" s="9" t="s">
        <v>0</v>
      </c>
      <c r="C3" s="1" t="s">
        <v>1</v>
      </c>
      <c r="D3" s="35">
        <f>'2024 RPM'!I43</f>
        <v>2.4010772127265576</v>
      </c>
    </row>
    <row r="4" spans="2:4" x14ac:dyDescent="0.25">
      <c r="B4" s="9" t="s">
        <v>2</v>
      </c>
      <c r="C4" s="1" t="s">
        <v>1</v>
      </c>
      <c r="D4" s="35">
        <f>'2024 RPM'!I44</f>
        <v>2.3468053819031613</v>
      </c>
    </row>
    <row r="5" spans="2:4" x14ac:dyDescent="0.25">
      <c r="B5" s="9" t="s">
        <v>3</v>
      </c>
      <c r="C5" s="1" t="s">
        <v>1</v>
      </c>
      <c r="D5" s="35">
        <f>'2024 RPM'!I45</f>
        <v>0.6002693031816394</v>
      </c>
    </row>
    <row r="6" spans="2:4" x14ac:dyDescent="0.25">
      <c r="B6" s="9" t="s">
        <v>4</v>
      </c>
      <c r="C6" s="1" t="s">
        <v>1</v>
      </c>
      <c r="D6" s="35">
        <f>'2024 RPM'!I46</f>
        <v>0.58670134547579034</v>
      </c>
    </row>
    <row r="7" spans="2:4" x14ac:dyDescent="0.25">
      <c r="B7" s="9" t="s">
        <v>16</v>
      </c>
      <c r="C7" s="1" t="s">
        <v>1</v>
      </c>
      <c r="D7" s="35">
        <f>'2024 RPM'!I47</f>
        <v>1.9208617701812463</v>
      </c>
    </row>
    <row r="8" spans="2:4" x14ac:dyDescent="0.25">
      <c r="B8" s="9"/>
    </row>
    <row r="9" spans="2:4" x14ac:dyDescent="0.25">
      <c r="B9" s="39" t="s">
        <v>6</v>
      </c>
    </row>
    <row r="10" spans="2:4" x14ac:dyDescent="0.25">
      <c r="B10" s="9" t="s">
        <v>7</v>
      </c>
      <c r="C10" s="1" t="s">
        <v>8</v>
      </c>
      <c r="D10" s="36">
        <f>'2024 RPM'!I11</f>
        <v>177536591</v>
      </c>
    </row>
    <row r="11" spans="2:4" x14ac:dyDescent="0.25">
      <c r="B11" s="9" t="s">
        <v>9</v>
      </c>
      <c r="C11" s="1" t="s">
        <v>8</v>
      </c>
      <c r="D11" s="36">
        <f>'2024 RPM'!I12</f>
        <v>272463409</v>
      </c>
    </row>
    <row r="12" spans="2:4" x14ac:dyDescent="0.25">
      <c r="B12" s="9" t="s">
        <v>20</v>
      </c>
      <c r="C12" s="1" t="s">
        <v>8</v>
      </c>
      <c r="D12" s="2">
        <f>SUM(D10:D11)</f>
        <v>450000000</v>
      </c>
    </row>
    <row r="13" spans="2:4" x14ac:dyDescent="0.25">
      <c r="B13" s="9"/>
      <c r="D13" s="3"/>
    </row>
    <row r="14" spans="2:4" x14ac:dyDescent="0.25">
      <c r="B14" s="9" t="s">
        <v>10</v>
      </c>
      <c r="C14" s="1" t="s">
        <v>8</v>
      </c>
      <c r="D14" s="36">
        <f>'2024 RPM'!I14</f>
        <v>74239755</v>
      </c>
    </row>
    <row r="15" spans="2:4" x14ac:dyDescent="0.25">
      <c r="B15" s="9" t="s">
        <v>11</v>
      </c>
      <c r="C15" s="1" t="s">
        <v>8</v>
      </c>
      <c r="D15" s="36">
        <f>'2024 RPM'!I15</f>
        <v>37879881</v>
      </c>
    </row>
    <row r="16" spans="2:4" x14ac:dyDescent="0.25">
      <c r="B16" s="9" t="s">
        <v>15</v>
      </c>
      <c r="C16" s="1" t="s">
        <v>8</v>
      </c>
      <c r="D16" s="36">
        <f>'2024 RPM'!I16</f>
        <v>32000000</v>
      </c>
    </row>
    <row r="17" spans="2:4" x14ac:dyDescent="0.25">
      <c r="B17" s="9" t="s">
        <v>61</v>
      </c>
      <c r="C17" s="1" t="s">
        <v>8</v>
      </c>
      <c r="D17" s="36">
        <f>'2024 RPM'!I17</f>
        <v>96000000</v>
      </c>
    </row>
    <row r="18" spans="2:4" x14ac:dyDescent="0.25">
      <c r="B18" s="9"/>
      <c r="D18" s="3"/>
    </row>
    <row r="19" spans="2:4" x14ac:dyDescent="0.25">
      <c r="B19" s="9" t="s">
        <v>17</v>
      </c>
      <c r="C19" s="1" t="s">
        <v>8</v>
      </c>
      <c r="D19" s="4">
        <f>D12-D20</f>
        <v>258000000</v>
      </c>
    </row>
    <row r="20" spans="2:4" x14ac:dyDescent="0.25">
      <c r="B20" s="9" t="s">
        <v>18</v>
      </c>
      <c r="C20" s="1" t="s">
        <v>8</v>
      </c>
      <c r="D20" s="4">
        <f>2*D17</f>
        <v>192000000</v>
      </c>
    </row>
    <row r="21" spans="2:4" x14ac:dyDescent="0.25">
      <c r="B21" s="9"/>
      <c r="D21" s="5"/>
    </row>
    <row r="22" spans="2:4" x14ac:dyDescent="0.25">
      <c r="B22" s="39" t="s">
        <v>21</v>
      </c>
      <c r="D22" s="5"/>
    </row>
    <row r="23" spans="2:4" x14ac:dyDescent="0.25">
      <c r="B23" s="9" t="s">
        <v>13</v>
      </c>
      <c r="C23" s="1" t="s">
        <v>19</v>
      </c>
      <c r="D23" s="37">
        <f>'2024 RPM'!I31</f>
        <v>849966694.07252169</v>
      </c>
    </row>
    <row r="24" spans="2:4" x14ac:dyDescent="0.25">
      <c r="B24" s="9" t="s">
        <v>22</v>
      </c>
      <c r="C24" s="1" t="s">
        <v>19</v>
      </c>
      <c r="D24" s="2">
        <f>(D10-D14-D16)*D3+D14*D5+D16*D7</f>
        <v>277220630.90712804</v>
      </c>
    </row>
    <row r="25" spans="2:4" x14ac:dyDescent="0.25">
      <c r="B25" s="9" t="s">
        <v>23</v>
      </c>
      <c r="C25" s="1" t="s">
        <v>19</v>
      </c>
      <c r="D25" s="2">
        <f>D17*D4</f>
        <v>225293316.66270348</v>
      </c>
    </row>
    <row r="26" spans="2:4" x14ac:dyDescent="0.25">
      <c r="B26" s="9" t="s">
        <v>24</v>
      </c>
      <c r="C26" s="1" t="s">
        <v>19</v>
      </c>
      <c r="D26" s="2">
        <f>D17/D10*D24</f>
        <v>149902509.77098173</v>
      </c>
    </row>
    <row r="27" spans="2:4" x14ac:dyDescent="0.25">
      <c r="B27" s="9" t="s">
        <v>25</v>
      </c>
      <c r="C27" s="1" t="s">
        <v>19</v>
      </c>
      <c r="D27" s="2">
        <f>D26+D25</f>
        <v>375195826.43368518</v>
      </c>
    </row>
    <row r="28" spans="2:4" x14ac:dyDescent="0.25">
      <c r="B28" s="9" t="s">
        <v>26</v>
      </c>
      <c r="C28" s="1" t="s">
        <v>19</v>
      </c>
      <c r="D28" s="4">
        <f>D23-D27</f>
        <v>474770867.6388365</v>
      </c>
    </row>
    <row r="29" spans="2:4" x14ac:dyDescent="0.25">
      <c r="B29" s="9"/>
    </row>
    <row r="30" spans="2:4" x14ac:dyDescent="0.25">
      <c r="B30" s="39" t="s">
        <v>27</v>
      </c>
    </row>
    <row r="31" spans="2:4" x14ac:dyDescent="0.25">
      <c r="B31" s="9" t="s">
        <v>28</v>
      </c>
      <c r="D31" s="6">
        <f>D28/D19</f>
        <v>1.8401971613908392</v>
      </c>
    </row>
    <row r="32" spans="2:4" x14ac:dyDescent="0.25">
      <c r="B32" s="9" t="s">
        <v>29</v>
      </c>
      <c r="D32" s="6">
        <f>D27/D20</f>
        <v>1.9541449293421103</v>
      </c>
    </row>
    <row r="33" spans="2:4" x14ac:dyDescent="0.25">
      <c r="B33" s="9"/>
    </row>
    <row r="34" spans="2:4" x14ac:dyDescent="0.25">
      <c r="B34" s="8" t="s">
        <v>30</v>
      </c>
      <c r="D34" s="7">
        <f>2*ABS(D31-D32)/(D32+D31)</f>
        <v>6.0061937077086194E-2</v>
      </c>
    </row>
  </sheetData>
  <pageMargins left="0.7" right="0.7" top="0.75" bottom="0.75" header="0.3" footer="0.3"/>
  <pageSetup paperSize="9" scale="30" orientation="portrait" horizontalDpi="300" verticalDpi="300" r:id="rId1"/>
  <headerFooter>
    <oddFooter>&amp;C_x000D_&amp;1#&amp;"Calibri"&amp;10&amp;K000000 Intern/Internal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860B-61D9-4226-956C-860823BA2E6F}">
  <dimension ref="B2:L54"/>
  <sheetViews>
    <sheetView showGridLines="0" tabSelected="1" zoomScale="90" zoomScaleNormal="90" workbookViewId="0">
      <pane xSplit="4" ySplit="6" topLeftCell="E7" activePane="bottomRight" state="frozen"/>
      <selection activeCell="E15" sqref="E15"/>
      <selection pane="topRight" activeCell="E15" sqref="E15"/>
      <selection pane="bottomLeft" activeCell="E15" sqref="E15"/>
      <selection pane="bottomRight" activeCell="D47" sqref="D47"/>
    </sheetView>
  </sheetViews>
  <sheetFormatPr defaultColWidth="9.140625" defaultRowHeight="12.75" x14ac:dyDescent="0.25"/>
  <cols>
    <col min="1" max="1" width="2.7109375" style="15" customWidth="1"/>
    <col min="2" max="2" width="53.140625" style="15" bestFit="1" customWidth="1"/>
    <col min="3" max="3" width="2.7109375" style="15" customWidth="1"/>
    <col min="4" max="4" width="25.7109375" style="15" customWidth="1"/>
    <col min="5" max="5" width="2.7109375" style="15" customWidth="1"/>
    <col min="6" max="6" width="14.7109375" style="15" bestFit="1" customWidth="1"/>
    <col min="7" max="7" width="2.7109375" style="15" customWidth="1"/>
    <col min="8" max="8" width="16.5703125" style="15" bestFit="1" customWidth="1"/>
    <col min="9" max="9" width="21.85546875" style="15" customWidth="1"/>
    <col min="10" max="10" width="2.7109375" style="15" customWidth="1"/>
    <col min="11" max="18" width="13.7109375" style="15" customWidth="1"/>
    <col min="19" max="16384" width="9.140625" style="15"/>
  </cols>
  <sheetData>
    <row r="2" spans="2:11" s="12" customFormat="1" ht="18" x14ac:dyDescent="0.25">
      <c r="B2" s="12" t="s">
        <v>58</v>
      </c>
    </row>
    <row r="4" spans="2:11" x14ac:dyDescent="0.25">
      <c r="B4" s="13"/>
      <c r="C4" s="14"/>
    </row>
    <row r="6" spans="2:11" s="16" customFormat="1" x14ac:dyDescent="0.25">
      <c r="B6" s="16" t="s">
        <v>32</v>
      </c>
      <c r="D6" s="16" t="s">
        <v>33</v>
      </c>
      <c r="F6" s="16" t="s">
        <v>34</v>
      </c>
      <c r="H6" s="34">
        <v>2024</v>
      </c>
      <c r="I6" s="34" t="s">
        <v>59</v>
      </c>
      <c r="K6" s="16" t="s">
        <v>35</v>
      </c>
    </row>
    <row r="8" spans="2:11" s="16" customFormat="1" x14ac:dyDescent="0.25">
      <c r="B8" s="16" t="s">
        <v>36</v>
      </c>
    </row>
    <row r="10" spans="2:11" x14ac:dyDescent="0.25">
      <c r="B10" s="13" t="s">
        <v>37</v>
      </c>
    </row>
    <row r="11" spans="2:11" x14ac:dyDescent="0.25">
      <c r="B11" s="15" t="s">
        <v>7</v>
      </c>
      <c r="D11" s="15" t="s">
        <v>8</v>
      </c>
      <c r="H11" s="18">
        <v>177536591</v>
      </c>
      <c r="I11" s="18">
        <v>177536591</v>
      </c>
    </row>
    <row r="12" spans="2:11" x14ac:dyDescent="0.25">
      <c r="B12" s="15" t="s">
        <v>9</v>
      </c>
      <c r="D12" s="15" t="s">
        <v>8</v>
      </c>
      <c r="H12" s="18">
        <v>272463409</v>
      </c>
      <c r="I12" s="18">
        <v>272463409</v>
      </c>
    </row>
    <row r="14" spans="2:11" x14ac:dyDescent="0.25">
      <c r="B14" s="15" t="s">
        <v>10</v>
      </c>
      <c r="D14" s="15" t="s">
        <v>8</v>
      </c>
      <c r="E14" s="32"/>
      <c r="F14" s="32"/>
      <c r="G14" s="32"/>
      <c r="H14" s="18">
        <v>74239755</v>
      </c>
      <c r="I14" s="18">
        <v>74239755</v>
      </c>
    </row>
    <row r="15" spans="2:11" x14ac:dyDescent="0.25">
      <c r="B15" s="15" t="s">
        <v>11</v>
      </c>
      <c r="D15" s="15" t="s">
        <v>8</v>
      </c>
      <c r="E15" s="32"/>
      <c r="F15" s="32"/>
      <c r="G15" s="32"/>
      <c r="H15" s="18">
        <v>37879881</v>
      </c>
      <c r="I15" s="18">
        <v>37879881</v>
      </c>
    </row>
    <row r="16" spans="2:11" ht="15" x14ac:dyDescent="0.25">
      <c r="B16" s="19" t="s">
        <v>15</v>
      </c>
      <c r="C16" s="19"/>
      <c r="D16" s="19" t="s">
        <v>8</v>
      </c>
      <c r="E16" s="32"/>
      <c r="F16" s="32"/>
      <c r="G16" s="32"/>
      <c r="H16" s="17"/>
      <c r="I16" s="20">
        <v>32000000</v>
      </c>
      <c r="K16" t="s">
        <v>62</v>
      </c>
    </row>
    <row r="17" spans="2:12" ht="15" x14ac:dyDescent="0.25">
      <c r="B17" s="19" t="s">
        <v>12</v>
      </c>
      <c r="C17" s="19"/>
      <c r="D17" s="19" t="s">
        <v>8</v>
      </c>
      <c r="E17" s="32"/>
      <c r="F17" s="32"/>
      <c r="G17" s="32"/>
      <c r="H17" s="20">
        <v>96000000</v>
      </c>
      <c r="I17" s="20">
        <v>96000000</v>
      </c>
      <c r="K17" t="s">
        <v>62</v>
      </c>
    </row>
    <row r="18" spans="2:12" x14ac:dyDescent="0.25">
      <c r="E18" s="32"/>
      <c r="F18" s="32"/>
      <c r="G18" s="32"/>
    </row>
    <row r="19" spans="2:12" x14ac:dyDescent="0.25">
      <c r="B19" s="14" t="s">
        <v>38</v>
      </c>
    </row>
    <row r="20" spans="2:12" x14ac:dyDescent="0.25">
      <c r="B20" s="15" t="s">
        <v>39</v>
      </c>
      <c r="D20" s="15" t="s">
        <v>40</v>
      </c>
      <c r="E20" s="32"/>
      <c r="F20" s="21">
        <v>0.6</v>
      </c>
      <c r="G20" s="32"/>
    </row>
    <row r="21" spans="2:12" x14ac:dyDescent="0.25">
      <c r="B21" s="19" t="s">
        <v>60</v>
      </c>
      <c r="D21" s="15" t="s">
        <v>40</v>
      </c>
      <c r="E21" s="32"/>
      <c r="F21" s="31">
        <v>0.75</v>
      </c>
      <c r="G21" s="32"/>
    </row>
    <row r="22" spans="2:12" x14ac:dyDescent="0.25">
      <c r="B22" s="15" t="s">
        <v>41</v>
      </c>
      <c r="D22" s="15" t="s">
        <v>40</v>
      </c>
      <c r="E22" s="32"/>
      <c r="F22" s="21">
        <v>0.94</v>
      </c>
      <c r="G22" s="32"/>
    </row>
    <row r="23" spans="2:12" x14ac:dyDescent="0.25">
      <c r="B23" s="19" t="s">
        <v>63</v>
      </c>
      <c r="C23" s="19"/>
      <c r="D23" s="19" t="s">
        <v>40</v>
      </c>
      <c r="E23" s="32"/>
      <c r="F23" s="31">
        <v>0.2</v>
      </c>
      <c r="G23" s="32"/>
    </row>
    <row r="24" spans="2:12" x14ac:dyDescent="0.25">
      <c r="E24" s="32"/>
      <c r="F24" s="33"/>
      <c r="G24" s="32"/>
    </row>
    <row r="25" spans="2:12" x14ac:dyDescent="0.25">
      <c r="B25" s="14" t="s">
        <v>42</v>
      </c>
      <c r="F25" s="22"/>
    </row>
    <row r="26" spans="2:12" x14ac:dyDescent="0.25">
      <c r="B26" s="15" t="s">
        <v>43</v>
      </c>
      <c r="D26" s="15" t="s">
        <v>40</v>
      </c>
      <c r="F26" s="21">
        <v>0.4</v>
      </c>
    </row>
    <row r="27" spans="2:12" x14ac:dyDescent="0.25">
      <c r="B27" s="15" t="s">
        <v>44</v>
      </c>
      <c r="D27" s="15" t="s">
        <v>40</v>
      </c>
      <c r="F27" s="21">
        <v>0.6</v>
      </c>
    </row>
    <row r="29" spans="2:12" s="16" customFormat="1" x14ac:dyDescent="0.25">
      <c r="B29" s="16" t="s">
        <v>45</v>
      </c>
    </row>
    <row r="31" spans="2:12" x14ac:dyDescent="0.25">
      <c r="B31" s="15" t="s">
        <v>5</v>
      </c>
      <c r="D31" s="15" t="s">
        <v>46</v>
      </c>
      <c r="H31" s="18">
        <v>849966694.07252169</v>
      </c>
      <c r="I31" s="18">
        <v>849966694.07252169</v>
      </c>
      <c r="K31" s="23"/>
      <c r="L31" s="24"/>
    </row>
    <row r="33" spans="2:11" x14ac:dyDescent="0.25">
      <c r="B33" s="15" t="s">
        <v>47</v>
      </c>
      <c r="D33" s="15" t="s">
        <v>48</v>
      </c>
      <c r="H33" s="25">
        <f>(H$31*$F26)/H11</f>
        <v>1.9150231268606972</v>
      </c>
      <c r="I33" s="25">
        <f>(I$31*$F26)/I11</f>
        <v>1.9150231268606972</v>
      </c>
    </row>
    <row r="34" spans="2:11" x14ac:dyDescent="0.25">
      <c r="B34" s="15" t="s">
        <v>49</v>
      </c>
      <c r="D34" s="15" t="s">
        <v>48</v>
      </c>
      <c r="H34" s="26">
        <f>(H$31*$F27)/H12</f>
        <v>1.8717376337441076</v>
      </c>
      <c r="I34" s="26">
        <f>(I$31*$F27)/I12</f>
        <v>1.8717376337441076</v>
      </c>
    </row>
    <row r="36" spans="2:11" s="16" customFormat="1" x14ac:dyDescent="0.25">
      <c r="B36" s="16" t="s">
        <v>50</v>
      </c>
    </row>
    <row r="38" spans="2:11" x14ac:dyDescent="0.25">
      <c r="B38" s="15" t="s">
        <v>51</v>
      </c>
      <c r="D38" s="15" t="s">
        <v>46</v>
      </c>
      <c r="H38" s="27">
        <f>$F20*(H14*H33+H15*H34)+$F23*H16*H33</f>
        <v>127843227.95215225</v>
      </c>
      <c r="I38" s="27">
        <f>$F21*(I14*I33+I15*I34)+$F23*I16*I33</f>
        <v>172060182.95209879</v>
      </c>
      <c r="K38" s="23"/>
    </row>
    <row r="39" spans="2:11" x14ac:dyDescent="0.25">
      <c r="B39" s="15" t="s">
        <v>52</v>
      </c>
      <c r="H39" s="25">
        <f>H31/(H31-H38)</f>
        <v>1.1770379082665654</v>
      </c>
      <c r="I39" s="25">
        <f>I31/(I31-I38)</f>
        <v>1.2538110788576482</v>
      </c>
    </row>
    <row r="41" spans="2:11" s="16" customFormat="1" x14ac:dyDescent="0.25">
      <c r="B41" s="16" t="s">
        <v>53</v>
      </c>
    </row>
    <row r="43" spans="2:11" x14ac:dyDescent="0.25">
      <c r="B43" s="15" t="s">
        <v>0</v>
      </c>
      <c r="D43" s="15" t="s">
        <v>48</v>
      </c>
      <c r="H43" s="28">
        <f>H33*H$39</f>
        <v>2.2540548155222124</v>
      </c>
      <c r="I43" s="28">
        <f>I33*I$39</f>
        <v>2.4010772127265576</v>
      </c>
      <c r="K43" s="24"/>
    </row>
    <row r="44" spans="2:11" x14ac:dyDescent="0.25">
      <c r="B44" s="15" t="s">
        <v>2</v>
      </c>
      <c r="D44" s="15" t="s">
        <v>48</v>
      </c>
      <c r="H44" s="28">
        <f>H34*H$39</f>
        <v>2.2031061492459751</v>
      </c>
      <c r="I44" s="28">
        <f>I34*I$39</f>
        <v>2.3468053819031613</v>
      </c>
      <c r="K44" s="29"/>
    </row>
    <row r="45" spans="2:11" x14ac:dyDescent="0.25">
      <c r="B45" s="15" t="s">
        <v>3</v>
      </c>
      <c r="D45" s="15" t="s">
        <v>48</v>
      </c>
      <c r="H45" s="28">
        <f>(1-$F$20)*H33*H$39</f>
        <v>0.90162192620888515</v>
      </c>
      <c r="I45" s="28">
        <f>(1-$F$21)*I33*I$39</f>
        <v>0.6002693031816394</v>
      </c>
      <c r="K45" s="29"/>
    </row>
    <row r="46" spans="2:11" x14ac:dyDescent="0.25">
      <c r="B46" s="15" t="s">
        <v>4</v>
      </c>
      <c r="D46" s="15" t="s">
        <v>48</v>
      </c>
      <c r="H46" s="28">
        <f>(1-$F$20)*H34*H$39</f>
        <v>0.8812424596983901</v>
      </c>
      <c r="I46" s="28">
        <f>(1-$F$21)*I34*I$39</f>
        <v>0.58670134547579034</v>
      </c>
      <c r="K46" s="29"/>
    </row>
    <row r="47" spans="2:11" x14ac:dyDescent="0.25">
      <c r="B47" s="15" t="s">
        <v>16</v>
      </c>
      <c r="D47" s="15" t="s">
        <v>48</v>
      </c>
      <c r="H47" s="17"/>
      <c r="I47" s="28">
        <f>(1-$F$23)*I33*I$39</f>
        <v>1.9208617701812463</v>
      </c>
      <c r="K47" s="29"/>
    </row>
    <row r="49" spans="2:9" s="16" customFormat="1" x14ac:dyDescent="0.25">
      <c r="B49" s="16" t="s">
        <v>54</v>
      </c>
    </row>
    <row r="51" spans="2:9" x14ac:dyDescent="0.25">
      <c r="B51" s="15" t="s">
        <v>55</v>
      </c>
      <c r="D51" s="15" t="s">
        <v>46</v>
      </c>
      <c r="H51" s="30">
        <f>H11*H33+H12*H34</f>
        <v>849966694.07252169</v>
      </c>
      <c r="I51" s="30">
        <f>I11*I33+I12*I34</f>
        <v>849966694.07252169</v>
      </c>
    </row>
    <row r="52" spans="2:9" x14ac:dyDescent="0.25">
      <c r="B52" s="15" t="s">
        <v>56</v>
      </c>
      <c r="D52" s="15" t="s">
        <v>46</v>
      </c>
      <c r="H52" s="30">
        <f>(H11-H14-H16)*H43+(H12-H15)*H44+H14*H45+H15*H46+H16*H47</f>
        <v>849966694.07252169</v>
      </c>
      <c r="I52" s="30">
        <f>(I11-I14-I16)*I43+(I12-I15)*I44+I14*I45+I15*I46+I16*I47</f>
        <v>849966694.07252169</v>
      </c>
    </row>
    <row r="54" spans="2:9" x14ac:dyDescent="0.25">
      <c r="B54" s="15" t="s">
        <v>57</v>
      </c>
      <c r="H54" s="30" t="b">
        <f>ROUND(H51,3)=ROUND(H52,3)</f>
        <v>1</v>
      </c>
      <c r="I54" s="30" t="b">
        <f>ROUND(I51,3)=ROUND(I52,3)</f>
        <v>1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Intern/Internal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VYM6E4WDAQJW-152829890-281</_dlc_DocId>
    <_dlc_DocIdUrl xmlns="0009d3ae-0f9e-47be-ae31-9d6cd8b104c4">
      <Url>https://gasunie.sharepoint.com/sites/20190841/_layouts/15/DocIdRedir.aspx?ID=VYM6E4WDAQJW-152829890-281</Url>
      <Description>VYM6E4WDAQJW-152829890-281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E940C92323B46A11BBCAC580DD774" ma:contentTypeVersion="5" ma:contentTypeDescription="Een nieuw document maken." ma:contentTypeScope="" ma:versionID="d5e3f7c1cc661c0343afe0c6cf3b6c36">
  <xsd:schema xmlns:xsd="http://www.w3.org/2001/XMLSchema" xmlns:xs="http://www.w3.org/2001/XMLSchema" xmlns:p="http://schemas.microsoft.com/office/2006/metadata/properties" xmlns:ns2="0009d3ae-0f9e-47be-ae31-9d6cd8b104c4" xmlns:ns3="eac07dc5-f243-4c67-9e25-532f466ec767" targetNamespace="http://schemas.microsoft.com/office/2006/metadata/properties" ma:root="true" ma:fieldsID="37d78d888b3d80133332cc4959dad212" ns2:_="" ns3:_="">
    <xsd:import namespace="0009d3ae-0f9e-47be-ae31-9d6cd8b104c4"/>
    <xsd:import namespace="eac07dc5-f243-4c67-9e25-532f466ec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07dc5-f243-4c67-9e25-532f466ec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CB06F1-65EA-4A75-9959-06F6D11FE3ED}">
  <ds:schemaRefs>
    <ds:schemaRef ds:uri="http://schemas.microsoft.com/office/2006/documentManagement/types"/>
    <ds:schemaRef ds:uri="0009d3ae-0f9e-47be-ae31-9d6cd8b104c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ac07dc5-f243-4c67-9e25-532f466ec767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2BB8A7-CA43-4772-8D3E-14108EFC8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A45A8-939A-47A5-BFF4-E1B0D39C2B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053669-1778-4ABC-9B20-F9DCCCDD4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eac07dc5-f243-4c67-9e25-532f466e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2024 o.b.v. oude kortingen</vt:lpstr>
      <vt:lpstr>2024 o.b.v. nieuwe kortingen</vt:lpstr>
      <vt:lpstr>2024 RPM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Cornelis-van der Velde R.M.</dc:creator>
  <cp:keywords/>
  <dc:description/>
  <cp:lastModifiedBy>Tol, Ilona</cp:lastModifiedBy>
  <cp:revision/>
  <dcterms:created xsi:type="dcterms:W3CDTF">2017-11-24T09:50:25Z</dcterms:created>
  <dcterms:modified xsi:type="dcterms:W3CDTF">2023-12-18T15:19:34Z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0x0101006A8E940C92323B46A11BBCAC580DD774</vt:lpwstr>
  </property>
  <property fmtid="{D5CDD505-2E9C-101B-9397-08002B2CF9AE}" pid="3" name="_dlc_DocIdItemGuid">
    <vt:lpwstr>1af5b310-ae1a-4c83-90d8-6ff695dcaee4</vt:lpwstr>
  </property>
  <property fmtid="{D5CDD505-2E9C-101B-9397-08002B2CF9AE}" pid="4" name="Order">
    <vt:r8>237200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AuthorIds_UIVersion_1024">
    <vt:lpwstr>127</vt:lpwstr>
  </property>
  <property fmtid="{D5CDD505-2E9C-101B-9397-08002B2CF9AE}" pid="10" name="_ExtendedDescription">
    <vt:lpwstr/>
  </property>
  <property fmtid="{D5CDD505-2E9C-101B-9397-08002B2CF9AE}" pid="11" name="MSIP_Label_9749f7dc-8924-440f-ac98-6a919d980a44_Enabled">
    <vt:lpwstr>true</vt:lpwstr>
  </property>
  <property fmtid="{D5CDD505-2E9C-101B-9397-08002B2CF9AE}" pid="12" name="MSIP_Label_9749f7dc-8924-440f-ac98-6a919d980a44_SetDate">
    <vt:lpwstr>2023-12-11T13:26:26Z</vt:lpwstr>
  </property>
  <property fmtid="{D5CDD505-2E9C-101B-9397-08002B2CF9AE}" pid="13" name="MSIP_Label_9749f7dc-8924-440f-ac98-6a919d980a44_Method">
    <vt:lpwstr>Privileged</vt:lpwstr>
  </property>
  <property fmtid="{D5CDD505-2E9C-101B-9397-08002B2CF9AE}" pid="14" name="MSIP_Label_9749f7dc-8924-440f-ac98-6a919d980a44_Name">
    <vt:lpwstr>Inf_intern</vt:lpwstr>
  </property>
  <property fmtid="{D5CDD505-2E9C-101B-9397-08002B2CF9AE}" pid="15" name="MSIP_Label_9749f7dc-8924-440f-ac98-6a919d980a44_SiteId">
    <vt:lpwstr>0dba6fac-6971-48f3-9af1-d8a86d20e1ed</vt:lpwstr>
  </property>
  <property fmtid="{D5CDD505-2E9C-101B-9397-08002B2CF9AE}" pid="16" name="MSIP_Label_9749f7dc-8924-440f-ac98-6a919d980a44_ActionId">
    <vt:lpwstr>16c87717-f2c1-4011-8458-f19dfaabbf6f</vt:lpwstr>
  </property>
  <property fmtid="{D5CDD505-2E9C-101B-9397-08002B2CF9AE}" pid="17" name="MSIP_Label_9749f7dc-8924-440f-ac98-6a919d980a44_ContentBits">
    <vt:lpwstr>2</vt:lpwstr>
  </property>
</Properties>
</file>