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20000001_{45CD6F3C-3A81-40EC-B185-781C8C0B2463}" xr6:coauthVersionLast="47" xr6:coauthVersionMax="47" xr10:uidLastSave="{00000000-0000-0000-0000-000000000000}"/>
  <bookViews>
    <workbookView xWindow="-120" yWindow="-120" windowWidth="29040" windowHeight="15720" tabRatio="936" activeTab="2" xr2:uid="{00000000-000D-0000-FFFF-FFFF00000000}"/>
  </bookViews>
  <sheets>
    <sheet name="Titelblad" sheetId="9" r:id="rId1"/>
    <sheet name="Toelichting" sheetId="10" r:id="rId2"/>
    <sheet name="Bronnen en toepassingen" sheetId="11" r:id="rId3"/>
    <sheet name="1. Resultaat" sheetId="21" r:id="rId4"/>
    <sheet name="Input (Data door ACM) --&gt;" sheetId="25" r:id="rId5"/>
    <sheet name="2. Brondata" sheetId="18" r:id="rId6"/>
    <sheet name="3. Data inkoop TenneT" sheetId="46" r:id="rId7"/>
    <sheet name="4. Data inkoop andere DSB" sheetId="44" r:id="rId8"/>
    <sheet name="Berekeningen --&gt;" sheetId="15" r:id="rId9"/>
    <sheet name="5. Berekening kapitaalkosten" sheetId="27" r:id="rId10"/>
    <sheet name="6. Proxy tariefstijging TenneT" sheetId="47" r:id="rId11"/>
    <sheet name="7. Inkoop transport TenneT" sheetId="48" r:id="rId12"/>
    <sheet name="8. Inkoop transport andere DSB" sheetId="45" r:id="rId13"/>
    <sheet name="9. Berekening TI" sheetId="22"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7" i="48" l="1"/>
  <c r="L47" i="48"/>
  <c r="L28" i="27"/>
  <c r="P30" i="47" l="1"/>
  <c r="O30" i="47"/>
  <c r="N30" i="47"/>
  <c r="M30" i="47"/>
  <c r="P27" i="47"/>
  <c r="O27" i="47"/>
  <c r="N27" i="47"/>
  <c r="M27" i="47"/>
  <c r="P26" i="47"/>
  <c r="O26" i="47"/>
  <c r="N26" i="47"/>
  <c r="M26" i="47"/>
  <c r="P23" i="47"/>
  <c r="O23" i="47"/>
  <c r="N23" i="47"/>
  <c r="M23" i="47"/>
  <c r="P22" i="47"/>
  <c r="O22" i="47"/>
  <c r="N22" i="47"/>
  <c r="M22" i="47"/>
  <c r="M19" i="47"/>
  <c r="N19" i="47"/>
  <c r="O19" i="47"/>
  <c r="P19" i="47"/>
  <c r="N18" i="47"/>
  <c r="O18" i="47"/>
  <c r="P18" i="47"/>
  <c r="M18" i="47"/>
  <c r="M21" i="45"/>
  <c r="N21" i="45"/>
  <c r="O21" i="45"/>
  <c r="P21" i="45"/>
  <c r="L21" i="45"/>
  <c r="J35" i="48" l="1"/>
  <c r="L26" i="48" l="1"/>
  <c r="L27" i="48"/>
  <c r="L25" i="48"/>
  <c r="P20" i="48"/>
  <c r="O20" i="48"/>
  <c r="N20" i="48"/>
  <c r="M20" i="48"/>
  <c r="L20" i="48"/>
  <c r="P19" i="48"/>
  <c r="O19" i="48"/>
  <c r="N19" i="48"/>
  <c r="M19" i="48"/>
  <c r="L19" i="48"/>
  <c r="P18" i="48"/>
  <c r="O18" i="48"/>
  <c r="N18" i="48"/>
  <c r="M18" i="48"/>
  <c r="L18" i="48"/>
  <c r="P55" i="47"/>
  <c r="O55" i="47"/>
  <c r="N55" i="47"/>
  <c r="M55" i="47"/>
  <c r="P54" i="47"/>
  <c r="O54" i="47"/>
  <c r="N54" i="47"/>
  <c r="M54" i="47"/>
  <c r="P53" i="47"/>
  <c r="O53" i="47"/>
  <c r="N53" i="47"/>
  <c r="M53" i="47"/>
  <c r="P52" i="47"/>
  <c r="O52" i="47"/>
  <c r="N52" i="47"/>
  <c r="M52" i="47"/>
  <c r="P51" i="47"/>
  <c r="O51" i="47"/>
  <c r="N51" i="47"/>
  <c r="M51" i="47"/>
  <c r="P48" i="47"/>
  <c r="O48" i="47"/>
  <c r="N48" i="47"/>
  <c r="M48" i="47"/>
  <c r="P47" i="47"/>
  <c r="O47" i="47"/>
  <c r="N47" i="47"/>
  <c r="M47" i="47"/>
  <c r="P46" i="47"/>
  <c r="O46" i="47"/>
  <c r="N46" i="47"/>
  <c r="M46" i="47"/>
  <c r="P45" i="47"/>
  <c r="O45" i="47"/>
  <c r="N45" i="47"/>
  <c r="M45" i="47"/>
  <c r="P44" i="47"/>
  <c r="O44" i="47"/>
  <c r="N44" i="47"/>
  <c r="M44" i="47"/>
  <c r="L39" i="47"/>
  <c r="L38" i="47"/>
  <c r="L37" i="47"/>
  <c r="L36" i="47"/>
  <c r="L35" i="47"/>
  <c r="N62" i="47"/>
  <c r="B48" i="10"/>
  <c r="B49" i="10" s="1"/>
  <c r="B50" i="10" s="1"/>
  <c r="L41" i="48" l="1"/>
  <c r="O61" i="47"/>
  <c r="L42" i="48"/>
  <c r="P63" i="47"/>
  <c r="P60" i="47"/>
  <c r="P64" i="47"/>
  <c r="M60" i="47"/>
  <c r="M68" i="47"/>
  <c r="M69" i="47" s="1"/>
  <c r="M70" i="47" s="1"/>
  <c r="N64" i="47"/>
  <c r="L40" i="48"/>
  <c r="N60" i="47"/>
  <c r="O60" i="47"/>
  <c r="O64" i="47"/>
  <c r="O63" i="47"/>
  <c r="O68" i="47"/>
  <c r="O69" i="47" s="1"/>
  <c r="O70" i="47" s="1"/>
  <c r="O62" i="47"/>
  <c r="N68" i="47"/>
  <c r="N69" i="47" s="1"/>
  <c r="N70" i="47" s="1"/>
  <c r="M64" i="47"/>
  <c r="N63" i="47"/>
  <c r="P68" i="47"/>
  <c r="P69" i="47" s="1"/>
  <c r="P70" i="47" s="1"/>
  <c r="P61" i="47"/>
  <c r="P62" i="47"/>
  <c r="M61" i="47"/>
  <c r="M62" i="47"/>
  <c r="M63" i="47"/>
  <c r="N61" i="47"/>
  <c r="J16" i="45"/>
  <c r="L27" i="22" l="1"/>
  <c r="L28" i="22"/>
  <c r="N72" i="47"/>
  <c r="N31" i="48" s="1"/>
  <c r="O72" i="47"/>
  <c r="O31" i="48" s="1"/>
  <c r="M72" i="47"/>
  <c r="M31" i="48" s="1"/>
  <c r="P72" i="47"/>
  <c r="P31" i="48" s="1"/>
  <c r="P28" i="22"/>
  <c r="O28" i="22"/>
  <c r="M28" i="22"/>
  <c r="N28" i="22"/>
  <c r="O40" i="48" l="1"/>
  <c r="O41" i="48"/>
  <c r="O42" i="48"/>
  <c r="P40" i="48"/>
  <c r="P47" i="48" s="1"/>
  <c r="P42" i="48"/>
  <c r="P41" i="48"/>
  <c r="M40" i="48"/>
  <c r="M41" i="48"/>
  <c r="M42" i="48"/>
  <c r="N42" i="48"/>
  <c r="N40" i="48"/>
  <c r="N41" i="48"/>
  <c r="P23" i="27"/>
  <c r="O23" i="27"/>
  <c r="N23" i="27"/>
  <c r="P22" i="27"/>
  <c r="P32" i="27" s="1"/>
  <c r="O22" i="27"/>
  <c r="O32" i="27" s="1"/>
  <c r="N22" i="27"/>
  <c r="N32" i="27" s="1"/>
  <c r="P20" i="27"/>
  <c r="O20" i="27"/>
  <c r="N20" i="27"/>
  <c r="P19" i="27"/>
  <c r="P29" i="27" s="1"/>
  <c r="O19" i="27"/>
  <c r="O29" i="27" s="1"/>
  <c r="N19" i="27"/>
  <c r="N29" i="27" s="1"/>
  <c r="P16" i="27"/>
  <c r="O16" i="27"/>
  <c r="N16" i="27"/>
  <c r="N47" i="48" l="1"/>
  <c r="M27" i="22"/>
  <c r="O47" i="48"/>
  <c r="O27" i="22" s="1"/>
  <c r="N31" i="27"/>
  <c r="N27" i="22"/>
  <c r="P27" i="22"/>
  <c r="P28" i="27"/>
  <c r="P31" i="27"/>
  <c r="O28" i="27"/>
  <c r="O31" i="27"/>
  <c r="N28" i="27"/>
  <c r="L22" i="27" l="1"/>
  <c r="M22" i="27"/>
  <c r="M37" i="22" l="1"/>
  <c r="N37" i="22"/>
  <c r="O37" i="22"/>
  <c r="P37" i="22"/>
  <c r="L37" i="22"/>
  <c r="M35" i="22"/>
  <c r="N35" i="22"/>
  <c r="O35" i="22"/>
  <c r="P35" i="22"/>
  <c r="L35" i="22"/>
  <c r="M33" i="22"/>
  <c r="N33" i="22"/>
  <c r="O33" i="22"/>
  <c r="P33" i="22"/>
  <c r="L33" i="22"/>
  <c r="M30" i="22" l="1"/>
  <c r="N30" i="22"/>
  <c r="O30" i="22"/>
  <c r="P30" i="22"/>
  <c r="L30" i="22"/>
  <c r="M25" i="22"/>
  <c r="N25" i="22"/>
  <c r="O25" i="22"/>
  <c r="P25" i="22"/>
  <c r="M26" i="22"/>
  <c r="N26" i="22"/>
  <c r="O26" i="22"/>
  <c r="P26" i="22"/>
  <c r="L26" i="22"/>
  <c r="L25" i="22"/>
  <c r="M23" i="22"/>
  <c r="N23" i="22"/>
  <c r="O23" i="22"/>
  <c r="P23" i="22"/>
  <c r="L23" i="22"/>
  <c r="M32" i="27"/>
  <c r="M20" i="22" s="1"/>
  <c r="N20" i="22"/>
  <c r="O20" i="22"/>
  <c r="P20" i="22"/>
  <c r="M23" i="27"/>
  <c r="L23" i="27"/>
  <c r="L32" i="27"/>
  <c r="L20" i="22" s="1"/>
  <c r="M19" i="27"/>
  <c r="M29" i="27" s="1"/>
  <c r="M17" i="22" s="1"/>
  <c r="N17" i="22"/>
  <c r="O17" i="22"/>
  <c r="P17" i="22"/>
  <c r="M20" i="27"/>
  <c r="L20" i="27"/>
  <c r="L19" i="27"/>
  <c r="L29" i="27" s="1"/>
  <c r="L17" i="22" s="1"/>
  <c r="M16" i="27"/>
  <c r="L16" i="27"/>
  <c r="N16" i="22" l="1"/>
  <c r="L16" i="22"/>
  <c r="L42" i="22" s="1"/>
  <c r="L43" i="22" s="1"/>
  <c r="O19" i="22"/>
  <c r="O45" i="22" s="1"/>
  <c r="O16" i="22"/>
  <c r="P16" i="22"/>
  <c r="L31" i="27"/>
  <c r="L19" i="22" s="1"/>
  <c r="L45" i="22" s="1"/>
  <c r="L46" i="22" s="1"/>
  <c r="P19" i="22"/>
  <c r="P45" i="22" s="1"/>
  <c r="M28" i="27"/>
  <c r="M16" i="22" s="1"/>
  <c r="M31" i="27"/>
  <c r="M19" i="22" s="1"/>
  <c r="M45" i="22" s="1"/>
  <c r="N19" i="22"/>
  <c r="N45" i="22" s="1"/>
  <c r="P42" i="22" l="1"/>
  <c r="P43" i="22" s="1"/>
  <c r="O42" i="22"/>
  <c r="O43" i="22" s="1"/>
  <c r="N42" i="22"/>
  <c r="N43" i="22" s="1"/>
  <c r="M42" i="22"/>
  <c r="M43" i="22" s="1"/>
  <c r="L48" i="22"/>
  <c r="L16" i="21" s="1"/>
  <c r="N46" i="22"/>
  <c r="M46" i="22"/>
  <c r="P46" i="22"/>
  <c r="O46" i="22"/>
  <c r="N48" i="22" l="1"/>
  <c r="N16" i="21" s="1"/>
  <c r="M48" i="22"/>
  <c r="M16" i="21" s="1"/>
  <c r="O48" i="22"/>
  <c r="O16" i="21" s="1"/>
  <c r="P48" i="22"/>
  <c r="P16" i="21" s="1"/>
</calcChain>
</file>

<file path=xl/sharedStrings.xml><?xml version="1.0" encoding="utf-8"?>
<sst xmlns="http://schemas.openxmlformats.org/spreadsheetml/2006/main" count="673" uniqueCount="284">
  <si>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</si>
  <si>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</si>
  <si>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</si>
  <si>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</si>
  <si>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</si>
  <si>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</si>
  <si>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</si>
  <si>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</si>
  <si>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</si>
  <si>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</si>
  <si>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</si>
  <si>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</si>
  <si>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</si>
  <si>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</si>
  <si>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</si>
  <si>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</si>
  <si>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</si>
  <si>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</si>
  <si>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</si>
  <si>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</si>
  <si>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</si>
  <si>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</si>
  <si>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</si>
  <si>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</si>
  <si>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</si>
  <si>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</si>
  <si>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</si>
  <si>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</si>
  <si>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</si>
  <si>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</si>
  <si>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</si>
  <si>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</si>
  <si>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</si>
  <si>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</si>
  <si>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</si>
  <si>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</si>
  <si>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</si>
  <si>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</si>
  <si>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</si>
  <si>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</si>
  <si>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</si>
  <si>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</si>
  <si>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</si>
  <si>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</si>
  <si>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</si>
  <si>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</si>
  <si>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</si>
  <si>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</si>
  <si>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</si>
  <si>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</si>
  <si>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</si>
  <si>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</si>
  <si>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 xml:space="preserve">Bij inhoudelijke verschillen tussen de berekening in dit bestand en de berekening zoals die volgt uit het bijbehorende besluit, is het besluit leidend. </t>
  </si>
  <si>
    <t>Schematische weergave en/of inhoudsopgave van de werking van dit model</t>
  </si>
  <si>
    <t>Zoals gebruikt in dit bestand</t>
  </si>
  <si>
    <t>Ophalen resultaat</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</si>
  <si>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</si>
  <si>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</si>
  <si>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</si>
  <si>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</si>
  <si>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</si>
  <si>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</si>
  <si>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</si>
  <si>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</si>
  <si>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</si>
  <si>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</si>
  <si>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</si>
  <si>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</si>
  <si>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</si>
  <si>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</si>
  <si>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</si>
  <si>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</si>
  <si>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</si>
  <si>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Tabblad 1 - Resultaat</t>
  </si>
  <si>
    <t>Deze berekening is ontwikkeld in het standaardsjabloon van ACM Directie Toezicht Energie, versie 6 (april 2024)</t>
  </si>
  <si>
    <t>N.v.t.</t>
  </si>
  <si>
    <t>Nee</t>
  </si>
  <si>
    <t>Ja</t>
  </si>
  <si>
    <t>Toelichting samenhang tabbladen:</t>
  </si>
  <si>
    <t>Input</t>
  </si>
  <si>
    <t xml:space="preserve">Berekeningen </t>
  </si>
  <si>
    <t>2. Brondata</t>
  </si>
  <si>
    <t>1. Resultaat</t>
  </si>
  <si>
    <t>Data ten behoeve van de berekening van de kapitaalkosten</t>
  </si>
  <si>
    <t>WACC</t>
  </si>
  <si>
    <t>Geschatte WACC reguleringsperiode 2027-2031</t>
  </si>
  <si>
    <t>%</t>
  </si>
  <si>
    <t xml:space="preserve">Input uit de GAW-berekening </t>
  </si>
  <si>
    <t>EUR, pp jaar</t>
  </si>
  <si>
    <r>
      <t xml:space="preserve">Gestandaardiseerde activawaarde aan het einde van jaar </t>
    </r>
    <r>
      <rPr>
        <i/>
        <sz val="10"/>
        <rFont val="Arial"/>
        <family val="2"/>
      </rPr>
      <t>t</t>
    </r>
  </si>
  <si>
    <t>Wettelijke Taak</t>
  </si>
  <si>
    <t>Totale afschrijvingen op nog niet volledig afgeschreven activa</t>
  </si>
  <si>
    <t>AD</t>
  </si>
  <si>
    <t>TD</t>
  </si>
  <si>
    <t>MD</t>
  </si>
  <si>
    <t>2027</t>
  </si>
  <si>
    <t>2028</t>
  </si>
  <si>
    <t>2029</t>
  </si>
  <si>
    <t>2030</t>
  </si>
  <si>
    <t>2031</t>
  </si>
  <si>
    <t>Schattingen voor de operationele kosten</t>
  </si>
  <si>
    <t xml:space="preserve">Geschatte algemene operationele kosten </t>
  </si>
  <si>
    <t>Geschatte inkoopkosten netverliezen</t>
  </si>
  <si>
    <t>Schattingen voor de niet-tariefopbrengsten</t>
  </si>
  <si>
    <t>Geschatte niet-tariefopbrengsten</t>
  </si>
  <si>
    <t>Op dit tabblad berekent de ACM de geschatte vermogenskosten en afschrijvingen voor ieder jaar van de reguleringsperiode 2027-2031. Samen vormen deze de kapitaalkosten.</t>
  </si>
  <si>
    <t>Formule</t>
  </si>
  <si>
    <t>Berekening kapitaalkosten</t>
  </si>
  <si>
    <t xml:space="preserve">Berekening kapitaalkosten </t>
  </si>
  <si>
    <t>Vermogenskosten</t>
  </si>
  <si>
    <t xml:space="preserve">Afschrijvingen </t>
  </si>
  <si>
    <t>Op dit tabblad berekent de ACM de geschatte totale kosten en de toegestane inkomsten voor ieder jaar van de reguleringsperiode 2027-2031.</t>
  </si>
  <si>
    <t>Berekende kapitaalkosten</t>
  </si>
  <si>
    <t>Berekening toegestane inkomsten</t>
  </si>
  <si>
    <t xml:space="preserve">Geschatte kosten </t>
  </si>
  <si>
    <t xml:space="preserve">Toegestane inkomsten </t>
  </si>
  <si>
    <t>1 &amp; 2</t>
  </si>
  <si>
    <t>Totale toegestane inkomsten</t>
  </si>
  <si>
    <t xml:space="preserve">Op dit tabblad toont de ACM de toegestane inkomsten voor ieder jaar van de reguleringsperiode 2027-2031. </t>
  </si>
  <si>
    <t>Toegestane inkomsten</t>
  </si>
  <si>
    <t xml:space="preserve">Totale toegestane inkomsten </t>
  </si>
  <si>
    <t>Bijlage 2 Formules Methodebesluit distributiesysteembeheerders elektriciteit 2027-2031</t>
  </si>
  <si>
    <t>Bijlage 2 bij het methodebesluit DSB's E 2027-2031</t>
  </si>
  <si>
    <t>Hyperlink</t>
  </si>
  <si>
    <t>Niet openbaar</t>
  </si>
  <si>
    <t>WACC-model bij het inkomstenbesluit &amp; tarievenbesluit 2027</t>
  </si>
  <si>
    <t>#</t>
  </si>
  <si>
    <t>EHS</t>
  </si>
  <si>
    <t>HS</t>
  </si>
  <si>
    <t>Vastrecht</t>
  </si>
  <si>
    <t>kW gecontracteerd per jaar</t>
  </si>
  <si>
    <t>kW max gewogen per maand</t>
  </si>
  <si>
    <t>kW gecontracteerd per jaar (max 600 uur)</t>
  </si>
  <si>
    <t>kW max gewogen per week 
(max 600 uur)</t>
  </si>
  <si>
    <t>2026</t>
  </si>
  <si>
    <t>Ophalen geschatte volumes TenneT</t>
  </si>
  <si>
    <t>Kostentoerekening EHS aan HS</t>
  </si>
  <si>
    <t>Toegestane inkomsten TenneT toe te rekenen aan EHS</t>
  </si>
  <si>
    <t>Toegestane inkomsten TenneT toe te rekenen aan HS</t>
  </si>
  <si>
    <t>Schatting totale inkoopkosten transport bij TenneT</t>
  </si>
  <si>
    <t>Informatieverzoek Inkomstenbesluit TenneT op land</t>
  </si>
  <si>
    <t>AD + TD</t>
  </si>
  <si>
    <t>Tabblad 2 - Brondata algemeen</t>
  </si>
  <si>
    <t>2025</t>
  </si>
  <si>
    <t>Wettelijke taak</t>
  </si>
  <si>
    <t>Tabblad 3 - Data voor schatting inkoopkosten transport bij TenneT</t>
  </si>
  <si>
    <t>Op dit tabblad staan de gegevens die de ACM gebruikt voor de berekening van de geschatte inkoopkosten transport bij de landelijke transmissiesysteembeheerder TenneT. Achtereenvolgens worden de volgende gegevens opgehaald:
- De geschatte volumes inkoop transport bij TenneT;
- De concept tarieven van TenneT;
- De geschatte tariefinkomsten van TenneT; 
- De geschatte rekenvolumes van TenneT;
- De gerealiseerde inkoopkosten periodieke aansluitvergoeding bij TenneT.</t>
  </si>
  <si>
    <t>Geschatte volumes inkoop transport bij TenneT</t>
  </si>
  <si>
    <t xml:space="preserve">Vastrecht </t>
  </si>
  <si>
    <t xml:space="preserve">kW gecontracteerd per jaar </t>
  </si>
  <si>
    <t xml:space="preserve">kW gecontracteerd per jaar (max 600 uur) </t>
  </si>
  <si>
    <t>kW max gewogen per week (max 600 uur)</t>
  </si>
  <si>
    <t>Concept tarieven TenneT</t>
  </si>
  <si>
    <t>Geschatte tariefinkomsten van TenneT</t>
  </si>
  <si>
    <t>Toegestane inkomsten TenneT (excl. tariefcorrecties)</t>
  </si>
  <si>
    <t xml:space="preserve">Geschatte tariefcorrecties TenneT </t>
  </si>
  <si>
    <t>Geschatte tariefcorrecties TenneT</t>
  </si>
  <si>
    <t>Geschatte rekenvolumes van TenneT</t>
  </si>
  <si>
    <t>Gerealiseerde inkoopkosten periodieke aansluitvergoeding bij TenneT</t>
  </si>
  <si>
    <t>Inkoopkosten periodieke aansluitvergoeding bij TenneT</t>
  </si>
  <si>
    <t>Ophalen geschatte tariefinkomsten TenneT</t>
  </si>
  <si>
    <t>Ophalen concept tarieven TenneT</t>
  </si>
  <si>
    <t>Berekening stap 1: inkomsten TenneT op basis van concept tarief 2027 en volumeschattingen 2028-2031</t>
  </si>
  <si>
    <t>Berekening stap 2: proxy tariefstijging ten opzichte van 2027</t>
  </si>
  <si>
    <t>Proxy tariefstijging HS tov 2027</t>
  </si>
  <si>
    <t xml:space="preserve">1. We berekenen hoeveel inkomsten TenneT in elk van de jaren 2028-2031 ontvangt als ze de tarieven 2027 zou hanteren. We gaan daarbij uit van de volumeschatting die TenneT voor elk van de jaren 2028-2031 heeft gemaakt. </t>
  </si>
  <si>
    <t>2. We berekenen voor elk van de jaren 2028-2031 het procentuele verschil tussen de inkomsten die TenneT heeft geschat ten opzichte van het resultaat in stap 1. Het resultaat geeft een proxy voor de tariefstijging van TenneT ten opzichte van 2027.</t>
  </si>
  <si>
    <t>Op dit tabblad berekenen we een proxy voor de tariefstijging van TenneT in elk van de jaren 2028-2031 ten opzichte van 2027. Deze proxy wordt gebruikt bij het bepalen van de geschatte inkoopkosten transport bij TenneT op het volgende tabblad. De proxy berekenen we als volgt:</t>
  </si>
  <si>
    <t xml:space="preserve">Op dit tabblad berekenen we de geschatte inkoopkosten transport bij TenneT. Deze inkoopkosten bestaan uit kosten op basis van het transporttarief en kosten voor de periodieke aansluitvergoeding. </t>
  </si>
  <si>
    <t>De geschatte kosten voor de periodieke aansluitvergoeding stelt de ACM gelijk aan de realisatie van deze kosten in het meest recente jaar waarover gegevens beschikbaar zijn. Dat is 2025.</t>
  </si>
  <si>
    <t>Ophalen geschatte volumes inkoopkosten transport bij TenneT</t>
  </si>
  <si>
    <t>Ophalen proxy tariefstijging TenneT</t>
  </si>
  <si>
    <t>Ophalen gerealiseerde kosten periodieke aansluitvergoeding</t>
  </si>
  <si>
    <t>Realisatie periodieke aansluitvergoeding</t>
  </si>
  <si>
    <t>Berekening geschatte inkoopkosten op basis van het transporttarief</t>
  </si>
  <si>
    <t>Berekening geschatte totale inkoopkosten transport bij TenneT</t>
  </si>
  <si>
    <t>Geschatte inkoopkosten transport bij TenneT</t>
  </si>
  <si>
    <t>3. Data inkoop TenneT</t>
  </si>
  <si>
    <t>De uitkomsten van de GAW-berekening DSB's E bij de inkomstenbesluiten 2027-2031 worden als input in dit model gebruikt.</t>
  </si>
  <si>
    <t>Informatieverzoek inkomstenbesluit Liander E, tab 2, cellen L15:P15</t>
  </si>
  <si>
    <t>Informatieverzoek inkomstenbesluit Liander E, tab 2, cellen L18:P18</t>
  </si>
  <si>
    <t>Informatieverzoek inkomstenbesluit Liander E, tab 2, cellen L20:P20</t>
  </si>
  <si>
    <t>Informatieverzoek inkomstenbesluit Liander E, tab 2, cellen L22:P22</t>
  </si>
  <si>
    <t>Informatieverzoek inkomstenbesluit Liander E, tab 3, cellen L15:P15</t>
  </si>
  <si>
    <t>Informatieverzoek inkomstenbesluit Liander E, tab 3, cellen L17:P17</t>
  </si>
  <si>
    <t>Informatieverzoek inkomstenbesluit Liander E, tab 3, cellen L19:P19</t>
  </si>
  <si>
    <t>Inkomstenberekening Liander elektriciteit 2027-2031</t>
  </si>
  <si>
    <t>Op dit tabblad staan de gegevens die de ACM gebruikt voor de bepaling van de toegestane inkomsten. Achtereenvolgens worden de volgende gegevens opgehaald voor elke wettelijke taak:
- De gegevens voor de berekening van de kapitaalkosten. Deze gegevens betreffen de WACC en input uit de GAW-berekening; 
- De schattingen voor de operationele kosten exclusief de benodigde gegevens voor de schatting van de inkoopkosten transport. Deze zijn op tabbladen 3, 4 en 5 opgenomen;   
- De schattingen voor de niet-tariefopbrengsten.</t>
  </si>
  <si>
    <t>In kolom R verwijst de ACM naar het formulenummer uit bijlage 2 van het methodebesluit DSB's E 2027-2031, waarin de berekening in de betreffende rij beschreven is.</t>
  </si>
  <si>
    <t>Tabblad 5 - Berekening geschatte kapitaalkosten</t>
  </si>
  <si>
    <t>Tabblad 6 - Berekening proxy tariefstijging TenneT</t>
  </si>
  <si>
    <t>Berekening geschatte totale inkoopkosten transport bij de andere DSB</t>
  </si>
  <si>
    <t>Tabblad 9 - Berekening toegestane inkomsten</t>
  </si>
  <si>
    <t>Reguleringsdata Liander E 2025, tab 3B, cel R60</t>
  </si>
  <si>
    <t>5. Berekening kapitaalkosten</t>
  </si>
  <si>
    <t>6. Proxy tariefstijging TenneT</t>
  </si>
  <si>
    <t>4. Data inkoop andere DSB</t>
  </si>
  <si>
    <t>7. Inkoop transport TenneT</t>
  </si>
  <si>
    <t>8. Inkoop transport andere DSB</t>
  </si>
  <si>
    <t>9. Berekening TI</t>
  </si>
  <si>
    <t>Net op zee (fase I)</t>
  </si>
  <si>
    <t>Net op zee (fase II)</t>
  </si>
  <si>
    <t>De geschatte inkoopkosten op basis van het transporttarief berekent de ACM door de geschatte volumes inkoopkosten transport bij TenneT te vermenigvuldigen met de geschatte tarieven van TenneT. Voor de geschatte tarieven van TenneT nemen we de concept tarieven voor 2027 als startpunt. Deze verhogen we vervolgens met de proxy van de tariefstijging van TenneT die we op tabblad 6 berekend hebben.</t>
  </si>
  <si>
    <t>Tabblad 4 - Data voor schatting inkoopkosten transport bij andere DSB's</t>
  </si>
  <si>
    <t>Op dit tabblad staan de gegevens die de ACM gebruikt voor de berekening van de geschatte inkoopkosten transport bij een andere DSB. Op dit tabblad worden de totale inkoopkosten bij andere DSB's opgehaald.</t>
  </si>
  <si>
    <t>Gerealiseerde inkoopkosten bij andere DSB's</t>
  </si>
  <si>
    <t>Totale inkoopkosten bij andere bij andere DSB's</t>
  </si>
  <si>
    <t>Tabblad 7 - Schatting inkoopkosten transport bij TenneT</t>
  </si>
  <si>
    <t>Tabblad 8 - Schatting inkoopkosten transport bij andere DSB's</t>
  </si>
  <si>
    <t xml:space="preserve">Op dit tabblad berekenen we de geschatte inkoopkosten transport bij andere DSB's. Deze inkoopkosten bestaan uit kosten op basis van inkoop transport, kosten voor de periodieke aansluitvergoeding en kosten voor de meetdienst. </t>
  </si>
  <si>
    <t>De ACM stelt de geschatte inkoopkosten transport bij andere DSB's gelijk aan de realisatie van deze kosten in het meest recente jaar waarover gegevens beschikbaar zijn. Dat is 2025.</t>
  </si>
  <si>
    <t>Ophalen gerealiseerde inkoopkosten bij andere DSB's</t>
  </si>
  <si>
    <t>Schatting totale inkoopkosten transport bij andere DSB's</t>
  </si>
  <si>
    <t>Geschatte inkoopkosten transport bij andere DSB's</t>
  </si>
  <si>
    <t>Informatieverzoek inkomstenbesluit Liander E</t>
  </si>
  <si>
    <t>Inkomstenberekening TenneT op zee 2027-2031</t>
  </si>
  <si>
    <t>Inkomstenberekening TenneT op land 2027-2031</t>
  </si>
  <si>
    <t>Invulmodule informatieverzoek IB TenneT 2027-2031</t>
  </si>
  <si>
    <t>Reguleringsdata Liander E 2025</t>
  </si>
  <si>
    <t>ACM/26/201225</t>
  </si>
  <si>
    <t>Invulmodule infoverzoek IB Liander E 2027-2031 verzonden_1.xlsx</t>
  </si>
  <si>
    <t>NE-RD(i)-25-01_20260421.xlsm</t>
  </si>
  <si>
    <t>ACM/INT/1002720, volgnummer 1</t>
  </si>
  <si>
    <t>ACM/INT/1069387, volgnummer 5</t>
  </si>
  <si>
    <t>ACM/INT/1002889, volgnummer 1</t>
  </si>
  <si>
    <t>ACM/INT/1000056, volgnummer 1</t>
  </si>
  <si>
    <t>ACM/IN/1127297, volgnummer 4</t>
  </si>
  <si>
    <t>ACM/UIT/666960, volgnummer 2</t>
  </si>
  <si>
    <t>ACM/IN/1127257, volgnummer 4</t>
  </si>
  <si>
    <t>ACM/IN/1117001, volgnummer 8</t>
  </si>
  <si>
    <t>WACC-model bij het inkomstenbesluit &amp; tarievenbesluit 2027, tab 1, cellen J118:N118</t>
  </si>
  <si>
    <t>GAW-berekening DSB's E 2027-2031, tab 1, cellen N36:R36</t>
  </si>
  <si>
    <t>GAW-berekening DSB's E 2027-2031, tab 1, cellen N39:R39</t>
  </si>
  <si>
    <t>GAW-berekening DSB's E 2027-2031, tab 1, cellen N37:R37</t>
  </si>
  <si>
    <t>GAW-berekening DSB's E 2027-2031, tab 1, cellen N40:R40</t>
  </si>
  <si>
    <t>Informatieverzoek inkomstenbesluit Liander E, tab 2, cel L29:P29</t>
  </si>
  <si>
    <t>Informatieverzoek inkomstenbesluit Liander E, tab 2, cel L30:P30</t>
  </si>
  <si>
    <t>Informatieverzoek inkomstenbesluit Liander E, tab 2, cel L31:P31</t>
  </si>
  <si>
    <t>Concept tarievenvoorstel TenneT 2027</t>
  </si>
  <si>
    <t>GAW-berekening DSB E 2027-2031</t>
  </si>
  <si>
    <t>GAW-berekening DSB E bij inkomstenbesluit 2027-2031</t>
  </si>
  <si>
    <t>WACC-model herschatting inkomstenbesluit REG2027</t>
  </si>
  <si>
    <t>Reguleringsdata Liander E 2025, tab 3B, cel R16</t>
  </si>
  <si>
    <t>Rekenmodule tarievenbesluit TenneT 2026</t>
  </si>
  <si>
    <t>rekenmodule-inkomstenbesluit-tennet-2026.xslx</t>
  </si>
  <si>
    <t>ACM/INT/544321, volgnummer 1</t>
  </si>
  <si>
    <t>Vaststelling begrotingsstaten van KGG voor 2026</t>
  </si>
  <si>
    <t>Vaststelling van de begrotingsstaten van het Ministerie van Klimaat en Groene Groei (XXIII) voor het jaar 2026</t>
  </si>
  <si>
    <t>n.v.t.</t>
  </si>
  <si>
    <t>DEN-MR-NL 26-065_TS-TAR(i)-26-08 Invulmodule Tarievenvoorstel TenneT op Land 2027 (TV 2027) - 2_1.xlsx</t>
  </si>
  <si>
    <t>ACM/IN/1148840, volgnummer 3</t>
  </si>
  <si>
    <t>Inkomstenberekening inkomstenbesluit TenneT op zee</t>
  </si>
  <si>
    <t>Inkomstenberekening inkomstenbesluit TenneT op land</t>
  </si>
  <si>
    <t>Concept rekenmodule tarievenvoorstel TenneT 2027, tab 5, cel L20</t>
  </si>
  <si>
    <t>Concept rekenmodule tarievenvoorstel TenneT 2027, tab 5, cel M20</t>
  </si>
  <si>
    <t>Concept rekenmodule tarievenvoorstel TenneT 2027, tab 5, cel N20</t>
  </si>
  <si>
    <t>Concept rekenmodule tarievenvoorstel TenneT 2027, tab 5, cel O20</t>
  </si>
  <si>
    <t>Concept rekenmodule tarievenvoorstel TenneT 2027, tab 5, cel P20</t>
  </si>
  <si>
    <t>Inkomstenberekening inkomstenbesluit TenneT op land, tab 1, cellen K16:N16</t>
  </si>
  <si>
    <t>Rekenmodule tarievenbesluit TenneT 2026, tab 4, cel J65 minus cellen J34, J35, J46, J52 en J53</t>
  </si>
  <si>
    <t>Inkomstenberekening inkomstenbesluit TenneT op land, tab 1, cellen K17:N17</t>
  </si>
  <si>
    <t>Inkomstenberekening inkomstenbesluit TenneT op zee, tab 1, cellen K16:N16</t>
  </si>
  <si>
    <t>Geschatte subsidiëring net op zee fase I</t>
  </si>
  <si>
    <t>Vaststelling begrotingsstaten van KGG voor 2026, pagina 99</t>
  </si>
  <si>
    <t>Inkomstenberekening inkomstenbesluit TenneT op zee, tab 1, cellen K17:N17</t>
  </si>
  <si>
    <t>Deze proxys betreffen ruwe schattingen, hier kunnen geen rechten of verwachtingen aan worden ontleend.</t>
  </si>
  <si>
    <t>Inkomstenbesluit Liander elektriciteit 2027-2031</t>
  </si>
  <si>
    <t xml:space="preserve">Dit bestand bevat de berekening van de toegestane inkomsten voor Liander N.V. voor elektriciteit voor de reguleringsperiode 2027-2031. </t>
  </si>
  <si>
    <t>Rekenmodule tarievenbesluit TenneT 2026, tab 4, cel K65 minus cellen K46 en K52</t>
  </si>
  <si>
    <t>De ACM benadrukt dat proxy voor de tariefontwikkelingen in 2028-2031 voorlopige schattingen betreft, op basis van de informatie die tijdens het nemen van het inkomstenbesluit beschikbaar is. Deze proxy is uitsluitend bedoeld om de inkoopkosten transport bij TenneT in 2028-2031 te schatten, om een ruwe indicatie te geven van de verwachte inkoopkosten transport van de DSB's bij TenneT in 2028-2031. De daadwerkelijke transporttarieven van TenneT zullen naar alle verwachting anders ontwikkelen dan deze proxy's. De ACM zal de inkoopkosten transport voor 2028-2031 daarom jaarlijks herschatten op basis van nieuwe informatie gedurende de reguleringsperiode. Er kunnen geen rechten of verwachtingen ontleend worden aan de tariefprognoses op dit tabblad.</t>
  </si>
  <si>
    <t>Informatieverzoek Inkomstenbesluit TenneT op land, tab 5, cellen M15:P15</t>
  </si>
  <si>
    <t>Informatieverzoek Inkomstenbesluit TenneT op land, tab 5, cellen M16:P16</t>
  </si>
  <si>
    <t>Informatieverzoek Inkomstenbesluit TenneT op land, tab 5, cellen M17:P17</t>
  </si>
  <si>
    <t>Informatieverzoek Inkomstenbesluit TenneT op land, tab 5, cellen M18:P18</t>
  </si>
  <si>
    <t>Informatieverzoek Inkomstenbesluit TenneT op land, tab 5, cellen M19:P19</t>
  </si>
  <si>
    <t>Informatieverzoek Inkomstenbesluit TenneT op land, tab 5, cellen M21:P21</t>
  </si>
  <si>
    <t>Informatieverzoek Inkomstenbesluit TenneT op land, tab 5, cellen M22:P22</t>
  </si>
  <si>
    <t>Informatieverzoek Inkomstenbesluit TenneT op land, tab 5, cellen M23:P23</t>
  </si>
  <si>
    <t>Informatieverzoek Inkomstenbesluit TenneT op land, tab 5, cellen M24:P24</t>
  </si>
  <si>
    <t>Informatieverzoek Inkomstenbesluit TenneT op land, tab 5, cellen M25:P25</t>
  </si>
  <si>
    <r>
      <t xml:space="preserve">De ACM neemt in cellen M42:P42 een schatting op voor de verwachte subsidiëring voor het net op zee in 2028-2031. De hoogte van deze subsidiëring is tijdens het nemen van dit inkomstenbesluit nog niet bekend. Daarom baseert de ACM de geschatte subsidiëring op de prognoses uit de </t>
    </r>
    <r>
      <rPr>
        <i/>
        <sz val="10"/>
        <rFont val="Arial"/>
        <family val="2"/>
      </rPr>
      <t>Vaststelling van de begrotingsstaten van het ministerie van Klimaat en Groene Groei voor het jaar 2026</t>
    </r>
    <r>
      <rPr>
        <sz val="10"/>
        <rFont val="Arial"/>
        <family val="2"/>
      </rPr>
      <t>. In dit document staat een verwacht subsidiëringsbedrag van 181 mln. voor 2028-2030. De ACM stelt de geschatte subsidiëring in 2031 ook gelijk aan dit bedrag.</t>
    </r>
  </si>
  <si>
    <t>De ACM neemt in cellen M34 en M38 een schatting op voor de verwachte tariefcorrecties die in het tarievenbesluit TenneT 2028 worden verrekend. De hoogte van deze tariefcorrecties is tijdens het nemen van dit inkomstenbesluit nog niet bekend. Daarom stelt de ACM de geschatte tariefcorrecties in 2028 gelijk aan de gerealiseerde tariefcorrecties die zijn verrekend in het tarievenbesluit TenneT 2026. Daarbij corrigeert de ACM de totale gerealiseerde tariefcorrecties voor 2026 voor de tariefcorrecties voor de kosten net op zee, de verrekening van het voorschot inkoopkosten energie en vermogen, en de prognoses voor de aansluitdienst en de meetdienst.</t>
  </si>
  <si>
    <t>ACM/UIT/1121638</t>
  </si>
  <si>
    <t>Wordt gepubliceerd bij inkomstenbesluiten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</si>
</sst>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_ ;_ * \-#,##0.00_ ;_ * &quot;-&quot;_ ;_ @_ "/>
    <numFmt numFmtId="166" formatCode="_ * #,##0_ ;_ * \-#,##0_ ;_ * &quot;-&quot;_ ;_ @_ "/>
    <numFmt numFmtId="168" formatCode="_ * #,##0.00_ ;_ * \-#,##0.00_ ;_ * &quot;-&quot;??_ ;_ @_ "/>
    <numFmt numFmtId="169" formatCode="_-* #,##0.00_-;_-* #,##0.00\-;_-* &quot;-&quot;??_-;_-@_-"/>
  </numFmts>
  <fonts count="30"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8"/>
      <name val="Arial"/>
      <family val="2"/>
    </font>
    <font>
      <strike/>
      <sz val="10"/>
      <color rgb="FFFF0000"/>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rgb="FFCCCCFF"/>
        <bgColor indexed="64"/>
      </patternFill>
    </fill>
    <fill>
      <patternFill patternType="solid">
        <fgColor theme="0"/>
        <bgColor indexed="64"/>
      </patternFill>
    </fill>
  </fills>
  <borders count="2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dashDotDot">
        <color indexed="64"/>
      </bottom>
      <diagonal/>
    </border>
    <border>
      <left/>
      <right style="dashDotDot">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style="thin">
        <color indexed="64"/>
      </bottom>
      <diagonal/>
    </border>
    <border>
      <left/>
      <right style="dashed">
        <color indexed="64"/>
      </right>
      <top/>
      <bottom style="thin">
        <color indexed="64"/>
      </bottom>
      <diagonal/>
    </border>
  </borders>
  <cellStyleXfs count="118">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4" applyNumberFormat="0" applyAlignment="0" applyProtection="0"/>
    <xf numFmtId="0" fontId="15" fillId="13" borderId="5" applyNumberFormat="0" applyAlignment="0" applyProtection="0"/>
    <xf numFmtId="0" fontId="16" fillId="13" borderId="4" applyNumberFormat="0" applyAlignment="0" applyProtection="0"/>
    <xf numFmtId="0" fontId="17" fillId="0" borderId="6" applyNumberFormat="0" applyFill="0" applyAlignment="0" applyProtection="0"/>
    <xf numFmtId="0" fontId="11" fillId="14" borderId="7" applyNumberFormat="0" applyAlignment="0" applyProtection="0"/>
    <xf numFmtId="0" fontId="13" fillId="15" borderId="8"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10" fontId="5" fillId="0" borderId="0" applyFont="0" applyFill="0" applyBorder="0" applyAlignment="0" applyProtection="0">
      <alignment vertical="top"/>
    </xf>
    <xf numFmtId="41" fontId="5" fillId="42" borderId="0">
      <alignment vertical="top"/>
    </xf>
    <xf numFmtId="41" fontId="5" fillId="44" borderId="0">
      <alignment vertical="top"/>
    </xf>
    <xf numFmtId="0" fontId="5" fillId="0" borderId="0"/>
    <xf numFmtId="0" fontId="5" fillId="0" borderId="0"/>
    <xf numFmtId="0" fontId="13" fillId="0" borderId="0"/>
    <xf numFmtId="166" fontId="5" fillId="9" borderId="0">
      <alignment vertical="top"/>
    </xf>
    <xf numFmtId="166" fontId="5" fillId="8" borderId="0">
      <alignment vertical="top"/>
    </xf>
    <xf numFmtId="166" fontId="5" fillId="7" borderId="0">
      <alignment vertical="top"/>
    </xf>
    <xf numFmtId="166" fontId="5" fillId="43" borderId="0">
      <alignment vertical="top"/>
    </xf>
    <xf numFmtId="166" fontId="5" fillId="6" borderId="0">
      <alignment vertical="top"/>
    </xf>
    <xf numFmtId="166" fontId="5" fillId="10" borderId="0">
      <alignment vertical="top"/>
    </xf>
    <xf numFmtId="168" fontId="5" fillId="41" borderId="0" applyNumberFormat="0">
      <alignment vertical="top"/>
    </xf>
    <xf numFmtId="166" fontId="5" fillId="42" borderId="0">
      <alignment vertical="top"/>
    </xf>
    <xf numFmtId="166" fontId="5" fillId="44" borderId="0">
      <alignment vertical="top"/>
    </xf>
    <xf numFmtId="168" fontId="5" fillId="42" borderId="0">
      <alignment vertical="top"/>
    </xf>
    <xf numFmtId="168" fontId="13" fillId="0" borderId="0" applyFont="0" applyFill="0" applyBorder="0" applyAlignment="0" applyProtection="0"/>
    <xf numFmtId="169" fontId="5" fillId="0" borderId="0" applyFont="0" applyFill="0" applyBorder="0" applyAlignment="0" applyProtection="0"/>
    <xf numFmtId="166" fontId="5" fillId="9" borderId="0">
      <alignment vertical="top"/>
    </xf>
    <xf numFmtId="166" fontId="5" fillId="8" borderId="0">
      <alignment vertical="top"/>
    </xf>
    <xf numFmtId="166" fontId="5" fillId="7" borderId="0">
      <alignment vertical="top"/>
    </xf>
    <xf numFmtId="166" fontId="5" fillId="43" borderId="0">
      <alignment vertical="top"/>
    </xf>
    <xf numFmtId="166" fontId="5" fillId="6" borderId="0">
      <alignment vertical="top"/>
    </xf>
    <xf numFmtId="166" fontId="5" fillId="10" borderId="0">
      <alignment vertical="top"/>
    </xf>
    <xf numFmtId="168" fontId="5" fillId="41" borderId="0" applyNumberFormat="0">
      <alignment vertical="top"/>
    </xf>
    <xf numFmtId="166" fontId="5" fillId="42" borderId="0">
      <alignment vertical="top"/>
    </xf>
    <xf numFmtId="166" fontId="5" fillId="44" borderId="0">
      <alignment vertical="top"/>
    </xf>
    <xf numFmtId="166" fontId="5" fillId="9" borderId="0">
      <alignment vertical="top"/>
    </xf>
    <xf numFmtId="166" fontId="5" fillId="8" borderId="0">
      <alignment vertical="top"/>
    </xf>
    <xf numFmtId="166" fontId="5" fillId="7" borderId="0">
      <alignment vertical="top"/>
    </xf>
    <xf numFmtId="166" fontId="5" fillId="43" borderId="0">
      <alignment vertical="top"/>
    </xf>
    <xf numFmtId="166" fontId="5" fillId="6" borderId="0">
      <alignment vertical="top"/>
    </xf>
    <xf numFmtId="166" fontId="5" fillId="10" borderId="0">
      <alignment vertical="top"/>
    </xf>
    <xf numFmtId="168" fontId="5" fillId="41" borderId="0" applyNumberFormat="0">
      <alignment vertical="top"/>
    </xf>
    <xf numFmtId="166" fontId="5" fillId="42" borderId="0">
      <alignment vertical="top"/>
    </xf>
    <xf numFmtId="166" fontId="5" fillId="44" borderId="0">
      <alignment vertical="top"/>
    </xf>
    <xf numFmtId="166" fontId="5" fillId="9" borderId="0">
      <alignment vertical="top"/>
    </xf>
    <xf numFmtId="166" fontId="5" fillId="8" borderId="0">
      <alignment vertical="top"/>
    </xf>
    <xf numFmtId="166" fontId="5" fillId="7" borderId="0">
      <alignment vertical="top"/>
    </xf>
    <xf numFmtId="166" fontId="5" fillId="43" borderId="0">
      <alignment vertical="top"/>
    </xf>
    <xf numFmtId="166" fontId="5" fillId="6" borderId="0">
      <alignment vertical="top"/>
    </xf>
    <xf numFmtId="166" fontId="5" fillId="10" borderId="0">
      <alignment vertical="top"/>
    </xf>
    <xf numFmtId="168" fontId="5" fillId="41" borderId="0" applyNumberFormat="0">
      <alignment vertical="top"/>
    </xf>
    <xf numFmtId="166" fontId="5" fillId="42" borderId="0">
      <alignment vertical="top"/>
    </xf>
    <xf numFmtId="166" fontId="5" fillId="44" borderId="0">
      <alignment vertical="top"/>
    </xf>
    <xf numFmtId="168" fontId="13" fillId="0" borderId="0" applyFont="0" applyFill="0" applyBorder="0" applyAlignment="0" applyProtection="0"/>
    <xf numFmtId="166" fontId="5" fillId="9" borderId="0">
      <alignment vertical="top"/>
    </xf>
    <xf numFmtId="166" fontId="5" fillId="8" borderId="0">
      <alignment vertical="top"/>
    </xf>
    <xf numFmtId="166" fontId="5" fillId="7" borderId="0">
      <alignment vertical="top"/>
    </xf>
    <xf numFmtId="166" fontId="5" fillId="43" borderId="0">
      <alignment vertical="top"/>
    </xf>
    <xf numFmtId="166" fontId="5" fillId="6" borderId="0">
      <alignment vertical="top"/>
    </xf>
    <xf numFmtId="166" fontId="5" fillId="10" borderId="0">
      <alignment vertical="top"/>
    </xf>
    <xf numFmtId="168" fontId="5" fillId="41" borderId="0" applyNumberFormat="0">
      <alignment vertical="top"/>
    </xf>
    <xf numFmtId="166" fontId="5" fillId="42" borderId="0">
      <alignment vertical="top"/>
    </xf>
    <xf numFmtId="166" fontId="5" fillId="44" borderId="0">
      <alignment vertical="top"/>
    </xf>
  </cellStyleXfs>
  <cellXfs count="80">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0" borderId="0" xfId="4" applyAlignment="1">
      <alignment horizontal="center" vertical="top"/>
    </xf>
    <xf numFmtId="0" fontId="5" fillId="11" borderId="0" xfId="4" applyFill="1">
      <alignment vertical="top"/>
    </xf>
    <xf numFmtId="49" fontId="5" fillId="16" borderId="2" xfId="6" applyFont="1" applyBorder="1">
      <alignment vertical="top"/>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41" fontId="5" fillId="43" borderId="0" xfId="1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0" fontId="6" fillId="0" borderId="0" xfId="4" applyFont="1" applyAlignment="1">
      <alignment horizontal="center" vertical="top"/>
    </xf>
    <xf numFmtId="0" fontId="5" fillId="0" borderId="13" xfId="4" applyBorder="1">
      <alignment vertical="top"/>
    </xf>
    <xf numFmtId="0" fontId="5" fillId="0" borderId="14" xfId="4" applyBorder="1">
      <alignment vertical="top"/>
    </xf>
    <xf numFmtId="0" fontId="5" fillId="0" borderId="15" xfId="4" applyBorder="1">
      <alignment vertical="top"/>
    </xf>
    <xf numFmtId="0" fontId="5" fillId="0" borderId="16" xfId="4" applyBorder="1">
      <alignment vertical="top"/>
    </xf>
    <xf numFmtId="0" fontId="5" fillId="0" borderId="17" xfId="4" applyBorder="1">
      <alignment vertical="top"/>
    </xf>
    <xf numFmtId="0" fontId="5" fillId="0" borderId="18" xfId="4" applyBorder="1">
      <alignment vertical="top"/>
    </xf>
    <xf numFmtId="41" fontId="5" fillId="43" borderId="0" xfId="11" applyAlignment="1">
      <alignment horizontal="center" vertical="top"/>
    </xf>
    <xf numFmtId="0" fontId="5" fillId="0" borderId="19" xfId="4" applyBorder="1">
      <alignment vertical="top"/>
    </xf>
    <xf numFmtId="41" fontId="5" fillId="8" borderId="0" xfId="9" applyAlignment="1">
      <alignment horizontal="center" vertical="top"/>
    </xf>
    <xf numFmtId="41" fontId="5" fillId="9" borderId="0" xfId="8" applyAlignment="1">
      <alignment horizontal="center" vertical="top"/>
    </xf>
    <xf numFmtId="0" fontId="5" fillId="0" borderId="20" xfId="4" applyBorder="1">
      <alignment vertical="top"/>
    </xf>
    <xf numFmtId="0" fontId="5" fillId="0" borderId="21" xfId="4" applyBorder="1">
      <alignment vertical="top"/>
    </xf>
    <xf numFmtId="0" fontId="5" fillId="0" borderId="22" xfId="4" applyBorder="1">
      <alignment vertical="top"/>
    </xf>
    <xf numFmtId="0" fontId="5" fillId="0" borderId="23" xfId="4" applyBorder="1">
      <alignment vertical="top"/>
    </xf>
    <xf numFmtId="0" fontId="5" fillId="0" borderId="24" xfId="4" applyBorder="1">
      <alignment vertical="top"/>
    </xf>
    <xf numFmtId="49" fontId="5" fillId="16" borderId="0" xfId="6" applyFont="1" applyBorder="1">
      <alignment vertical="top"/>
    </xf>
    <xf numFmtId="49" fontId="6" fillId="0" borderId="1" xfId="6" applyFill="1">
      <alignment vertical="top"/>
    </xf>
    <xf numFmtId="10" fontId="5" fillId="10" borderId="0" xfId="13" applyNumberFormat="1">
      <alignment vertical="top"/>
    </xf>
    <xf numFmtId="41" fontId="5" fillId="0" borderId="0" xfId="13" applyFill="1">
      <alignment vertical="top"/>
    </xf>
    <xf numFmtId="49" fontId="5" fillId="0" borderId="0" xfId="15" applyFont="1">
      <alignment vertical="top"/>
    </xf>
    <xf numFmtId="0" fontId="5" fillId="0" borderId="2" xfId="0" applyFont="1" applyBorder="1">
      <alignment vertical="top"/>
    </xf>
    <xf numFmtId="49" fontId="19" fillId="0" borderId="2" xfId="61" applyBorder="1" applyAlignment="1">
      <alignment vertical="top"/>
    </xf>
    <xf numFmtId="39" fontId="6" fillId="0" borderId="0" xfId="66" applyNumberFormat="1" applyFont="1"/>
    <xf numFmtId="0" fontId="5" fillId="0" borderId="0" xfId="67"/>
    <xf numFmtId="0" fontId="6" fillId="0" borderId="0" xfId="68" applyFont="1"/>
    <xf numFmtId="41" fontId="5" fillId="41" borderId="0" xfId="62" applyNumberFormat="1">
      <alignment vertical="top"/>
    </xf>
    <xf numFmtId="0" fontId="5" fillId="0" borderId="0" xfId="4" applyAlignment="1">
      <alignment vertical="top" wrapText="1"/>
    </xf>
    <xf numFmtId="0" fontId="5" fillId="45" borderId="0" xfId="4" applyFill="1">
      <alignment vertical="top"/>
    </xf>
    <xf numFmtId="0" fontId="29" fillId="0" borderId="0" xfId="4" applyFont="1">
      <alignment vertical="top"/>
    </xf>
    <xf numFmtId="9" fontId="5" fillId="8" borderId="0" xfId="63" applyNumberFormat="1" applyFill="1">
      <alignment vertical="top"/>
    </xf>
    <xf numFmtId="9" fontId="5" fillId="9" borderId="0" xfId="63" applyNumberFormat="1" applyFill="1">
      <alignment vertical="top"/>
    </xf>
    <xf numFmtId="9" fontId="5" fillId="10" borderId="0" xfId="13" applyNumberFormat="1">
      <alignment vertical="top"/>
    </xf>
    <xf numFmtId="41" fontId="5" fillId="0" borderId="0" xfId="8" applyFill="1">
      <alignment vertical="top"/>
    </xf>
    <xf numFmtId="49" fontId="6" fillId="0" borderId="3" xfId="6" applyFill="1" applyBorder="1">
      <alignment vertical="top"/>
    </xf>
    <xf numFmtId="0" fontId="5" fillId="0" borderId="0" xfId="62" applyNumberFormat="1" applyFill="1">
      <alignment vertical="top"/>
    </xf>
    <xf numFmtId="0" fontId="12" fillId="0" borderId="14" xfId="4" applyFont="1" applyBorder="1">
      <alignment vertical="top"/>
    </xf>
    <xf numFmtId="164" fontId="5" fillId="10" borderId="0" xfId="13" applyNumberFormat="1">
      <alignment vertical="top"/>
    </xf>
    <xf numFmtId="0" fontId="0" fillId="0" borderId="2" xfId="0" applyBorder="1">
      <alignment vertical="top"/>
    </xf>
    <xf numFmtId="41" fontId="5" fillId="0" borderId="0" xfId="4" applyNumberFormat="1">
      <alignment vertical="top"/>
    </xf>
    <xf numFmtId="10" fontId="5" fillId="43" borderId="0" xfId="11" applyNumberFormat="1">
      <alignment vertical="top"/>
    </xf>
    <xf numFmtId="164" fontId="5" fillId="43" borderId="0" xfId="11" applyNumberFormat="1">
      <alignment vertical="top"/>
    </xf>
    <xf numFmtId="15" fontId="5" fillId="0" borderId="2" xfId="4" applyNumberFormat="1" applyBorder="1" applyAlignment="1">
      <alignment horizontal="left" vertical="top" wrapText="1"/>
    </xf>
    <xf numFmtId="41" fontId="5" fillId="7" borderId="0" xfId="10">
      <alignment vertical="top"/>
    </xf>
    <xf numFmtId="0" fontId="5" fillId="0" borderId="0" xfId="4" applyAlignment="1">
      <alignment horizontal="left" vertical="top" wrapText="1"/>
    </xf>
    <xf numFmtId="0" fontId="7" fillId="0" borderId="0" xfId="4" applyFont="1" applyAlignment="1">
      <alignment horizontal="left" vertical="top" wrapText="1"/>
    </xf>
    <xf numFmtId="0" fontId="5" fillId="0" borderId="0" xfId="4">
      <alignment vertical="top"/>
    </xf>
    <xf numFmtId="49" fontId="5" fillId="0" borderId="0" xfId="14" applyFont="1" applyAlignment="1">
      <alignment horizontal="left" vertical="top" wrapText="1"/>
    </xf>
    <xf numFmtId="0" fontId="5" fillId="0" borderId="2" xfId="4" applyBorder="1">
      <alignment vertical="top"/>
    </xf>
    <xf numFmtId="0" fontId="5" fillId="0" borderId="2" xfId="4" applyBorder="1">
      <alignment vertical="top"/>
    </xf>
    <xf numFmtId="0" fontId="5" fillId="0" borderId="2" xfId="4" applyBorder="1">
      <alignment vertical="top"/>
    </xf>
    <xf numFmtId="0" fontId="5" fillId="0" borderId="2" xfId="4" applyBorder="1">
      <alignment vertical="top"/>
    </xf>
  </cellXfs>
  <cellStyles count="118">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tussen)resultaat 2" xfId="109" xr:uid="{534495F4-6417-4435-BE81-1BE7E9ADEC5B}"/>
    <cellStyle name="Cel (tussen)resultaat 3" xfId="99" xr:uid="{E593E8FD-1AF2-434F-B51D-57657D044455}"/>
    <cellStyle name="Cel (tussen)resultaat 4" xfId="90" xr:uid="{F8CE27C3-1688-4C0D-A9DA-B5A707394968}"/>
    <cellStyle name="Cel (tussen)resultaat 5" xfId="81" xr:uid="{158DE81F-6374-4DDD-8B23-1F9D65F1E0A1}"/>
    <cellStyle name="Cel (tussen)resultaat 6" xfId="69" xr:uid="{F86C2860-B4D1-437A-B886-F3FA2AF710DE}"/>
    <cellStyle name="Cel Berekening" xfId="9" xr:uid="{00000000-0005-0000-0000-00001D000000}"/>
    <cellStyle name="Cel Berekening 2" xfId="110" xr:uid="{DAC427B4-FFBE-438E-AEC5-E7C139F4F3DB}"/>
    <cellStyle name="Cel Berekening 3" xfId="100" xr:uid="{AD3C85DA-7B2E-4EB1-B250-F87A5C354D12}"/>
    <cellStyle name="Cel Berekening 4" xfId="91" xr:uid="{88F0414B-CC6B-402D-8D00-EB4C0C9E608F}"/>
    <cellStyle name="Cel Berekening 5" xfId="82" xr:uid="{F38CE10D-580A-4C93-BE05-A6F6BA32CD10}"/>
    <cellStyle name="Cel Berekening 6" xfId="70" xr:uid="{F7D70EAE-9400-4C15-9A22-0BDF3D3BBB7C}"/>
    <cellStyle name="Cel Bijzonderheid" xfId="10" xr:uid="{00000000-0005-0000-0000-00001E000000}"/>
    <cellStyle name="Cel Bijzonderheid 2" xfId="111" xr:uid="{31F9347B-DD5C-4086-AAB4-B325DB81F287}"/>
    <cellStyle name="Cel Bijzonderheid 3" xfId="101" xr:uid="{40743792-5E6F-4D5E-812A-FF841580321F}"/>
    <cellStyle name="Cel Bijzonderheid 4" xfId="92" xr:uid="{1D785151-9E3A-40A7-AC78-B507E1C41060}"/>
    <cellStyle name="Cel Bijzonderheid 5" xfId="83" xr:uid="{678B11EC-6311-4FFD-B6C2-10DAEC60425B}"/>
    <cellStyle name="Cel Bijzonderheid 6" xfId="71" xr:uid="{B689B8D4-1EF5-4BE0-8134-245788B53F61}"/>
    <cellStyle name="Cel Dataverzoek" xfId="64" xr:uid="{00000000-0005-0000-0000-00001F000000}"/>
    <cellStyle name="Cel Dataverzoek 2" xfId="116" xr:uid="{0377662B-69A4-4494-80AE-A63C193B9F53}"/>
    <cellStyle name="Cel Dataverzoek 3" xfId="106" xr:uid="{344D1372-F932-4F9C-99A4-FD7050D74232}"/>
    <cellStyle name="Cel Dataverzoek 4" xfId="97" xr:uid="{0412BE00-4BB1-4083-958A-08EDFA7545BD}"/>
    <cellStyle name="Cel Dataverzoek 5" xfId="88" xr:uid="{613F55A8-262D-46C9-A317-2FC55B256FB0}"/>
    <cellStyle name="Cel Dataverzoek 6" xfId="76" xr:uid="{CFD0DE47-137C-41C9-8777-C9DC70AD3573}"/>
    <cellStyle name="Cel Input" xfId="11" xr:uid="{00000000-0005-0000-0000-000020000000}"/>
    <cellStyle name="Cel Input 2" xfId="112" xr:uid="{21AA1797-EDF4-41B5-8519-944B71D2555D}"/>
    <cellStyle name="Cel Input 3" xfId="102" xr:uid="{80124A7B-AF97-4211-828F-685FDE74B828}"/>
    <cellStyle name="Cel Input 4" xfId="93" xr:uid="{488DE403-C6B9-46EC-BAF1-05BA57DB67B2}"/>
    <cellStyle name="Cel Input 5" xfId="84" xr:uid="{0CD3BFB7-C9E5-45C6-813E-6027EF7ADF6B}"/>
    <cellStyle name="Cel Input 6" xfId="72" xr:uid="{90D044E1-F550-429D-92CD-993999AC836F}"/>
    <cellStyle name="Cel Input Data" xfId="78" xr:uid="{5C89B196-AF3D-43A9-AC92-C9425DB245F7}"/>
    <cellStyle name="Cel input database" xfId="65" xr:uid="{D3BE9B27-7433-43F4-96C8-5DBCFAF23CCF}"/>
    <cellStyle name="Cel input database 2" xfId="117" xr:uid="{BAB144C8-11B7-4E2E-886B-9C0DC53509A2}"/>
    <cellStyle name="Cel input database 3" xfId="107" xr:uid="{E055869E-864C-4A4D-B217-5F5C918D8CB5}"/>
    <cellStyle name="Cel input database 4" xfId="98" xr:uid="{8C255DDA-6AE4-44E1-AECD-602E282C0062}"/>
    <cellStyle name="Cel input database 5" xfId="89" xr:uid="{26D8612B-968D-473B-94C7-E55C4EB5FC98}"/>
    <cellStyle name="Cel input database 6" xfId="77" xr:uid="{EE72B88F-AE5A-4BE8-8FE4-6BB6A5B6CC50}"/>
    <cellStyle name="Cel n.v.t. (leeg)" xfId="62" xr:uid="{00000000-0005-0000-0000-000021000000}"/>
    <cellStyle name="Cel n.v.t. (leeg) 2" xfId="115" xr:uid="{5C2E6701-965E-4A78-9971-5E8AE188C93F}"/>
    <cellStyle name="Cel n.v.t. (leeg) 3" xfId="105" xr:uid="{56F25C13-608A-492B-89C1-7385C0C31CC7}"/>
    <cellStyle name="Cel n.v.t. (leeg) 4" xfId="96" xr:uid="{F47D915D-8A46-40C4-8FEF-9EA7A0CD682B}"/>
    <cellStyle name="Cel n.v.t. (leeg) 5" xfId="87" xr:uid="{B03B314E-4F7A-4775-8DBE-2C9A4F0A9699}"/>
    <cellStyle name="Cel n.v.t. (leeg) 6" xfId="75" xr:uid="{39455369-EAFB-4CF3-B430-94E97335E61B}"/>
    <cellStyle name="Cel PM extern" xfId="12" xr:uid="{00000000-0005-0000-0000-000022000000}"/>
    <cellStyle name="Cel PM extern 2" xfId="113" xr:uid="{F7729FA9-9856-4C2E-B055-26E8E4CF00EB}"/>
    <cellStyle name="Cel PM extern 3" xfId="103" xr:uid="{CA287F67-8E48-4306-B216-DA065034948D}"/>
    <cellStyle name="Cel PM extern 4" xfId="94" xr:uid="{E19559A5-20C6-4C9E-A51E-6CDB0F46636C}"/>
    <cellStyle name="Cel PM extern 5" xfId="85" xr:uid="{B6498A2B-1A42-4609-B5C7-635B78F449FF}"/>
    <cellStyle name="Cel PM extern 6" xfId="73" xr:uid="{6A959036-CC5F-480B-91C2-14EB640BCE89}"/>
    <cellStyle name="Cel Verwijzing" xfId="13" xr:uid="{00000000-0005-0000-0000-000023000000}"/>
    <cellStyle name="Cel Verwijzing 2" xfId="114" xr:uid="{C6BED677-C3D7-4DA3-9171-024F1FE4CB90}"/>
    <cellStyle name="Cel Verwijzing 3" xfId="104" xr:uid="{5441B8B9-28C7-4ED1-8B52-A4555DFFF09B}"/>
    <cellStyle name="Cel Verwijzing 4" xfId="95" xr:uid="{38AE0A58-E971-491D-BDB7-68352DB9A1D3}"/>
    <cellStyle name="Cel Verwijzing 5" xfId="86" xr:uid="{AD90AB62-E3DA-461B-A843-C1A33BA39771}"/>
    <cellStyle name="Cel Verwijzing 6" xfId="74" xr:uid="{4EDDF776-C2B7-475F-9978-6574E1AD40F8}"/>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0]" xfId="24" builtinId="6" hidden="1"/>
    <cellStyle name="Komma 10 2 2" xfId="80" xr:uid="{54CBABD0-84B8-4F46-B0AD-986B1E195B6D}"/>
    <cellStyle name="Komma 2" xfId="79" xr:uid="{C31C0479-6508-4288-81FD-74902D24585F}"/>
    <cellStyle name="Komma 2 2" xfId="108" xr:uid="{317F3226-BD3F-472F-A95D-0156B01B661C}"/>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3" builtinId="5"/>
    <cellStyle name="Standaard" xfId="0" builtinId="0" customBuiltin="1"/>
    <cellStyle name="Standaard 2" xfId="67" xr:uid="{6007295F-DACC-4B1C-B385-90E90B811091}"/>
    <cellStyle name="Standaard 3" xfId="68" xr:uid="{CCCDD8E3-A420-482A-B137-C21D0F34DAA0}"/>
    <cellStyle name="Standaard ACM-DE" xfId="4" xr:uid="{00000000-0005-0000-0000-000039000000}"/>
    <cellStyle name="Standaard_Tabellen - CIV2_Format import PRD en Database voor NE6R (concept) v1 2" xfId="66" xr:uid="{FFC6E461-50FB-483E-B55A-544598C4F83A}"/>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FFCCFF"/>
      <color rgb="FF99FF99"/>
      <color rgb="FFCCC8D9"/>
      <color rgb="FFCCFFFF"/>
      <color rgb="FFFFFFCC"/>
      <color rgb="FFE1FFE1"/>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98290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15</xdr:row>
      <xdr:rowOff>54428</xdr:rowOff>
    </xdr:from>
    <xdr:to>
      <xdr:col>6</xdr:col>
      <xdr:colOff>0</xdr:colOff>
      <xdr:row>15</xdr:row>
      <xdr:rowOff>56029</xdr:rowOff>
    </xdr:to>
    <xdr:cxnSp macro="">
      <xdr:nvCxnSpPr>
        <xdr:cNvPr id="35" name="Rechte verbindingslijn met pijl 34">
          <a:extLst>
            <a:ext uri="{FF2B5EF4-FFF2-40B4-BE49-F238E27FC236}">
              <a16:creationId xmlns:a16="http://schemas.microsoft.com/office/drawing/2014/main" id="{023ECFA5-D8FE-406E-9F05-4AF42E643170}"/>
            </a:ext>
          </a:extLst>
        </xdr:cNvPr>
        <xdr:cNvCxnSpPr/>
      </xdr:nvCxnSpPr>
      <xdr:spPr>
        <a:xfrm flipV="1">
          <a:off x="5172075" y="2549978"/>
          <a:ext cx="923925" cy="1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36" name="Rechte verbindingslijn met pijl 35">
          <a:extLst>
            <a:ext uri="{FF2B5EF4-FFF2-40B4-BE49-F238E27FC236}">
              <a16:creationId xmlns:a16="http://schemas.microsoft.com/office/drawing/2014/main" id="{F6A3FD54-A8E8-4F11-886D-49C654DD2089}"/>
            </a:ext>
          </a:extLst>
        </xdr:cNvPr>
        <xdr:cNvCxnSpPr/>
      </xdr:nvCxnSpPr>
      <xdr:spPr>
        <a:xfrm flipH="1">
          <a:off x="7309757" y="3645355"/>
          <a:ext cx="0" cy="2866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189775</xdr:colOff>
      <xdr:row>15</xdr:row>
      <xdr:rowOff>84273</xdr:rowOff>
    </xdr:from>
    <xdr:to>
      <xdr:col>9</xdr:col>
      <xdr:colOff>304619</xdr:colOff>
      <xdr:row>15</xdr:row>
      <xdr:rowOff>84273</xdr:rowOff>
    </xdr:to>
    <xdr:cxnSp macro="">
      <xdr:nvCxnSpPr>
        <xdr:cNvPr id="37" name="Rechte verbindingslijn 36">
          <a:extLst>
            <a:ext uri="{FF2B5EF4-FFF2-40B4-BE49-F238E27FC236}">
              <a16:creationId xmlns:a16="http://schemas.microsoft.com/office/drawing/2014/main" id="{0D28D159-6F1A-4587-A5F9-0448DF949670}"/>
            </a:ext>
          </a:extLst>
        </xdr:cNvPr>
        <xdr:cNvCxnSpPr/>
      </xdr:nvCxnSpPr>
      <xdr:spPr>
        <a:xfrm flipH="1">
          <a:off x="8533675" y="2579823"/>
          <a:ext cx="3053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189320</xdr:colOff>
      <xdr:row>20</xdr:row>
      <xdr:rowOff>81643</xdr:rowOff>
    </xdr:from>
    <xdr:to>
      <xdr:col>5</xdr:col>
      <xdr:colOff>943429</xdr:colOff>
      <xdr:row>20</xdr:row>
      <xdr:rowOff>81643</xdr:rowOff>
    </xdr:to>
    <xdr:cxnSp macro="">
      <xdr:nvCxnSpPr>
        <xdr:cNvPr id="38" name="Rechte verbindingslijn met pijl 37">
          <a:extLst>
            <a:ext uri="{FF2B5EF4-FFF2-40B4-BE49-F238E27FC236}">
              <a16:creationId xmlns:a16="http://schemas.microsoft.com/office/drawing/2014/main" id="{C0B8C9FA-5524-4E87-9474-4B53BBBC5065}"/>
            </a:ext>
          </a:extLst>
        </xdr:cNvPr>
        <xdr:cNvCxnSpPr/>
      </xdr:nvCxnSpPr>
      <xdr:spPr>
        <a:xfrm>
          <a:off x="5170895" y="3386818"/>
          <a:ext cx="92555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166279</xdr:colOff>
      <xdr:row>35</xdr:row>
      <xdr:rowOff>110067</xdr:rowOff>
    </xdr:from>
    <xdr:to>
      <xdr:col>9</xdr:col>
      <xdr:colOff>326572</xdr:colOff>
      <xdr:row>35</xdr:row>
      <xdr:rowOff>116417</xdr:rowOff>
    </xdr:to>
    <xdr:cxnSp macro="">
      <xdr:nvCxnSpPr>
        <xdr:cNvPr id="39" name="Rechte verbindingslijn met pijl 38">
          <a:extLst>
            <a:ext uri="{FF2B5EF4-FFF2-40B4-BE49-F238E27FC236}">
              <a16:creationId xmlns:a16="http://schemas.microsoft.com/office/drawing/2014/main" id="{27D82229-25F1-43E7-BDD9-A8D6CFBA72B1}"/>
            </a:ext>
          </a:extLst>
        </xdr:cNvPr>
        <xdr:cNvCxnSpPr/>
      </xdr:nvCxnSpPr>
      <xdr:spPr>
        <a:xfrm flipH="1" flipV="1">
          <a:off x="8510179" y="5844117"/>
          <a:ext cx="350793" cy="63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1025072</xdr:colOff>
      <xdr:row>31</xdr:row>
      <xdr:rowOff>154214</xdr:rowOff>
    </xdr:from>
    <xdr:to>
      <xdr:col>7</xdr:col>
      <xdr:colOff>1030333</xdr:colOff>
      <xdr:row>34</xdr:row>
      <xdr:rowOff>13607</xdr:rowOff>
    </xdr:to>
    <xdr:cxnSp macro="">
      <xdr:nvCxnSpPr>
        <xdr:cNvPr id="40" name="Rechte verbindingslijn met pijl 39">
          <a:extLst>
            <a:ext uri="{FF2B5EF4-FFF2-40B4-BE49-F238E27FC236}">
              <a16:creationId xmlns:a16="http://schemas.microsoft.com/office/drawing/2014/main" id="{8094A3E5-2022-45EC-B21F-833597002076}"/>
            </a:ext>
          </a:extLst>
        </xdr:cNvPr>
        <xdr:cNvCxnSpPr/>
      </xdr:nvCxnSpPr>
      <xdr:spPr>
        <a:xfrm>
          <a:off x="7311572" y="5240564"/>
          <a:ext cx="5261" cy="3451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9071</xdr:colOff>
      <xdr:row>20</xdr:row>
      <xdr:rowOff>72572</xdr:rowOff>
    </xdr:from>
    <xdr:to>
      <xdr:col>5</xdr:col>
      <xdr:colOff>943429</xdr:colOff>
      <xdr:row>25</xdr:row>
      <xdr:rowOff>72571</xdr:rowOff>
    </xdr:to>
    <xdr:cxnSp macro="">
      <xdr:nvCxnSpPr>
        <xdr:cNvPr id="43" name="Rechte verbindingslijn met pijl 42">
          <a:extLst>
            <a:ext uri="{FF2B5EF4-FFF2-40B4-BE49-F238E27FC236}">
              <a16:creationId xmlns:a16="http://schemas.microsoft.com/office/drawing/2014/main" id="{FEB63C4B-8C84-46A8-BB5F-65C64F5BBEBC}"/>
            </a:ext>
          </a:extLst>
        </xdr:cNvPr>
        <xdr:cNvCxnSpPr/>
      </xdr:nvCxnSpPr>
      <xdr:spPr>
        <a:xfrm>
          <a:off x="5181146" y="3377747"/>
          <a:ext cx="915308" cy="8096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15</xdr:row>
      <xdr:rowOff>54428</xdr:rowOff>
    </xdr:from>
    <xdr:to>
      <xdr:col>6</xdr:col>
      <xdr:colOff>0</xdr:colOff>
      <xdr:row>15</xdr:row>
      <xdr:rowOff>56029</xdr:rowOff>
    </xdr:to>
    <xdr:cxnSp macro="">
      <xdr:nvCxnSpPr>
        <xdr:cNvPr id="44" name="Rechte verbindingslijn met pijl 43">
          <a:extLst>
            <a:ext uri="{FF2B5EF4-FFF2-40B4-BE49-F238E27FC236}">
              <a16:creationId xmlns:a16="http://schemas.microsoft.com/office/drawing/2014/main" id="{AA654B5C-1E5A-4474-941F-0562CD948DD0}"/>
            </a:ext>
          </a:extLst>
        </xdr:cNvPr>
        <xdr:cNvCxnSpPr/>
      </xdr:nvCxnSpPr>
      <xdr:spPr>
        <a:xfrm flipV="1">
          <a:off x="5172075" y="2549978"/>
          <a:ext cx="923925" cy="16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179917</xdr:colOff>
      <xdr:row>17</xdr:row>
      <xdr:rowOff>31750</xdr:rowOff>
    </xdr:from>
    <xdr:to>
      <xdr:col>11</xdr:col>
      <xdr:colOff>857250</xdr:colOff>
      <xdr:row>35</xdr:row>
      <xdr:rowOff>95250</xdr:rowOff>
    </xdr:to>
    <xdr:cxnSp macro="">
      <xdr:nvCxnSpPr>
        <xdr:cNvPr id="45" name="Rechte verbindingslijn met pijl 44">
          <a:extLst>
            <a:ext uri="{FF2B5EF4-FFF2-40B4-BE49-F238E27FC236}">
              <a16:creationId xmlns:a16="http://schemas.microsoft.com/office/drawing/2014/main" id="{43F2F896-64F1-4F18-8B81-572B7E933D9F}"/>
            </a:ext>
          </a:extLst>
        </xdr:cNvPr>
        <xdr:cNvCxnSpPr/>
      </xdr:nvCxnSpPr>
      <xdr:spPr>
        <a:xfrm flipV="1">
          <a:off x="8523817" y="2851150"/>
          <a:ext cx="1982258" cy="29781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46" name="Rechte verbindingslijn met pijl 45">
          <a:extLst>
            <a:ext uri="{FF2B5EF4-FFF2-40B4-BE49-F238E27FC236}">
              <a16:creationId xmlns:a16="http://schemas.microsoft.com/office/drawing/2014/main" id="{D5760C51-DA17-4B33-993E-ED3F68F9FFC2}"/>
            </a:ext>
          </a:extLst>
        </xdr:cNvPr>
        <xdr:cNvCxnSpPr/>
      </xdr:nvCxnSpPr>
      <xdr:spPr>
        <a:xfrm flipH="1">
          <a:off x="7309757" y="3645355"/>
          <a:ext cx="0" cy="28663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189775</xdr:colOff>
      <xdr:row>15</xdr:row>
      <xdr:rowOff>84273</xdr:rowOff>
    </xdr:from>
    <xdr:to>
      <xdr:col>9</xdr:col>
      <xdr:colOff>304619</xdr:colOff>
      <xdr:row>15</xdr:row>
      <xdr:rowOff>84273</xdr:rowOff>
    </xdr:to>
    <xdr:cxnSp macro="">
      <xdr:nvCxnSpPr>
        <xdr:cNvPr id="48" name="Rechte verbindingslijn 47">
          <a:extLst>
            <a:ext uri="{FF2B5EF4-FFF2-40B4-BE49-F238E27FC236}">
              <a16:creationId xmlns:a16="http://schemas.microsoft.com/office/drawing/2014/main" id="{04B24008-5CBC-4EFB-9790-105A2F91B487}"/>
            </a:ext>
          </a:extLst>
        </xdr:cNvPr>
        <xdr:cNvCxnSpPr/>
      </xdr:nvCxnSpPr>
      <xdr:spPr>
        <a:xfrm flipH="1">
          <a:off x="8533675" y="2579823"/>
          <a:ext cx="3053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189320</xdr:colOff>
      <xdr:row>20</xdr:row>
      <xdr:rowOff>81643</xdr:rowOff>
    </xdr:from>
    <xdr:to>
      <xdr:col>5</xdr:col>
      <xdr:colOff>943429</xdr:colOff>
      <xdr:row>20</xdr:row>
      <xdr:rowOff>81643</xdr:rowOff>
    </xdr:to>
    <xdr:cxnSp macro="">
      <xdr:nvCxnSpPr>
        <xdr:cNvPr id="49" name="Rechte verbindingslijn met pijl 48">
          <a:extLst>
            <a:ext uri="{FF2B5EF4-FFF2-40B4-BE49-F238E27FC236}">
              <a16:creationId xmlns:a16="http://schemas.microsoft.com/office/drawing/2014/main" id="{AA64919C-1345-47A8-9BF5-67087658C1E8}"/>
            </a:ext>
          </a:extLst>
        </xdr:cNvPr>
        <xdr:cNvCxnSpPr/>
      </xdr:nvCxnSpPr>
      <xdr:spPr>
        <a:xfrm>
          <a:off x="5170895" y="3386818"/>
          <a:ext cx="925559"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25247</xdr:colOff>
      <xdr:row>15</xdr:row>
      <xdr:rowOff>74084</xdr:rowOff>
    </xdr:from>
    <xdr:to>
      <xdr:col>5</xdr:col>
      <xdr:colOff>910166</xdr:colOff>
      <xdr:row>35</xdr:row>
      <xdr:rowOff>52917</xdr:rowOff>
    </xdr:to>
    <xdr:cxnSp macro="">
      <xdr:nvCxnSpPr>
        <xdr:cNvPr id="50" name="Rechte verbindingslijn met pijl 49">
          <a:extLst>
            <a:ext uri="{FF2B5EF4-FFF2-40B4-BE49-F238E27FC236}">
              <a16:creationId xmlns:a16="http://schemas.microsoft.com/office/drawing/2014/main" id="{55D62947-7B29-4D14-A650-0749574E3C40}"/>
            </a:ext>
          </a:extLst>
        </xdr:cNvPr>
        <xdr:cNvCxnSpPr/>
      </xdr:nvCxnSpPr>
      <xdr:spPr>
        <a:xfrm>
          <a:off x="5197322" y="2569634"/>
          <a:ext cx="884919" cy="321733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1025072</xdr:colOff>
      <xdr:row>31</xdr:row>
      <xdr:rowOff>154214</xdr:rowOff>
    </xdr:from>
    <xdr:to>
      <xdr:col>7</xdr:col>
      <xdr:colOff>1030333</xdr:colOff>
      <xdr:row>34</xdr:row>
      <xdr:rowOff>13607</xdr:rowOff>
    </xdr:to>
    <xdr:cxnSp macro="">
      <xdr:nvCxnSpPr>
        <xdr:cNvPr id="51" name="Rechte verbindingslijn met pijl 50">
          <a:extLst>
            <a:ext uri="{FF2B5EF4-FFF2-40B4-BE49-F238E27FC236}">
              <a16:creationId xmlns:a16="http://schemas.microsoft.com/office/drawing/2014/main" id="{8A8FBABE-DE12-4EBA-8951-61722A165826}"/>
            </a:ext>
          </a:extLst>
        </xdr:cNvPr>
        <xdr:cNvCxnSpPr/>
      </xdr:nvCxnSpPr>
      <xdr:spPr>
        <a:xfrm>
          <a:off x="7311572" y="5240564"/>
          <a:ext cx="5261" cy="34516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9071</xdr:colOff>
      <xdr:row>20</xdr:row>
      <xdr:rowOff>72572</xdr:rowOff>
    </xdr:from>
    <xdr:to>
      <xdr:col>5</xdr:col>
      <xdr:colOff>943429</xdr:colOff>
      <xdr:row>25</xdr:row>
      <xdr:rowOff>72571</xdr:rowOff>
    </xdr:to>
    <xdr:cxnSp macro="">
      <xdr:nvCxnSpPr>
        <xdr:cNvPr id="52" name="Rechte verbindingslijn met pijl 51">
          <a:extLst>
            <a:ext uri="{FF2B5EF4-FFF2-40B4-BE49-F238E27FC236}">
              <a16:creationId xmlns:a16="http://schemas.microsoft.com/office/drawing/2014/main" id="{4C569A66-5DE3-4497-AA0F-FF2B8327B433}"/>
            </a:ext>
          </a:extLst>
        </xdr:cNvPr>
        <xdr:cNvCxnSpPr/>
      </xdr:nvCxnSpPr>
      <xdr:spPr>
        <a:xfrm>
          <a:off x="5181146" y="3377747"/>
          <a:ext cx="915308" cy="8096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171178</xdr:colOff>
      <xdr:row>25</xdr:row>
      <xdr:rowOff>117928</xdr:rowOff>
    </xdr:from>
    <xdr:to>
      <xdr:col>5</xdr:col>
      <xdr:colOff>952500</xdr:colOff>
      <xdr:row>30</xdr:row>
      <xdr:rowOff>74083</xdr:rowOff>
    </xdr:to>
    <xdr:cxnSp macro="">
      <xdr:nvCxnSpPr>
        <xdr:cNvPr id="53" name="Rechte verbindingslijn met pijl 52">
          <a:extLst>
            <a:ext uri="{FF2B5EF4-FFF2-40B4-BE49-F238E27FC236}">
              <a16:creationId xmlns:a16="http://schemas.microsoft.com/office/drawing/2014/main" id="{49997D23-E0CC-44FC-B2B5-EED5030DB99E}"/>
            </a:ext>
          </a:extLst>
        </xdr:cNvPr>
        <xdr:cNvCxnSpPr/>
      </xdr:nvCxnSpPr>
      <xdr:spPr>
        <a:xfrm>
          <a:off x="5152753" y="4232728"/>
          <a:ext cx="943247" cy="76578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296334</xdr:colOff>
      <xdr:row>15</xdr:row>
      <xdr:rowOff>84667</xdr:rowOff>
    </xdr:from>
    <xdr:to>
      <xdr:col>9</xdr:col>
      <xdr:colOff>306917</xdr:colOff>
      <xdr:row>35</xdr:row>
      <xdr:rowOff>137584</xdr:rowOff>
    </xdr:to>
    <xdr:cxnSp macro="">
      <xdr:nvCxnSpPr>
        <xdr:cNvPr id="54" name="Rechte verbindingslijn 53">
          <a:extLst>
            <a:ext uri="{FF2B5EF4-FFF2-40B4-BE49-F238E27FC236}">
              <a16:creationId xmlns:a16="http://schemas.microsoft.com/office/drawing/2014/main" id="{234B7CC4-2DCD-4C34-8537-98C22C6282CE}"/>
            </a:ext>
          </a:extLst>
        </xdr:cNvPr>
        <xdr:cNvCxnSpPr/>
      </xdr:nvCxnSpPr>
      <xdr:spPr>
        <a:xfrm>
          <a:off x="8830734" y="2580217"/>
          <a:ext cx="10583" cy="329141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0</xdr:colOff>
      <xdr:row>25</xdr:row>
      <xdr:rowOff>84667</xdr:rowOff>
    </xdr:from>
    <xdr:to>
      <xdr:col>9</xdr:col>
      <xdr:colOff>296334</xdr:colOff>
      <xdr:row>25</xdr:row>
      <xdr:rowOff>84667</xdr:rowOff>
    </xdr:to>
    <xdr:cxnSp macro="">
      <xdr:nvCxnSpPr>
        <xdr:cNvPr id="55" name="Rechte verbindingslijn 54">
          <a:extLst>
            <a:ext uri="{FF2B5EF4-FFF2-40B4-BE49-F238E27FC236}">
              <a16:creationId xmlns:a16="http://schemas.microsoft.com/office/drawing/2014/main" id="{601124A9-8B42-424B-AC94-65F89BA9512B}"/>
            </a:ext>
          </a:extLst>
        </xdr:cNvPr>
        <xdr:cNvCxnSpPr/>
      </xdr:nvCxnSpPr>
      <xdr:spPr>
        <a:xfrm>
          <a:off x="8534400" y="4199467"/>
          <a:ext cx="29633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rijksoverheid.nl/site/binaries/site-content/collections/documents/2025/09/16/xxiii-klimaat-en-groene-groei-rijksbegroting-2026/Klimaat_en_Groene_Groei.pdf" TargetMode="External"/><Relationship Id="rId2" Type="http://schemas.openxmlformats.org/officeDocument/2006/relationships/hyperlink" Target="https://www.acm.nl/nl/publicaties/tarievenbesluit-tennet-2026" TargetMode="External"/><Relationship Id="rId1" Type="http://schemas.openxmlformats.org/officeDocument/2006/relationships/hyperlink" Target="https://www.acm.nl/system/files/documents/bijlage-2-formules-dsb-e.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51"/>
  <sheetViews>
    <sheetView showGridLines="0" zoomScale="80" zoomScaleNormal="80" workbookViewId="0">
      <pane ySplit="3" topLeftCell="A4" activePane="bottomLeft" state="frozen"/>
      <selection activeCell="O39" sqref="O39"/>
      <selection pane="bottomLeft" activeCell="C21" sqref="C21"/>
    </sheetView>
  </sheetViews>
  <sheetFormatPr defaultColWidth="9.140625" defaultRowHeight="12.75" x14ac:dyDescent="0.2"/>
  <cols>
    <col min="1" max="1" width="5.85546875" style="2" customWidth="1"/>
    <col min="2" max="2" width="43.85546875" style="2" customWidth="1"/>
    <col min="3" max="3" width="91.85546875" style="2" customWidth="1"/>
    <col min="4" max="4" width="5.85546875" style="2" customWidth="1"/>
    <col min="5" max="16384" width="9.140625" style="2"/>
  </cols>
  <sheetData>
    <row r="2" spans="2:5" s="7" customFormat="1" ht="18" x14ac:dyDescent="0.2">
      <c r="B2" s="7" t="s">
        <v>1</v>
      </c>
    </row>
    <row r="6" spans="2:5" x14ac:dyDescent="0.2">
      <c r="B6" s="3"/>
    </row>
    <row r="13" spans="2:5" s="8" customFormat="1" x14ac:dyDescent="0.2">
      <c r="B13" s="8" t="s">
        <v>2</v>
      </c>
    </row>
    <row r="15" spans="2:5" x14ac:dyDescent="0.2">
      <c r="B15" s="9" t="s">
        <v>3</v>
      </c>
      <c r="C15" s="49" t="s">
        <v>219</v>
      </c>
      <c r="E15" s="18"/>
    </row>
    <row r="16" spans="2:5" x14ac:dyDescent="0.2">
      <c r="B16" s="9" t="s">
        <v>4</v>
      </c>
      <c r="C16" s="10" t="s">
        <v>186</v>
      </c>
    </row>
    <row r="17" spans="2:3" x14ac:dyDescent="0.2">
      <c r="B17" s="9" t="s">
        <v>5</v>
      </c>
      <c r="C17" s="10" t="s">
        <v>75</v>
      </c>
    </row>
    <row r="18" spans="2:3" x14ac:dyDescent="0.2">
      <c r="B18" s="9" t="s">
        <v>6</v>
      </c>
      <c r="C18" s="10" t="s">
        <v>266</v>
      </c>
    </row>
    <row r="19" spans="2:3" x14ac:dyDescent="0.2">
      <c r="B19" s="9" t="s">
        <v>7</v>
      </c>
      <c r="C19" s="10" t="s">
        <v>75</v>
      </c>
    </row>
    <row r="20" spans="2:3" x14ac:dyDescent="0.2">
      <c r="B20" s="9" t="s">
        <v>8</v>
      </c>
      <c r="C20" s="10" t="s">
        <v>282</v>
      </c>
    </row>
    <row r="21" spans="2:3" ht="25.5" x14ac:dyDescent="0.2">
      <c r="B21" s="9" t="s">
        <v>9</v>
      </c>
      <c r="C21" s="10" t="s">
        <v>178</v>
      </c>
    </row>
    <row r="22" spans="2:3" x14ac:dyDescent="0.2">
      <c r="B22" s="9" t="s">
        <v>10</v>
      </c>
      <c r="C22" s="10" t="s">
        <v>75</v>
      </c>
    </row>
    <row r="24" spans="2:3" x14ac:dyDescent="0.2">
      <c r="B24" s="20" t="s">
        <v>74</v>
      </c>
    </row>
    <row r="27" spans="2:3" s="8" customFormat="1" x14ac:dyDescent="0.2">
      <c r="B27" s="8" t="s">
        <v>11</v>
      </c>
    </row>
    <row r="29" spans="2:3" x14ac:dyDescent="0.2">
      <c r="B29" s="10" t="s">
        <v>64</v>
      </c>
      <c r="C29" s="10" t="s">
        <v>77</v>
      </c>
    </row>
    <row r="30" spans="2:3" ht="25.5" x14ac:dyDescent="0.2">
      <c r="B30" s="10" t="s">
        <v>66</v>
      </c>
      <c r="C30" s="10" t="s">
        <v>77</v>
      </c>
    </row>
    <row r="31" spans="2:3" x14ac:dyDescent="0.2">
      <c r="B31" s="10" t="s">
        <v>65</v>
      </c>
      <c r="C31" s="70">
        <v>46279</v>
      </c>
    </row>
    <row r="32" spans="2:3" ht="25.5" x14ac:dyDescent="0.2">
      <c r="B32" s="10" t="s">
        <v>67</v>
      </c>
      <c r="C32" s="10" t="s">
        <v>77</v>
      </c>
    </row>
    <row r="33" spans="2:4" ht="25.5" x14ac:dyDescent="0.2">
      <c r="B33" s="10" t="s">
        <v>68</v>
      </c>
      <c r="C33" s="10" t="s">
        <v>76</v>
      </c>
    </row>
    <row r="34" spans="2:4" x14ac:dyDescent="0.2">
      <c r="B34" s="9" t="s">
        <v>10</v>
      </c>
      <c r="C34" s="10" t="s">
        <v>75</v>
      </c>
    </row>
    <row r="36" spans="2:4" x14ac:dyDescent="0.2">
      <c r="B36" s="72" t="s">
        <v>60</v>
      </c>
      <c r="C36" s="73"/>
    </row>
    <row r="37" spans="2:4" x14ac:dyDescent="0.2">
      <c r="D37" s="5"/>
    </row>
    <row r="38" spans="2:4" s="8" customFormat="1" x14ac:dyDescent="0.2">
      <c r="B38" s="8" t="s">
        <v>12</v>
      </c>
    </row>
    <row r="40" spans="2:4" x14ac:dyDescent="0.2">
      <c r="B40" s="2" t="s">
        <v>52</v>
      </c>
    </row>
    <row r="45" spans="2:4" x14ac:dyDescent="0.2">
      <c r="B45" s="20" t="s">
        <v>69</v>
      </c>
    </row>
    <row r="51" spans="2:2" x14ac:dyDescent="0.2">
      <c r="B51" s="4"/>
    </row>
  </sheetData>
  <mergeCells count="1">
    <mergeCell ref="B36:C36"/>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1D5AB-6537-4F1C-A798-E5E2DB9C4595}">
  <sheetPr>
    <tabColor rgb="FFFFFFCC"/>
  </sheetPr>
  <dimension ref="B2:R3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6" width="14.7109375" style="2" customWidth="1"/>
    <col min="17" max="17" width="2.710937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189</v>
      </c>
    </row>
    <row r="4" spans="2:18" x14ac:dyDescent="0.2">
      <c r="B4" s="19" t="s">
        <v>50</v>
      </c>
    </row>
    <row r="5" spans="2:18" ht="30.6" customHeight="1" x14ac:dyDescent="0.2">
      <c r="B5" s="72" t="s">
        <v>105</v>
      </c>
      <c r="C5" s="72"/>
      <c r="D5" s="72"/>
      <c r="F5" s="13"/>
    </row>
    <row r="6" spans="2:18" x14ac:dyDescent="0.2">
      <c r="F6" s="13"/>
    </row>
    <row r="7" spans="2:18" x14ac:dyDescent="0.2">
      <c r="B7" s="20" t="s">
        <v>25</v>
      </c>
      <c r="F7" s="13"/>
    </row>
    <row r="8" spans="2:18" ht="28.5" customHeight="1" x14ac:dyDescent="0.2">
      <c r="B8" s="72" t="s">
        <v>188</v>
      </c>
      <c r="C8" s="72"/>
      <c r="D8" s="72"/>
    </row>
    <row r="10" spans="2:18"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106</v>
      </c>
    </row>
    <row r="13" spans="2:18" s="8" customFormat="1" x14ac:dyDescent="0.2">
      <c r="B13" s="8" t="s">
        <v>42</v>
      </c>
    </row>
    <row r="15" spans="2:18" x14ac:dyDescent="0.2">
      <c r="B15" s="19" t="s">
        <v>84</v>
      </c>
    </row>
    <row r="16" spans="2:18" x14ac:dyDescent="0.2">
      <c r="B16" t="s">
        <v>85</v>
      </c>
      <c r="D16" s="2" t="s">
        <v>86</v>
      </c>
      <c r="J16" s="54"/>
      <c r="K16" s="54"/>
      <c r="L16" s="46">
        <f>'2. Brondata'!L16</f>
        <v>5.7000000000000002E-2</v>
      </c>
      <c r="M16" s="46">
        <f>'2. Brondata'!M16</f>
        <v>5.8000000000000003E-2</v>
      </c>
      <c r="N16" s="46">
        <f>'2. Brondata'!N16</f>
        <v>5.8999999999999997E-2</v>
      </c>
      <c r="O16" s="46">
        <f>'2. Brondata'!O16</f>
        <v>0.06</v>
      </c>
      <c r="P16" s="46">
        <f>'2. Brondata'!P16</f>
        <v>0.06</v>
      </c>
    </row>
    <row r="18" spans="2:18" x14ac:dyDescent="0.2">
      <c r="B18" s="19" t="s">
        <v>87</v>
      </c>
    </row>
    <row r="19" spans="2:18" x14ac:dyDescent="0.2">
      <c r="B19" s="2" t="s">
        <v>91</v>
      </c>
      <c r="C19" s="2" t="s">
        <v>141</v>
      </c>
      <c r="D19" s="2" t="s">
        <v>88</v>
      </c>
      <c r="J19" s="54"/>
      <c r="K19" s="54"/>
      <c r="L19" s="23">
        <f>'2. Brondata'!L19</f>
        <v>405006638.54875487</v>
      </c>
      <c r="M19" s="23">
        <f>'2. Brondata'!M19</f>
        <v>445084932.99230623</v>
      </c>
      <c r="N19" s="23">
        <f>'2. Brondata'!N19</f>
        <v>489977950.76302987</v>
      </c>
      <c r="O19" s="23">
        <f>'2. Brondata'!O19</f>
        <v>542892539.55680668</v>
      </c>
      <c r="P19" s="23">
        <f>'2. Brondata'!P19</f>
        <v>604897942.68572521</v>
      </c>
    </row>
    <row r="20" spans="2:18" x14ac:dyDescent="0.2">
      <c r="B20" s="2" t="s">
        <v>89</v>
      </c>
      <c r="C20" s="2" t="s">
        <v>141</v>
      </c>
      <c r="D20" s="2" t="s">
        <v>88</v>
      </c>
      <c r="J20" s="54"/>
      <c r="K20" s="54"/>
      <c r="L20" s="23">
        <f>'2. Brondata'!L20</f>
        <v>10316380824.308092</v>
      </c>
      <c r="M20" s="23">
        <f>'2. Brondata'!M20</f>
        <v>12121472118.349854</v>
      </c>
      <c r="N20" s="23">
        <f>'2. Brondata'!N20</f>
        <v>14277249410.552349</v>
      </c>
      <c r="O20" s="23">
        <f>'2. Brondata'!O20</f>
        <v>16630020662.720619</v>
      </c>
      <c r="P20" s="23">
        <f>'2. Brondata'!P20</f>
        <v>19014677829.139328</v>
      </c>
    </row>
    <row r="22" spans="2:18" x14ac:dyDescent="0.2">
      <c r="B22" s="2" t="s">
        <v>91</v>
      </c>
      <c r="C22" s="2" t="s">
        <v>94</v>
      </c>
      <c r="D22" s="2" t="s">
        <v>88</v>
      </c>
      <c r="J22" s="54"/>
      <c r="K22" s="54"/>
      <c r="L22" s="23">
        <f>'2. Brondata'!L22</f>
        <v>47785783.452993892</v>
      </c>
      <c r="M22" s="23">
        <f>'2. Brondata'!M22</f>
        <v>45352363.213996306</v>
      </c>
      <c r="N22" s="23">
        <f>'2. Brondata'!N22</f>
        <v>43393445.172866598</v>
      </c>
      <c r="O22" s="23">
        <f>'2. Brondata'!O22</f>
        <v>41265373.975615099</v>
      </c>
      <c r="P22" s="23">
        <f>'2. Brondata'!P22</f>
        <v>40206262.625674918</v>
      </c>
    </row>
    <row r="23" spans="2:18" x14ac:dyDescent="0.2">
      <c r="B23" s="2" t="s">
        <v>89</v>
      </c>
      <c r="C23" s="2" t="s">
        <v>94</v>
      </c>
      <c r="D23" s="2" t="s">
        <v>88</v>
      </c>
      <c r="J23" s="54"/>
      <c r="K23" s="54"/>
      <c r="L23" s="23">
        <f>'2. Brondata'!L23</f>
        <v>257158051.63537467</v>
      </c>
      <c r="M23" s="23">
        <f>'2. Brondata'!M23</f>
        <v>299084941.42137837</v>
      </c>
      <c r="N23" s="23">
        <f>'2. Brondata'!N23</f>
        <v>346831232.24851173</v>
      </c>
      <c r="O23" s="23">
        <f>'2. Brondata'!O23</f>
        <v>402593330.27289665</v>
      </c>
      <c r="P23" s="23">
        <f>'2. Brondata'!P23</f>
        <v>448055733.67745137</v>
      </c>
    </row>
    <row r="25" spans="2:18" s="8" customFormat="1" x14ac:dyDescent="0.2">
      <c r="B25" s="8" t="s">
        <v>107</v>
      </c>
    </row>
    <row r="27" spans="2:18" x14ac:dyDescent="0.2">
      <c r="B27" s="19" t="s">
        <v>108</v>
      </c>
    </row>
    <row r="28" spans="2:18" x14ac:dyDescent="0.2">
      <c r="B28" s="2" t="s">
        <v>109</v>
      </c>
      <c r="C28" s="2" t="s">
        <v>141</v>
      </c>
      <c r="D28" s="2" t="s">
        <v>88</v>
      </c>
      <c r="J28" s="54"/>
      <c r="K28" s="54"/>
      <c r="L28" s="21">
        <f>L20 * L$16</f>
        <v>588033706.98556125</v>
      </c>
      <c r="M28" s="21">
        <f>M20 * M$16</f>
        <v>703045382.86429155</v>
      </c>
      <c r="N28" s="21">
        <f>N20 * N$16</f>
        <v>842357715.22258854</v>
      </c>
      <c r="O28" s="21">
        <f>O20 * O$16</f>
        <v>997801239.76323712</v>
      </c>
      <c r="P28" s="21">
        <f>P20 * P$16</f>
        <v>1140880669.7483597</v>
      </c>
      <c r="R28" s="15">
        <v>8</v>
      </c>
    </row>
    <row r="29" spans="2:18" x14ac:dyDescent="0.2">
      <c r="B29" s="2" t="s">
        <v>110</v>
      </c>
      <c r="C29" s="2" t="s">
        <v>141</v>
      </c>
      <c r="D29" s="2" t="s">
        <v>88</v>
      </c>
      <c r="J29" s="54"/>
      <c r="K29" s="54"/>
      <c r="L29" s="21">
        <f>L19</f>
        <v>405006638.54875487</v>
      </c>
      <c r="M29" s="21">
        <f>M19</f>
        <v>445084932.99230623</v>
      </c>
      <c r="N29" s="21">
        <f>N19</f>
        <v>489977950.76302987</v>
      </c>
      <c r="O29" s="21">
        <f>O19</f>
        <v>542892539.55680668</v>
      </c>
      <c r="P29" s="21">
        <f>P19</f>
        <v>604897942.68572521</v>
      </c>
      <c r="R29" s="15">
        <v>4</v>
      </c>
    </row>
    <row r="30" spans="2:18" x14ac:dyDescent="0.2">
      <c r="R30" s="15"/>
    </row>
    <row r="31" spans="2:18" x14ac:dyDescent="0.2">
      <c r="B31" s="2" t="s">
        <v>109</v>
      </c>
      <c r="C31" s="2" t="s">
        <v>94</v>
      </c>
      <c r="D31" s="2" t="s">
        <v>88</v>
      </c>
      <c r="J31" s="54"/>
      <c r="K31" s="54"/>
      <c r="L31" s="21">
        <f>L23 * L$16</f>
        <v>14658008.943216356</v>
      </c>
      <c r="M31" s="21">
        <f>M23 * M$16</f>
        <v>17346926.602439947</v>
      </c>
      <c r="N31" s="21">
        <f>N23 * N$16</f>
        <v>20463042.702662192</v>
      </c>
      <c r="O31" s="21">
        <f>O23 * O$16</f>
        <v>24155599.816373799</v>
      </c>
      <c r="P31" s="21">
        <f>P23 * P$16</f>
        <v>26883344.020647082</v>
      </c>
      <c r="R31" s="15">
        <v>8</v>
      </c>
    </row>
    <row r="32" spans="2:18" x14ac:dyDescent="0.2">
      <c r="B32" s="2" t="s">
        <v>110</v>
      </c>
      <c r="C32" s="2" t="s">
        <v>94</v>
      </c>
      <c r="D32" s="2" t="s">
        <v>88</v>
      </c>
      <c r="J32" s="54"/>
      <c r="K32" s="54"/>
      <c r="L32" s="21">
        <f>L22</f>
        <v>47785783.452993892</v>
      </c>
      <c r="M32" s="21">
        <f>M22</f>
        <v>45352363.213996306</v>
      </c>
      <c r="N32" s="21">
        <f>N22</f>
        <v>43393445.172866598</v>
      </c>
      <c r="O32" s="21">
        <f>O22</f>
        <v>41265373.975615099</v>
      </c>
      <c r="P32" s="21">
        <f>P22</f>
        <v>40206262.625674918</v>
      </c>
      <c r="R32" s="15">
        <v>4</v>
      </c>
    </row>
    <row r="36" spans="2:2" x14ac:dyDescent="0.2">
      <c r="B36" s="20" t="s">
        <v>69</v>
      </c>
    </row>
  </sheetData>
  <mergeCells count="2">
    <mergeCell ref="B5:D5"/>
    <mergeCell ref="B8:D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18D48-44CF-4529-851C-25DDDE568F23}">
  <sheetPr>
    <tabColor rgb="FFFFFFCC"/>
  </sheetPr>
  <dimension ref="B2:R77"/>
  <sheetViews>
    <sheetView showGridLines="0" zoomScale="85" zoomScaleNormal="85" workbookViewId="0">
      <pane xSplit="4" ySplit="13" topLeftCell="E14" activePane="bottomRight" state="frozen"/>
      <selection activeCell="E14" sqref="E14"/>
      <selection pane="topRight" activeCell="E14" sqref="E14"/>
      <selection pane="bottomLeft" activeCell="E14" sqref="E14"/>
      <selection pane="bottomRight" activeCell="E14" sqref="E14"/>
    </sheetView>
  </sheetViews>
  <sheetFormatPr defaultColWidth="9.140625" defaultRowHeight="12.75" x14ac:dyDescent="0.2"/>
  <cols>
    <col min="1" max="1" width="5.85546875" style="2" customWidth="1"/>
    <col min="2" max="2" width="83.425781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0" width="13.5703125" style="2" bestFit="1" customWidth="1"/>
    <col min="11" max="11" width="14" style="2" bestFit="1" customWidth="1"/>
    <col min="12" max="12" width="15.140625" style="2" customWidth="1"/>
    <col min="13" max="13" width="15.42578125" style="2" customWidth="1"/>
    <col min="14" max="14" width="17.140625" style="2" customWidth="1"/>
    <col min="15" max="15" width="14.85546875" style="2" customWidth="1"/>
    <col min="16" max="16" width="15" style="2" customWidth="1"/>
    <col min="17" max="17" width="2.85546875" style="2" customWidth="1"/>
    <col min="18" max="18" width="14.85546875" style="2" customWidth="1"/>
    <col min="19" max="19" width="30.85546875" style="2" customWidth="1"/>
    <col min="20" max="33" width="13.85546875" style="2" customWidth="1"/>
    <col min="34" max="16384" width="9.140625" style="2"/>
  </cols>
  <sheetData>
    <row r="2" spans="2:18" s="12" customFormat="1" ht="18" x14ac:dyDescent="0.2">
      <c r="B2" s="12" t="s">
        <v>190</v>
      </c>
    </row>
    <row r="4" spans="2:18" x14ac:dyDescent="0.2">
      <c r="B4" s="19" t="s">
        <v>50</v>
      </c>
    </row>
    <row r="5" spans="2:18" ht="41.25" customHeight="1" x14ac:dyDescent="0.2">
      <c r="B5" s="72" t="s">
        <v>167</v>
      </c>
      <c r="C5" s="72"/>
      <c r="D5" s="72"/>
      <c r="F5" s="13"/>
    </row>
    <row r="6" spans="2:18" ht="30.75" customHeight="1" x14ac:dyDescent="0.2">
      <c r="B6" s="72" t="s">
        <v>165</v>
      </c>
      <c r="C6" s="72"/>
      <c r="D6" s="72"/>
      <c r="E6" s="55"/>
      <c r="F6" s="55"/>
      <c r="G6" s="55"/>
      <c r="H6" s="55"/>
      <c r="I6" s="55"/>
      <c r="J6" s="55"/>
      <c r="K6" s="55"/>
    </row>
    <row r="7" spans="2:18" ht="30" customHeight="1" x14ac:dyDescent="0.2">
      <c r="B7" s="72" t="s">
        <v>166</v>
      </c>
      <c r="C7" s="72"/>
      <c r="D7" s="72"/>
      <c r="E7" s="55"/>
      <c r="F7" s="55"/>
      <c r="G7" s="55"/>
      <c r="H7" s="55"/>
    </row>
    <row r="8" spans="2:18" x14ac:dyDescent="0.2">
      <c r="F8" s="13"/>
    </row>
    <row r="9" spans="2:18" x14ac:dyDescent="0.2">
      <c r="B9" s="20" t="s">
        <v>25</v>
      </c>
      <c r="F9" s="13"/>
    </row>
    <row r="10" spans="2:18" ht="93" customHeight="1" x14ac:dyDescent="0.2">
      <c r="B10" s="72" t="s">
        <v>269</v>
      </c>
      <c r="C10" s="72"/>
      <c r="D10" s="72"/>
    </row>
    <row r="11" spans="2:18" x14ac:dyDescent="0.2">
      <c r="B11" s="4"/>
    </row>
    <row r="12" spans="2:18" s="8" customFormat="1" x14ac:dyDescent="0.2">
      <c r="B12" s="8" t="s">
        <v>39</v>
      </c>
      <c r="D12" s="8" t="s">
        <v>22</v>
      </c>
      <c r="F12" s="8" t="s">
        <v>23</v>
      </c>
      <c r="H12" s="8" t="s">
        <v>43</v>
      </c>
      <c r="J12" s="8" t="s">
        <v>143</v>
      </c>
      <c r="K12" s="8" t="s">
        <v>134</v>
      </c>
      <c r="L12" s="8" t="s">
        <v>95</v>
      </c>
      <c r="M12" s="8" t="s">
        <v>96</v>
      </c>
      <c r="N12" s="8" t="s">
        <v>97</v>
      </c>
      <c r="O12" s="8" t="s">
        <v>98</v>
      </c>
      <c r="P12" s="8" t="s">
        <v>99</v>
      </c>
      <c r="R12" s="8" t="s">
        <v>41</v>
      </c>
    </row>
    <row r="15" spans="2:18" s="8" customFormat="1" x14ac:dyDescent="0.2">
      <c r="B15" s="8" t="s">
        <v>160</v>
      </c>
    </row>
    <row r="17" spans="2:16" x14ac:dyDescent="0.2">
      <c r="B17" s="1" t="s">
        <v>127</v>
      </c>
    </row>
    <row r="18" spans="2:16" x14ac:dyDescent="0.2">
      <c r="B18" s="2" t="s">
        <v>154</v>
      </c>
      <c r="D18" s="2" t="s">
        <v>88</v>
      </c>
      <c r="J18" s="54"/>
      <c r="K18" s="54"/>
      <c r="L18" s="54"/>
      <c r="M18" s="23">
        <f>'3. Data inkoop TenneT'!M33</f>
        <v>1346744883.3555384</v>
      </c>
      <c r="N18" s="23">
        <f>'3. Data inkoop TenneT'!N33</f>
        <v>1496322558.0902245</v>
      </c>
      <c r="O18" s="23">
        <f>'3. Data inkoop TenneT'!O33</f>
        <v>1706076153.3586957</v>
      </c>
      <c r="P18" s="23">
        <f>'3. Data inkoop TenneT'!P33</f>
        <v>1918552784.948158</v>
      </c>
    </row>
    <row r="19" spans="2:16" x14ac:dyDescent="0.2">
      <c r="B19" s="2" t="s">
        <v>156</v>
      </c>
      <c r="D19" s="2" t="s">
        <v>88</v>
      </c>
      <c r="J19" s="54"/>
      <c r="K19" s="54"/>
      <c r="L19" s="54"/>
      <c r="M19" s="23">
        <f>'3. Data inkoop TenneT'!M34</f>
        <v>473968688.86278707</v>
      </c>
      <c r="N19" s="23">
        <f>'3. Data inkoop TenneT'!N34</f>
        <v>0</v>
      </c>
      <c r="O19" s="23">
        <f>'3. Data inkoop TenneT'!O34</f>
        <v>0</v>
      </c>
      <c r="P19" s="23">
        <f>'3. Data inkoop TenneT'!P34</f>
        <v>0</v>
      </c>
    </row>
    <row r="21" spans="2:16" x14ac:dyDescent="0.2">
      <c r="B21" s="1" t="s">
        <v>128</v>
      </c>
    </row>
    <row r="22" spans="2:16" x14ac:dyDescent="0.2">
      <c r="B22" s="2" t="s">
        <v>154</v>
      </c>
      <c r="D22" s="2" t="s">
        <v>88</v>
      </c>
      <c r="J22" s="54"/>
      <c r="K22" s="54"/>
      <c r="L22" s="54"/>
      <c r="M22" s="23">
        <f>'3. Data inkoop TenneT'!M37</f>
        <v>1242689300.3660853</v>
      </c>
      <c r="N22" s="23">
        <f>'3. Data inkoop TenneT'!N37</f>
        <v>1472483624.2768402</v>
      </c>
      <c r="O22" s="23">
        <f>'3. Data inkoop TenneT'!O37</f>
        <v>1743140655.2735152</v>
      </c>
      <c r="P22" s="23">
        <f>'3. Data inkoop TenneT'!P37</f>
        <v>1990236927.1075919</v>
      </c>
    </row>
    <row r="23" spans="2:16" x14ac:dyDescent="0.2">
      <c r="B23" s="2" t="s">
        <v>156</v>
      </c>
      <c r="D23" s="2" t="s">
        <v>88</v>
      </c>
      <c r="J23" s="54"/>
      <c r="K23" s="54"/>
      <c r="L23" s="54"/>
      <c r="M23" s="23">
        <f>'3. Data inkoop TenneT'!M38</f>
        <v>137079519.92904213</v>
      </c>
      <c r="N23" s="23">
        <f>'3. Data inkoop TenneT'!N38</f>
        <v>0</v>
      </c>
      <c r="O23" s="23">
        <f>'3. Data inkoop TenneT'!O38</f>
        <v>0</v>
      </c>
      <c r="P23" s="23">
        <f>'3. Data inkoop TenneT'!P38</f>
        <v>0</v>
      </c>
    </row>
    <row r="25" spans="2:16" x14ac:dyDescent="0.2">
      <c r="B25" s="1" t="s">
        <v>200</v>
      </c>
    </row>
    <row r="26" spans="2:16" x14ac:dyDescent="0.2">
      <c r="B26" s="2" t="s">
        <v>154</v>
      </c>
      <c r="D26" s="2" t="s">
        <v>88</v>
      </c>
      <c r="J26" s="54"/>
      <c r="K26" s="54"/>
      <c r="L26" s="54"/>
      <c r="M26" s="23">
        <f>'3. Data inkoop TenneT'!M41</f>
        <v>258655037.00625584</v>
      </c>
      <c r="N26" s="23">
        <f>'3. Data inkoop TenneT'!N41</f>
        <v>252029425.33794281</v>
      </c>
      <c r="O26" s="23">
        <f>'3. Data inkoop TenneT'!O41</f>
        <v>249390255.50625789</v>
      </c>
      <c r="P26" s="23">
        <f>'3. Data inkoop TenneT'!P41</f>
        <v>245293849.670329</v>
      </c>
    </row>
    <row r="27" spans="2:16" x14ac:dyDescent="0.2">
      <c r="B27" s="2" t="s">
        <v>262</v>
      </c>
      <c r="D27" s="2" t="s">
        <v>88</v>
      </c>
      <c r="J27" s="54"/>
      <c r="K27" s="54"/>
      <c r="L27" s="54"/>
      <c r="M27" s="23">
        <f>'3. Data inkoop TenneT'!M42</f>
        <v>181000000</v>
      </c>
      <c r="N27" s="23">
        <f>'3. Data inkoop TenneT'!N42</f>
        <v>181000000</v>
      </c>
      <c r="O27" s="23">
        <f>'3. Data inkoop TenneT'!O42</f>
        <v>181000000</v>
      </c>
      <c r="P27" s="23">
        <f>'3. Data inkoop TenneT'!P42</f>
        <v>181000000</v>
      </c>
    </row>
    <row r="29" spans="2:16" x14ac:dyDescent="0.2">
      <c r="B29" s="1" t="s">
        <v>201</v>
      </c>
    </row>
    <row r="30" spans="2:16" x14ac:dyDescent="0.2">
      <c r="B30" s="2" t="s">
        <v>154</v>
      </c>
      <c r="D30" s="2" t="s">
        <v>88</v>
      </c>
      <c r="J30" s="54"/>
      <c r="K30" s="54"/>
      <c r="L30" s="54"/>
      <c r="M30" s="23">
        <f>'3. Data inkoop TenneT'!M45</f>
        <v>1003952206.9097703</v>
      </c>
      <c r="N30" s="23">
        <f>'3. Data inkoop TenneT'!N45</f>
        <v>1277900907.7874849</v>
      </c>
      <c r="O30" s="23">
        <f>'3. Data inkoop TenneT'!O45</f>
        <v>1437606594.5266545</v>
      </c>
      <c r="P30" s="23">
        <f>'3. Data inkoop TenneT'!P45</f>
        <v>2345467869.0145378</v>
      </c>
    </row>
    <row r="32" spans="2:16" s="8" customFormat="1" x14ac:dyDescent="0.2">
      <c r="B32" s="8" t="s">
        <v>161</v>
      </c>
    </row>
    <row r="34" spans="2:16" x14ac:dyDescent="0.2">
      <c r="B34" s="53" t="s">
        <v>128</v>
      </c>
    </row>
    <row r="35" spans="2:16" x14ac:dyDescent="0.2">
      <c r="B35" s="2" t="s">
        <v>129</v>
      </c>
      <c r="D35" s="2" t="s">
        <v>88</v>
      </c>
      <c r="J35" s="54"/>
      <c r="K35" s="54"/>
      <c r="L35" s="65">
        <f>'3. Data inkoop TenneT'!L24</f>
        <v>2760</v>
      </c>
      <c r="M35" s="54"/>
      <c r="N35" s="54"/>
      <c r="O35" s="54"/>
      <c r="P35" s="54"/>
    </row>
    <row r="36" spans="2:16" x14ac:dyDescent="0.2">
      <c r="B36" s="2" t="s">
        <v>130</v>
      </c>
      <c r="D36" s="2" t="s">
        <v>88</v>
      </c>
      <c r="J36" s="54"/>
      <c r="K36" s="54"/>
      <c r="L36" s="65">
        <f>'3. Data inkoop TenneT'!L25</f>
        <v>79.7</v>
      </c>
      <c r="M36" s="54"/>
      <c r="N36" s="54"/>
      <c r="O36" s="54"/>
      <c r="P36" s="54"/>
    </row>
    <row r="37" spans="2:16" x14ac:dyDescent="0.2">
      <c r="B37" s="2" t="s">
        <v>131</v>
      </c>
      <c r="D37" s="2" t="s">
        <v>88</v>
      </c>
      <c r="J37" s="54"/>
      <c r="K37" s="54"/>
      <c r="L37" s="65">
        <f>'3. Data inkoop TenneT'!L26</f>
        <v>9.25</v>
      </c>
      <c r="M37" s="54"/>
      <c r="N37" s="54"/>
      <c r="O37" s="54"/>
      <c r="P37" s="54"/>
    </row>
    <row r="38" spans="2:16" x14ac:dyDescent="0.2">
      <c r="B38" s="2" t="s">
        <v>132</v>
      </c>
      <c r="D38" s="2" t="s">
        <v>88</v>
      </c>
      <c r="J38" s="54"/>
      <c r="K38" s="54"/>
      <c r="L38" s="65">
        <f>'3. Data inkoop TenneT'!L27</f>
        <v>39.839999999999996</v>
      </c>
      <c r="M38" s="54"/>
      <c r="N38" s="54"/>
      <c r="O38" s="54"/>
      <c r="P38" s="54"/>
    </row>
    <row r="39" spans="2:16" x14ac:dyDescent="0.2">
      <c r="B39" s="2" t="s">
        <v>133</v>
      </c>
      <c r="D39" s="2" t="s">
        <v>88</v>
      </c>
      <c r="J39" s="54"/>
      <c r="K39" s="54"/>
      <c r="L39" s="65">
        <f>'3. Data inkoop TenneT'!L28</f>
        <v>3.2</v>
      </c>
      <c r="M39" s="54"/>
      <c r="N39" s="54"/>
      <c r="O39" s="54"/>
      <c r="P39" s="54"/>
    </row>
    <row r="41" spans="2:16" s="8" customFormat="1" x14ac:dyDescent="0.2">
      <c r="B41" s="8" t="s">
        <v>135</v>
      </c>
    </row>
    <row r="43" spans="2:16" x14ac:dyDescent="0.2">
      <c r="B43" s="51" t="s">
        <v>127</v>
      </c>
    </row>
    <row r="44" spans="2:16" x14ac:dyDescent="0.2">
      <c r="B44" s="2" t="s">
        <v>129</v>
      </c>
      <c r="D44" s="2" t="s">
        <v>126</v>
      </c>
      <c r="J44" s="54"/>
      <c r="K44" s="54"/>
      <c r="L44" s="54"/>
      <c r="M44" s="23">
        <f>'3. Data inkoop TenneT'!M50</f>
        <v>30.156992541104486</v>
      </c>
      <c r="N44" s="23">
        <f>'3. Data inkoop TenneT'!N50</f>
        <v>32.32389690377061</v>
      </c>
      <c r="O44" s="23">
        <f>'3. Data inkoop TenneT'!O50</f>
        <v>34.513151588157825</v>
      </c>
      <c r="P44" s="23">
        <f>'3. Data inkoop TenneT'!P50</f>
        <v>37.13482161601182</v>
      </c>
    </row>
    <row r="45" spans="2:16" x14ac:dyDescent="0.2">
      <c r="B45" s="2" t="s">
        <v>130</v>
      </c>
      <c r="D45" s="2" t="s">
        <v>126</v>
      </c>
      <c r="J45" s="54"/>
      <c r="K45" s="54"/>
      <c r="L45" s="54"/>
      <c r="M45" s="23">
        <f>'3. Data inkoop TenneT'!M51</f>
        <v>961681.98505677679</v>
      </c>
      <c r="N45" s="23">
        <f>'3. Data inkoop TenneT'!N51</f>
        <v>1057229.003343136</v>
      </c>
      <c r="O45" s="23">
        <f>'3. Data inkoop TenneT'!O51</f>
        <v>1153761.5319431627</v>
      </c>
      <c r="P45" s="23">
        <f>'3. Data inkoop TenneT'!P51</f>
        <v>1277156.8582800096</v>
      </c>
    </row>
    <row r="46" spans="2:16" x14ac:dyDescent="0.2">
      <c r="B46" s="2" t="s">
        <v>131</v>
      </c>
      <c r="D46" s="2" t="s">
        <v>126</v>
      </c>
      <c r="J46" s="54"/>
      <c r="K46" s="54"/>
      <c r="L46" s="54"/>
      <c r="M46" s="23">
        <f>'3. Data inkoop TenneT'!M52</f>
        <v>14071663.559485372</v>
      </c>
      <c r="N46" s="23">
        <f>'3. Data inkoop TenneT'!N52</f>
        <v>18659138.865940556</v>
      </c>
      <c r="O46" s="23">
        <f>'3. Data inkoop TenneT'!O52</f>
        <v>25512234.847136974</v>
      </c>
      <c r="P46" s="23">
        <f>'3. Data inkoop TenneT'!P52</f>
        <v>32019124.552464109</v>
      </c>
    </row>
    <row r="47" spans="2:16" x14ac:dyDescent="0.2">
      <c r="B47" s="2" t="s">
        <v>132</v>
      </c>
      <c r="D47" s="2" t="s">
        <v>126</v>
      </c>
      <c r="J47" s="54"/>
      <c r="K47" s="54"/>
      <c r="L47" s="54"/>
      <c r="M47" s="23">
        <f>'3. Data inkoop TenneT'!M53</f>
        <v>54036.174890244474</v>
      </c>
      <c r="N47" s="23">
        <f>'3. Data inkoop TenneT'!N53</f>
        <v>56372.325861523786</v>
      </c>
      <c r="O47" s="23">
        <f>'3. Data inkoop TenneT'!O53</f>
        <v>58732.572832005615</v>
      </c>
      <c r="P47" s="23">
        <f>'3. Data inkoop TenneT'!P53</f>
        <v>61369.683890329157</v>
      </c>
    </row>
    <row r="48" spans="2:16" x14ac:dyDescent="0.2">
      <c r="B48" s="2" t="s">
        <v>133</v>
      </c>
      <c r="D48" s="2" t="s">
        <v>126</v>
      </c>
      <c r="J48" s="54"/>
      <c r="K48" s="54"/>
      <c r="L48" s="54"/>
      <c r="M48" s="23">
        <f>'3. Data inkoop TenneT'!M54</f>
        <v>2176085.1455300865</v>
      </c>
      <c r="N48" s="23">
        <f>'3. Data inkoop TenneT'!N54</f>
        <v>2603179.9051935268</v>
      </c>
      <c r="O48" s="23">
        <f>'3. Data inkoop TenneT'!O54</f>
        <v>3034679.891708801</v>
      </c>
      <c r="P48" s="23">
        <f>'3. Data inkoop TenneT'!P54</f>
        <v>3596675.0067941276</v>
      </c>
    </row>
    <row r="49" spans="2:16" x14ac:dyDescent="0.2">
      <c r="B49" s="52"/>
    </row>
    <row r="50" spans="2:16" x14ac:dyDescent="0.2">
      <c r="B50" s="53" t="s">
        <v>128</v>
      </c>
    </row>
    <row r="51" spans="2:16" x14ac:dyDescent="0.2">
      <c r="B51" s="2" t="s">
        <v>129</v>
      </c>
      <c r="D51" s="2" t="s">
        <v>126</v>
      </c>
      <c r="J51" s="54"/>
      <c r="K51" s="54"/>
      <c r="L51" s="54"/>
      <c r="M51" s="23">
        <f>'3. Data inkoop TenneT'!M57</f>
        <v>118.71492436439344</v>
      </c>
      <c r="N51" s="23">
        <f>'3. Data inkoop TenneT'!N57</f>
        <v>125.01763601361091</v>
      </c>
      <c r="O51" s="23">
        <f>'3. Data inkoop TenneT'!O57</f>
        <v>131.38535636164261</v>
      </c>
      <c r="P51" s="23">
        <f>'3. Data inkoop TenneT'!P57</f>
        <v>137.82787279929281</v>
      </c>
    </row>
    <row r="52" spans="2:16" x14ac:dyDescent="0.2">
      <c r="B52" s="2" t="s">
        <v>130</v>
      </c>
      <c r="D52" s="2" t="s">
        <v>126</v>
      </c>
      <c r="J52" s="54"/>
      <c r="K52" s="54"/>
      <c r="L52" s="54"/>
      <c r="M52" s="23">
        <f>'3. Data inkoop TenneT'!M58</f>
        <v>21122783.082966443</v>
      </c>
      <c r="N52" s="23">
        <f>'3. Data inkoop TenneT'!N58</f>
        <v>22157068.431738373</v>
      </c>
      <c r="O52" s="23">
        <f>'3. Data inkoop TenneT'!O58</f>
        <v>23202021.814916257</v>
      </c>
      <c r="P52" s="23">
        <f>'3. Data inkoop TenneT'!P58</f>
        <v>24302897.240949918</v>
      </c>
    </row>
    <row r="53" spans="2:16" x14ac:dyDescent="0.2">
      <c r="B53" s="2" t="s">
        <v>131</v>
      </c>
      <c r="D53" s="2" t="s">
        <v>126</v>
      </c>
      <c r="J53" s="54"/>
      <c r="K53" s="54"/>
      <c r="L53" s="54"/>
      <c r="M53" s="23">
        <f>'3. Data inkoop TenneT'!M59</f>
        <v>185775551.80288702</v>
      </c>
      <c r="N53" s="23">
        <f>'3. Data inkoop TenneT'!N59</f>
        <v>198918113.98154315</v>
      </c>
      <c r="O53" s="23">
        <f>'3. Data inkoop TenneT'!O59</f>
        <v>215050032.54672039</v>
      </c>
      <c r="P53" s="23">
        <f>'3. Data inkoop TenneT'!P59</f>
        <v>228834547.31267634</v>
      </c>
    </row>
    <row r="54" spans="2:16" x14ac:dyDescent="0.2">
      <c r="B54" s="2" t="s">
        <v>132</v>
      </c>
      <c r="D54" s="2" t="s">
        <v>126</v>
      </c>
      <c r="J54" s="54"/>
      <c r="K54" s="54"/>
      <c r="L54" s="54"/>
      <c r="M54" s="23">
        <f>'3. Data inkoop TenneT'!M60</f>
        <v>546234.75916076289</v>
      </c>
      <c r="N54" s="23">
        <f>'3. Data inkoop TenneT'!N60</f>
        <v>569850.17727190151</v>
      </c>
      <c r="O54" s="23">
        <f>'3. Data inkoop TenneT'!O60</f>
        <v>593709.17428824829</v>
      </c>
      <c r="P54" s="23">
        <f>'3. Data inkoop TenneT'!P60</f>
        <v>620366.903610309</v>
      </c>
    </row>
    <row r="55" spans="2:16" x14ac:dyDescent="0.2">
      <c r="B55" s="2" t="s">
        <v>133</v>
      </c>
      <c r="D55" s="2" t="s">
        <v>126</v>
      </c>
      <c r="J55" s="54"/>
      <c r="K55" s="54"/>
      <c r="L55" s="54"/>
      <c r="M55" s="23">
        <f>'3. Data inkoop TenneT'!M61</f>
        <v>3166311.7404954904</v>
      </c>
      <c r="N55" s="23">
        <f>'3. Data inkoop TenneT'!N61</f>
        <v>3303201.1902568196</v>
      </c>
      <c r="O55" s="23">
        <f>'3. Data inkoop TenneT'!O61</f>
        <v>3441502.5727711376</v>
      </c>
      <c r="P55" s="23">
        <f>'3. Data inkoop TenneT'!P61</f>
        <v>3596027.1245537205</v>
      </c>
    </row>
    <row r="57" spans="2:16" s="8" customFormat="1" x14ac:dyDescent="0.2">
      <c r="B57" s="8" t="s">
        <v>162</v>
      </c>
    </row>
    <row r="59" spans="2:16" x14ac:dyDescent="0.2">
      <c r="B59" s="53" t="s">
        <v>128</v>
      </c>
    </row>
    <row r="60" spans="2:16" x14ac:dyDescent="0.2">
      <c r="B60" s="2" t="s">
        <v>129</v>
      </c>
      <c r="D60" s="2" t="s">
        <v>88</v>
      </c>
      <c r="J60" s="54"/>
      <c r="K60" s="54"/>
      <c r="L60" s="54"/>
      <c r="M60" s="24">
        <f t="shared" ref="M60:P64" si="0" xml:space="preserve"> $L35 * M51</f>
        <v>327653.1912457259</v>
      </c>
      <c r="N60" s="24">
        <f t="shared" si="0"/>
        <v>345048.67539756611</v>
      </c>
      <c r="O60" s="24">
        <f t="shared" si="0"/>
        <v>362623.58355813357</v>
      </c>
      <c r="P60" s="24">
        <f t="shared" si="0"/>
        <v>380404.92892604816</v>
      </c>
    </row>
    <row r="61" spans="2:16" x14ac:dyDescent="0.2">
      <c r="B61" s="2" t="s">
        <v>130</v>
      </c>
      <c r="D61" s="2" t="s">
        <v>88</v>
      </c>
      <c r="J61" s="54"/>
      <c r="K61" s="54"/>
      <c r="L61" s="54"/>
      <c r="M61" s="24">
        <f t="shared" si="0"/>
        <v>1683485811.7124255</v>
      </c>
      <c r="N61" s="24">
        <f t="shared" si="0"/>
        <v>1765918354.0095484</v>
      </c>
      <c r="O61" s="24">
        <f t="shared" si="0"/>
        <v>1849201138.6488256</v>
      </c>
      <c r="P61" s="24">
        <f t="shared" si="0"/>
        <v>1936940910.1037085</v>
      </c>
    </row>
    <row r="62" spans="2:16" x14ac:dyDescent="0.2">
      <c r="B62" s="2" t="s">
        <v>131</v>
      </c>
      <c r="D62" s="2" t="s">
        <v>88</v>
      </c>
      <c r="J62" s="54"/>
      <c r="K62" s="54"/>
      <c r="L62" s="54"/>
      <c r="M62" s="24">
        <f t="shared" si="0"/>
        <v>1718423854.1767049</v>
      </c>
      <c r="N62" s="24">
        <f t="shared" si="0"/>
        <v>1839992554.3292742</v>
      </c>
      <c r="O62" s="24">
        <f t="shared" si="0"/>
        <v>1989212801.0571635</v>
      </c>
      <c r="P62" s="24">
        <f t="shared" si="0"/>
        <v>2116719562.6422563</v>
      </c>
    </row>
    <row r="63" spans="2:16" x14ac:dyDescent="0.2">
      <c r="B63" s="2" t="s">
        <v>132</v>
      </c>
      <c r="D63" s="2" t="s">
        <v>88</v>
      </c>
      <c r="J63" s="54"/>
      <c r="K63" s="54"/>
      <c r="L63" s="54"/>
      <c r="M63" s="24">
        <f t="shared" si="0"/>
        <v>21761992.804964792</v>
      </c>
      <c r="N63" s="24">
        <f t="shared" si="0"/>
        <v>22702831.062512554</v>
      </c>
      <c r="O63" s="24">
        <f t="shared" si="0"/>
        <v>23653373.503643811</v>
      </c>
      <c r="P63" s="24">
        <f t="shared" si="0"/>
        <v>24715417.43983471</v>
      </c>
    </row>
    <row r="64" spans="2:16" x14ac:dyDescent="0.2">
      <c r="B64" s="2" t="s">
        <v>133</v>
      </c>
      <c r="D64" s="2" t="s">
        <v>88</v>
      </c>
      <c r="J64" s="54"/>
      <c r="K64" s="54"/>
      <c r="L64" s="54"/>
      <c r="M64" s="24">
        <f t="shared" si="0"/>
        <v>10132197.569585569</v>
      </c>
      <c r="N64" s="24">
        <f t="shared" si="0"/>
        <v>10570243.808821823</v>
      </c>
      <c r="O64" s="24">
        <f t="shared" si="0"/>
        <v>11012808.232867641</v>
      </c>
      <c r="P64" s="24">
        <f t="shared" si="0"/>
        <v>11507286.798571907</v>
      </c>
    </row>
    <row r="66" spans="2:18" s="8" customFormat="1" x14ac:dyDescent="0.2">
      <c r="B66" s="8" t="s">
        <v>163</v>
      </c>
    </row>
    <row r="68" spans="2:18" x14ac:dyDescent="0.2">
      <c r="B68" s="2" t="s">
        <v>136</v>
      </c>
      <c r="D68" s="2" t="s">
        <v>86</v>
      </c>
      <c r="J68" s="54"/>
      <c r="K68" s="54"/>
      <c r="L68" s="54"/>
      <c r="M68" s="58">
        <f xml:space="preserve"> SUM(M52, M54) / SUM(M45, M47, M52, M54)</f>
        <v>0.95522459860876718</v>
      </c>
      <c r="N68" s="58">
        <f xml:space="preserve"> SUM(N52, N54) / SUM(N45, N47, N52, N54)</f>
        <v>0.95328955357975964</v>
      </c>
      <c r="O68" s="58">
        <f xml:space="preserve"> SUM(O52, O54) / SUM(O45, O47, O52, O54)</f>
        <v>0.95151618716567543</v>
      </c>
      <c r="P68" s="58">
        <f xml:space="preserve"> SUM(P52, P54) / SUM(P45, P47, P52, P54)</f>
        <v>0.94903140619247028</v>
      </c>
    </row>
    <row r="69" spans="2:18" x14ac:dyDescent="0.2">
      <c r="B69" s="2" t="s">
        <v>137</v>
      </c>
      <c r="D69" s="2" t="s">
        <v>88</v>
      </c>
      <c r="J69" s="54"/>
      <c r="K69" s="54"/>
      <c r="L69" s="54"/>
      <c r="M69" s="24">
        <f xml:space="preserve"> (SUM(M18:M19, M26:M26, M30:M30) - M27) * (1 - M68)</f>
        <v>129952579.50854601</v>
      </c>
      <c r="N69" s="24">
        <f xml:space="preserve"> (SUM(N18:N19, N26:N26, N30:N30) - N27) * (1 - N68)</f>
        <v>132903032.7271627</v>
      </c>
      <c r="O69" s="24">
        <f xml:space="preserve"> (SUM(O18:O19, O26:O26, O30:O30) - O27) * (1 - O68)</f>
        <v>155733546.30662552</v>
      </c>
      <c r="P69" s="24">
        <f xml:space="preserve"> (SUM(P18:P19, P26:P26, P30:P30) - P27) * (1 - P68)</f>
        <v>220608103.80691123</v>
      </c>
    </row>
    <row r="70" spans="2:18" x14ac:dyDescent="0.2">
      <c r="B70" s="2" t="s">
        <v>138</v>
      </c>
      <c r="D70" s="2" t="s">
        <v>88</v>
      </c>
      <c r="J70" s="54"/>
      <c r="K70" s="54"/>
      <c r="L70" s="54"/>
      <c r="M70" s="24">
        <f xml:space="preserve"> (SUM(M18:M19, M22:M23, M26:M26, M30:M30) - M27) - M69</f>
        <v>4152137056.9209328</v>
      </c>
      <c r="N70" s="24">
        <f xml:space="preserve"> (SUM(N18:N19, N22:N23, N26:N26, N30:N30) - N27) - N69</f>
        <v>4184833482.7653289</v>
      </c>
      <c r="O70" s="24">
        <f xml:space="preserve"> (SUM(O18:O19, O22:O23, O26:O26, O30:O30) - O27) - O69</f>
        <v>4799480112.3584976</v>
      </c>
      <c r="P70" s="24">
        <f xml:space="preserve"> (SUM(P18:P19, P22:P23, P26:P26, P30:P30) - P27) - P69</f>
        <v>6097943326.9337053</v>
      </c>
    </row>
    <row r="72" spans="2:18" x14ac:dyDescent="0.2">
      <c r="B72" s="2" t="s">
        <v>164</v>
      </c>
      <c r="D72" s="2" t="s">
        <v>86</v>
      </c>
      <c r="J72" s="54"/>
      <c r="K72" s="54"/>
      <c r="L72" s="54"/>
      <c r="M72" s="59">
        <f xml:space="preserve"> M70 / SUM(M60:M64) - 1</f>
        <v>0.20907922293866066</v>
      </c>
      <c r="N72" s="59">
        <f xml:space="preserve"> N70 / SUM(N60:N64) - 1</f>
        <v>0.14982830088794907</v>
      </c>
      <c r="O72" s="59">
        <f xml:space="preserve"> O70 / SUM(O60:O64) - 1</f>
        <v>0.23907346210850178</v>
      </c>
      <c r="P72" s="59">
        <f xml:space="preserve"> P70 / SUM(P60:P64) - 1</f>
        <v>0.49084361064116999</v>
      </c>
      <c r="R72" s="2" t="s">
        <v>265</v>
      </c>
    </row>
    <row r="77" spans="2:18" x14ac:dyDescent="0.2">
      <c r="B77" s="20" t="s">
        <v>69</v>
      </c>
    </row>
  </sheetData>
  <mergeCells count="4">
    <mergeCell ref="B5:D5"/>
    <mergeCell ref="B6:D6"/>
    <mergeCell ref="B7:D7"/>
    <mergeCell ref="B10:D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5855A-ED3C-48FA-9D6A-B3C25CF2DC00}">
  <sheetPr>
    <tabColor rgb="FFFFFFCC"/>
  </sheetPr>
  <dimension ref="A2:R52"/>
  <sheetViews>
    <sheetView showGridLines="0" zoomScale="85" zoomScaleNormal="85" workbookViewId="0">
      <pane xSplit="4" ySplit="13" topLeftCell="E14" activePane="bottomRight" state="frozen"/>
      <selection activeCell="E14" sqref="E14"/>
      <selection pane="topRight" activeCell="E14" sqref="E14"/>
      <selection pane="bottomLeft" activeCell="E14" sqref="E14"/>
      <selection pane="bottomRight" activeCell="E14" sqref="E14"/>
    </sheetView>
  </sheetViews>
  <sheetFormatPr defaultColWidth="9.140625" defaultRowHeight="12.75" x14ac:dyDescent="0.2"/>
  <cols>
    <col min="1" max="1" width="5.85546875" style="2" customWidth="1"/>
    <col min="2" max="2" width="83.1406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2" width="14" style="2" bestFit="1" customWidth="1"/>
    <col min="13" max="13" width="15.140625" style="2" customWidth="1"/>
    <col min="14" max="14" width="15.42578125" style="2" customWidth="1"/>
    <col min="15" max="16" width="17.140625" style="2" customWidth="1"/>
    <col min="17" max="17" width="2.85546875" style="2" customWidth="1"/>
    <col min="18" max="18" width="30.85546875" style="2" customWidth="1"/>
    <col min="19" max="32" width="13.85546875" style="2" customWidth="1"/>
    <col min="33" max="16384" width="9.140625" style="2"/>
  </cols>
  <sheetData>
    <row r="2" spans="1:18" s="12" customFormat="1" ht="18" x14ac:dyDescent="0.2">
      <c r="B2" s="12" t="s">
        <v>207</v>
      </c>
    </row>
    <row r="4" spans="1:18" x14ac:dyDescent="0.2">
      <c r="B4" s="19" t="s">
        <v>50</v>
      </c>
    </row>
    <row r="5" spans="1:18" ht="28.35" customHeight="1" x14ac:dyDescent="0.2">
      <c r="B5" s="72" t="s">
        <v>168</v>
      </c>
      <c r="C5" s="72"/>
      <c r="D5" s="72"/>
      <c r="F5" s="13"/>
    </row>
    <row r="6" spans="1:18" ht="56.1" customHeight="1" x14ac:dyDescent="0.2">
      <c r="B6" s="72" t="s">
        <v>202</v>
      </c>
      <c r="C6" s="72"/>
      <c r="D6" s="72"/>
      <c r="F6" s="13"/>
    </row>
    <row r="7" spans="1:18" ht="28.35" customHeight="1" x14ac:dyDescent="0.2">
      <c r="B7" s="72" t="s">
        <v>169</v>
      </c>
      <c r="C7" s="72"/>
      <c r="D7" s="72"/>
      <c r="F7" s="13"/>
    </row>
    <row r="8" spans="1:18" x14ac:dyDescent="0.2">
      <c r="F8" s="13"/>
    </row>
    <row r="9" spans="1:18" x14ac:dyDescent="0.2">
      <c r="B9" s="20" t="s">
        <v>25</v>
      </c>
      <c r="F9" s="13"/>
    </row>
    <row r="10" spans="1:18" x14ac:dyDescent="0.2">
      <c r="B10" s="2" t="s">
        <v>75</v>
      </c>
    </row>
    <row r="11" spans="1:18" ht="13.5" customHeight="1" x14ac:dyDescent="0.2"/>
    <row r="12" spans="1:18" s="8" customFormat="1" x14ac:dyDescent="0.2">
      <c r="B12" s="8" t="s">
        <v>39</v>
      </c>
      <c r="D12" s="8" t="s">
        <v>22</v>
      </c>
      <c r="F12" s="8" t="s">
        <v>23</v>
      </c>
      <c r="H12" s="8" t="s">
        <v>43</v>
      </c>
      <c r="J12" s="8" t="s">
        <v>143</v>
      </c>
      <c r="K12" s="8" t="s">
        <v>134</v>
      </c>
      <c r="L12" s="8" t="s">
        <v>95</v>
      </c>
      <c r="M12" s="8" t="s">
        <v>96</v>
      </c>
      <c r="N12" s="8" t="s">
        <v>97</v>
      </c>
      <c r="O12" s="8" t="s">
        <v>98</v>
      </c>
      <c r="P12" s="8" t="s">
        <v>99</v>
      </c>
      <c r="R12" s="8" t="s">
        <v>41</v>
      </c>
    </row>
    <row r="13" spans="1:18" x14ac:dyDescent="0.2">
      <c r="A13" s="56"/>
    </row>
    <row r="15" spans="1:18" s="8" customFormat="1" x14ac:dyDescent="0.2">
      <c r="B15" s="8" t="s">
        <v>170</v>
      </c>
    </row>
    <row r="17" spans="1:16" x14ac:dyDescent="0.2">
      <c r="A17" s="56"/>
      <c r="B17" s="1" t="s">
        <v>128</v>
      </c>
    </row>
    <row r="18" spans="1:16" x14ac:dyDescent="0.2">
      <c r="A18" s="56"/>
      <c r="B18" s="2" t="s">
        <v>129</v>
      </c>
      <c r="D18" s="2" t="s">
        <v>126</v>
      </c>
      <c r="J18" s="27"/>
      <c r="K18" s="27"/>
      <c r="L18" s="23">
        <f>'3. Data inkoop TenneT'!L17</f>
        <v>4</v>
      </c>
      <c r="M18" s="23">
        <f>'3. Data inkoop TenneT'!M17</f>
        <v>4</v>
      </c>
      <c r="N18" s="23">
        <f>'3. Data inkoop TenneT'!N17</f>
        <v>4</v>
      </c>
      <c r="O18" s="23">
        <f>'3. Data inkoop TenneT'!O17</f>
        <v>4</v>
      </c>
      <c r="P18" s="23">
        <f>'3. Data inkoop TenneT'!P17</f>
        <v>4</v>
      </c>
    </row>
    <row r="19" spans="1:16" x14ac:dyDescent="0.2">
      <c r="A19" s="56"/>
      <c r="B19" s="2" t="s">
        <v>130</v>
      </c>
      <c r="D19" s="2" t="s">
        <v>126</v>
      </c>
      <c r="J19" s="27"/>
      <c r="K19" s="27"/>
      <c r="L19" s="23">
        <f>'3. Data inkoop TenneT'!L18</f>
        <v>5524966.6535471464</v>
      </c>
      <c r="M19" s="23">
        <f>'3. Data inkoop TenneT'!M18</f>
        <v>5602395.8695129128</v>
      </c>
      <c r="N19" s="23">
        <f>'3. Data inkoop TenneT'!N18</f>
        <v>5676100.4576217644</v>
      </c>
      <c r="O19" s="23">
        <f>'3. Data inkoop TenneT'!O18</f>
        <v>5786830.7291869288</v>
      </c>
      <c r="P19" s="23">
        <f>'3. Data inkoop TenneT'!P18</f>
        <v>5877509.2164624073</v>
      </c>
    </row>
    <row r="20" spans="1:16" x14ac:dyDescent="0.2">
      <c r="A20" s="56"/>
      <c r="B20" s="2" t="s">
        <v>131</v>
      </c>
      <c r="D20" s="2" t="s">
        <v>126</v>
      </c>
      <c r="J20" s="27"/>
      <c r="K20" s="27"/>
      <c r="L20" s="23">
        <f>'3. Data inkoop TenneT'!L19</f>
        <v>50110856.850948073</v>
      </c>
      <c r="M20" s="23">
        <f>'3. Data inkoop TenneT'!M19</f>
        <v>50863939.260279872</v>
      </c>
      <c r="N20" s="23">
        <f>'3. Data inkoop TenneT'!N19</f>
        <v>51556592.164166406</v>
      </c>
      <c r="O20" s="23">
        <f>'3. Data inkoop TenneT'!O19</f>
        <v>52515695.448587149</v>
      </c>
      <c r="P20" s="23">
        <f>'3. Data inkoop TenneT'!P19</f>
        <v>53343420.836768337</v>
      </c>
    </row>
    <row r="21" spans="1:16" x14ac:dyDescent="0.2">
      <c r="A21" s="56"/>
    </row>
    <row r="22" spans="1:16" s="8" customFormat="1" x14ac:dyDescent="0.2">
      <c r="B22" s="8" t="s">
        <v>161</v>
      </c>
    </row>
    <row r="23" spans="1:16" x14ac:dyDescent="0.2">
      <c r="A23" s="56"/>
    </row>
    <row r="24" spans="1:16" x14ac:dyDescent="0.2">
      <c r="A24" s="56"/>
      <c r="B24" s="1" t="s">
        <v>128</v>
      </c>
    </row>
    <row r="25" spans="1:16" x14ac:dyDescent="0.2">
      <c r="A25" s="56"/>
      <c r="B25" s="2" t="s">
        <v>129</v>
      </c>
      <c r="D25" s="2" t="s">
        <v>88</v>
      </c>
      <c r="J25" s="27"/>
      <c r="K25" s="27"/>
      <c r="L25" s="65">
        <f>'3. Data inkoop TenneT'!L24</f>
        <v>2760</v>
      </c>
      <c r="M25" s="27"/>
      <c r="N25" s="27"/>
      <c r="O25" s="27"/>
      <c r="P25" s="27"/>
    </row>
    <row r="26" spans="1:16" x14ac:dyDescent="0.2">
      <c r="A26" s="56"/>
      <c r="B26" s="2" t="s">
        <v>130</v>
      </c>
      <c r="D26" s="2" t="s">
        <v>88</v>
      </c>
      <c r="J26" s="27"/>
      <c r="K26" s="27"/>
      <c r="L26" s="65">
        <f>'3. Data inkoop TenneT'!L25</f>
        <v>79.7</v>
      </c>
      <c r="M26" s="27"/>
      <c r="N26" s="27"/>
      <c r="O26" s="27"/>
      <c r="P26" s="27"/>
    </row>
    <row r="27" spans="1:16" x14ac:dyDescent="0.2">
      <c r="A27" s="56"/>
      <c r="B27" s="2" t="s">
        <v>131</v>
      </c>
      <c r="D27" s="2" t="s">
        <v>88</v>
      </c>
      <c r="J27" s="27"/>
      <c r="K27" s="27"/>
      <c r="L27" s="65">
        <f>'3. Data inkoop TenneT'!L26</f>
        <v>9.25</v>
      </c>
      <c r="M27" s="27"/>
      <c r="N27" s="27"/>
      <c r="O27" s="27"/>
      <c r="P27" s="27"/>
    </row>
    <row r="28" spans="1:16" x14ac:dyDescent="0.2">
      <c r="A28" s="56"/>
    </row>
    <row r="29" spans="1:16" s="8" customFormat="1" x14ac:dyDescent="0.2">
      <c r="B29" s="8" t="s">
        <v>171</v>
      </c>
    </row>
    <row r="30" spans="1:16" x14ac:dyDescent="0.2">
      <c r="A30" s="56"/>
    </row>
    <row r="31" spans="1:16" x14ac:dyDescent="0.2">
      <c r="A31" s="56"/>
      <c r="B31" s="2" t="s">
        <v>164</v>
      </c>
      <c r="D31" s="2" t="s">
        <v>86</v>
      </c>
      <c r="J31" s="27"/>
      <c r="K31" s="27"/>
      <c r="L31" s="27"/>
      <c r="M31" s="60">
        <f>'6. Proxy tariefstijging TenneT'!M72</f>
        <v>0.20907922293866066</v>
      </c>
      <c r="N31" s="60">
        <f>'6. Proxy tariefstijging TenneT'!N72</f>
        <v>0.14982830088794907</v>
      </c>
      <c r="O31" s="60">
        <f>'6. Proxy tariefstijging TenneT'!O72</f>
        <v>0.23907346210850178</v>
      </c>
      <c r="P31" s="60">
        <f>'6. Proxy tariefstijging TenneT'!P72</f>
        <v>0.49084361064116999</v>
      </c>
    </row>
    <row r="32" spans="1:16" x14ac:dyDescent="0.2">
      <c r="A32" s="56"/>
    </row>
    <row r="33" spans="1:16" s="8" customFormat="1" x14ac:dyDescent="0.2">
      <c r="B33" s="8" t="s">
        <v>172</v>
      </c>
    </row>
    <row r="34" spans="1:16" x14ac:dyDescent="0.2">
      <c r="A34" s="56"/>
    </row>
    <row r="35" spans="1:16" x14ac:dyDescent="0.2">
      <c r="A35" s="56"/>
      <c r="B35" s="2" t="s">
        <v>173</v>
      </c>
      <c r="D35" s="2" t="s">
        <v>88</v>
      </c>
      <c r="J35" s="23">
        <f>'3. Data inkoop TenneT'!J65</f>
        <v>14130297.92</v>
      </c>
    </row>
    <row r="36" spans="1:16" x14ac:dyDescent="0.2">
      <c r="A36" s="56"/>
    </row>
    <row r="37" spans="1:16" s="8" customFormat="1" x14ac:dyDescent="0.2">
      <c r="B37" s="8" t="s">
        <v>174</v>
      </c>
    </row>
    <row r="39" spans="1:16" x14ac:dyDescent="0.2">
      <c r="B39" s="1" t="s">
        <v>128</v>
      </c>
    </row>
    <row r="40" spans="1:16" x14ac:dyDescent="0.2">
      <c r="B40" s="2" t="s">
        <v>129</v>
      </c>
      <c r="D40" s="2" t="s">
        <v>88</v>
      </c>
      <c r="J40" s="27"/>
      <c r="K40" s="27"/>
      <c r="L40" s="24">
        <f>L18 * $L25</f>
        <v>11040</v>
      </c>
      <c r="M40" s="24">
        <f t="shared" ref="M40:P42" si="0" xml:space="preserve"> M18 * $L25 * (1 + M$31)</f>
        <v>13348.234621242813</v>
      </c>
      <c r="N40" s="24">
        <f t="shared" si="0"/>
        <v>12694.104441802958</v>
      </c>
      <c r="O40" s="24">
        <f t="shared" si="0"/>
        <v>13679.37102167786</v>
      </c>
      <c r="P40" s="24">
        <f t="shared" si="0"/>
        <v>16458.913461478518</v>
      </c>
    </row>
    <row r="41" spans="1:16" x14ac:dyDescent="0.2">
      <c r="B41" s="2" t="s">
        <v>130</v>
      </c>
      <c r="D41" s="2" t="s">
        <v>88</v>
      </c>
      <c r="J41" s="27"/>
      <c r="K41" s="27"/>
      <c r="L41" s="24">
        <f>L19 * $L26</f>
        <v>440339842.28770757</v>
      </c>
      <c r="M41" s="24">
        <f t="shared" si="0"/>
        <v>539867113.42708313</v>
      </c>
      <c r="N41" s="24">
        <f t="shared" si="0"/>
        <v>520165313.30506659</v>
      </c>
      <c r="O41" s="24">
        <f t="shared" si="0"/>
        <v>571473578.38408625</v>
      </c>
      <c r="P41" s="24">
        <f t="shared" si="0"/>
        <v>698367030.82925129</v>
      </c>
    </row>
    <row r="42" spans="1:16" x14ac:dyDescent="0.2">
      <c r="B42" s="2" t="s">
        <v>131</v>
      </c>
      <c r="D42" s="2" t="s">
        <v>88</v>
      </c>
      <c r="J42" s="27"/>
      <c r="K42" s="27"/>
      <c r="L42" s="24">
        <f>L20 * $L27</f>
        <v>463525425.8712697</v>
      </c>
      <c r="M42" s="24">
        <f t="shared" si="0"/>
        <v>568861422.44687045</v>
      </c>
      <c r="N42" s="24">
        <f t="shared" si="0"/>
        <v>548351366.10119176</v>
      </c>
      <c r="O42" s="24">
        <f t="shared" si="0"/>
        <v>601904942.31427824</v>
      </c>
      <c r="P42" s="24">
        <f t="shared" si="0"/>
        <v>735621957.649212</v>
      </c>
    </row>
    <row r="44" spans="1:16" s="8" customFormat="1" x14ac:dyDescent="0.2">
      <c r="B44" s="8" t="s">
        <v>175</v>
      </c>
    </row>
    <row r="46" spans="1:16" x14ac:dyDescent="0.2">
      <c r="B46" s="1" t="s">
        <v>139</v>
      </c>
    </row>
    <row r="47" spans="1:16" x14ac:dyDescent="0.2">
      <c r="B47" s="2" t="s">
        <v>139</v>
      </c>
      <c r="D47" s="2" t="s">
        <v>88</v>
      </c>
      <c r="J47" s="27"/>
      <c r="K47" s="27"/>
      <c r="L47" s="21">
        <f xml:space="preserve"> $J$35 + SUM(L40:L42)</f>
        <v>918006606.07897723</v>
      </c>
      <c r="M47" s="21">
        <f xml:space="preserve"> $J$35 + SUM(M40:M42)</f>
        <v>1122872182.0285749</v>
      </c>
      <c r="N47" s="21">
        <f t="shared" ref="N47:P47" si="1" xml:space="preserve"> $J$35 + SUM(N40:N42)</f>
        <v>1082659671.4307003</v>
      </c>
      <c r="O47" s="21">
        <f t="shared" si="1"/>
        <v>1187522497.9893861</v>
      </c>
      <c r="P47" s="21">
        <f t="shared" si="1"/>
        <v>1448135745.3119249</v>
      </c>
    </row>
    <row r="52" spans="2:2" x14ac:dyDescent="0.2">
      <c r="B52" s="20" t="s">
        <v>69</v>
      </c>
    </row>
  </sheetData>
  <mergeCells count="3">
    <mergeCell ref="B5:D5"/>
    <mergeCell ref="B6:D6"/>
    <mergeCell ref="B7:D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C8CD1-9256-4DE3-9A84-9C678E98EB91}">
  <sheetPr>
    <tabColor rgb="FFFFFFCC"/>
  </sheetPr>
  <dimension ref="A2:R24"/>
  <sheetViews>
    <sheetView showGridLines="0" zoomScale="85" zoomScaleNormal="85" workbookViewId="0">
      <pane xSplit="4" ySplit="12" topLeftCell="E13" activePane="bottomRight" state="frozen"/>
      <selection pane="topRight" activeCell="E1" sqref="E1"/>
      <selection pane="bottomLeft" activeCell="A15" sqref="A15"/>
      <selection pane="bottomRight" activeCell="E13" sqref="E13"/>
    </sheetView>
  </sheetViews>
  <sheetFormatPr defaultColWidth="9.140625" defaultRowHeight="12.75" x14ac:dyDescent="0.2"/>
  <cols>
    <col min="1" max="1" width="5.85546875" style="2" customWidth="1"/>
    <col min="2" max="2" width="83.140625" style="2" customWidth="1"/>
    <col min="3" max="3" width="5.8554687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1" width="13.85546875" style="2" customWidth="1"/>
    <col min="12" max="12" width="14" style="2" bestFit="1" customWidth="1"/>
    <col min="13" max="13" width="15.140625" style="2" customWidth="1"/>
    <col min="14" max="14" width="15.42578125" style="2" customWidth="1"/>
    <col min="15" max="16" width="17.140625" style="2" customWidth="1"/>
    <col min="17" max="17" width="2.85546875" style="2" customWidth="1"/>
    <col min="18" max="18" width="30.85546875" style="2" customWidth="1"/>
    <col min="19" max="32" width="13.85546875" style="2" customWidth="1"/>
    <col min="33" max="16384" width="9.140625" style="2"/>
  </cols>
  <sheetData>
    <row r="2" spans="1:18" s="12" customFormat="1" ht="18" x14ac:dyDescent="0.2">
      <c r="B2" s="12" t="s">
        <v>208</v>
      </c>
    </row>
    <row r="4" spans="1:18" x14ac:dyDescent="0.2">
      <c r="B4" s="19" t="s">
        <v>50</v>
      </c>
    </row>
    <row r="5" spans="1:18" ht="28.35" customHeight="1" x14ac:dyDescent="0.2">
      <c r="B5" s="72" t="s">
        <v>209</v>
      </c>
      <c r="C5" s="72"/>
      <c r="D5" s="72"/>
      <c r="F5" s="13"/>
    </row>
    <row r="6" spans="1:18" ht="33" customHeight="1" x14ac:dyDescent="0.2">
      <c r="B6" s="72" t="s">
        <v>210</v>
      </c>
      <c r="C6" s="72"/>
      <c r="D6" s="72"/>
      <c r="F6" s="13"/>
    </row>
    <row r="7" spans="1:18" ht="15.75" customHeight="1" x14ac:dyDescent="0.2">
      <c r="B7" s="72"/>
      <c r="C7" s="72"/>
      <c r="D7" s="72"/>
      <c r="F7" s="13"/>
    </row>
    <row r="8" spans="1:18" x14ac:dyDescent="0.2">
      <c r="B8" s="20" t="s">
        <v>25</v>
      </c>
      <c r="F8" s="13"/>
    </row>
    <row r="9" spans="1:18" x14ac:dyDescent="0.2">
      <c r="B9" s="2" t="s">
        <v>75</v>
      </c>
      <c r="F9" s="13"/>
    </row>
    <row r="11" spans="1:18" s="8" customFormat="1" x14ac:dyDescent="0.2">
      <c r="B11" s="8" t="s">
        <v>39</v>
      </c>
      <c r="D11" s="8" t="s">
        <v>22</v>
      </c>
      <c r="F11" s="8" t="s">
        <v>23</v>
      </c>
      <c r="H11" s="8" t="s">
        <v>43</v>
      </c>
      <c r="J11" s="8" t="s">
        <v>143</v>
      </c>
      <c r="K11" s="8" t="s">
        <v>134</v>
      </c>
      <c r="L11" s="8" t="s">
        <v>95</v>
      </c>
      <c r="M11" s="8" t="s">
        <v>96</v>
      </c>
      <c r="N11" s="8" t="s">
        <v>97</v>
      </c>
      <c r="O11" s="8" t="s">
        <v>98</v>
      </c>
      <c r="P11" s="8" t="s">
        <v>99</v>
      </c>
      <c r="R11" s="8" t="s">
        <v>41</v>
      </c>
    </row>
    <row r="12" spans="1:18" x14ac:dyDescent="0.2">
      <c r="A12" s="56"/>
    </row>
    <row r="13" spans="1:18" x14ac:dyDescent="0.2">
      <c r="A13" s="56"/>
    </row>
    <row r="14" spans="1:18" s="8" customFormat="1" x14ac:dyDescent="0.2">
      <c r="B14" s="8" t="s">
        <v>211</v>
      </c>
    </row>
    <row r="15" spans="1:18" x14ac:dyDescent="0.2">
      <c r="A15" s="56"/>
    </row>
    <row r="16" spans="1:18" x14ac:dyDescent="0.2">
      <c r="A16" s="56"/>
      <c r="B16" s="2" t="s">
        <v>206</v>
      </c>
      <c r="D16" s="2" t="s">
        <v>88</v>
      </c>
      <c r="J16" s="23">
        <f>'4. Data inkoop andere DSB'!J15</f>
        <v>1788281.05</v>
      </c>
      <c r="K16" s="63"/>
      <c r="L16" s="63"/>
      <c r="M16" s="63"/>
      <c r="N16" s="63"/>
      <c r="O16" s="63"/>
      <c r="P16" s="63"/>
    </row>
    <row r="17" spans="2:16" x14ac:dyDescent="0.2">
      <c r="B17" s="52"/>
    </row>
    <row r="18" spans="2:16" s="8" customFormat="1" x14ac:dyDescent="0.2">
      <c r="B18" s="8" t="s">
        <v>191</v>
      </c>
    </row>
    <row r="20" spans="2:16" x14ac:dyDescent="0.2">
      <c r="B20" s="1" t="s">
        <v>212</v>
      </c>
    </row>
    <row r="21" spans="2:16" x14ac:dyDescent="0.2">
      <c r="B21" s="2" t="s">
        <v>212</v>
      </c>
      <c r="D21" s="2" t="s">
        <v>88</v>
      </c>
      <c r="J21" s="27"/>
      <c r="K21" s="27"/>
      <c r="L21" s="21">
        <f>$J$16</f>
        <v>1788281.05</v>
      </c>
      <c r="M21" s="21">
        <f t="shared" ref="M21:P21" si="0">$J$16</f>
        <v>1788281.05</v>
      </c>
      <c r="N21" s="21">
        <f t="shared" si="0"/>
        <v>1788281.05</v>
      </c>
      <c r="O21" s="21">
        <f t="shared" si="0"/>
        <v>1788281.05</v>
      </c>
      <c r="P21" s="21">
        <f t="shared" si="0"/>
        <v>1788281.05</v>
      </c>
    </row>
    <row r="24" spans="2:16" x14ac:dyDescent="0.2">
      <c r="B24" s="20" t="s">
        <v>69</v>
      </c>
    </row>
  </sheetData>
  <mergeCells count="3">
    <mergeCell ref="B5:D5"/>
    <mergeCell ref="B6:D6"/>
    <mergeCell ref="B7:D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B2:R52"/>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65.8554687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4" width="13.85546875" style="2" customWidth="1"/>
    <col min="15" max="16" width="14.85546875" style="2" customWidth="1"/>
    <col min="17" max="17" width="2.7109375" style="2" customWidth="1"/>
    <col min="18" max="18" width="14.85546875" style="2" customWidth="1"/>
    <col min="19"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192</v>
      </c>
    </row>
    <row r="4" spans="2:18" x14ac:dyDescent="0.2">
      <c r="B4" s="19" t="s">
        <v>50</v>
      </c>
    </row>
    <row r="5" spans="2:18" ht="26.1" customHeight="1" x14ac:dyDescent="0.2">
      <c r="B5" s="72" t="s">
        <v>111</v>
      </c>
      <c r="C5" s="72"/>
      <c r="D5" s="72"/>
      <c r="F5" s="13"/>
    </row>
    <row r="6" spans="2:18" x14ac:dyDescent="0.2">
      <c r="F6" s="13"/>
    </row>
    <row r="7" spans="2:18" x14ac:dyDescent="0.2">
      <c r="B7" s="20" t="s">
        <v>25</v>
      </c>
      <c r="F7" s="13"/>
    </row>
    <row r="8" spans="2:18" ht="27.6" customHeight="1" x14ac:dyDescent="0.2">
      <c r="B8" s="72" t="s">
        <v>188</v>
      </c>
      <c r="C8" s="72"/>
      <c r="D8" s="72"/>
    </row>
    <row r="10" spans="2:18"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106</v>
      </c>
    </row>
    <row r="13" spans="2:18" s="8" customFormat="1" x14ac:dyDescent="0.2">
      <c r="B13" s="8" t="s">
        <v>42</v>
      </c>
    </row>
    <row r="15" spans="2:18" x14ac:dyDescent="0.2">
      <c r="B15" s="1" t="s">
        <v>112</v>
      </c>
    </row>
    <row r="16" spans="2:18" x14ac:dyDescent="0.2">
      <c r="B16" s="2" t="s">
        <v>109</v>
      </c>
      <c r="C16" s="2" t="s">
        <v>141</v>
      </c>
      <c r="D16" s="2" t="s">
        <v>88</v>
      </c>
      <c r="J16" s="27"/>
      <c r="K16" s="27"/>
      <c r="L16" s="23">
        <f>'5. Berekening kapitaalkosten'!L28</f>
        <v>588033706.98556125</v>
      </c>
      <c r="M16" s="23">
        <f>'5. Berekening kapitaalkosten'!M28</f>
        <v>703045382.86429155</v>
      </c>
      <c r="N16" s="23">
        <f>'5. Berekening kapitaalkosten'!N28</f>
        <v>842357715.22258854</v>
      </c>
      <c r="O16" s="23">
        <f>'5. Berekening kapitaalkosten'!O28</f>
        <v>997801239.76323712</v>
      </c>
      <c r="P16" s="23">
        <f>'5. Berekening kapitaalkosten'!P28</f>
        <v>1140880669.7483597</v>
      </c>
    </row>
    <row r="17" spans="2:16" x14ac:dyDescent="0.2">
      <c r="B17" s="2" t="s">
        <v>110</v>
      </c>
      <c r="C17" s="2" t="s">
        <v>141</v>
      </c>
      <c r="D17" s="2" t="s">
        <v>88</v>
      </c>
      <c r="J17" s="27"/>
      <c r="K17" s="27"/>
      <c r="L17" s="23">
        <f>'5. Berekening kapitaalkosten'!L29</f>
        <v>405006638.54875487</v>
      </c>
      <c r="M17" s="23">
        <f>'5. Berekening kapitaalkosten'!M29</f>
        <v>445084932.99230623</v>
      </c>
      <c r="N17" s="23">
        <f>'5. Berekening kapitaalkosten'!N29</f>
        <v>489977950.76302987</v>
      </c>
      <c r="O17" s="23">
        <f>'5. Berekening kapitaalkosten'!O29</f>
        <v>542892539.55680668</v>
      </c>
      <c r="P17" s="23">
        <f>'5. Berekening kapitaalkosten'!P29</f>
        <v>604897942.68572521</v>
      </c>
    </row>
    <row r="19" spans="2:16" x14ac:dyDescent="0.2">
      <c r="B19" s="2" t="s">
        <v>109</v>
      </c>
      <c r="C19" s="2" t="s">
        <v>94</v>
      </c>
      <c r="D19" s="2" t="s">
        <v>88</v>
      </c>
      <c r="J19" s="27"/>
      <c r="K19" s="27"/>
      <c r="L19" s="23">
        <f>'5. Berekening kapitaalkosten'!L31</f>
        <v>14658008.943216356</v>
      </c>
      <c r="M19" s="23">
        <f>'5. Berekening kapitaalkosten'!M31</f>
        <v>17346926.602439947</v>
      </c>
      <c r="N19" s="23">
        <f>'5. Berekening kapitaalkosten'!N31</f>
        <v>20463042.702662192</v>
      </c>
      <c r="O19" s="23">
        <f>'5. Berekening kapitaalkosten'!O31</f>
        <v>24155599.816373799</v>
      </c>
      <c r="P19" s="23">
        <f>'5. Berekening kapitaalkosten'!P31</f>
        <v>26883344.020647082</v>
      </c>
    </row>
    <row r="20" spans="2:16" x14ac:dyDescent="0.2">
      <c r="B20" s="2" t="s">
        <v>110</v>
      </c>
      <c r="C20" s="2" t="s">
        <v>94</v>
      </c>
      <c r="D20" s="2" t="s">
        <v>88</v>
      </c>
      <c r="J20" s="27"/>
      <c r="K20" s="27"/>
      <c r="L20" s="23">
        <f>'5. Berekening kapitaalkosten'!L32</f>
        <v>47785783.452993892</v>
      </c>
      <c r="M20" s="23">
        <f>'5. Berekening kapitaalkosten'!M32</f>
        <v>45352363.213996306</v>
      </c>
      <c r="N20" s="23">
        <f>'5. Berekening kapitaalkosten'!N32</f>
        <v>43393445.172866598</v>
      </c>
      <c r="O20" s="23">
        <f>'5. Berekening kapitaalkosten'!O32</f>
        <v>41265373.975615099</v>
      </c>
      <c r="P20" s="23">
        <f>'5. Berekening kapitaalkosten'!P32</f>
        <v>40206262.625674918</v>
      </c>
    </row>
    <row r="22" spans="2:16" x14ac:dyDescent="0.2">
      <c r="B22" s="1" t="s">
        <v>100</v>
      </c>
    </row>
    <row r="23" spans="2:16" x14ac:dyDescent="0.2">
      <c r="B23" s="26" t="s">
        <v>101</v>
      </c>
      <c r="C23" s="2" t="s">
        <v>92</v>
      </c>
      <c r="D23" s="2" t="s">
        <v>88</v>
      </c>
      <c r="J23" s="27"/>
      <c r="K23" s="27"/>
      <c r="L23" s="23">
        <f>'2. Brondata'!L27</f>
        <v>180649783.91153219</v>
      </c>
      <c r="M23" s="23">
        <f>'2. Brondata'!M27</f>
        <v>180510289.81429723</v>
      </c>
      <c r="N23" s="23">
        <f>'2. Brondata'!N27</f>
        <v>188370495.61058319</v>
      </c>
      <c r="O23" s="23">
        <f>'2. Brondata'!O27</f>
        <v>202797905.52279484</v>
      </c>
      <c r="P23" s="23">
        <f>'2. Brondata'!P27</f>
        <v>213293863.63325074</v>
      </c>
    </row>
    <row r="24" spans="2:16" x14ac:dyDescent="0.2">
      <c r="L24" s="47"/>
      <c r="M24" s="47"/>
      <c r="N24" s="47"/>
      <c r="O24" s="47"/>
      <c r="P24" s="47"/>
    </row>
    <row r="25" spans="2:16" x14ac:dyDescent="0.2">
      <c r="B25" s="26" t="s">
        <v>101</v>
      </c>
      <c r="C25" s="2" t="s">
        <v>93</v>
      </c>
      <c r="D25" s="2" t="s">
        <v>88</v>
      </c>
      <c r="J25" s="27"/>
      <c r="K25" s="27"/>
      <c r="L25" s="23">
        <f>'2. Brondata'!L29</f>
        <v>1027280074.7674837</v>
      </c>
      <c r="M25" s="23">
        <f>'2. Brondata'!M29</f>
        <v>1082108925.3549275</v>
      </c>
      <c r="N25" s="23">
        <f>'2. Brondata'!N29</f>
        <v>1124418886.0652266</v>
      </c>
      <c r="O25" s="23">
        <f>'2. Brondata'!O29</f>
        <v>1162456437.795131</v>
      </c>
      <c r="P25" s="23">
        <f>'2. Brondata'!P29</f>
        <v>1195122026.8189292</v>
      </c>
    </row>
    <row r="26" spans="2:16" x14ac:dyDescent="0.2">
      <c r="B26" s="26" t="s">
        <v>102</v>
      </c>
      <c r="C26" s="2" t="s">
        <v>93</v>
      </c>
      <c r="D26" s="2" t="s">
        <v>88</v>
      </c>
      <c r="J26" s="27"/>
      <c r="K26" s="27"/>
      <c r="L26" s="23">
        <f>'2. Brondata'!L30</f>
        <v>119708490.79039326</v>
      </c>
      <c r="M26" s="23">
        <f>'2. Brondata'!M30</f>
        <v>116501067.51803344</v>
      </c>
      <c r="N26" s="23">
        <f>'2. Brondata'!N30</f>
        <v>115603668.34815343</v>
      </c>
      <c r="O26" s="23">
        <f>'2. Brondata'!O30</f>
        <v>117341278</v>
      </c>
      <c r="P26" s="23">
        <f>'2. Brondata'!P30</f>
        <v>117889438</v>
      </c>
    </row>
    <row r="27" spans="2:16" x14ac:dyDescent="0.2">
      <c r="B27" s="26" t="s">
        <v>176</v>
      </c>
      <c r="C27" s="2" t="s">
        <v>93</v>
      </c>
      <c r="D27" s="2" t="s">
        <v>88</v>
      </c>
      <c r="J27" s="27"/>
      <c r="K27" s="27"/>
      <c r="L27" s="23">
        <f>'7. Inkoop transport TenneT'!L47</f>
        <v>918006606.07897723</v>
      </c>
      <c r="M27" s="23">
        <f>'7. Inkoop transport TenneT'!M47</f>
        <v>1122872182.0285749</v>
      </c>
      <c r="N27" s="23">
        <f>'7. Inkoop transport TenneT'!N47</f>
        <v>1082659671.4307003</v>
      </c>
      <c r="O27" s="23">
        <f>'7. Inkoop transport TenneT'!O47</f>
        <v>1187522497.9893861</v>
      </c>
      <c r="P27" s="23">
        <f>'7. Inkoop transport TenneT'!P47</f>
        <v>1448135745.3119249</v>
      </c>
    </row>
    <row r="28" spans="2:16" x14ac:dyDescent="0.2">
      <c r="B28" s="26" t="s">
        <v>213</v>
      </c>
      <c r="C28" s="2" t="s">
        <v>93</v>
      </c>
      <c r="D28" s="2" t="s">
        <v>88</v>
      </c>
      <c r="J28" s="27"/>
      <c r="K28" s="27"/>
      <c r="L28" s="23">
        <f>'8. Inkoop transport andere DSB'!L21</f>
        <v>1788281.05</v>
      </c>
      <c r="M28" s="23">
        <f>'8. Inkoop transport andere DSB'!M21</f>
        <v>1788281.05</v>
      </c>
      <c r="N28" s="23">
        <f>'8. Inkoop transport andere DSB'!N21</f>
        <v>1788281.05</v>
      </c>
      <c r="O28" s="23">
        <f>'8. Inkoop transport andere DSB'!O21</f>
        <v>1788281.05</v>
      </c>
      <c r="P28" s="23">
        <f>'8. Inkoop transport andere DSB'!P21</f>
        <v>1788281.05</v>
      </c>
    </row>
    <row r="30" spans="2:16" x14ac:dyDescent="0.2">
      <c r="B30" s="26" t="s">
        <v>101</v>
      </c>
      <c r="C30" s="2" t="s">
        <v>94</v>
      </c>
      <c r="D30" s="2" t="s">
        <v>88</v>
      </c>
      <c r="J30" s="27"/>
      <c r="K30" s="27"/>
      <c r="L30" s="23">
        <f>'2. Brondata'!L32</f>
        <v>46807918.501626484</v>
      </c>
      <c r="M30" s="23">
        <f>'2. Brondata'!M32</f>
        <v>47103435.505020954</v>
      </c>
      <c r="N30" s="23">
        <f>'2. Brondata'!N32</f>
        <v>48045504.215121374</v>
      </c>
      <c r="O30" s="23">
        <f>'2. Brondata'!O32</f>
        <v>49006414.299423799</v>
      </c>
      <c r="P30" s="23">
        <f>'2. Brondata'!P32</f>
        <v>49986542.585412279</v>
      </c>
    </row>
    <row r="32" spans="2:16" x14ac:dyDescent="0.2">
      <c r="B32" s="1" t="s">
        <v>103</v>
      </c>
    </row>
    <row r="33" spans="2:18" x14ac:dyDescent="0.2">
      <c r="B33" s="2" t="s">
        <v>104</v>
      </c>
      <c r="C33" s="2" t="s">
        <v>92</v>
      </c>
      <c r="D33" s="2" t="s">
        <v>88</v>
      </c>
      <c r="J33" s="27"/>
      <c r="K33" s="27"/>
      <c r="L33" s="23">
        <f>'2. Brondata'!L36</f>
        <v>36265927.687772803</v>
      </c>
      <c r="M33" s="23">
        <f>'2. Brondata'!M36</f>
        <v>36989542.856876969</v>
      </c>
      <c r="N33" s="23">
        <f>'2. Brondata'!N36</f>
        <v>38395163.244566612</v>
      </c>
      <c r="O33" s="23">
        <f>'2. Brondata'!O36</f>
        <v>40004609.655726232</v>
      </c>
      <c r="P33" s="23">
        <f>'2. Brondata'!P36</f>
        <v>40438833.397510678</v>
      </c>
    </row>
    <row r="35" spans="2:18" x14ac:dyDescent="0.2">
      <c r="B35" s="2" t="s">
        <v>104</v>
      </c>
      <c r="C35" s="2" t="s">
        <v>93</v>
      </c>
      <c r="D35" s="2" t="s">
        <v>88</v>
      </c>
      <c r="J35" s="27"/>
      <c r="K35" s="27"/>
      <c r="L35" s="23">
        <f>'2. Brondata'!L38</f>
        <v>34287278.242661402</v>
      </c>
      <c r="M35" s="23">
        <f>'2. Brondata'!M38</f>
        <v>34971413.358610757</v>
      </c>
      <c r="N35" s="23">
        <f>'2. Brondata'!N38</f>
        <v>36300343.856437817</v>
      </c>
      <c r="O35" s="23">
        <f>'2. Brondata'!O38</f>
        <v>37821979.739881329</v>
      </c>
      <c r="P35" s="23">
        <f>'2. Brondata'!P38</f>
        <v>38232512.468626395</v>
      </c>
    </row>
    <row r="37" spans="2:18" x14ac:dyDescent="0.2">
      <c r="B37" s="2" t="s">
        <v>104</v>
      </c>
      <c r="C37" s="2" t="s">
        <v>94</v>
      </c>
      <c r="D37" s="2" t="s">
        <v>88</v>
      </c>
      <c r="J37" s="27"/>
      <c r="K37" s="27"/>
      <c r="L37" s="23">
        <f>'2. Brondata'!L40</f>
        <v>1355726.6524114728</v>
      </c>
      <c r="M37" s="23">
        <f>'2. Brondata'!M40</f>
        <v>1382777.5079497558</v>
      </c>
      <c r="N37" s="23">
        <f>'2. Brondata'!N40</f>
        <v>1435323.7171401051</v>
      </c>
      <c r="O37" s="23">
        <f>'2. Brondata'!O40</f>
        <v>1495489.5403894782</v>
      </c>
      <c r="P37" s="23">
        <f>'2. Brondata'!P40</f>
        <v>1511722.0963278029</v>
      </c>
    </row>
    <row r="38" spans="2:18" x14ac:dyDescent="0.2">
      <c r="J38" s="47"/>
      <c r="K38" s="47"/>
      <c r="L38" s="47"/>
      <c r="M38" s="47"/>
      <c r="N38" s="47"/>
    </row>
    <row r="39" spans="2:18" s="8" customFormat="1" x14ac:dyDescent="0.2">
      <c r="B39" s="8" t="s">
        <v>113</v>
      </c>
    </row>
    <row r="41" spans="2:18" x14ac:dyDescent="0.2">
      <c r="B41" s="19" t="s">
        <v>113</v>
      </c>
    </row>
    <row r="42" spans="2:18" x14ac:dyDescent="0.2">
      <c r="B42" s="26" t="s">
        <v>114</v>
      </c>
      <c r="C42" s="2" t="s">
        <v>141</v>
      </c>
      <c r="D42" s="2" t="s">
        <v>88</v>
      </c>
      <c r="J42" s="27"/>
      <c r="K42" s="27"/>
      <c r="L42" s="24">
        <f xml:space="preserve"> SUM(L16, L17, L23, L25, L26, L27, L28)</f>
        <v>3240473582.1327028</v>
      </c>
      <c r="M42" s="24">
        <f t="shared" ref="M42:P42" si="0" xml:space="preserve"> SUM(M16, M17, M23, M25, M26, M27, M28)</f>
        <v>3651911061.6224313</v>
      </c>
      <c r="N42" s="24">
        <f t="shared" si="0"/>
        <v>3845176668.4902821</v>
      </c>
      <c r="O42" s="24">
        <f t="shared" si="0"/>
        <v>4212600179.6773562</v>
      </c>
      <c r="P42" s="24">
        <f t="shared" si="0"/>
        <v>4722007967.2481899</v>
      </c>
      <c r="R42" s="15">
        <v>3</v>
      </c>
    </row>
    <row r="43" spans="2:18" x14ac:dyDescent="0.2">
      <c r="B43" s="26" t="s">
        <v>115</v>
      </c>
      <c r="C43" s="2" t="s">
        <v>141</v>
      </c>
      <c r="D43" s="2" t="s">
        <v>88</v>
      </c>
      <c r="J43" s="27"/>
      <c r="K43" s="27"/>
      <c r="L43" s="24">
        <f xml:space="preserve"> L42 - L33 - L35</f>
        <v>3169920376.2022686</v>
      </c>
      <c r="M43" s="24">
        <f xml:space="preserve"> M42 - M33 - M35</f>
        <v>3579950105.4069438</v>
      </c>
      <c r="N43" s="24">
        <f xml:space="preserve"> N42 - N33 - N35</f>
        <v>3770481161.3892779</v>
      </c>
      <c r="O43" s="24">
        <f xml:space="preserve"> O42 - O33 - O35</f>
        <v>4134773590.2817483</v>
      </c>
      <c r="P43" s="24">
        <f xml:space="preserve"> P42 - P33 - P35</f>
        <v>4643336621.3820534</v>
      </c>
      <c r="R43" s="15" t="s">
        <v>116</v>
      </c>
    </row>
    <row r="44" spans="2:18" x14ac:dyDescent="0.2">
      <c r="R44" s="15"/>
    </row>
    <row r="45" spans="2:18" x14ac:dyDescent="0.2">
      <c r="B45" s="26" t="s">
        <v>114</v>
      </c>
      <c r="C45" s="2" t="s">
        <v>94</v>
      </c>
      <c r="D45" s="2" t="s">
        <v>88</v>
      </c>
      <c r="J45" s="27"/>
      <c r="K45" s="27"/>
      <c r="L45" s="24">
        <f xml:space="preserve"> SUM(L19, L20, L30)</f>
        <v>109251710.89783673</v>
      </c>
      <c r="M45" s="24">
        <f xml:space="preserve"> SUM(M19, M20, M30)</f>
        <v>109802725.32145721</v>
      </c>
      <c r="N45" s="24">
        <f xml:space="preserve"> SUM(N19, N20, N30)</f>
        <v>111901992.09065017</v>
      </c>
      <c r="O45" s="24">
        <f xml:space="preserve"> SUM(O19, O20, O30)</f>
        <v>114427388.09141269</v>
      </c>
      <c r="P45" s="24">
        <f xml:space="preserve"> SUM(P19, P20, P30)</f>
        <v>117076149.23173428</v>
      </c>
      <c r="R45" s="15">
        <v>3</v>
      </c>
    </row>
    <row r="46" spans="2:18" x14ac:dyDescent="0.2">
      <c r="B46" s="26" t="s">
        <v>115</v>
      </c>
      <c r="C46" s="2" t="s">
        <v>94</v>
      </c>
      <c r="D46" s="2" t="s">
        <v>88</v>
      </c>
      <c r="J46" s="27"/>
      <c r="K46" s="27"/>
      <c r="L46" s="24">
        <f>L45-L37</f>
        <v>107895984.24542525</v>
      </c>
      <c r="M46" s="24">
        <f>M45-M37</f>
        <v>108419947.81350745</v>
      </c>
      <c r="N46" s="24">
        <f>N45-N37</f>
        <v>110466668.37351006</v>
      </c>
      <c r="O46" s="24">
        <f>O45-O37</f>
        <v>112931898.55102322</v>
      </c>
      <c r="P46" s="24">
        <f>P45-P37</f>
        <v>115564427.13540648</v>
      </c>
      <c r="R46" s="15" t="s">
        <v>116</v>
      </c>
    </row>
    <row r="48" spans="2:18" x14ac:dyDescent="0.2">
      <c r="B48" s="26" t="s">
        <v>117</v>
      </c>
      <c r="D48" s="2" t="s">
        <v>88</v>
      </c>
      <c r="J48" s="27"/>
      <c r="K48" s="27"/>
      <c r="L48" s="21">
        <f>L43 + L46</f>
        <v>3277816360.4476938</v>
      </c>
      <c r="M48" s="21">
        <f t="shared" ref="M48:P48" si="1">M43 + M46</f>
        <v>3688370053.2204514</v>
      </c>
      <c r="N48" s="21">
        <f>N43 + N46</f>
        <v>3880947829.7627878</v>
      </c>
      <c r="O48" s="21">
        <f t="shared" si="1"/>
        <v>4247705488.8327713</v>
      </c>
      <c r="P48" s="21">
        <f t="shared" si="1"/>
        <v>4758901048.5174599</v>
      </c>
    </row>
    <row r="52" spans="2:2" x14ac:dyDescent="0.2">
      <c r="B52" s="20" t="s">
        <v>69</v>
      </c>
    </row>
  </sheetData>
  <mergeCells count="2">
    <mergeCell ref="B5:D5"/>
    <mergeCell ref="B8: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M67"/>
  <sheetViews>
    <sheetView showGridLines="0" zoomScale="85" zoomScaleNormal="85" workbookViewId="0">
      <pane ySplit="3" topLeftCell="A4" activePane="bottomLeft" state="frozen"/>
      <selection activeCell="O39" sqref="O39"/>
      <selection pane="bottomLeft" activeCell="A4" sqref="A4"/>
    </sheetView>
  </sheetViews>
  <sheetFormatPr defaultColWidth="9.140625" defaultRowHeight="12.75" x14ac:dyDescent="0.2"/>
  <cols>
    <col min="1" max="1" width="5.85546875" style="2" customWidth="1"/>
    <col min="2" max="2" width="35.140625" style="2" customWidth="1"/>
    <col min="3" max="3" width="2.85546875" style="2" customWidth="1"/>
    <col min="4" max="4" width="30.85546875" style="2" customWidth="1"/>
    <col min="5" max="5" width="2.85546875" style="2" customWidth="1"/>
    <col min="6" max="6" width="13.85546875" style="2" customWidth="1"/>
    <col min="7" max="7" width="2.85546875" style="2" customWidth="1"/>
    <col min="8" max="8" width="30.85546875" style="2" customWidth="1"/>
    <col min="9" max="9" width="2.85546875" style="2" customWidth="1"/>
    <col min="10" max="10" width="13.85546875" style="2" customWidth="1"/>
    <col min="11" max="11" width="2.85546875" style="2" customWidth="1"/>
    <col min="12" max="12" width="30.85546875" style="2" customWidth="1"/>
    <col min="13" max="13" width="2.85546875" style="2" customWidth="1"/>
    <col min="14" max="16384" width="9.140625" style="2"/>
  </cols>
  <sheetData>
    <row r="2" spans="2:13" s="7" customFormat="1" ht="18" x14ac:dyDescent="0.2">
      <c r="B2" s="7" t="s">
        <v>47</v>
      </c>
    </row>
    <row r="5" spans="2:13" s="8" customFormat="1" x14ac:dyDescent="0.2">
      <c r="B5" s="8" t="s">
        <v>13</v>
      </c>
    </row>
    <row r="7" spans="2:13" x14ac:dyDescent="0.2">
      <c r="B7" s="2" t="s">
        <v>267</v>
      </c>
    </row>
    <row r="9" spans="2:13" s="8" customFormat="1" x14ac:dyDescent="0.2">
      <c r="B9" s="8" t="s">
        <v>53</v>
      </c>
    </row>
    <row r="11" spans="2:13" x14ac:dyDescent="0.2">
      <c r="B11" s="2" t="s">
        <v>78</v>
      </c>
    </row>
    <row r="13" spans="2:13" x14ac:dyDescent="0.2">
      <c r="D13" s="28" t="s">
        <v>79</v>
      </c>
      <c r="E13" s="28"/>
      <c r="F13" s="28"/>
      <c r="G13" s="28"/>
      <c r="H13" s="28" t="s">
        <v>80</v>
      </c>
      <c r="I13" s="28"/>
      <c r="J13" s="28"/>
      <c r="K13" s="28"/>
      <c r="L13" s="28" t="s">
        <v>28</v>
      </c>
    </row>
    <row r="14" spans="2:13" x14ac:dyDescent="0.2">
      <c r="C14" s="29"/>
      <c r="D14" s="29"/>
      <c r="E14" s="29"/>
    </row>
    <row r="15" spans="2:13" x14ac:dyDescent="0.2">
      <c r="B15" s="64"/>
      <c r="C15" s="31"/>
      <c r="D15" s="32"/>
      <c r="E15" s="33"/>
      <c r="G15" s="31"/>
      <c r="H15" s="32"/>
      <c r="I15" s="33"/>
      <c r="K15" s="31"/>
      <c r="L15" s="32"/>
      <c r="M15" s="33"/>
    </row>
    <row r="16" spans="2:13" x14ac:dyDescent="0.2">
      <c r="B16" s="30"/>
      <c r="C16" s="34"/>
      <c r="D16" s="35" t="s">
        <v>81</v>
      </c>
      <c r="E16" s="36"/>
      <c r="G16" s="34"/>
      <c r="H16" s="37" t="s">
        <v>194</v>
      </c>
      <c r="I16" s="36"/>
      <c r="K16" s="34"/>
      <c r="L16" s="38" t="s">
        <v>82</v>
      </c>
      <c r="M16" s="36"/>
    </row>
    <row r="17" spans="2:13" x14ac:dyDescent="0.2">
      <c r="B17" s="30"/>
      <c r="C17" s="39"/>
      <c r="D17" s="40"/>
      <c r="E17" s="41"/>
      <c r="G17" s="42"/>
      <c r="H17" s="40"/>
      <c r="I17" s="43"/>
      <c r="K17" s="39"/>
      <c r="L17" s="40"/>
      <c r="M17" s="41"/>
    </row>
    <row r="20" spans="2:13" x14ac:dyDescent="0.2">
      <c r="C20" s="31"/>
      <c r="D20" s="32"/>
      <c r="E20" s="33"/>
      <c r="G20" s="31"/>
      <c r="H20" s="32"/>
      <c r="I20" s="33"/>
    </row>
    <row r="21" spans="2:13" x14ac:dyDescent="0.2">
      <c r="C21" s="34"/>
      <c r="D21" s="35" t="s">
        <v>177</v>
      </c>
      <c r="E21" s="36"/>
      <c r="G21" s="34"/>
      <c r="H21" s="37" t="s">
        <v>195</v>
      </c>
      <c r="I21" s="36"/>
    </row>
    <row r="22" spans="2:13" x14ac:dyDescent="0.2">
      <c r="C22" s="39"/>
      <c r="D22" s="40"/>
      <c r="E22" s="41"/>
      <c r="G22" s="39"/>
      <c r="H22" s="40"/>
      <c r="I22" s="41"/>
    </row>
    <row r="25" spans="2:13" x14ac:dyDescent="0.2">
      <c r="B25" s="5"/>
      <c r="C25" s="31"/>
      <c r="D25" s="32"/>
      <c r="E25" s="33"/>
      <c r="G25" s="31"/>
      <c r="H25" s="32"/>
      <c r="I25" s="33"/>
    </row>
    <row r="26" spans="2:13" x14ac:dyDescent="0.2">
      <c r="C26" s="34"/>
      <c r="D26" s="35" t="s">
        <v>196</v>
      </c>
      <c r="E26" s="36"/>
      <c r="G26" s="34"/>
      <c r="H26" s="37" t="s">
        <v>197</v>
      </c>
      <c r="I26" s="36"/>
    </row>
    <row r="27" spans="2:13" x14ac:dyDescent="0.2">
      <c r="C27" s="39"/>
      <c r="D27" s="40"/>
      <c r="E27" s="41"/>
      <c r="G27" s="39"/>
      <c r="H27" s="40"/>
      <c r="I27" s="41"/>
    </row>
    <row r="30" spans="2:13" x14ac:dyDescent="0.2">
      <c r="G30" s="31"/>
      <c r="H30" s="32"/>
      <c r="I30" s="33"/>
    </row>
    <row r="31" spans="2:13" x14ac:dyDescent="0.2">
      <c r="G31" s="34"/>
      <c r="H31" s="37" t="s">
        <v>198</v>
      </c>
      <c r="I31" s="36"/>
    </row>
    <row r="32" spans="2:13" x14ac:dyDescent="0.2">
      <c r="G32" s="39"/>
      <c r="H32" s="40"/>
      <c r="I32" s="41"/>
    </row>
    <row r="35" spans="2:9" x14ac:dyDescent="0.2">
      <c r="G35" s="31"/>
      <c r="H35" s="32"/>
      <c r="I35" s="33"/>
    </row>
    <row r="36" spans="2:9" x14ac:dyDescent="0.2">
      <c r="G36" s="34"/>
      <c r="H36" s="37" t="s">
        <v>199</v>
      </c>
      <c r="I36" s="36"/>
    </row>
    <row r="37" spans="2:9" x14ac:dyDescent="0.2">
      <c r="G37" s="39"/>
      <c r="H37" s="40"/>
      <c r="I37" s="41"/>
    </row>
    <row r="43" spans="2:9" s="8" customFormat="1" x14ac:dyDescent="0.2">
      <c r="B43" s="8" t="s">
        <v>14</v>
      </c>
    </row>
    <row r="45" spans="2:9" x14ac:dyDescent="0.2">
      <c r="B45" s="19" t="s">
        <v>33</v>
      </c>
      <c r="D45" s="19" t="s">
        <v>15</v>
      </c>
      <c r="F45" s="5"/>
    </row>
    <row r="47" spans="2:9" x14ac:dyDescent="0.2">
      <c r="B47" s="22">
        <v>123</v>
      </c>
      <c r="D47" s="2" t="s">
        <v>61</v>
      </c>
    </row>
    <row r="48" spans="2:9" x14ac:dyDescent="0.2">
      <c r="B48" s="23">
        <f>B47</f>
        <v>123</v>
      </c>
      <c r="D48" s="2" t="s">
        <v>16</v>
      </c>
    </row>
    <row r="49" spans="2:6" x14ac:dyDescent="0.2">
      <c r="B49" s="24">
        <f>B48+B47</f>
        <v>246</v>
      </c>
      <c r="D49" s="2" t="s">
        <v>17</v>
      </c>
    </row>
    <row r="50" spans="2:6" x14ac:dyDescent="0.2">
      <c r="B50" s="21">
        <f>B48+B49</f>
        <v>369</v>
      </c>
      <c r="D50" s="2" t="s">
        <v>62</v>
      </c>
      <c r="E50" s="5"/>
      <c r="F50" s="5"/>
    </row>
    <row r="51" spans="2:6" x14ac:dyDescent="0.2">
      <c r="B51" s="27"/>
      <c r="D51" s="2" t="s">
        <v>18</v>
      </c>
      <c r="E51" s="5"/>
    </row>
    <row r="53" spans="2:6" x14ac:dyDescent="0.2">
      <c r="B53" s="19" t="s">
        <v>29</v>
      </c>
    </row>
    <row r="54" spans="2:6" x14ac:dyDescent="0.2">
      <c r="B54" s="1"/>
    </row>
    <row r="55" spans="2:6" x14ac:dyDescent="0.2">
      <c r="B55" s="20" t="s">
        <v>34</v>
      </c>
    </row>
    <row r="56" spans="2:6" x14ac:dyDescent="0.2">
      <c r="B56" s="21" t="s">
        <v>28</v>
      </c>
      <c r="D56" s="2" t="s">
        <v>37</v>
      </c>
    </row>
    <row r="57" spans="2:6" x14ac:dyDescent="0.2">
      <c r="B57" s="22" t="s">
        <v>26</v>
      </c>
      <c r="D57" s="2" t="s">
        <v>30</v>
      </c>
    </row>
    <row r="58" spans="2:6" x14ac:dyDescent="0.2">
      <c r="B58" s="24" t="s">
        <v>27</v>
      </c>
      <c r="D58" s="2" t="s">
        <v>31</v>
      </c>
    </row>
    <row r="60" spans="2:6" x14ac:dyDescent="0.2">
      <c r="B60" s="20" t="s">
        <v>36</v>
      </c>
    </row>
    <row r="61" spans="2:6" x14ac:dyDescent="0.2">
      <c r="B61" s="16" t="s">
        <v>32</v>
      </c>
      <c r="D61" s="2" t="s">
        <v>38</v>
      </c>
    </row>
    <row r="62" spans="2:6" x14ac:dyDescent="0.2">
      <c r="B62" s="44" t="s">
        <v>35</v>
      </c>
      <c r="D62" s="2" t="s">
        <v>63</v>
      </c>
    </row>
    <row r="67" spans="2:2" x14ac:dyDescent="0.2">
      <c r="B67" s="20" t="s">
        <v>69</v>
      </c>
    </row>
  </sheetData>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A2:I34"/>
  <sheetViews>
    <sheetView showGridLines="0" tabSelected="1" zoomScale="85" zoomScaleNormal="85" workbookViewId="0">
      <pane ySplit="3" topLeftCell="A4" activePane="bottomLeft" state="frozen"/>
      <selection activeCell="B6" sqref="B6"/>
      <selection pane="bottomLeft" activeCell="F16" sqref="F16"/>
    </sheetView>
  </sheetViews>
  <sheetFormatPr defaultColWidth="9.140625" defaultRowHeight="12.75" x14ac:dyDescent="0.2"/>
  <cols>
    <col min="1" max="1" width="5.85546875" style="2" customWidth="1"/>
    <col min="2" max="2" width="7.5703125" style="2" customWidth="1"/>
    <col min="3" max="3" width="52.85546875" style="2" customWidth="1"/>
    <col min="4" max="4" width="54.85546875" style="2" customWidth="1"/>
    <col min="5" max="5" width="36.140625" style="2" customWidth="1"/>
    <col min="6" max="6" width="40.85546875" style="2" customWidth="1"/>
    <col min="7" max="7" width="49.85546875" style="2" customWidth="1"/>
    <col min="8" max="8" width="5.85546875" style="2" customWidth="1"/>
    <col min="9" max="16384" width="9.140625" style="2"/>
  </cols>
  <sheetData>
    <row r="2" spans="1:9" s="7" customFormat="1" ht="18" x14ac:dyDescent="0.2">
      <c r="B2" s="7" t="s">
        <v>19</v>
      </c>
    </row>
    <row r="5" spans="1:9" s="8" customFormat="1" x14ac:dyDescent="0.2">
      <c r="B5" s="8" t="s">
        <v>20</v>
      </c>
    </row>
    <row r="7" spans="1:9" x14ac:dyDescent="0.2">
      <c r="B7" s="20" t="s">
        <v>57</v>
      </c>
    </row>
    <row r="8" spans="1:9" x14ac:dyDescent="0.2">
      <c r="B8" s="20" t="s">
        <v>58</v>
      </c>
    </row>
    <row r="10" spans="1:9" x14ac:dyDescent="0.2">
      <c r="B10" s="14" t="s">
        <v>48</v>
      </c>
      <c r="C10" s="14" t="s">
        <v>49</v>
      </c>
      <c r="D10" s="14" t="s">
        <v>70</v>
      </c>
      <c r="E10" s="14" t="s">
        <v>56</v>
      </c>
      <c r="F10" s="14" t="s">
        <v>71</v>
      </c>
      <c r="G10" s="14" t="s">
        <v>0</v>
      </c>
      <c r="I10" s="18"/>
    </row>
    <row r="11" spans="1:9" x14ac:dyDescent="0.2">
      <c r="B11" s="11"/>
      <c r="C11" s="17" t="s">
        <v>54</v>
      </c>
      <c r="D11" s="17" t="s">
        <v>21</v>
      </c>
      <c r="E11" s="17" t="s">
        <v>59</v>
      </c>
      <c r="F11" s="17" t="s">
        <v>72</v>
      </c>
      <c r="G11" s="17"/>
    </row>
    <row r="12" spans="1:9" x14ac:dyDescent="0.2">
      <c r="B12" s="6">
        <v>1</v>
      </c>
      <c r="C12" s="6" t="s">
        <v>122</v>
      </c>
      <c r="D12" s="49" t="s">
        <v>121</v>
      </c>
      <c r="E12" s="6" t="s">
        <v>227</v>
      </c>
      <c r="F12" s="50" t="s">
        <v>123</v>
      </c>
      <c r="G12" s="6"/>
    </row>
    <row r="13" spans="1:9" x14ac:dyDescent="0.2">
      <c r="A13" s="56"/>
      <c r="B13" s="6">
        <v>2</v>
      </c>
      <c r="C13" s="6" t="s">
        <v>239</v>
      </c>
      <c r="D13" s="6" t="s">
        <v>240</v>
      </c>
      <c r="E13" s="6" t="s">
        <v>222</v>
      </c>
      <c r="F13" s="76" t="s">
        <v>283</v>
      </c>
      <c r="G13" s="6"/>
    </row>
    <row r="14" spans="1:9" x14ac:dyDescent="0.2">
      <c r="A14" s="56"/>
      <c r="B14" s="6">
        <v>3</v>
      </c>
      <c r="C14" s="6" t="s">
        <v>125</v>
      </c>
      <c r="D14" s="6" t="s">
        <v>241</v>
      </c>
      <c r="E14" s="6" t="s">
        <v>223</v>
      </c>
      <c r="F14" s="77" t="s">
        <v>283</v>
      </c>
      <c r="G14" s="6"/>
    </row>
    <row r="15" spans="1:9" x14ac:dyDescent="0.2">
      <c r="B15" s="6">
        <v>4</v>
      </c>
      <c r="C15" s="6" t="s">
        <v>214</v>
      </c>
      <c r="D15" s="6" t="s">
        <v>220</v>
      </c>
      <c r="E15" s="49" t="s">
        <v>228</v>
      </c>
      <c r="F15" s="6" t="s">
        <v>124</v>
      </c>
      <c r="G15" s="6"/>
    </row>
    <row r="16" spans="1:9" x14ac:dyDescent="0.2">
      <c r="A16" s="56"/>
      <c r="B16" s="6">
        <v>5</v>
      </c>
      <c r="C16" s="6" t="s">
        <v>251</v>
      </c>
      <c r="D16" s="6" t="s">
        <v>215</v>
      </c>
      <c r="E16" t="s">
        <v>224</v>
      </c>
      <c r="F16" s="78" t="s">
        <v>283</v>
      </c>
      <c r="G16" s="6"/>
    </row>
    <row r="17" spans="1:7" x14ac:dyDescent="0.2">
      <c r="A17" s="56"/>
      <c r="B17" s="6">
        <v>6</v>
      </c>
      <c r="C17" s="6" t="s">
        <v>252</v>
      </c>
      <c r="D17" s="6" t="s">
        <v>216</v>
      </c>
      <c r="E17" s="6" t="s">
        <v>225</v>
      </c>
      <c r="F17" s="79" t="s">
        <v>283</v>
      </c>
      <c r="G17" s="6"/>
    </row>
    <row r="18" spans="1:7" x14ac:dyDescent="0.2">
      <c r="A18" s="56"/>
      <c r="B18" s="6">
        <v>7</v>
      </c>
      <c r="C18" s="6" t="s">
        <v>140</v>
      </c>
      <c r="D18" s="6" t="s">
        <v>217</v>
      </c>
      <c r="E18" s="6" t="s">
        <v>226</v>
      </c>
      <c r="F18" s="6" t="s">
        <v>124</v>
      </c>
      <c r="G18" s="6"/>
    </row>
    <row r="19" spans="1:7" x14ac:dyDescent="0.2">
      <c r="A19" s="56"/>
      <c r="B19" s="6">
        <v>8</v>
      </c>
      <c r="C19" s="6" t="s">
        <v>238</v>
      </c>
      <c r="D19" s="6" t="s">
        <v>249</v>
      </c>
      <c r="E19" s="6" t="s">
        <v>250</v>
      </c>
      <c r="F19" s="6" t="s">
        <v>124</v>
      </c>
      <c r="G19" s="6"/>
    </row>
    <row r="20" spans="1:7" x14ac:dyDescent="0.2">
      <c r="A20" s="56"/>
      <c r="B20" s="6">
        <v>9</v>
      </c>
      <c r="C20" s="6" t="s">
        <v>243</v>
      </c>
      <c r="D20" s="6" t="s">
        <v>244</v>
      </c>
      <c r="E20" s="6" t="s">
        <v>245</v>
      </c>
      <c r="F20" s="50" t="s">
        <v>123</v>
      </c>
      <c r="G20" s="6"/>
    </row>
    <row r="21" spans="1:7" x14ac:dyDescent="0.2">
      <c r="A21" s="56"/>
      <c r="B21" s="6">
        <v>10</v>
      </c>
      <c r="C21" s="6" t="s">
        <v>246</v>
      </c>
      <c r="D21" s="6" t="s">
        <v>247</v>
      </c>
      <c r="E21" s="6" t="s">
        <v>248</v>
      </c>
      <c r="F21" s="50" t="s">
        <v>123</v>
      </c>
      <c r="G21" s="6"/>
    </row>
    <row r="22" spans="1:7" x14ac:dyDescent="0.2">
      <c r="A22" s="56"/>
      <c r="B22" s="6">
        <v>11</v>
      </c>
      <c r="C22" s="6" t="s">
        <v>218</v>
      </c>
      <c r="D22" s="66" t="s">
        <v>221</v>
      </c>
      <c r="E22" s="49" t="s">
        <v>229</v>
      </c>
      <c r="F22" s="6" t="s">
        <v>124</v>
      </c>
      <c r="G22" s="6"/>
    </row>
    <row r="25" spans="1:7" s="8" customFormat="1" x14ac:dyDescent="0.2">
      <c r="B25" s="8" t="s">
        <v>46</v>
      </c>
    </row>
    <row r="27" spans="1:7" x14ac:dyDescent="0.2">
      <c r="B27" s="20" t="s">
        <v>44</v>
      </c>
    </row>
    <row r="28" spans="1:7" x14ac:dyDescent="0.2">
      <c r="B28" s="20" t="s">
        <v>45</v>
      </c>
    </row>
    <row r="34" spans="2:2" x14ac:dyDescent="0.2">
      <c r="B34" s="20" t="s">
        <v>69</v>
      </c>
    </row>
  </sheetData>
  <phoneticPr fontId="28" type="noConversion"/>
  <hyperlinks>
    <hyperlink ref="F12" r:id="rId1" xr:uid="{E332FD53-DD3B-4D26-918F-AC2D8D5634BA}"/>
    <hyperlink ref="F20" r:id="rId2" xr:uid="{7F4B93F3-ECB1-4961-B4D8-0DB592DC833A}"/>
    <hyperlink ref="F21" r:id="rId3" xr:uid="{EB0A7A2E-D69B-4735-AD82-205774145E96}"/>
  </hyperlinks>
  <pageMargins left="0.75" right="0.75" top="1" bottom="1" header="0.5" footer="0.5"/>
  <pageSetup paperSize="9" orientation="portrait"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B2:R22"/>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41.42578125" style="2" customWidth="1"/>
    <col min="3" max="3" width="17.5703125" style="2" customWidth="1"/>
    <col min="4" max="4" width="13.85546875" style="2" customWidth="1"/>
    <col min="5" max="5" width="2.85546875" style="2" customWidth="1"/>
    <col min="6" max="6" width="13.85546875" style="2" customWidth="1"/>
    <col min="7" max="7" width="2.85546875" style="2" customWidth="1"/>
    <col min="8" max="8" width="13.85546875" style="2" customWidth="1"/>
    <col min="9" max="9" width="2.85546875" style="2" customWidth="1"/>
    <col min="10" max="16" width="14.85546875" style="2" customWidth="1"/>
    <col min="17" max="17" width="2.85546875" style="2" customWidth="1"/>
    <col min="18" max="19" width="12.5703125" style="2" customWidth="1"/>
    <col min="20" max="22" width="2.85546875" style="2" customWidth="1"/>
    <col min="23" max="23" width="30.85546875" style="2" customWidth="1"/>
    <col min="24" max="37" width="13.85546875" style="2" customWidth="1"/>
    <col min="38" max="16384" width="9.140625" style="2"/>
  </cols>
  <sheetData>
    <row r="2" spans="2:18" s="12" customFormat="1" ht="18" x14ac:dyDescent="0.2">
      <c r="B2" s="12" t="s">
        <v>73</v>
      </c>
    </row>
    <row r="4" spans="2:18" x14ac:dyDescent="0.2">
      <c r="B4" s="19" t="s">
        <v>51</v>
      </c>
    </row>
    <row r="5" spans="2:18" ht="25.35" customHeight="1" x14ac:dyDescent="0.2">
      <c r="B5" s="72" t="s">
        <v>118</v>
      </c>
      <c r="C5" s="72"/>
      <c r="D5" s="72"/>
      <c r="F5" s="13"/>
    </row>
    <row r="6" spans="2:18" x14ac:dyDescent="0.2">
      <c r="F6" s="13"/>
    </row>
    <row r="7" spans="2:18" x14ac:dyDescent="0.2">
      <c r="B7" s="20" t="s">
        <v>25</v>
      </c>
      <c r="F7" s="13"/>
    </row>
    <row r="8" spans="2:18" x14ac:dyDescent="0.2">
      <c r="B8" s="48" t="s">
        <v>75</v>
      </c>
    </row>
    <row r="9" spans="2:18" x14ac:dyDescent="0.2">
      <c r="B9" s="4"/>
    </row>
    <row r="10" spans="2:18"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41</v>
      </c>
    </row>
    <row r="13" spans="2:18" s="8" customFormat="1" x14ac:dyDescent="0.2">
      <c r="B13" s="8" t="s">
        <v>55</v>
      </c>
    </row>
    <row r="15" spans="2:18" x14ac:dyDescent="0.2">
      <c r="B15" s="19" t="s">
        <v>119</v>
      </c>
    </row>
    <row r="16" spans="2:18" x14ac:dyDescent="0.2">
      <c r="B16" s="2" t="s">
        <v>120</v>
      </c>
      <c r="D16" s="2" t="s">
        <v>88</v>
      </c>
      <c r="J16" s="54"/>
      <c r="K16" s="54"/>
      <c r="L16" s="21">
        <f>'9. Berekening TI'!L48</f>
        <v>3277816360.4476938</v>
      </c>
      <c r="M16" s="21">
        <f>'9. Berekening TI'!M48</f>
        <v>3688370053.2204514</v>
      </c>
      <c r="N16" s="21">
        <f>'9. Berekening TI'!N48</f>
        <v>3880947829.7627878</v>
      </c>
      <c r="O16" s="21">
        <f>'9. Berekening TI'!O48</f>
        <v>4247705488.8327713</v>
      </c>
      <c r="P16" s="21">
        <f>'9. Berekening TI'!P48</f>
        <v>4758901048.5174599</v>
      </c>
    </row>
    <row r="17" spans="2:14" x14ac:dyDescent="0.2">
      <c r="J17" s="61"/>
      <c r="K17" s="61"/>
      <c r="L17" s="61"/>
      <c r="M17" s="61"/>
      <c r="N17" s="61"/>
    </row>
    <row r="18" spans="2:14" x14ac:dyDescent="0.2">
      <c r="J18" s="61"/>
      <c r="K18" s="61"/>
      <c r="L18" s="61"/>
      <c r="M18" s="61"/>
      <c r="N18" s="61"/>
    </row>
    <row r="22" spans="2:14" x14ac:dyDescent="0.2">
      <c r="B22" s="20" t="s">
        <v>69</v>
      </c>
    </row>
  </sheetData>
  <mergeCells count="1">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5B6E-9B78-4017-AF35-2D4803EABDDD}">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headerFooter>
    <oddFooter>&amp;C&amp;1#&amp;"Calibri"&amp;10&amp;K000000C2 - Internal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A2:Z46"/>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2.75" x14ac:dyDescent="0.2"/>
  <cols>
    <col min="1" max="1" width="5.85546875" style="2" customWidth="1"/>
    <col min="2" max="2" width="54.5703125" style="2" customWidth="1"/>
    <col min="3" max="3" width="17.4257812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4.42578125" style="2" customWidth="1"/>
    <col min="17" max="17" width="2.5703125" style="2" customWidth="1"/>
    <col min="18" max="18" width="42.42578125" style="2" customWidth="1"/>
    <col min="19" max="19" width="2.85546875" style="2" customWidth="1"/>
    <col min="20" max="20" width="41.7109375" style="2" customWidth="1"/>
    <col min="21" max="21" width="30.85546875" style="2" customWidth="1"/>
    <col min="22" max="22" width="2.85546875" style="2" customWidth="1"/>
    <col min="23" max="37" width="13.85546875" style="2" customWidth="1"/>
    <col min="38" max="16384" width="9.140625" style="2"/>
  </cols>
  <sheetData>
    <row r="2" spans="2:20" s="12" customFormat="1" ht="18" x14ac:dyDescent="0.2">
      <c r="B2" s="12" t="s">
        <v>142</v>
      </c>
    </row>
    <row r="4" spans="2:20" x14ac:dyDescent="0.2">
      <c r="B4" s="19" t="s">
        <v>24</v>
      </c>
      <c r="J4"/>
    </row>
    <row r="5" spans="2:20" ht="90.75" customHeight="1" x14ac:dyDescent="0.2">
      <c r="B5" s="72" t="s">
        <v>187</v>
      </c>
      <c r="C5" s="72"/>
      <c r="D5" s="72"/>
      <c r="F5" s="13"/>
    </row>
    <row r="6" spans="2:20" x14ac:dyDescent="0.2">
      <c r="F6" s="13"/>
    </row>
    <row r="7" spans="2:20" x14ac:dyDescent="0.2">
      <c r="B7" s="20" t="s">
        <v>25</v>
      </c>
      <c r="F7" s="13"/>
    </row>
    <row r="8" spans="2:20" x14ac:dyDescent="0.2">
      <c r="B8" s="74" t="s">
        <v>75</v>
      </c>
      <c r="C8" s="74"/>
      <c r="D8" s="74"/>
    </row>
    <row r="10" spans="2:20" s="8" customFormat="1" x14ac:dyDescent="0.2">
      <c r="B10" s="8" t="s">
        <v>39</v>
      </c>
      <c r="C10" s="8" t="s">
        <v>90</v>
      </c>
      <c r="D10" s="8" t="s">
        <v>22</v>
      </c>
      <c r="F10" s="8" t="s">
        <v>23</v>
      </c>
      <c r="H10" s="8" t="s">
        <v>43</v>
      </c>
      <c r="J10" s="8" t="s">
        <v>143</v>
      </c>
      <c r="K10" s="8" t="s">
        <v>134</v>
      </c>
      <c r="L10" s="8" t="s">
        <v>95</v>
      </c>
      <c r="M10" s="8" t="s">
        <v>96</v>
      </c>
      <c r="N10" s="8" t="s">
        <v>97</v>
      </c>
      <c r="O10" s="8" t="s">
        <v>98</v>
      </c>
      <c r="P10" s="8" t="s">
        <v>99</v>
      </c>
      <c r="R10" s="8" t="s">
        <v>40</v>
      </c>
      <c r="T10" s="8" t="s">
        <v>41</v>
      </c>
    </row>
    <row r="11" spans="2:20" s="62" customFormat="1" x14ac:dyDescent="0.2"/>
    <row r="13" spans="2:20" s="8" customFormat="1" x14ac:dyDescent="0.2">
      <c r="B13" s="8" t="s">
        <v>83</v>
      </c>
    </row>
    <row r="15" spans="2:20" x14ac:dyDescent="0.2">
      <c r="B15" s="19" t="s">
        <v>84</v>
      </c>
    </row>
    <row r="16" spans="2:20" x14ac:dyDescent="0.2">
      <c r="B16" t="s">
        <v>85</v>
      </c>
      <c r="D16" s="2" t="s">
        <v>86</v>
      </c>
      <c r="J16" s="27"/>
      <c r="K16" s="27"/>
      <c r="L16" s="68">
        <v>5.7000000000000002E-2</v>
      </c>
      <c r="M16" s="68">
        <v>5.8000000000000003E-2</v>
      </c>
      <c r="N16" s="68">
        <v>5.8999999999999997E-2</v>
      </c>
      <c r="O16" s="68">
        <v>0.06</v>
      </c>
      <c r="P16" s="68">
        <v>0.06</v>
      </c>
      <c r="R16" s="2" t="s">
        <v>230</v>
      </c>
    </row>
    <row r="18" spans="1:26" x14ac:dyDescent="0.2">
      <c r="B18" s="19" t="s">
        <v>87</v>
      </c>
    </row>
    <row r="19" spans="1:26" x14ac:dyDescent="0.2">
      <c r="B19" s="2" t="s">
        <v>91</v>
      </c>
      <c r="C19" s="2" t="s">
        <v>141</v>
      </c>
      <c r="D19" s="2" t="s">
        <v>88</v>
      </c>
      <c r="J19" s="27"/>
      <c r="K19" s="27"/>
      <c r="L19" s="22">
        <v>405006638.54875487</v>
      </c>
      <c r="M19" s="22">
        <v>445084932.99230623</v>
      </c>
      <c r="N19" s="22">
        <v>489977950.76302987</v>
      </c>
      <c r="O19" s="22">
        <v>542892539.55680668</v>
      </c>
      <c r="P19" s="22">
        <v>604897942.68572521</v>
      </c>
      <c r="R19" s="2" t="s">
        <v>231</v>
      </c>
    </row>
    <row r="20" spans="1:26" x14ac:dyDescent="0.2">
      <c r="B20" s="2" t="s">
        <v>89</v>
      </c>
      <c r="C20" s="2" t="s">
        <v>141</v>
      </c>
      <c r="D20" s="2" t="s">
        <v>88</v>
      </c>
      <c r="J20" s="27"/>
      <c r="K20" s="27"/>
      <c r="L20" s="22">
        <v>10316380824.308092</v>
      </c>
      <c r="M20" s="22">
        <v>12121472118.349854</v>
      </c>
      <c r="N20" s="22">
        <v>14277249410.552349</v>
      </c>
      <c r="O20" s="22">
        <v>16630020662.720619</v>
      </c>
      <c r="P20" s="22">
        <v>19014677829.139328</v>
      </c>
      <c r="R20" s="2" t="s">
        <v>232</v>
      </c>
    </row>
    <row r="22" spans="1:26" x14ac:dyDescent="0.2">
      <c r="B22" s="2" t="s">
        <v>91</v>
      </c>
      <c r="C22" s="2" t="s">
        <v>94</v>
      </c>
      <c r="D22" s="2" t="s">
        <v>88</v>
      </c>
      <c r="J22" s="27"/>
      <c r="K22" s="27"/>
      <c r="L22" s="22">
        <v>47785783.452993892</v>
      </c>
      <c r="M22" s="22">
        <v>45352363.213996306</v>
      </c>
      <c r="N22" s="22">
        <v>43393445.172866598</v>
      </c>
      <c r="O22" s="22">
        <v>41265373.975615099</v>
      </c>
      <c r="P22" s="22">
        <v>40206262.625674918</v>
      </c>
      <c r="R22" s="2" t="s">
        <v>233</v>
      </c>
    </row>
    <row r="23" spans="1:26" x14ac:dyDescent="0.2">
      <c r="B23" s="2" t="s">
        <v>89</v>
      </c>
      <c r="C23" s="2" t="s">
        <v>94</v>
      </c>
      <c r="D23" s="2" t="s">
        <v>88</v>
      </c>
      <c r="J23" s="27"/>
      <c r="K23" s="27"/>
      <c r="L23" s="22">
        <v>257158051.63537467</v>
      </c>
      <c r="M23" s="22">
        <v>299084941.42137837</v>
      </c>
      <c r="N23" s="22">
        <v>346831232.24851173</v>
      </c>
      <c r="O23" s="22">
        <v>402593330.27289665</v>
      </c>
      <c r="P23" s="22">
        <v>448055733.67745137</v>
      </c>
      <c r="R23" s="2" t="s">
        <v>234</v>
      </c>
    </row>
    <row r="25" spans="1:26" x14ac:dyDescent="0.2">
      <c r="A25" s="8"/>
      <c r="B25" s="8" t="s">
        <v>100</v>
      </c>
      <c r="C25" s="8"/>
      <c r="D25" s="8"/>
      <c r="E25" s="8"/>
      <c r="F25" s="8"/>
      <c r="G25" s="8"/>
      <c r="H25" s="8"/>
      <c r="I25" s="8"/>
      <c r="J25" s="8"/>
      <c r="K25" s="8"/>
      <c r="L25" s="8"/>
      <c r="M25" s="8"/>
      <c r="N25" s="8"/>
      <c r="O25" s="8"/>
      <c r="P25" s="8"/>
      <c r="Q25" s="8"/>
      <c r="R25" s="8"/>
      <c r="S25" s="8"/>
      <c r="T25" s="8"/>
      <c r="U25" s="8"/>
      <c r="V25" s="8"/>
      <c r="W25" s="8"/>
      <c r="X25" s="8"/>
      <c r="Y25" s="8"/>
      <c r="Z25" s="8"/>
    </row>
    <row r="27" spans="1:26" x14ac:dyDescent="0.2">
      <c r="B27" s="26" t="s">
        <v>101</v>
      </c>
      <c r="C27" s="2" t="s">
        <v>92</v>
      </c>
      <c r="D27" s="2" t="s">
        <v>88</v>
      </c>
      <c r="J27" s="27"/>
      <c r="K27" s="27"/>
      <c r="L27" s="22">
        <v>180649783.91153219</v>
      </c>
      <c r="M27" s="22">
        <v>180510289.81429723</v>
      </c>
      <c r="N27" s="22">
        <v>188370495.61058319</v>
      </c>
      <c r="O27" s="22">
        <v>202797905.52279484</v>
      </c>
      <c r="P27" s="22">
        <v>213293863.63325074</v>
      </c>
      <c r="R27" s="2" t="s">
        <v>179</v>
      </c>
    </row>
    <row r="29" spans="1:26" x14ac:dyDescent="0.2">
      <c r="B29" s="26" t="s">
        <v>101</v>
      </c>
      <c r="C29" s="2" t="s">
        <v>93</v>
      </c>
      <c r="D29" s="2" t="s">
        <v>88</v>
      </c>
      <c r="J29" s="27"/>
      <c r="K29" s="27"/>
      <c r="L29" s="22">
        <v>1027280074.7674837</v>
      </c>
      <c r="M29" s="22">
        <v>1082108925.3549275</v>
      </c>
      <c r="N29" s="22">
        <v>1124418886.0652266</v>
      </c>
      <c r="O29" s="22">
        <v>1162456437.795131</v>
      </c>
      <c r="P29" s="22">
        <v>1195122026.8189292</v>
      </c>
      <c r="R29" s="2" t="s">
        <v>180</v>
      </c>
    </row>
    <row r="30" spans="1:26" x14ac:dyDescent="0.2">
      <c r="B30" s="26" t="s">
        <v>102</v>
      </c>
      <c r="C30" s="2" t="s">
        <v>93</v>
      </c>
      <c r="D30" s="2" t="s">
        <v>88</v>
      </c>
      <c r="J30" s="27"/>
      <c r="K30" s="27"/>
      <c r="L30" s="22">
        <v>119708490.79039326</v>
      </c>
      <c r="M30" s="22">
        <v>116501067.51803344</v>
      </c>
      <c r="N30" s="22">
        <v>115603668.34815343</v>
      </c>
      <c r="O30" s="22">
        <v>117341278</v>
      </c>
      <c r="P30" s="22">
        <v>117889438</v>
      </c>
      <c r="R30" s="2" t="s">
        <v>181</v>
      </c>
    </row>
    <row r="32" spans="1:26" x14ac:dyDescent="0.2">
      <c r="B32" s="26" t="s">
        <v>101</v>
      </c>
      <c r="C32" s="2" t="s">
        <v>94</v>
      </c>
      <c r="D32" s="2" t="s">
        <v>88</v>
      </c>
      <c r="J32" s="27"/>
      <c r="K32" s="27"/>
      <c r="L32" s="22">
        <v>46807918.501626484</v>
      </c>
      <c r="M32" s="22">
        <v>47103435.505020954</v>
      </c>
      <c r="N32" s="22">
        <v>48045504.215121374</v>
      </c>
      <c r="O32" s="22">
        <v>49006414.299423799</v>
      </c>
      <c r="P32" s="22">
        <v>49986542.585412279</v>
      </c>
      <c r="R32" s="2" t="s">
        <v>182</v>
      </c>
    </row>
    <row r="34" spans="2:21" s="8" customFormat="1" x14ac:dyDescent="0.2">
      <c r="B34" s="8" t="s">
        <v>103</v>
      </c>
    </row>
    <row r="35" spans="2:21" x14ac:dyDescent="0.2">
      <c r="H35" s="19"/>
    </row>
    <row r="36" spans="2:21" x14ac:dyDescent="0.2">
      <c r="B36" s="2" t="s">
        <v>104</v>
      </c>
      <c r="C36" s="2" t="s">
        <v>92</v>
      </c>
      <c r="D36" s="2" t="s">
        <v>88</v>
      </c>
      <c r="H36"/>
      <c r="J36" s="27"/>
      <c r="K36" s="27"/>
      <c r="L36" s="22">
        <v>36265927.687772803</v>
      </c>
      <c r="M36" s="22">
        <v>36989542.856876969</v>
      </c>
      <c r="N36" s="22">
        <v>38395163.244566612</v>
      </c>
      <c r="O36" s="22">
        <v>40004609.655726232</v>
      </c>
      <c r="P36" s="22">
        <v>40438833.397510678</v>
      </c>
      <c r="R36" s="2" t="s">
        <v>183</v>
      </c>
    </row>
    <row r="37" spans="2:21" x14ac:dyDescent="0.2">
      <c r="U37" s="20"/>
    </row>
    <row r="38" spans="2:21" x14ac:dyDescent="0.2">
      <c r="B38" s="2" t="s">
        <v>104</v>
      </c>
      <c r="C38" s="2" t="s">
        <v>93</v>
      </c>
      <c r="D38" s="2" t="s">
        <v>88</v>
      </c>
      <c r="H38" s="19"/>
      <c r="J38" s="27"/>
      <c r="K38" s="27"/>
      <c r="L38" s="22">
        <v>34287278.242661402</v>
      </c>
      <c r="M38" s="22">
        <v>34971413.358610757</v>
      </c>
      <c r="N38" s="22">
        <v>36300343.856437817</v>
      </c>
      <c r="O38" s="22">
        <v>37821979.739881329</v>
      </c>
      <c r="P38" s="22">
        <v>38232512.468626395</v>
      </c>
      <c r="R38" s="2" t="s">
        <v>184</v>
      </c>
    </row>
    <row r="40" spans="2:21" x14ac:dyDescent="0.2">
      <c r="B40" s="2" t="s">
        <v>104</v>
      </c>
      <c r="C40" s="2" t="s">
        <v>94</v>
      </c>
      <c r="D40" s="2" t="s">
        <v>88</v>
      </c>
      <c r="J40" s="27"/>
      <c r="K40" s="27"/>
      <c r="L40" s="22">
        <v>1355726.6524114728</v>
      </c>
      <c r="M40" s="22">
        <v>1382777.5079497558</v>
      </c>
      <c r="N40" s="22">
        <v>1435323.7171401051</v>
      </c>
      <c r="O40" s="22">
        <v>1495489.5403894782</v>
      </c>
      <c r="P40" s="22">
        <v>1511722.0963278029</v>
      </c>
      <c r="R40" s="2" t="s">
        <v>185</v>
      </c>
    </row>
    <row r="46" spans="2:21" x14ac:dyDescent="0.2">
      <c r="B46" s="20" t="s">
        <v>69</v>
      </c>
    </row>
  </sheetData>
  <mergeCells count="2">
    <mergeCell ref="B8:D8"/>
    <mergeCell ref="B5:D5"/>
  </mergeCells>
  <phoneticPr fontId="2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DCE07-CFFB-48B6-ADE5-80014492F906}">
  <sheetPr>
    <tabColor rgb="FFE1FFE1"/>
  </sheetPr>
  <dimension ref="A2:T70"/>
  <sheetViews>
    <sheetView showGridLines="0" zoomScale="85" zoomScaleNormal="85" workbookViewId="0">
      <pane xSplit="4" ySplit="12" topLeftCell="E13" activePane="bottomRight" state="frozen"/>
      <selection pane="topRight" activeCell="E1" sqref="E1"/>
      <selection pane="bottomLeft" activeCell="A12" sqref="A12"/>
      <selection pane="bottomRight" activeCell="E13" sqref="E13"/>
    </sheetView>
  </sheetViews>
  <sheetFormatPr defaultColWidth="9.140625" defaultRowHeight="12.75" x14ac:dyDescent="0.2"/>
  <cols>
    <col min="1" max="1" width="5.85546875" style="2" customWidth="1"/>
    <col min="2" max="2" width="84.42578125" style="2" customWidth="1"/>
    <col min="3" max="3" width="16.8554687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3.85546875" style="2" customWidth="1"/>
    <col min="17" max="17" width="2.5703125" style="2" customWidth="1"/>
    <col min="18" max="18" width="56.85546875" style="2" customWidth="1"/>
    <col min="19" max="19" width="2.5703125" style="2" customWidth="1"/>
    <col min="20" max="20" width="55.140625" style="2" customWidth="1"/>
    <col min="21" max="35" width="13.85546875" style="2" customWidth="1"/>
    <col min="36" max="16384" width="9.140625" style="2"/>
  </cols>
  <sheetData>
    <row r="2" spans="2:20" s="12" customFormat="1" ht="18" x14ac:dyDescent="0.2">
      <c r="B2" s="12" t="s">
        <v>145</v>
      </c>
    </row>
    <row r="4" spans="2:20" x14ac:dyDescent="0.2">
      <c r="B4" s="19" t="s">
        <v>24</v>
      </c>
      <c r="L4"/>
    </row>
    <row r="5" spans="2:20" ht="94.7" customHeight="1" x14ac:dyDescent="0.2">
      <c r="B5" s="72" t="s">
        <v>146</v>
      </c>
      <c r="C5" s="72"/>
      <c r="D5" s="72"/>
      <c r="F5" s="13"/>
    </row>
    <row r="6" spans="2:20" x14ac:dyDescent="0.2">
      <c r="F6" s="13"/>
    </row>
    <row r="7" spans="2:20" x14ac:dyDescent="0.2">
      <c r="B7" s="20" t="s">
        <v>25</v>
      </c>
      <c r="F7" s="13"/>
    </row>
    <row r="8" spans="2:20" ht="49.5" customHeight="1" x14ac:dyDescent="0.2">
      <c r="B8" s="75" t="s">
        <v>281</v>
      </c>
      <c r="C8" s="75"/>
      <c r="D8" s="75"/>
      <c r="E8" s="75"/>
      <c r="F8" s="75"/>
      <c r="G8" s="75"/>
      <c r="H8" s="75"/>
      <c r="I8" s="75"/>
      <c r="J8" s="75"/>
    </row>
    <row r="9" spans="2:20" ht="43.15" customHeight="1" x14ac:dyDescent="0.2">
      <c r="B9" s="75" t="s">
        <v>280</v>
      </c>
      <c r="C9" s="75"/>
      <c r="D9" s="75"/>
      <c r="E9" s="75"/>
      <c r="F9" s="75"/>
      <c r="G9" s="75"/>
      <c r="H9" s="75"/>
      <c r="I9" s="75"/>
      <c r="J9" s="75"/>
    </row>
    <row r="11" spans="2:20" s="8" customFormat="1" x14ac:dyDescent="0.2">
      <c r="B11" s="8" t="s">
        <v>39</v>
      </c>
      <c r="C11" s="8" t="s">
        <v>90</v>
      </c>
      <c r="D11" s="8" t="s">
        <v>22</v>
      </c>
      <c r="F11" s="8" t="s">
        <v>23</v>
      </c>
      <c r="H11" s="8" t="s">
        <v>43</v>
      </c>
      <c r="J11" s="8" t="s">
        <v>143</v>
      </c>
      <c r="K11" s="8" t="s">
        <v>134</v>
      </c>
      <c r="L11" s="8" t="s">
        <v>95</v>
      </c>
      <c r="M11" s="8" t="s">
        <v>96</v>
      </c>
      <c r="N11" s="8" t="s">
        <v>97</v>
      </c>
      <c r="O11" s="8" t="s">
        <v>98</v>
      </c>
      <c r="P11" s="8" t="s">
        <v>99</v>
      </c>
      <c r="R11" s="8" t="s">
        <v>40</v>
      </c>
      <c r="T11" s="8" t="s">
        <v>41</v>
      </c>
    </row>
    <row r="14" spans="2:20" s="8" customFormat="1" x14ac:dyDescent="0.2">
      <c r="B14" s="8" t="s">
        <v>147</v>
      </c>
    </row>
    <row r="16" spans="2:20" x14ac:dyDescent="0.2">
      <c r="B16" s="53" t="s">
        <v>128</v>
      </c>
    </row>
    <row r="17" spans="2:20" x14ac:dyDescent="0.2">
      <c r="B17" s="2" t="s">
        <v>148</v>
      </c>
      <c r="D17" s="2" t="s">
        <v>126</v>
      </c>
      <c r="J17" s="27"/>
      <c r="K17" s="27"/>
      <c r="L17" s="22">
        <v>4</v>
      </c>
      <c r="M17" s="22">
        <v>4</v>
      </c>
      <c r="N17" s="22">
        <v>4</v>
      </c>
      <c r="O17" s="22">
        <v>4</v>
      </c>
      <c r="P17" s="22">
        <v>4</v>
      </c>
      <c r="R17" s="2" t="s">
        <v>235</v>
      </c>
      <c r="T17" s="18"/>
    </row>
    <row r="18" spans="2:20" x14ac:dyDescent="0.2">
      <c r="B18" s="2" t="s">
        <v>149</v>
      </c>
      <c r="D18" s="2" t="s">
        <v>126</v>
      </c>
      <c r="J18" s="27"/>
      <c r="K18" s="27"/>
      <c r="L18" s="22">
        <v>5524966.6535471464</v>
      </c>
      <c r="M18" s="22">
        <v>5602395.8695129128</v>
      </c>
      <c r="N18" s="22">
        <v>5676100.4576217644</v>
      </c>
      <c r="O18" s="22">
        <v>5786830.7291869288</v>
      </c>
      <c r="P18" s="22">
        <v>5877509.2164624073</v>
      </c>
      <c r="R18" s="2" t="s">
        <v>236</v>
      </c>
      <c r="T18" s="18"/>
    </row>
    <row r="19" spans="2:20" x14ac:dyDescent="0.2">
      <c r="B19" s="2" t="s">
        <v>131</v>
      </c>
      <c r="D19" s="2" t="s">
        <v>126</v>
      </c>
      <c r="J19" s="27"/>
      <c r="K19" s="27"/>
      <c r="L19" s="22">
        <v>50110856.850948073</v>
      </c>
      <c r="M19" s="22">
        <v>50863939.260279872</v>
      </c>
      <c r="N19" s="22">
        <v>51556592.164166406</v>
      </c>
      <c r="O19" s="22">
        <v>52515695.448587149</v>
      </c>
      <c r="P19" s="22">
        <v>53343420.836768337</v>
      </c>
      <c r="R19" s="2" t="s">
        <v>237</v>
      </c>
      <c r="T19" s="18"/>
    </row>
    <row r="21" spans="2:20" s="8" customFormat="1" x14ac:dyDescent="0.2">
      <c r="B21" s="8" t="s">
        <v>152</v>
      </c>
    </row>
    <row r="23" spans="2:20" x14ac:dyDescent="0.2">
      <c r="B23" s="53" t="s">
        <v>128</v>
      </c>
    </row>
    <row r="24" spans="2:20" x14ac:dyDescent="0.2">
      <c r="B24" s="2" t="s">
        <v>148</v>
      </c>
      <c r="D24" s="2" t="s">
        <v>88</v>
      </c>
      <c r="J24" s="27"/>
      <c r="K24" s="27"/>
      <c r="L24" s="69">
        <v>2760</v>
      </c>
      <c r="M24" s="27"/>
      <c r="N24" s="27"/>
      <c r="O24" s="27"/>
      <c r="P24" s="27"/>
      <c r="R24" s="2" t="s">
        <v>253</v>
      </c>
      <c r="T24" s="18"/>
    </row>
    <row r="25" spans="2:20" x14ac:dyDescent="0.2">
      <c r="B25" s="2" t="s">
        <v>149</v>
      </c>
      <c r="D25" s="2" t="s">
        <v>88</v>
      </c>
      <c r="J25" s="27"/>
      <c r="K25" s="27"/>
      <c r="L25" s="69">
        <v>79.7</v>
      </c>
      <c r="M25" s="27"/>
      <c r="N25" s="27"/>
      <c r="O25" s="27"/>
      <c r="P25" s="27"/>
      <c r="R25" s="2" t="s">
        <v>254</v>
      </c>
      <c r="T25" s="18"/>
    </row>
    <row r="26" spans="2:20" x14ac:dyDescent="0.2">
      <c r="B26" s="2" t="s">
        <v>131</v>
      </c>
      <c r="D26" s="2" t="s">
        <v>88</v>
      </c>
      <c r="J26" s="27"/>
      <c r="K26" s="27"/>
      <c r="L26" s="69">
        <v>9.25</v>
      </c>
      <c r="M26" s="27"/>
      <c r="N26" s="27"/>
      <c r="O26" s="27"/>
      <c r="P26" s="27"/>
      <c r="R26" s="2" t="s">
        <v>255</v>
      </c>
      <c r="T26" s="18"/>
    </row>
    <row r="27" spans="2:20" x14ac:dyDescent="0.2">
      <c r="B27" s="2" t="s">
        <v>150</v>
      </c>
      <c r="D27" s="2" t="s">
        <v>88</v>
      </c>
      <c r="J27" s="27"/>
      <c r="K27" s="27"/>
      <c r="L27" s="69">
        <v>39.839999999999996</v>
      </c>
      <c r="M27" s="27"/>
      <c r="N27" s="27"/>
      <c r="O27" s="27"/>
      <c r="P27" s="27"/>
      <c r="R27" s="2" t="s">
        <v>256</v>
      </c>
      <c r="T27" s="18"/>
    </row>
    <row r="28" spans="2:20" x14ac:dyDescent="0.2">
      <c r="B28" s="55" t="s">
        <v>151</v>
      </c>
      <c r="D28" s="2" t="s">
        <v>88</v>
      </c>
      <c r="J28" s="27"/>
      <c r="K28" s="27"/>
      <c r="L28" s="69">
        <v>3.2</v>
      </c>
      <c r="M28" s="27"/>
      <c r="N28" s="27"/>
      <c r="O28" s="27"/>
      <c r="P28" s="27"/>
      <c r="R28" s="2" t="s">
        <v>257</v>
      </c>
      <c r="T28" s="18"/>
    </row>
    <row r="30" spans="2:20" s="8" customFormat="1" x14ac:dyDescent="0.2">
      <c r="B30" s="8" t="s">
        <v>153</v>
      </c>
    </row>
    <row r="32" spans="2:20" x14ac:dyDescent="0.2">
      <c r="B32" s="1" t="s">
        <v>127</v>
      </c>
    </row>
    <row r="33" spans="2:20" x14ac:dyDescent="0.2">
      <c r="B33" s="2" t="s">
        <v>154</v>
      </c>
      <c r="D33" s="2" t="s">
        <v>88</v>
      </c>
      <c r="J33" s="27"/>
      <c r="K33" s="27"/>
      <c r="L33" s="27"/>
      <c r="M33" s="22">
        <v>1346744883.3555384</v>
      </c>
      <c r="N33" s="22">
        <v>1496322558.0902245</v>
      </c>
      <c r="O33" s="22">
        <v>1706076153.3586957</v>
      </c>
      <c r="P33" s="22">
        <v>1918552784.948158</v>
      </c>
      <c r="R33" s="2" t="s">
        <v>258</v>
      </c>
      <c r="T33" s="18"/>
    </row>
    <row r="34" spans="2:20" x14ac:dyDescent="0.2">
      <c r="B34" s="2" t="s">
        <v>155</v>
      </c>
      <c r="D34" s="2" t="s">
        <v>88</v>
      </c>
      <c r="J34" s="27"/>
      <c r="K34" s="27"/>
      <c r="L34" s="27"/>
      <c r="M34" s="71">
        <v>473968688.86278707</v>
      </c>
      <c r="N34" s="27"/>
      <c r="O34" s="27"/>
      <c r="P34" s="27"/>
      <c r="R34" s="2" t="s">
        <v>259</v>
      </c>
      <c r="T34" s="18"/>
    </row>
    <row r="36" spans="2:20" x14ac:dyDescent="0.2">
      <c r="B36" s="1" t="s">
        <v>128</v>
      </c>
    </row>
    <row r="37" spans="2:20" ht="12.6" customHeight="1" x14ac:dyDescent="0.2">
      <c r="B37" s="2" t="s">
        <v>154</v>
      </c>
      <c r="D37" s="2" t="s">
        <v>88</v>
      </c>
      <c r="J37" s="27"/>
      <c r="K37" s="27"/>
      <c r="L37" s="27"/>
      <c r="M37" s="22">
        <v>1242689300.3660853</v>
      </c>
      <c r="N37" s="22">
        <v>1472483624.2768402</v>
      </c>
      <c r="O37" s="22">
        <v>1743140655.2735152</v>
      </c>
      <c r="P37" s="22">
        <v>1990236927.1075919</v>
      </c>
      <c r="R37" s="2" t="s">
        <v>260</v>
      </c>
      <c r="T37" s="18"/>
    </row>
    <row r="38" spans="2:20" x14ac:dyDescent="0.2">
      <c r="B38" s="2" t="s">
        <v>156</v>
      </c>
      <c r="D38" s="2" t="s">
        <v>88</v>
      </c>
      <c r="J38" s="27"/>
      <c r="K38" s="27"/>
      <c r="L38" s="27"/>
      <c r="M38" s="71">
        <v>137079519.92904213</v>
      </c>
      <c r="N38" s="27"/>
      <c r="O38" s="27"/>
      <c r="P38" s="27"/>
      <c r="R38" s="2" t="s">
        <v>268</v>
      </c>
      <c r="T38" s="18"/>
    </row>
    <row r="40" spans="2:20" x14ac:dyDescent="0.2">
      <c r="B40" s="1" t="s">
        <v>200</v>
      </c>
    </row>
    <row r="41" spans="2:20" x14ac:dyDescent="0.2">
      <c r="B41" s="2" t="s">
        <v>154</v>
      </c>
      <c r="D41" s="2" t="s">
        <v>88</v>
      </c>
      <c r="J41" s="27"/>
      <c r="K41" s="27"/>
      <c r="L41" s="27"/>
      <c r="M41" s="22">
        <v>258655037.00625584</v>
      </c>
      <c r="N41" s="22">
        <v>252029425.33794281</v>
      </c>
      <c r="O41" s="22">
        <v>249390255.50625789</v>
      </c>
      <c r="P41" s="22">
        <v>245293849.670329</v>
      </c>
      <c r="R41" s="2" t="s">
        <v>261</v>
      </c>
    </row>
    <row r="42" spans="2:20" x14ac:dyDescent="0.2">
      <c r="B42" s="2" t="s">
        <v>262</v>
      </c>
      <c r="D42" s="2" t="s">
        <v>88</v>
      </c>
      <c r="J42" s="27"/>
      <c r="K42" s="27"/>
      <c r="L42" s="27"/>
      <c r="M42" s="71">
        <v>181000000</v>
      </c>
      <c r="N42" s="71">
        <v>181000000</v>
      </c>
      <c r="O42" s="71">
        <v>181000000</v>
      </c>
      <c r="P42" s="71">
        <v>181000000</v>
      </c>
      <c r="R42" s="2" t="s">
        <v>263</v>
      </c>
    </row>
    <row r="44" spans="2:20" x14ac:dyDescent="0.2">
      <c r="B44" s="1" t="s">
        <v>201</v>
      </c>
    </row>
    <row r="45" spans="2:20" x14ac:dyDescent="0.2">
      <c r="B45" s="2" t="s">
        <v>154</v>
      </c>
      <c r="D45" s="2" t="s">
        <v>88</v>
      </c>
      <c r="J45" s="27"/>
      <c r="K45" s="27"/>
      <c r="L45" s="27"/>
      <c r="M45" s="22">
        <v>1003952206.9097703</v>
      </c>
      <c r="N45" s="22">
        <v>1277900907.7874849</v>
      </c>
      <c r="O45" s="22">
        <v>1437606594.5266545</v>
      </c>
      <c r="P45" s="22">
        <v>2345467869.0145378</v>
      </c>
      <c r="R45" s="2" t="s">
        <v>264</v>
      </c>
    </row>
    <row r="47" spans="2:20" s="8" customFormat="1" x14ac:dyDescent="0.2">
      <c r="B47" s="8" t="s">
        <v>157</v>
      </c>
    </row>
    <row r="49" spans="2:20" x14ac:dyDescent="0.2">
      <c r="B49" s="1" t="s">
        <v>127</v>
      </c>
    </row>
    <row r="50" spans="2:20" x14ac:dyDescent="0.2">
      <c r="B50" s="2" t="s">
        <v>148</v>
      </c>
      <c r="D50" s="2" t="s">
        <v>126</v>
      </c>
      <c r="J50" s="27"/>
      <c r="K50" s="27"/>
      <c r="L50" s="27"/>
      <c r="M50" s="22">
        <v>30.156992541104486</v>
      </c>
      <c r="N50" s="22">
        <v>32.32389690377061</v>
      </c>
      <c r="O50" s="22">
        <v>34.513151588157825</v>
      </c>
      <c r="P50" s="22">
        <v>37.13482161601182</v>
      </c>
      <c r="R50" s="2" t="s">
        <v>270</v>
      </c>
      <c r="T50" s="18"/>
    </row>
    <row r="51" spans="2:20" x14ac:dyDescent="0.2">
      <c r="B51" s="2" t="s">
        <v>149</v>
      </c>
      <c r="D51" s="2" t="s">
        <v>126</v>
      </c>
      <c r="J51" s="27"/>
      <c r="K51" s="27"/>
      <c r="L51" s="27"/>
      <c r="M51" s="22">
        <v>961681.98505677679</v>
      </c>
      <c r="N51" s="22">
        <v>1057229.003343136</v>
      </c>
      <c r="O51" s="22">
        <v>1153761.5319431627</v>
      </c>
      <c r="P51" s="22">
        <v>1277156.8582800096</v>
      </c>
      <c r="R51" s="2" t="s">
        <v>271</v>
      </c>
      <c r="T51" s="18"/>
    </row>
    <row r="52" spans="2:20" x14ac:dyDescent="0.2">
      <c r="B52" s="2" t="s">
        <v>131</v>
      </c>
      <c r="D52" s="2" t="s">
        <v>126</v>
      </c>
      <c r="J52" s="27"/>
      <c r="K52" s="27"/>
      <c r="L52" s="27"/>
      <c r="M52" s="22">
        <v>14071663.559485372</v>
      </c>
      <c r="N52" s="22">
        <v>18659138.865940556</v>
      </c>
      <c r="O52" s="22">
        <v>25512234.847136974</v>
      </c>
      <c r="P52" s="22">
        <v>32019124.552464109</v>
      </c>
      <c r="R52" s="2" t="s">
        <v>272</v>
      </c>
      <c r="T52" s="18"/>
    </row>
    <row r="53" spans="2:20" x14ac:dyDescent="0.2">
      <c r="B53" s="2" t="s">
        <v>150</v>
      </c>
      <c r="D53" s="2" t="s">
        <v>126</v>
      </c>
      <c r="J53" s="27"/>
      <c r="K53" s="27"/>
      <c r="L53" s="27"/>
      <c r="M53" s="22">
        <v>54036.174890244474</v>
      </c>
      <c r="N53" s="22">
        <v>56372.325861523786</v>
      </c>
      <c r="O53" s="22">
        <v>58732.572832005615</v>
      </c>
      <c r="P53" s="22">
        <v>61369.683890329157</v>
      </c>
      <c r="R53" s="2" t="s">
        <v>273</v>
      </c>
      <c r="T53" s="18"/>
    </row>
    <row r="54" spans="2:20" x14ac:dyDescent="0.2">
      <c r="B54" s="55" t="s">
        <v>151</v>
      </c>
      <c r="D54" s="2" t="s">
        <v>126</v>
      </c>
      <c r="J54" s="27"/>
      <c r="K54" s="27"/>
      <c r="L54" s="27"/>
      <c r="M54" s="22">
        <v>2176085.1455300865</v>
      </c>
      <c r="N54" s="22">
        <v>2603179.9051935268</v>
      </c>
      <c r="O54" s="22">
        <v>3034679.891708801</v>
      </c>
      <c r="P54" s="22">
        <v>3596675.0067941276</v>
      </c>
      <c r="R54" s="2" t="s">
        <v>274</v>
      </c>
      <c r="T54" s="18"/>
    </row>
    <row r="55" spans="2:20" x14ac:dyDescent="0.2">
      <c r="B55" s="53"/>
    </row>
    <row r="56" spans="2:20" x14ac:dyDescent="0.2">
      <c r="B56" s="53" t="s">
        <v>128</v>
      </c>
    </row>
    <row r="57" spans="2:20" x14ac:dyDescent="0.2">
      <c r="B57" s="2" t="s">
        <v>148</v>
      </c>
      <c r="D57" s="2" t="s">
        <v>126</v>
      </c>
      <c r="J57" s="27"/>
      <c r="K57" s="27"/>
      <c r="L57" s="27"/>
      <c r="M57" s="22">
        <v>118.71492436439344</v>
      </c>
      <c r="N57" s="22">
        <v>125.01763601361091</v>
      </c>
      <c r="O57" s="22">
        <v>131.38535636164261</v>
      </c>
      <c r="P57" s="22">
        <v>137.82787279929281</v>
      </c>
      <c r="R57" s="2" t="s">
        <v>275</v>
      </c>
      <c r="T57" s="18"/>
    </row>
    <row r="58" spans="2:20" x14ac:dyDescent="0.2">
      <c r="B58" s="2" t="s">
        <v>149</v>
      </c>
      <c r="D58" s="2" t="s">
        <v>126</v>
      </c>
      <c r="J58" s="27"/>
      <c r="K58" s="27"/>
      <c r="L58" s="27"/>
      <c r="M58" s="22">
        <v>21122783.082966443</v>
      </c>
      <c r="N58" s="22">
        <v>22157068.431738373</v>
      </c>
      <c r="O58" s="22">
        <v>23202021.814916257</v>
      </c>
      <c r="P58" s="22">
        <v>24302897.240949918</v>
      </c>
      <c r="R58" s="2" t="s">
        <v>276</v>
      </c>
      <c r="T58" s="18"/>
    </row>
    <row r="59" spans="2:20" x14ac:dyDescent="0.2">
      <c r="B59" s="2" t="s">
        <v>131</v>
      </c>
      <c r="D59" s="2" t="s">
        <v>126</v>
      </c>
      <c r="J59" s="27"/>
      <c r="K59" s="27"/>
      <c r="L59" s="27"/>
      <c r="M59" s="22">
        <v>185775551.80288702</v>
      </c>
      <c r="N59" s="22">
        <v>198918113.98154315</v>
      </c>
      <c r="O59" s="22">
        <v>215050032.54672039</v>
      </c>
      <c r="P59" s="22">
        <v>228834547.31267634</v>
      </c>
      <c r="R59" s="2" t="s">
        <v>277</v>
      </c>
      <c r="T59" s="18"/>
    </row>
    <row r="60" spans="2:20" x14ac:dyDescent="0.2">
      <c r="B60" s="2" t="s">
        <v>150</v>
      </c>
      <c r="D60" s="2" t="s">
        <v>126</v>
      </c>
      <c r="J60" s="27"/>
      <c r="K60" s="27"/>
      <c r="L60" s="27"/>
      <c r="M60" s="22">
        <v>546234.75916076289</v>
      </c>
      <c r="N60" s="22">
        <v>569850.17727190151</v>
      </c>
      <c r="O60" s="22">
        <v>593709.17428824829</v>
      </c>
      <c r="P60" s="22">
        <v>620366.903610309</v>
      </c>
      <c r="R60" s="2" t="s">
        <v>278</v>
      </c>
      <c r="T60" s="18"/>
    </row>
    <row r="61" spans="2:20" x14ac:dyDescent="0.2">
      <c r="B61" s="55" t="s">
        <v>151</v>
      </c>
      <c r="D61" s="2" t="s">
        <v>126</v>
      </c>
      <c r="J61" s="27"/>
      <c r="K61" s="27"/>
      <c r="L61" s="27"/>
      <c r="M61" s="22">
        <v>3166311.7404954904</v>
      </c>
      <c r="N61" s="22">
        <v>3303201.1902568196</v>
      </c>
      <c r="O61" s="22">
        <v>3441502.5727711376</v>
      </c>
      <c r="P61" s="22">
        <v>3596027.1245537205</v>
      </c>
      <c r="R61" s="2" t="s">
        <v>279</v>
      </c>
      <c r="T61" s="18"/>
    </row>
    <row r="62" spans="2:20" x14ac:dyDescent="0.2">
      <c r="L62" s="67"/>
      <c r="M62" s="67"/>
      <c r="N62" s="67"/>
      <c r="O62" s="67"/>
      <c r="P62" s="67"/>
    </row>
    <row r="63" spans="2:20" s="8" customFormat="1" x14ac:dyDescent="0.2">
      <c r="B63" s="8" t="s">
        <v>158</v>
      </c>
    </row>
    <row r="65" spans="1:20" x14ac:dyDescent="0.2">
      <c r="B65" s="2" t="s">
        <v>159</v>
      </c>
      <c r="D65" s="2" t="s">
        <v>88</v>
      </c>
      <c r="J65" s="22">
        <v>14130297.92</v>
      </c>
      <c r="K65" s="27"/>
      <c r="L65" s="27"/>
      <c r="M65" s="27"/>
      <c r="N65" s="27"/>
      <c r="O65" s="27"/>
      <c r="P65" s="27"/>
      <c r="R65" s="2" t="s">
        <v>242</v>
      </c>
      <c r="T65" s="18"/>
    </row>
    <row r="67" spans="1:20" x14ac:dyDescent="0.2">
      <c r="A67" s="57"/>
      <c r="B67" s="57"/>
      <c r="C67" s="57"/>
      <c r="D67" s="57"/>
      <c r="E67" s="57"/>
      <c r="F67" s="57"/>
      <c r="G67" s="57"/>
      <c r="H67" s="57"/>
      <c r="I67" s="57"/>
      <c r="J67" s="57"/>
      <c r="K67" s="57"/>
      <c r="L67" s="57"/>
      <c r="M67" s="57"/>
      <c r="N67" s="57"/>
      <c r="O67" s="57"/>
      <c r="P67" s="57"/>
      <c r="Q67" s="57"/>
      <c r="R67" s="57"/>
    </row>
    <row r="70" spans="1:20" x14ac:dyDescent="0.2">
      <c r="B70" s="20" t="s">
        <v>69</v>
      </c>
    </row>
  </sheetData>
  <mergeCells count="3">
    <mergeCell ref="B5:D5"/>
    <mergeCell ref="B8:J8"/>
    <mergeCell ref="B9:J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DA814-B9CF-40E3-B1D5-F923E3933F89}">
  <sheetPr>
    <tabColor rgb="FFE1FFE1"/>
  </sheetPr>
  <dimension ref="B2:T18"/>
  <sheetViews>
    <sheetView showGridLines="0" zoomScale="85" zoomScaleNormal="85" workbookViewId="0">
      <pane xSplit="4" ySplit="11" topLeftCell="E12" activePane="bottomRight" state="frozen"/>
      <selection pane="topRight" activeCell="E1" sqref="E1"/>
      <selection pane="bottomLeft" activeCell="A13" sqref="A13"/>
      <selection pane="bottomRight" activeCell="E12" sqref="E12"/>
    </sheetView>
  </sheetViews>
  <sheetFormatPr defaultColWidth="9.140625" defaultRowHeight="12.75" x14ac:dyDescent="0.2"/>
  <cols>
    <col min="1" max="1" width="5.85546875" style="2" customWidth="1"/>
    <col min="2" max="2" width="66.42578125" style="2" customWidth="1"/>
    <col min="3" max="3" width="16.85546875" style="2" customWidth="1"/>
    <col min="4" max="4" width="13.85546875" style="2" customWidth="1"/>
    <col min="5" max="5" width="2.5703125" style="2" customWidth="1"/>
    <col min="6" max="6" width="13.85546875" style="2" customWidth="1"/>
    <col min="7" max="7" width="2.85546875" style="2" customWidth="1"/>
    <col min="8" max="8" width="13.85546875" style="2" customWidth="1"/>
    <col min="9" max="9" width="2.5703125" style="2" customWidth="1"/>
    <col min="10" max="16" width="13.85546875" style="2" customWidth="1"/>
    <col min="17" max="17" width="2.85546875" style="2" customWidth="1"/>
    <col min="18" max="18" width="46.5703125" style="2" customWidth="1"/>
    <col min="19" max="19" width="2.85546875" style="2" customWidth="1"/>
    <col min="20" max="20" width="33.85546875" style="2" customWidth="1"/>
    <col min="21" max="21" width="20.85546875" style="2" customWidth="1"/>
    <col min="22" max="22" width="2.85546875" style="2" customWidth="1"/>
    <col min="23" max="23" width="30.85546875" style="2" customWidth="1"/>
    <col min="24" max="24" width="2.85546875" style="2" customWidth="1"/>
    <col min="25" max="39" width="13.85546875" style="2" customWidth="1"/>
    <col min="40" max="16384" width="9.140625" style="2"/>
  </cols>
  <sheetData>
    <row r="2" spans="2:20" s="12" customFormat="1" ht="18" x14ac:dyDescent="0.2">
      <c r="B2" s="12" t="s">
        <v>203</v>
      </c>
    </row>
    <row r="4" spans="2:20" x14ac:dyDescent="0.2">
      <c r="B4" s="19" t="s">
        <v>24</v>
      </c>
      <c r="J4"/>
    </row>
    <row r="5" spans="2:20" ht="27" customHeight="1" x14ac:dyDescent="0.2">
      <c r="B5" s="72" t="s">
        <v>204</v>
      </c>
      <c r="C5" s="72"/>
      <c r="D5" s="72"/>
      <c r="F5" s="13"/>
    </row>
    <row r="6" spans="2:20" x14ac:dyDescent="0.2">
      <c r="F6" s="13"/>
    </row>
    <row r="7" spans="2:20" x14ac:dyDescent="0.2">
      <c r="B7" s="20" t="s">
        <v>25</v>
      </c>
      <c r="F7" s="13"/>
    </row>
    <row r="8" spans="2:20" x14ac:dyDescent="0.2">
      <c r="B8" s="74" t="s">
        <v>75</v>
      </c>
      <c r="C8" s="74"/>
      <c r="D8" s="74"/>
    </row>
    <row r="10" spans="2:20" s="8" customFormat="1" x14ac:dyDescent="0.2">
      <c r="B10" s="8" t="s">
        <v>39</v>
      </c>
      <c r="C10" s="8" t="s">
        <v>144</v>
      </c>
      <c r="D10" s="8" t="s">
        <v>22</v>
      </c>
      <c r="F10" s="8" t="s">
        <v>23</v>
      </c>
      <c r="H10" s="8" t="s">
        <v>43</v>
      </c>
      <c r="J10" s="8" t="s">
        <v>143</v>
      </c>
      <c r="K10" s="8" t="s">
        <v>134</v>
      </c>
      <c r="L10" s="8" t="s">
        <v>95</v>
      </c>
      <c r="M10" s="8" t="s">
        <v>96</v>
      </c>
      <c r="N10" s="8" t="s">
        <v>97</v>
      </c>
      <c r="O10" s="8" t="s">
        <v>98</v>
      </c>
      <c r="P10" s="8" t="s">
        <v>99</v>
      </c>
      <c r="R10" s="8" t="s">
        <v>40</v>
      </c>
      <c r="T10" s="8" t="s">
        <v>41</v>
      </c>
    </row>
    <row r="11" spans="2:20" s="45" customFormat="1" x14ac:dyDescent="0.2"/>
    <row r="13" spans="2:20" s="8" customFormat="1" x14ac:dyDescent="0.2">
      <c r="B13" s="8" t="s">
        <v>205</v>
      </c>
    </row>
    <row r="14" spans="2:20" x14ac:dyDescent="0.2">
      <c r="B14" s="19"/>
    </row>
    <row r="15" spans="2:20" x14ac:dyDescent="0.2">
      <c r="B15" s="2" t="s">
        <v>206</v>
      </c>
      <c r="D15" s="2" t="s">
        <v>88</v>
      </c>
      <c r="J15" s="22">
        <v>1788281.05</v>
      </c>
      <c r="K15" s="27"/>
      <c r="L15" s="27"/>
      <c r="M15" s="27"/>
      <c r="N15" s="27"/>
      <c r="O15" s="27"/>
      <c r="P15" s="27"/>
      <c r="R15" s="2" t="s">
        <v>193</v>
      </c>
    </row>
    <row r="18" spans="2:2" x14ac:dyDescent="0.2">
      <c r="B18" s="20" t="s">
        <v>69</v>
      </c>
    </row>
  </sheetData>
  <mergeCells count="2">
    <mergeCell ref="B5:D5"/>
    <mergeCell ref="B8:D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heetViews>
  <sheetFormatPr defaultColWidth="9.140625" defaultRowHeight="12.75" x14ac:dyDescent="0.2"/>
  <cols>
    <col min="1" max="1" width="5.85546875" style="16" customWidth="1"/>
    <col min="2" max="16384" width="9.140625" style="16"/>
  </cols>
  <sheetData>
    <row r="2" spans="2:2" x14ac:dyDescent="0.2">
      <c r="B2" s="25"/>
    </row>
    <row r="3" spans="2:2" x14ac:dyDescent="0.2">
      <c r="B3" s="2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ECT67VDXDTCW-1622398196-227</_dlc_DocId>
    <_dlc_DocIdUrl xmlns="5e7bef76-b888-41a2-a261-5f525b37d47e">
      <Url>https://intranet.acm.local/project/Inkomstenbesluiten DSBs/_layouts/15/DocIdRedir.aspx?ID=ECT67VDXDTCW-1622398196-227</Url>
      <Description>ECT67VDXDTCW-1622398196-227</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2.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6663820194C4B546941ACFB21F7CEBDE" ma:contentTypeVersion="9" ma:contentTypeDescription="" ma:contentTypeScope="" ma:versionID="1fd8dd4db62a616e62d3023e2f48a278">
  <xsd:schema xmlns:xsd="http://www.w3.org/2001/XMLSchema" xmlns:xs="http://www.w3.org/2001/XMLSchema" xmlns:p="http://schemas.microsoft.com/office/2006/metadata/properties" xmlns:ns2="de7ae6dc-ac48-4e23-b5f4-085091b96a6e" xmlns:ns3="5e7bef76-b888-41a2-a261-5f525b37d47e" targetNamespace="http://schemas.microsoft.com/office/2006/metadata/properties" ma:root="true" ma:fieldsID="d7a411fdcd1ad4a1d5ecfdfe44759372" ns2:_="" ns3:_="">
    <xsd:import namespace="de7ae6dc-ac48-4e23-b5f4-085091b96a6e"/>
    <xsd:import namespace="5e7bef76-b888-41a2-a261-5f525b37d47e"/>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Enterprise Keywords"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b5c4d77-5df6-4038-99b4-130c61950066}" ma:internalName="TaxCatchAll" ma:showField="CatchAllData" ma:web="5e7bef76-b888-41a2-a261-5f525b37d47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b5c4d77-5df6-4038-99b4-130c61950066}" ma:internalName="TaxCatchAllLabel" ma:readOnly="true" ma:showField="CatchAllDataLabel" ma:web="5e7bef76-b888-41a2-a261-5f525b37d4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6e34cd31-bfd2-42c2-81ba-d74df6e92547" ContentTypeId="0x0101002A59D213CA403546A4193AF39C4CF720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DC4B28-42FD-4275-AD39-0DAE99CBE63F}">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5e7bef76-b888-41a2-a261-5f525b37d47e"/>
    <ds:schemaRef ds:uri="de7ae6dc-ac48-4e23-b5f4-085091b96a6e"/>
    <ds:schemaRef ds:uri="http://www.w3.org/XML/1998/namespace"/>
  </ds:schemaRefs>
</ds:datastoreItem>
</file>

<file path=customXml/itemProps2.xml><?xml version="1.0" encoding="utf-8"?>
<ds:datastoreItem xmlns:ds="http://schemas.openxmlformats.org/officeDocument/2006/customXml" ds:itemID="{5AB31C82-688D-462D-B355-446D319F4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ae6dc-ac48-4e23-b5f4-085091b96a6e"/>
    <ds:schemaRef ds:uri="5e7bef76-b888-41a2-a261-5f525b37d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4.xml><?xml version="1.0" encoding="utf-8"?>
<ds:datastoreItem xmlns:ds="http://schemas.openxmlformats.org/officeDocument/2006/customXml" ds:itemID="{C32D7CC2-F6F3-4C16-8C9D-D96394DCAA41}">
  <ds:schemaRefs>
    <ds:schemaRef ds:uri="Microsoft.SharePoint.Taxonomy.ContentTypeSync"/>
  </ds:schemaRefs>
</ds:datastoreItem>
</file>

<file path=customXml/itemProps5.xml><?xml version="1.0" encoding="utf-8"?>
<ds:datastoreItem xmlns:ds="http://schemas.openxmlformats.org/officeDocument/2006/customXml" ds:itemID="{006EB37F-E42A-4270-B505-A8B0AD528B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Titelblad</vt:lpstr>
      <vt:lpstr>Toelichting</vt:lpstr>
      <vt:lpstr>Bronnen en toepassingen</vt:lpstr>
      <vt:lpstr>1. Resultaat</vt:lpstr>
      <vt:lpstr>Input (Data door ACM) --&gt;</vt:lpstr>
      <vt:lpstr>2. Brondata</vt:lpstr>
      <vt:lpstr>3. Data inkoop TenneT</vt:lpstr>
      <vt:lpstr>4. Data inkoop andere DSB</vt:lpstr>
      <vt:lpstr>Berekeningen --&gt;</vt:lpstr>
      <vt:lpstr>5. Berekening kapitaalkosten</vt:lpstr>
      <vt:lpstr>6. Proxy tariefstijging TenneT</vt:lpstr>
      <vt:lpstr>7. Inkoop transport TenneT</vt:lpstr>
      <vt:lpstr>8. Inkoop transport andere DSB</vt:lpstr>
      <vt:lpstr>9. Berekening 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2026-09-10T10:16:45Z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0x0101002A59D213CA403546A4193AF39C4CF72001006663820194C4B546941ACFB21F7CEBDE</vt:lpwstr>
  </property>
  <property fmtid="{D5CDD505-2E9C-101B-9397-08002B2CF9AE}" pid="3" name="_dlc_DocIdItemGuid">
    <vt:lpwstr>4afe9212-57c0-47d2-a0c5-b2332d56ecf9</vt:lpwstr>
  </property>
  <property fmtid="{D5CDD505-2E9C-101B-9397-08002B2CF9AE}" pid="4" name="TaxKeyword">
    <vt:lpwstr/>
  </property>
</Properties>
</file>